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12. TRANSITO Y MOVIL\"/>
    </mc:Choice>
  </mc:AlternateContent>
  <xr:revisionPtr revIDLastSave="0" documentId="13_ncr:1_{C3F10A54-6425-4B22-946D-29A372BA35A5}" xr6:coauthVersionLast="47" xr6:coauthVersionMax="47" xr10:uidLastSave="{00000000-0000-0000-0000-000000000000}"/>
  <bookViews>
    <workbookView xWindow="-96" yWindow="-96" windowWidth="23232" windowHeight="12432" firstSheet="2" activeTab="4" xr2:uid="{00000000-000D-0000-FFFF-FFFF00000000}"/>
  </bookViews>
  <sheets>
    <sheet name="Intructivo" sheetId="20" r:id="rId1"/>
    <sheet name="Contexto" sheetId="22" r:id="rId2"/>
    <sheet name="Priorizaciòn de Causas" sheetId="23" r:id="rId3"/>
    <sheet name="DOFA" sheetId="24"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14"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4" l="1"/>
  <c r="C1" i="23"/>
  <c r="F11" i="24"/>
  <c r="F12" i="24"/>
  <c r="F13" i="24"/>
  <c r="F14" i="24"/>
  <c r="F15" i="24"/>
  <c r="F16" i="24"/>
  <c r="F17" i="24"/>
  <c r="F18" i="24"/>
  <c r="F19" i="24"/>
  <c r="F20" i="24"/>
  <c r="F21" i="24"/>
  <c r="F22" i="24"/>
  <c r="R11" i="23" l="1"/>
  <c r="S11" i="23"/>
  <c r="R12" i="23"/>
  <c r="S12" i="23"/>
  <c r="R13" i="23"/>
  <c r="S13" i="23"/>
  <c r="R14" i="23"/>
  <c r="S14" i="23"/>
  <c r="R15" i="23"/>
  <c r="S15" i="23"/>
  <c r="R16" i="23"/>
  <c r="S16" i="23"/>
  <c r="R17" i="23"/>
  <c r="S17" i="23"/>
  <c r="R18" i="23"/>
  <c r="S18" i="23"/>
  <c r="R19" i="23"/>
  <c r="S19" i="23"/>
  <c r="R20" i="23"/>
  <c r="S20" i="23"/>
  <c r="R21" i="23"/>
  <c r="S21" i="23"/>
  <c r="R22" i="23"/>
  <c r="S22" i="23"/>
  <c r="R23" i="23"/>
  <c r="S23" i="23"/>
  <c r="R24" i="23"/>
  <c r="S24" i="23"/>
  <c r="R25" i="23"/>
  <c r="S25" i="23"/>
  <c r="R26" i="23"/>
  <c r="S26" i="23"/>
  <c r="R27" i="23"/>
  <c r="S27" i="23"/>
  <c r="R28" i="23"/>
  <c r="S28" i="23"/>
  <c r="R29" i="23"/>
  <c r="S29" i="23"/>
  <c r="R30" i="23"/>
  <c r="S30" i="23"/>
  <c r="R31" i="23"/>
  <c r="S31" i="23"/>
  <c r="R32" i="23"/>
  <c r="S32" i="23"/>
  <c r="R33" i="23"/>
  <c r="S33" i="23"/>
  <c r="R34" i="23"/>
  <c r="S34" i="23"/>
  <c r="R35" i="23"/>
  <c r="S35" i="23"/>
  <c r="R36" i="23"/>
  <c r="S36" i="23"/>
  <c r="R37" i="23"/>
  <c r="S37" i="23"/>
  <c r="R38" i="23"/>
  <c r="S38" i="23"/>
  <c r="R39" i="23"/>
  <c r="S39" i="23"/>
  <c r="S40" i="23"/>
  <c r="S41" i="23"/>
  <c r="W11" i="1" l="1"/>
  <c r="T11" i="1"/>
  <c r="J10"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AE23" i="1" s="1"/>
  <c r="AD23" i="1" s="1"/>
  <c r="W21" i="1"/>
  <c r="T21" i="1"/>
  <c r="W20" i="1"/>
  <c r="T20" i="1"/>
  <c r="W19" i="1"/>
  <c r="T19" i="1"/>
  <c r="W18" i="1"/>
  <c r="T18" i="1"/>
  <c r="AE19" i="1" s="1"/>
  <c r="AD19" i="1" s="1"/>
  <c r="W17" i="1"/>
  <c r="T17" i="1"/>
  <c r="W16" i="1"/>
  <c r="T16" i="1"/>
  <c r="AE27" i="1" l="1"/>
  <c r="AD27" i="1" s="1"/>
  <c r="AE31" i="1"/>
  <c r="AD31" i="1" s="1"/>
  <c r="AE35" i="1"/>
  <c r="AD35" i="1" s="1"/>
  <c r="AE39" i="1"/>
  <c r="AD39" i="1" s="1"/>
  <c r="AE43" i="1"/>
  <c r="AD43" i="1" s="1"/>
  <c r="AE47" i="1"/>
  <c r="AD47" i="1" s="1"/>
  <c r="AE51" i="1"/>
  <c r="AD51" i="1" s="1"/>
  <c r="AE55" i="1"/>
  <c r="AD55" i="1" s="1"/>
  <c r="AE59" i="1"/>
  <c r="AD59"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3" i="1"/>
  <c r="AD63" i="1" s="1"/>
  <c r="AE20" i="1"/>
  <c r="AD20" i="1" s="1"/>
  <c r="AE22" i="1"/>
  <c r="AD22" i="1" s="1"/>
  <c r="AE26" i="1"/>
  <c r="AD26" i="1" s="1"/>
  <c r="AE28" i="1"/>
  <c r="AD28" i="1" s="1"/>
  <c r="AE32" i="1"/>
  <c r="AD32" i="1" s="1"/>
  <c r="AE34" i="1"/>
  <c r="AD34" i="1" s="1"/>
  <c r="AE38" i="1"/>
  <c r="AD38" i="1" s="1"/>
  <c r="AE40" i="1"/>
  <c r="AD40" i="1" s="1"/>
  <c r="AE44" i="1"/>
  <c r="AD44" i="1" s="1"/>
  <c r="AE46" i="1"/>
  <c r="AD46" i="1" s="1"/>
  <c r="AE50" i="1"/>
  <c r="AD50" i="1" s="1"/>
  <c r="AE52" i="1"/>
  <c r="AD52" i="1" s="1"/>
  <c r="AE56" i="1"/>
  <c r="AD56" i="1" s="1"/>
  <c r="AE58" i="1"/>
  <c r="AD58" i="1" s="1"/>
  <c r="AE62" i="1"/>
  <c r="AD62" i="1" s="1"/>
  <c r="AE64" i="1"/>
  <c r="AD64" i="1" s="1"/>
  <c r="AA60" i="1"/>
  <c r="AA62" i="1"/>
  <c r="AA64" i="1"/>
  <c r="AE60" i="1"/>
  <c r="AD60" i="1" s="1"/>
  <c r="AA61" i="1"/>
  <c r="AA63" i="1"/>
  <c r="AA65" i="1"/>
  <c r="AA54" i="1"/>
  <c r="AA56" i="1"/>
  <c r="AA58" i="1"/>
  <c r="AE54" i="1"/>
  <c r="AD54" i="1" s="1"/>
  <c r="AA55" i="1"/>
  <c r="AA57" i="1"/>
  <c r="AA59" i="1"/>
  <c r="AA48" i="1"/>
  <c r="AA50" i="1"/>
  <c r="AA52" i="1"/>
  <c r="AE48" i="1"/>
  <c r="AD48" i="1" s="1"/>
  <c r="AA49" i="1"/>
  <c r="AA51" i="1"/>
  <c r="AA53" i="1"/>
  <c r="AA42" i="1"/>
  <c r="AA44" i="1"/>
  <c r="AA46" i="1"/>
  <c r="AE42" i="1"/>
  <c r="AD42" i="1" s="1"/>
  <c r="AA43" i="1"/>
  <c r="AA45" i="1"/>
  <c r="AA47" i="1"/>
  <c r="AA36" i="1"/>
  <c r="AA38" i="1"/>
  <c r="AA40" i="1"/>
  <c r="AE36" i="1"/>
  <c r="AD36" i="1" s="1"/>
  <c r="AA37" i="1"/>
  <c r="AA39" i="1"/>
  <c r="AA41" i="1"/>
  <c r="AA30" i="1"/>
  <c r="AA32" i="1"/>
  <c r="AA34" i="1"/>
  <c r="AE30" i="1"/>
  <c r="AD30" i="1" s="1"/>
  <c r="AA31" i="1"/>
  <c r="AA33" i="1"/>
  <c r="AA35" i="1"/>
  <c r="AA24" i="1"/>
  <c r="AA26" i="1"/>
  <c r="AA28" i="1"/>
  <c r="AE24" i="1"/>
  <c r="AD24" i="1" s="1"/>
  <c r="AA25" i="1"/>
  <c r="AA27" i="1"/>
  <c r="AA29" i="1"/>
  <c r="AA18" i="1"/>
  <c r="AA20" i="1"/>
  <c r="AA22" i="1"/>
  <c r="AE18" i="1"/>
  <c r="AD18" i="1" s="1"/>
  <c r="AA19" i="1"/>
  <c r="AA21" i="1"/>
  <c r="AA23" i="1"/>
  <c r="AC65" i="1" l="1"/>
  <c r="AB65" i="1"/>
  <c r="AF65" i="1" s="1"/>
  <c r="AC63" i="1"/>
  <c r="AB63" i="1"/>
  <c r="AF63" i="1" s="1"/>
  <c r="AC61" i="1"/>
  <c r="AB61" i="1"/>
  <c r="AF61" i="1" s="1"/>
  <c r="AC64" i="1"/>
  <c r="AB64" i="1"/>
  <c r="AF64" i="1" s="1"/>
  <c r="AC62" i="1"/>
  <c r="AB62" i="1"/>
  <c r="AF62" i="1" s="1"/>
  <c r="AC60" i="1"/>
  <c r="AB60" i="1"/>
  <c r="AF60" i="1" s="1"/>
  <c r="AC59" i="1"/>
  <c r="AB59" i="1"/>
  <c r="AF59" i="1" s="1"/>
  <c r="AC57" i="1"/>
  <c r="AB57" i="1"/>
  <c r="AF57" i="1" s="1"/>
  <c r="AC55" i="1"/>
  <c r="AB55" i="1"/>
  <c r="AF55" i="1" s="1"/>
  <c r="AC58" i="1"/>
  <c r="AB58" i="1"/>
  <c r="AF58" i="1" s="1"/>
  <c r="AC56" i="1"/>
  <c r="AB56" i="1"/>
  <c r="AF56" i="1" s="1"/>
  <c r="AC54" i="1"/>
  <c r="AB54" i="1"/>
  <c r="AF54" i="1" s="1"/>
  <c r="AC53" i="1"/>
  <c r="AB53" i="1"/>
  <c r="AF53" i="1" s="1"/>
  <c r="AC51" i="1"/>
  <c r="AB51" i="1"/>
  <c r="AF51" i="1" s="1"/>
  <c r="AC49" i="1"/>
  <c r="AB49" i="1"/>
  <c r="AF49" i="1" s="1"/>
  <c r="AC52" i="1"/>
  <c r="AB52" i="1"/>
  <c r="AF52" i="1" s="1"/>
  <c r="AC50" i="1"/>
  <c r="AB50" i="1"/>
  <c r="AF50" i="1" s="1"/>
  <c r="AC48" i="1"/>
  <c r="AB48" i="1"/>
  <c r="AF48" i="1" s="1"/>
  <c r="AC47" i="1"/>
  <c r="AB47" i="1"/>
  <c r="AF47" i="1" s="1"/>
  <c r="AC45" i="1"/>
  <c r="AB45" i="1"/>
  <c r="AF45" i="1" s="1"/>
  <c r="AC43" i="1"/>
  <c r="AB43" i="1"/>
  <c r="AF43" i="1" s="1"/>
  <c r="AC46" i="1"/>
  <c r="AB46" i="1"/>
  <c r="AF46" i="1" s="1"/>
  <c r="AC44" i="1"/>
  <c r="AB44" i="1"/>
  <c r="AF44" i="1" s="1"/>
  <c r="AC42" i="1"/>
  <c r="AB42" i="1"/>
  <c r="AF42" i="1" s="1"/>
  <c r="AC41" i="1"/>
  <c r="AB41" i="1"/>
  <c r="AF41" i="1" s="1"/>
  <c r="AC39" i="1"/>
  <c r="AB39" i="1"/>
  <c r="AF39" i="1" s="1"/>
  <c r="AC37" i="1"/>
  <c r="AB37" i="1"/>
  <c r="AF37" i="1" s="1"/>
  <c r="AC40" i="1"/>
  <c r="AB40" i="1"/>
  <c r="AF40" i="1" s="1"/>
  <c r="AC38" i="1"/>
  <c r="AB38" i="1"/>
  <c r="AF38" i="1" s="1"/>
  <c r="AC36" i="1"/>
  <c r="AB36" i="1"/>
  <c r="AF36" i="1" s="1"/>
  <c r="AC35" i="1"/>
  <c r="AB35" i="1"/>
  <c r="AF35" i="1" s="1"/>
  <c r="AC33" i="1"/>
  <c r="AB33" i="1"/>
  <c r="AF33" i="1" s="1"/>
  <c r="AC31" i="1"/>
  <c r="AB31" i="1"/>
  <c r="AF31" i="1" s="1"/>
  <c r="AB34" i="1"/>
  <c r="AF34" i="1" s="1"/>
  <c r="AC34" i="1"/>
  <c r="AB32" i="1"/>
  <c r="AF32" i="1" s="1"/>
  <c r="AC32" i="1"/>
  <c r="AC30" i="1"/>
  <c r="AB30" i="1"/>
  <c r="AF30" i="1" s="1"/>
  <c r="AC29" i="1"/>
  <c r="AB29" i="1"/>
  <c r="AF29" i="1" s="1"/>
  <c r="AC27" i="1"/>
  <c r="AB27" i="1"/>
  <c r="AF27" i="1" s="1"/>
  <c r="AC25" i="1"/>
  <c r="AB25" i="1"/>
  <c r="AF25" i="1" s="1"/>
  <c r="AC28" i="1"/>
  <c r="AB28" i="1"/>
  <c r="AF28" i="1" s="1"/>
  <c r="AC26" i="1"/>
  <c r="AB26" i="1"/>
  <c r="AF26" i="1" s="1"/>
  <c r="AC24" i="1"/>
  <c r="AB24" i="1"/>
  <c r="AF24" i="1" s="1"/>
  <c r="AC21" i="1"/>
  <c r="AB21" i="1"/>
  <c r="AF21" i="1" s="1"/>
  <c r="AC19" i="1"/>
  <c r="AB19" i="1"/>
  <c r="AF19" i="1" s="1"/>
  <c r="AC22" i="1"/>
  <c r="AB22" i="1"/>
  <c r="AF22" i="1" s="1"/>
  <c r="AC23" i="1"/>
  <c r="AB23" i="1"/>
  <c r="AF23" i="1" s="1"/>
  <c r="AC20" i="1"/>
  <c r="AB20" i="1"/>
  <c r="AF20" i="1" s="1"/>
  <c r="AC18" i="1"/>
  <c r="AB18" i="1"/>
  <c r="AF18" i="1" s="1"/>
  <c r="K10" i="1" l="1"/>
  <c r="K18" i="1"/>
  <c r="L18" i="1" s="1"/>
  <c r="K24" i="1"/>
  <c r="K30" i="1"/>
  <c r="L30" i="1" s="1"/>
  <c r="K36" i="1"/>
  <c r="L36" i="1" s="1"/>
  <c r="K42" i="1"/>
  <c r="L42" i="1" s="1"/>
  <c r="K48" i="1"/>
  <c r="L48" i="1" s="1"/>
  <c r="K54" i="1"/>
  <c r="L54" i="1" s="1"/>
  <c r="K60" i="1"/>
  <c r="L60" i="1" s="1"/>
  <c r="W13" i="1"/>
  <c r="W14" i="1"/>
  <c r="W15" i="1"/>
  <c r="N44" i="1"/>
  <c r="N38" i="1"/>
  <c r="N20" i="1"/>
  <c r="N58" i="1"/>
  <c r="N46" i="1"/>
  <c r="N26" i="1"/>
  <c r="N19" i="1"/>
  <c r="N28" i="1"/>
  <c r="N45" i="1"/>
  <c r="N32" i="1"/>
  <c r="N63" i="1"/>
  <c r="N34" i="1"/>
  <c r="N56" i="1"/>
  <c r="N57" i="1"/>
  <c r="N52" i="1"/>
  <c r="N39" i="1"/>
  <c r="N23" i="1"/>
  <c r="N47" i="1"/>
  <c r="N61" i="1"/>
  <c r="N33" i="1"/>
  <c r="N27" i="1"/>
  <c r="N25" i="1"/>
  <c r="N65" i="1"/>
  <c r="N21" i="1"/>
  <c r="N51" i="1"/>
  <c r="N62" i="1"/>
  <c r="N64" i="1"/>
  <c r="N37" i="1"/>
  <c r="N29" i="1"/>
  <c r="N22" i="1"/>
  <c r="N41" i="1"/>
  <c r="N50" i="1"/>
  <c r="N35" i="1"/>
  <c r="N53" i="1"/>
  <c r="N59" i="1"/>
  <c r="N31" i="1"/>
  <c r="N55" i="1"/>
  <c r="N49" i="1"/>
  <c r="N43" i="1"/>
  <c r="N40" i="1"/>
  <c r="L24" i="1" l="1"/>
  <c r="F217" i="13" l="1"/>
  <c r="T13" i="1"/>
  <c r="T14" i="1"/>
  <c r="T15" i="1"/>
  <c r="W10" i="1" l="1"/>
  <c r="T10" i="1"/>
  <c r="L10" i="1" l="1"/>
  <c r="N17" i="1"/>
  <c r="F221" i="13" l="1"/>
  <c r="F211" i="13"/>
  <c r="F212" i="13"/>
  <c r="F213" i="13"/>
  <c r="F214" i="13"/>
  <c r="F215" i="13"/>
  <c r="F216" i="13"/>
  <c r="F218" i="13"/>
  <c r="F219" i="13"/>
  <c r="F220" i="13"/>
  <c r="F210" i="13"/>
  <c r="N12" i="1"/>
  <c r="N15" i="1"/>
  <c r="N11" i="1"/>
  <c r="N13" i="1"/>
  <c r="N14"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AA16" i="1" s="1"/>
  <c r="AC16" i="1" l="1"/>
  <c r="AA17" i="1" s="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7" i="1" l="1"/>
  <c r="AB17" i="1"/>
  <c r="AA10" i="1"/>
  <c r="AB10" i="1" s="1"/>
  <c r="AC10" i="1" l="1"/>
  <c r="AA11"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11" i="1" l="1"/>
  <c r="AA12" i="1" s="1"/>
  <c r="AB12" i="1" s="1"/>
  <c r="AB11"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2" i="1" l="1"/>
  <c r="AA13" i="1" s="1"/>
  <c r="AB13"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3" i="1" l="1"/>
  <c r="AA14" i="1" s="1"/>
  <c r="AB14"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C14" i="1" l="1"/>
  <c r="AA15" i="1" s="1"/>
  <c r="AB15" i="1" s="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C15" i="1" l="1"/>
  <c r="N18" i="1"/>
  <c r="O18" i="1" s="1"/>
  <c r="N24" i="1"/>
  <c r="O24" i="1" s="1"/>
  <c r="N30" i="1"/>
  <c r="O30" i="1" s="1"/>
  <c r="N36" i="1"/>
  <c r="O36" i="1" s="1"/>
  <c r="N42" i="1"/>
  <c r="O42" i="1" s="1"/>
  <c r="N48" i="1"/>
  <c r="O48" i="1" s="1"/>
  <c r="N54" i="1"/>
  <c r="O54" i="1" s="1"/>
  <c r="N60" i="1"/>
  <c r="O60"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L30" i="18"/>
  <c r="AJ14" i="18"/>
  <c r="L14" i="18"/>
  <c r="X38" i="18"/>
  <c r="L22" i="18"/>
  <c r="AD30" i="18"/>
  <c r="AJ22" i="18"/>
  <c r="X14" i="18"/>
  <c r="X6" i="18"/>
  <c r="R22" i="18"/>
  <c r="L6" i="18"/>
  <c r="X22" i="18"/>
  <c r="P60" i="1"/>
  <c r="Q60"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4" i="1"/>
  <c r="Q54"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48" i="1"/>
  <c r="P48"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2" i="1"/>
  <c r="Q42"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6" i="1"/>
  <c r="P36"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0" i="1"/>
  <c r="P30"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4" i="1"/>
  <c r="Q24"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8" i="1"/>
  <c r="Q18"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6" i="1" l="1"/>
  <c r="AF16" i="1" s="1"/>
  <c r="AE17" i="1"/>
  <c r="AD17" i="1" s="1"/>
  <c r="AF17" i="1" s="1"/>
  <c r="AD10" i="1"/>
  <c r="P36" i="19" s="1"/>
  <c r="J37" i="19" l="1"/>
  <c r="AB27" i="19"/>
  <c r="J7" i="19"/>
  <c r="J27" i="19"/>
  <c r="P37" i="19"/>
  <c r="P7" i="19"/>
  <c r="V47" i="19"/>
  <c r="AH17" i="19"/>
  <c r="AB17" i="19"/>
  <c r="AH47" i="19"/>
  <c r="AB37" i="19"/>
  <c r="V37" i="19"/>
  <c r="AH7" i="19"/>
  <c r="P17" i="19"/>
  <c r="AB47" i="19"/>
  <c r="J47" i="19"/>
  <c r="AB7" i="19"/>
  <c r="AH27" i="19"/>
  <c r="J17" i="19"/>
  <c r="P47" i="19"/>
  <c r="V27" i="19"/>
  <c r="V17" i="19"/>
  <c r="P27" i="19"/>
  <c r="AH37" i="19"/>
  <c r="V7" i="19"/>
  <c r="J46" i="19"/>
  <c r="P26" i="19"/>
  <c r="AB46" i="19"/>
  <c r="J36" i="19"/>
  <c r="V26" i="19"/>
  <c r="V46" i="19"/>
  <c r="AH46" i="19"/>
  <c r="AB6" i="19"/>
  <c r="J16" i="19"/>
  <c r="P6" i="19"/>
  <c r="P46" i="19"/>
  <c r="AF10" i="1"/>
  <c r="AB26" i="19"/>
  <c r="AH26" i="19"/>
  <c r="J26" i="19"/>
  <c r="V16" i="19"/>
  <c r="AB16" i="19"/>
  <c r="AH6" i="19"/>
  <c r="J6" i="19"/>
  <c r="P16" i="19"/>
  <c r="V36" i="19"/>
  <c r="AH16" i="19"/>
  <c r="AH3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<sst xmlns="http://schemas.openxmlformats.org/spreadsheetml/2006/main" count="585" uniqueCount="399">
  <si>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</si>
  <si>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</si>
  <si>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</si>
  <si>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</si>
  <si>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</si>
  <si>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</si>
  <si>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</si>
  <si>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</si>
  <si>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</si>
  <si>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</si>
  <si>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</si>
  <si>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</si>
  <si>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</si>
  <si>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</si>
  <si>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</si>
  <si>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</si>
  <si>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</si>
  <si>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</si>
  <si>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</si>
  <si>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</si>
  <si>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</si>
  <si>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</si>
  <si>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</si>
  <si>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</si>
  <si>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</si>
  <si>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</si>
  <si>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</si>
  <si>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</si>
  <si>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</si>
  <si>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</si>
  <si>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</si>
  <si>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</si>
  <si>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</si>
  <si>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</si>
  <si>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</si>
  <si>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</si>
  <si>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</si>
  <si>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</si>
  <si>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</si>
  <si>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</si>
  <si>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</si>
  <si>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</si>
  <si>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</si>
  <si>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</si>
  <si>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</si>
  <si>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</si>
  <si>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</si>
  <si>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</si>
  <si>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</si>
  <si>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</si>
  <si>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</si>
  <si>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</si>
  <si>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</si>
  <si>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</si>
  <si>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</si>
  <si>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</si>
  <si>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</si>
  <si>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</si>
  <si>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</si>
  <si>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</si>
  <si>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</si>
  <si>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</si>
  <si>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</si>
  <si>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</si>
  <si>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</si>
  <si>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</si>
  <si>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</si>
  <si>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</si>
  <si>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</si>
  <si>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</si>
  <si>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</si>
  <si>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</si>
  <si>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</si>
  <si>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</si>
  <si>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</si>
  <si>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</si>
  <si>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</si>
  <si>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</si>
  <si>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</si>
  <si>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</si>
  <si>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</si>
  <si>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</si>
  <si>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</si>
  <si>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</si>
  <si>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</si>
  <si>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</si>
  <si>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</si>
  <si>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</si>
  <si>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</si>
  <si>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</si>
  <si>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</si>
  <si>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</si>
  <si>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</si>
  <si>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</si>
  <si>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</si>
  <si>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</si>
  <si>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</si>
  <si>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</si>
  <si>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</si>
  <si>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</si>
  <si>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</si>
  <si>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</si>
  <si>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</si>
  <si>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</si>
  <si>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</si>
  <si>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</si>
  <si>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</si>
  <si>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</si>
  <si>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</si>
  <si>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</si>
  <si>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</si>
  <si>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</si>
  <si>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</si>
  <si>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</si>
  <si>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</si>
  <si>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</si>
  <si>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</si>
  <si>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</si>
  <si>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</si>
  <si>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</si>
  <si>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</si>
  <si>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</si>
  <si>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</si>
  <si>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</si>
  <si>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</si>
  <si>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</si>
  <si>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</si>
  <si>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</si>
  <si>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</si>
  <si>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</si>
  <si>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</si>
  <si>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</si>
  <si>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</si>
  <si>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</si>
  <si>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</si>
  <si>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</si>
  <si>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</si>
  <si>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</si>
  <si>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</si>
  <si>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</si>
  <si>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</si>
  <si>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</si>
  <si>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</si>
  <si>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</si>
  <si>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</si>
  <si>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</si>
  <si>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</si>
  <si>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</si>
  <si>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</si>
  <si>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</si>
  <si>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</si>
  <si>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</si>
  <si>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</si>
  <si>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</si>
  <si>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</si>
  <si>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</si>
  <si>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</si>
  <si>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</si>
  <si>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</si>
  <si>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</si>
  <si>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</si>
  <si>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</si>
  <si>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</si>
  <si>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</si>
  <si>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</si>
  <si>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</si>
  <si>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</si>
  <si>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</si>
  <si>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</si>
  <si>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</si>
  <si>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</si>
  <si>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</si>
  <si>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</si>
  <si>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</si>
  <si>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</si>
  <si>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</si>
  <si>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</si>
  <si>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</si>
  <si>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</si>
  <si>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</si>
  <si>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</si>
  <si>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</si>
  <si>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</si>
  <si>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</si>
  <si>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</si>
  <si>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</si>
  <si>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</si>
  <si>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</si>
  <si>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</si>
  <si>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</si>
  <si>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</si>
  <si>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</si>
  <si>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</si>
  <si>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</si>
  <si>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</si>
  <si>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</si>
  <si>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</si>
  <si>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</si>
  <si>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</si>
  <si>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</si>
  <si>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</si>
  <si>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</si>
  <si>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</si>
  <si>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</si>
  <si>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</si>
  <si>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</si>
  <si>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</si>
  <si>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</si>
  <si>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</si>
  <si>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</si>
  <si>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</si>
  <si>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</si>
  <si>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</si>
  <si>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</si>
  <si>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REGULAR, ORGANIZAR Y CONTROLAR EL EJERCICIO DEL TRÁNSITO Y EL TRANSPORTE MEJORANDO LAS CONDICIONES DE LA MOVILIDAD, APLICANDO EL CÓDIGO NACIONAL DE TRANSITO Y ADMINISTRANDO EL REGISTRO AUTOMOTOR Y DEL CONDUCTOR, PRESTANDO UN SERVICIO EFICIENTE, OPORTUNO Y DE CALIDAD A LA CIUDADANÍA TANTO EN LA GESTIÓN DE LOS TRÁMITES COMO A LOS USUARIOS DE LAS VÍAS EN EL MUNICIPIO DE IBAGUÉ.</t>
  </si>
  <si>
    <t>INICIA CON LA PLANEACIÓN DEL PROCESO, CONTINUA CON EL SEGUIMIENTO A LA EJECUCIÓN DEL PLAN MAESTRO DE  MOVILIDAD Y ESPACIO PÚBLICO Y PLAN LOCAL DE SEGURIDAD VIAL, LA GESTIÓN DE LA IMPLEMENTACIÓN DEL SISTEMAINTEGRADO DE TRANSPORTE PÚBLICO, LAS ACTIVIDADES DE LIQUIDACIÓN, RADICACIÓN, APROBACIÓN Y EXPEDICIÓN DE LOS DOCUMENTOS RELACIONADOS CON LOS TRÁMITES PREVISTOS EN MATERIA DE TRÁNSITO Y TRANSPORTE Y FINALIZA CON EL SEGUIMIENTO Y EVALUACIÓN DEL PROCESO.</t>
  </si>
  <si>
    <t>GESTIÓN DEL TRANSITO Y LA MOVILIDAD</t>
  </si>
  <si>
    <t>Falta de seguimiento a la información que se proporciona en la plataforma web PISAMI</t>
  </si>
  <si>
    <t xml:space="preserve">Respuesta  fuera  de los términos de tiempo   establecidos por la ley </t>
  </si>
  <si>
    <t>La entrega no oportuna y reparto a las respectivas áreas de las solicitudes radicadas</t>
  </si>
  <si>
    <t>Insuficiencia presupuestal para dar cumplimiento a los planes, programas y proyectos establecidos</t>
  </si>
  <si>
    <t xml:space="preserve">Falta de viabilización y actualización de los proyectos ante la Secretaria de Planeación </t>
  </si>
  <si>
    <t xml:space="preserve">Sanciones e investigaciones de los entes de control </t>
  </si>
  <si>
    <t>Secretario y Directores</t>
  </si>
  <si>
    <t>Falta de planeación,   seguimiento y control a la ejecución de los planes, programas y proyectos</t>
  </si>
  <si>
    <t>Reduccción de presupuesto y deterioro de la imagen hacía la ciudadanía</t>
  </si>
  <si>
    <t>Elaboración y seguimiento del plan de desarrollo y los instrumentos de seguimiento</t>
  </si>
  <si>
    <t>Recepción de solicitudes, trámites y PQRS</t>
  </si>
  <si>
    <t>Posibilidad de perdida económica y reputacional debido a sanciones e investigaciones de los entes de control por respuesta fuera de los términos de tiempo establecidos por la Ley</t>
  </si>
  <si>
    <t>Los directores realizan reunión bimestral con los responsables de cada proceso o encargados de área , para la verificación de solicitudes pendientes, dejando como evidencia el acta y la asistencia</t>
  </si>
  <si>
    <t>Posibilidad de perdida económica y reputacional, debido a la reducción del presupuesto y deterioro de la imagen hacía a la ciudadanía por falta de planeación, seguimiento y control de los planes, programas y proyectos</t>
  </si>
  <si>
    <t>Los directores validan el reporte remitido por la Dirección, atención al ciudadano y los PQRS que están fuera de término, los cuales son remitidos via memorando a los responsables para su revisión y finalización, dejando como evidencia el memorando y la terminación del PQRS</t>
  </si>
  <si>
    <t xml:space="preserve">Secretario y Directores </t>
  </si>
  <si>
    <t>Los directores realizan monitoreo, seguimiento y control  trimestral en la ejecución de los planes, programas y proyectos, dejando como evidencias informes de ejecución</t>
  </si>
  <si>
    <t xml:space="preserve">El responsable delegado por la dirección , realiza anualmente  la verificación ante Planeación Municipal  de la viabilidad y actualización del proyecto , dejando como evidencia el certificado de viabilidad del proyecto </t>
  </si>
  <si>
    <t xml:space="preserve">Generar una matriz de PQRS  y direccionar por cada direcciòn a los contratistas encargados. Realizar controles por medio de comitès periodicos </t>
  </si>
  <si>
    <t>COMUNICACIÓN ENTRE LOS PROCESOS</t>
  </si>
  <si>
    <t>COMMUNICACIÓN INTERNA</t>
  </si>
  <si>
    <t>FACTORES GEOGRÁFICOS (ubicación, espacio,topografía, clima, recursos naturales, etc.)</t>
  </si>
  <si>
    <t>Sobrecostos en los contratos de bienes o servicios independiente de posibles distorsiones del mercado</t>
  </si>
  <si>
    <t>INTERACCIÓN CON LOS PROCESOS</t>
  </si>
  <si>
    <t>ESTRATÉGICOS</t>
  </si>
  <si>
    <t>TECNOLOGÍA (integridad de datos, disponibilidad de datos y sistemas, desarrollo, producción, mantenimiento de sistemas de información)</t>
  </si>
  <si>
    <t>Falta de claridad en la justificación previa de la necesidad para adquisición del bien o servicio contratado.</t>
  </si>
  <si>
    <t>PROCESOS OPERATIVOS</t>
  </si>
  <si>
    <t>Contratar bienes y servicios no relacionados con la emergencia y justificándose en ella.</t>
  </si>
  <si>
    <t>PERSONAL DE LA ENTIDAD (Capacidad del personal, políticas de manejo del talento humano, idoneidad)</t>
  </si>
  <si>
    <t>AMBIENTALES</t>
  </si>
  <si>
    <t>TECNOLÓGICOS</t>
  </si>
  <si>
    <t>Constante innovación tecnológica.</t>
  </si>
  <si>
    <t>SOCIALES Y CULTURALES</t>
  </si>
  <si>
    <t xml:space="preserve">Constantes cambios normativos </t>
  </si>
  <si>
    <t>LEGALES Y REGLAMENTARIOS</t>
  </si>
  <si>
    <t>FINANCIEROS</t>
  </si>
  <si>
    <t xml:space="preserve">Cambios de Gobierno </t>
  </si>
  <si>
    <t>POLÍTICOS</t>
  </si>
  <si>
    <t>CAUSAS</t>
  </si>
  <si>
    <t>FACTORES DEL PROCESO</t>
  </si>
  <si>
    <t>FACTORES INTERNOS</t>
  </si>
  <si>
    <t>FACTORES EXTERNOS</t>
  </si>
  <si>
    <t xml:space="preserve">CONTEXTO ESTRATEGICO </t>
  </si>
  <si>
    <t>Fecha: 21/02/2024</t>
  </si>
  <si>
    <t>FORMATO: CONTEXTO ESTRATEGICO</t>
  </si>
  <si>
    <t>Versión: 01</t>
  </si>
  <si>
    <t xml:space="preserve">Falta de  canales y/o medios de Comunicación para una efectiva trazabilidad del tramite.  </t>
  </si>
  <si>
    <t>deficiencia en la planeación de compra de insumos (sustratos, cintas de impresión, cintas de laminación, cinta holografica Ministerio), herramientas tecnologicas (llaves digitales, lector biometrico, scaner y otros),  rezago en equipos de computo, falta de impresoras y demás elementos.</t>
  </si>
  <si>
    <t>Debilidades en los procesos de inducción y reinducción de los servidores públicos en cuanto a los trámites y procedimientos contenidos en los manuales.</t>
  </si>
  <si>
    <t>No existe modulo de información que oriente al cliente en los tramites</t>
  </si>
  <si>
    <t>Los estudios en el tema de movilidad son insuficientes para dar solución a la falta de vías que permitan el desplazamiento de vehículos en la ciudad.</t>
  </si>
  <si>
    <t>Ausencia de controles en el inventario de carpetas donde resposan los historiales vehículares.</t>
  </si>
  <si>
    <t>Inoportunidad en la respuesta a los derechos de petición.</t>
  </si>
  <si>
    <t>No existen incentivos para matricula de vehículos nuevos o trasladados</t>
  </si>
  <si>
    <t>Ausencia de liderazgo y trabajo en equipo.</t>
  </si>
  <si>
    <t>Afectaciòn del orden pùblico en las instalaciones de la Secretarìa</t>
  </si>
  <si>
    <t>Inestabilidad de la plataforma PISAMI.</t>
  </si>
  <si>
    <t>Declaratoria de emergencia por pandemias o desastres naturales</t>
  </si>
  <si>
    <t>Insuficiencia de equipos para atención a clientes y tecnología atrasada</t>
  </si>
  <si>
    <t xml:space="preserve">Dificultad en la comunicaciòn con los usuarios externos. </t>
  </si>
  <si>
    <t>OTROS</t>
  </si>
  <si>
    <t>Desarticulación en la atención al cliente debido a que cada funcionario solo conoce el funcionamiento del módulo de la plataforma que maneja</t>
  </si>
  <si>
    <t>Fallas en la plataforma (PISAMI) o en los prestadores de servicios tecnologicos (Moviliza, Internet, SIMIT, Runt).</t>
  </si>
  <si>
    <t>El personal competente para el desarrollo de las actividades es insuficiente.</t>
  </si>
  <si>
    <t>Cambio de políticas en torno a los avances obtenidos en la implementación del SETP (Sistema Estrategico de Transporte Público).</t>
  </si>
  <si>
    <t>Dificultad de acceso a las instalaciones por la ubicaciòn geografica de la Secretarìa</t>
  </si>
  <si>
    <t>Anarquía y falta de civismo y sentido de pertenencia de los habitantes para respetar las señales y disposiciones de transito</t>
  </si>
  <si>
    <t>Ausencia de aplicaciòn de politícas de seguridad informática.</t>
  </si>
  <si>
    <t>ACTIVOS DE SEGURIDAD DIGITAL DEL PROCESO</t>
  </si>
  <si>
    <t>Las instalaciones no son adecuadas para el área de archivo (custodia de carpetas historiales vehículares) y en algunos lugares de atención al público (asinamiento).</t>
  </si>
  <si>
    <t>Acciones populares con relación a la señalización vial y semaforización</t>
  </si>
  <si>
    <t>Inportuna comunicaciòn entre los diferentes procesos de la entidad</t>
  </si>
  <si>
    <t>Presupuesto insuficiente para dar cumplimiento al plan de acción institucional.</t>
  </si>
  <si>
    <t>Fuga de clientes hacia otras secretarias de transito donde no se aplica el SIMIT</t>
  </si>
  <si>
    <t>ECONÓMICOS Y FINANCIEROS</t>
  </si>
  <si>
    <t>Dificultad en la  articulación en cuanto a decisiones que involucran más de un proceso.</t>
  </si>
  <si>
    <t>Falta de mecanismos de control sobre los tramitadores que orientan al cliente y saturan las oficinas</t>
  </si>
  <si>
    <t>Cambios permanentes en la normatividad (Ministerio de Transporte - RUNT Registro Único Nacional de Tránsito), modificaciones Código Generral del Proceso.</t>
  </si>
  <si>
    <t xml:space="preserve">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</si>
  <si>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PROCESO: GESTIÓN DEL TRÁNSITO Y LA MOVILIDAD</t>
  </si>
  <si>
    <t xml:space="preserve">PROCESO: </t>
  </si>
  <si>
    <t>PROMEDIO</t>
  </si>
  <si>
    <t>SUMA TOTAL</t>
  </si>
  <si>
    <t>¿SE PRIORIZA LA CAUSA PARA EL ANÁLISIS DOFA?</t>
  </si>
  <si>
    <t>TOTAL</t>
  </si>
  <si>
    <t>P15</t>
  </si>
  <si>
    <t>P14</t>
  </si>
  <si>
    <t>P13</t>
  </si>
  <si>
    <t>P12</t>
  </si>
  <si>
    <t>P11</t>
  </si>
  <si>
    <t>P10</t>
  </si>
  <si>
    <t>P9</t>
  </si>
  <si>
    <t>P8</t>
  </si>
  <si>
    <t>P7</t>
  </si>
  <si>
    <t>P6</t>
  </si>
  <si>
    <t>P5</t>
  </si>
  <si>
    <t>P4</t>
  </si>
  <si>
    <t>P3</t>
  </si>
  <si>
    <t>P2</t>
  </si>
  <si>
    <t>P1</t>
  </si>
  <si>
    <t xml:space="preserve">CAUSAS </t>
  </si>
  <si>
    <t>No.</t>
  </si>
  <si>
    <t>FORMATO: PRIORIZACION DE CAUSAS (Amenazas y Debilidades)</t>
  </si>
  <si>
    <t>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</si>
  <si>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A1 D2 Reporte para Inicio de procesos Disciplinarios, penales, Fiscales, administrativo según corresponda</t>
  </si>
  <si>
    <t>Pandemias: Falta de preparación y experiencia en la forma de afrontar las pandemias.</t>
  </si>
  <si>
    <t>A3 D11Envío de comunicación a los ordenadores del gasto que hayan tenido dificultad en el desarrollo del proceso para que elaboren y radiquen el acto administrativo por el cual se da de baja el proceso en la plataforma SECOP</t>
  </si>
  <si>
    <t xml:space="preserve">Fallas en aplicativos para cargue o reporte de información a plataformas (SECOP) y/o entes de control. </t>
  </si>
  <si>
    <t>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</si>
  <si>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A3D7D11 citar a reuniones extraordinaria con los lideres de los procesos y sus equipos de trabajo, para verificar las dificultades en el manejo del secop y demás actividades relacionadas con el proceso .</t>
  </si>
  <si>
    <t>A2F3 Institucionalizar los comités jurídicos y fomentar la participación en este proceso por parte de todas las secretarias ejecutoras.</t>
  </si>
  <si>
    <t>A2D10D11, Realizar reuniones de comité jurídico de manera periódica, para realizar las vigencias de las normas y analizar los cambios que se van presentando en esta materia. posteriormente fortalecer y actualizar todo el cambio normativo socializando con las secretarias de la administración.</t>
  </si>
  <si>
    <t>A1F1 Realizar seguimientos periódicos para mantener los estándares de calidad certificados en los diferentes procesos que adelanta la administración Municipal.</t>
  </si>
  <si>
    <t>A1D2D4, Evaluar la continuidad del personal de contrato, para garantizar la no interrupción en los procesos en que ha avanzado la oficina.</t>
  </si>
  <si>
    <r>
      <t xml:space="preserve">ESTRATEGIA FA (SUPERVIVENCIA)
</t>
    </r>
    <r>
      <rPr>
        <b/>
        <sz val="11"/>
        <color theme="1"/>
        <rFont val="Arial"/>
        <family val="2"/>
      </rPr>
      <t>Utilizar fortalezas para contrarrestar amenazas</t>
    </r>
    <r>
      <rPr>
        <b/>
        <sz val="14"/>
        <color theme="1"/>
        <rFont val="Arial"/>
        <family val="2"/>
      </rPr>
      <t xml:space="preserve">
</t>
    </r>
  </si>
  <si>
    <r>
      <t xml:space="preserve">ESTRATEGIA DA (CONTINGENCIA)
</t>
    </r>
    <r>
      <rPr>
        <b/>
        <sz val="11"/>
        <color theme="1"/>
        <rFont val="Arial"/>
        <family val="2"/>
      </rPr>
      <t>Cuando el riesgo se materialice a partir de la combinación de debilidades
con amenazas, para formular acciones de contingencia.</t>
    </r>
  </si>
  <si>
    <t>AMENAZAS (A)</t>
  </si>
  <si>
    <t>NEGATIVOS</t>
  </si>
  <si>
    <t>010 D 02 Denunciar actos de corrupción frente a la instancia que corresponda</t>
  </si>
  <si>
    <t xml:space="preserve">D11 O11 Desconocimiento de las obligaciones contractuales del supervisor </t>
  </si>
  <si>
    <t>011 D03 Estudios previos de procesos de selección aprobados y firmados por el ordenador del gasto y supervisor,  con  el visto bueno del equipo estructurador de la secretaria ejecutora (informe cuatrimestral)</t>
  </si>
  <si>
    <t>O9 D17 Remitir por correo electrónico a los Entes de Control los documentos requeridos para facilitar el control fiscal</t>
  </si>
  <si>
    <t>07 O1 D16 Uso de las plataformas, herramientas y demás instrumentos de la Agencia Nacional de Contratación por parte de las Secretarias Ejecutoras, de tal manera que se garanticen precios del mercado justos y razonables</t>
  </si>
  <si>
    <t>12) Cumplimiento de circular No. 00035 del 14/09/2021. Directriz de seguimiento a riesgos contractuales en la etapa de ejecución por parte de los ordenadores del gasto y supervisores de contratos Y/O convenios</t>
  </si>
  <si>
    <t xml:space="preserve">O1 D15 Verificar que los proponentes sean empresas formalmente constituidas, y que estén registrados en la Cámara de Comercio </t>
  </si>
  <si>
    <t>11) Cumplimiento de la normatividade vigente y las direrectrices establecidas en el manual de contratación</t>
  </si>
  <si>
    <t>O7 D13 Verificar el objeto contractual tenga estrecha relacion entre  la urgencia manifiesta , con lo proferido en la resolución de declaración de la misma</t>
  </si>
  <si>
    <t>10)Capacitación para fortalecer el trabajo en equipo y los valores institucionales</t>
  </si>
  <si>
    <t>08 D3 Socialización del código  de Integridad y Buen Gobierno</t>
  </si>
  <si>
    <t>9) Recurso tecnológico necesario para remitir información en línea. (Internet, Correo Electrónico Institucional, Scanner, Computadores)</t>
  </si>
  <si>
    <t xml:space="preserve">O7D14 Convocar a mesa de trabajo por medios virtuales a las secretarías ejecutoras, a la oficina de jurídica y  oficina de contratación, para  hacer enfasis que en los procesos debe haber claridad de la necesidad y en la identificación del beneficiario. </t>
  </si>
  <si>
    <t>8) Normatividad y Directrices para la implementación  de MIPG</t>
  </si>
  <si>
    <t>O3D12 Realizar capacitaciones de los temas contractuales en los términos de emergencia y socializar con comunicaciones internas las actualizaciones normativas</t>
  </si>
  <si>
    <t>7) compromiso de las secretarias ejecutoras al momento de adquirir lo necesario para la emergencia.</t>
  </si>
  <si>
    <t xml:space="preserve">O3D12 Realizar capacitaciones para la unificación de criterios en los procesos contractuales, con el personal adscrito a la oficina de contratación. </t>
  </si>
  <si>
    <t xml:space="preserve">6) Que todos los lideres del proceso se comprometan en un 100%, para que continúe y se cumpla el proceso de certificación </t>
  </si>
  <si>
    <t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t>
  </si>
  <si>
    <t>5) Contar con recursos propios de la oficina de contratación.</t>
  </si>
  <si>
    <t xml:space="preserve">D2O10 Realizar una capacitación semestral con el equipo de trabajo de la oficina de contratación con el fin de  fortalecer el trabajo en equipo, y los valores institucionales </t>
  </si>
  <si>
    <t>4) Adquisición de un sistema de información, donde permita trabajar en conjunto y tiempo real los procesos a sacar.</t>
  </si>
  <si>
    <t>F6O2 Trabajar conjuntamente con Colombia Compra y  la secretaria de las TICS, para el manejo adecuado de las plataformas.</t>
  </si>
  <si>
    <t>O6D11D7 Fortalecer las actividades relacionadas con el SIGAMI en el proceso gestión contractual mediante reuniones periódicas para evaluar el la implementación de los sistemas en el proceso y así aportar a la mejora continua de la administración.</t>
  </si>
  <si>
    <t>3) Capacitaciones con entidades publicas expertas en el área de contratación</t>
  </si>
  <si>
    <t>F3O3 Capacitar al talento humano adscrito a la oficina de contratación, con el fin de conocer la documentación propia del proceso  para fortalecimiento del mismo.</t>
  </si>
  <si>
    <t>O5D1 Poder realizar una contratación acorde a la  necesidad de la oficina, según la planeación realizada para fortalecer la parte administrativa.</t>
  </si>
  <si>
    <r>
      <rPr>
        <b/>
        <sz val="11"/>
        <rFont val="Arial"/>
        <family val="2"/>
      </rPr>
      <t xml:space="preserve">2) </t>
    </r>
    <r>
      <rPr>
        <sz val="11"/>
        <rFont val="Arial"/>
        <family val="2"/>
      </rPr>
      <t>Acceso a la herramienta tecnológica SECOP (Colombia compra eficiente) que facilita los procesos de contratación estatal.</t>
    </r>
  </si>
  <si>
    <t>F1O6   Fortalecer todo lo referente al SIGAMI, con el fin de tener continuidad en el proceso.</t>
  </si>
  <si>
    <t xml:space="preserve">O3D3 Realizar una capacitación semestral  para la unificación de criterios en los procesos contractuales, con el personal adscrito a la oficina de contratación. </t>
  </si>
  <si>
    <r>
      <rPr>
        <b/>
        <sz val="11"/>
        <rFont val="Arial"/>
        <family val="2"/>
      </rPr>
      <t>1)</t>
    </r>
    <r>
      <rPr>
        <sz val="11"/>
        <rFont val="Arial"/>
        <family val="2"/>
      </rPr>
      <t xml:space="preserve"> Acceso a la información publicada en paginas web de entidades del orden nacional </t>
    </r>
  </si>
  <si>
    <r>
      <t xml:space="preserve">ESTRATEGIA FO (CRECIMIENTO)
</t>
    </r>
    <r>
      <rPr>
        <b/>
        <sz val="11"/>
        <color theme="1"/>
        <rFont val="Arial"/>
        <family val="2"/>
      </rPr>
      <t>Utilizar fortalezas para optimizar oportunidades.</t>
    </r>
  </si>
  <si>
    <r>
      <t xml:space="preserve">ESTRATEGIA DO (SUPERVIVENCIA)
</t>
    </r>
    <r>
      <rPr>
        <b/>
        <sz val="11"/>
        <color theme="1"/>
        <rFont val="Arial"/>
        <family val="2"/>
      </rPr>
      <t>consiste en contrarrestar Debilidades por medio de Oportunidades.</t>
    </r>
  </si>
  <si>
    <t>OPORTUNIDADES (O)</t>
  </si>
  <si>
    <t>POSITIVOS</t>
  </si>
  <si>
    <t>Incumplimiento de las obligaciones por parte del contratista</t>
  </si>
  <si>
    <t xml:space="preserve">Omisión en el envío de actos administrativos de declaratoria de urgencia manifiesta y reporte de los contratos celebrados, para el control jurisdiccional y  la contraloría municipal </t>
  </si>
  <si>
    <t xml:space="preserve">Adjudicación de contratos a proveedores que presentan falta de idoneidad, por ausencia de la capacidad financiera, o la experiencia necesaria; para la ejecución del objeto contractual de forma eficiente y adecuada
</t>
  </si>
  <si>
    <t/>
  </si>
  <si>
    <t>9) Utilización de las guías e instructivos establecidos por Colombia Compra Eficiente.</t>
  </si>
  <si>
    <t xml:space="preserve">8) La política de administración del riesgo esta alineada con el manual para la identificación y cobertura del riesgo en los procesos de contratación. </t>
  </si>
  <si>
    <r>
      <rPr>
        <b/>
        <sz val="11"/>
        <rFont val="Arial"/>
        <family val="2"/>
      </rPr>
      <t xml:space="preserve">7) </t>
    </r>
    <r>
      <rPr>
        <sz val="11"/>
        <rFont val="Arial"/>
        <family val="2"/>
      </rPr>
      <t>Reorganización administrativa de la Alcaldía, que brindo talento humano de planta para el apoyo de las actividades del proceso.</t>
    </r>
  </si>
  <si>
    <r>
      <rPr>
        <b/>
        <sz val="11"/>
        <rFont val="Arial"/>
        <family val="2"/>
      </rPr>
      <t>6)</t>
    </r>
    <r>
      <rPr>
        <sz val="11"/>
        <rFont val="Arial"/>
        <family val="2"/>
      </rPr>
      <t xml:space="preserve"> Apoyo técnico por parte de la secretaría de las TICS para garantizar la cobertura de internet y el buen funcionamiento tecnológico de la oficina (Publicaciones de procesos contractuales en diferentes plataformas).</t>
    </r>
  </si>
  <si>
    <r>
      <rPr>
        <b/>
        <sz val="11"/>
        <rFont val="Arial"/>
        <family val="2"/>
      </rPr>
      <t>5)</t>
    </r>
    <r>
      <rPr>
        <sz val="11"/>
        <rFont val="Arial"/>
        <family val="2"/>
      </rPr>
      <t xml:space="preserve"> El proceso  tiene su manual, caracterización, instructivos, procedimientos y formatos documentados.</t>
    </r>
  </si>
  <si>
    <r>
      <rPr>
        <b/>
        <sz val="11"/>
        <rFont val="Arial"/>
        <family val="2"/>
      </rPr>
      <t xml:space="preserve">4) </t>
    </r>
    <r>
      <rPr>
        <sz val="11"/>
        <rFont val="Arial"/>
        <family val="2"/>
      </rPr>
      <t>Empoderamiento por parte del líder del proceso.</t>
    </r>
  </si>
  <si>
    <r>
      <rPr>
        <b/>
        <sz val="11"/>
        <rFont val="Arial"/>
        <family val="2"/>
      </rPr>
      <t xml:space="preserve">3) </t>
    </r>
    <r>
      <rPr>
        <sz val="11"/>
        <rFont val="Arial"/>
        <family val="2"/>
      </rPr>
      <t xml:space="preserve">Capacitación permanente en temas atinentes al proceso. </t>
    </r>
  </si>
  <si>
    <r>
      <rPr>
        <b/>
        <sz val="11"/>
        <rFont val="Arial"/>
        <family val="2"/>
      </rPr>
      <t>2) S</t>
    </r>
    <r>
      <rPr>
        <sz val="11"/>
        <rFont val="Arial"/>
        <family val="2"/>
      </rPr>
      <t xml:space="preserve">istemas de información desarrollados e implementados en la entidad que facilitan la unificación de la información (SOFTCON-PISAMI). </t>
    </r>
  </si>
  <si>
    <t>1) El otorgamiento de certificaciones a la alcaldía de Ibagué bajo las normas ISO 9001, OHSAS 18000, ISO 14001.</t>
  </si>
  <si>
    <t>FORTALEZAS (F)</t>
  </si>
  <si>
    <t>DEBILIDADES (D)</t>
  </si>
  <si>
    <t xml:space="preserve">
MATRIZ DOFA
IDENTIFICACION DE FACTORES 
Y
DEFINICION DE ESTRATEGIAS
</t>
  </si>
  <si>
    <t>FORMATO: MATRIZ DOFA</t>
  </si>
  <si>
    <t>Codigo: FOR-029-PRO-SIG-01</t>
  </si>
  <si>
    <t>Codigo:  FOR-029-PRO-SIG-01</t>
  </si>
  <si>
    <t>Pagina: 1 DE 1</t>
  </si>
  <si>
    <t>Pagina: 1 DE 2</t>
  </si>
  <si>
    <t>Fecha:  21/02/2024</t>
  </si>
  <si>
    <t>Pagina:  1 DE 3</t>
  </si>
  <si>
    <t>Enero de 2025</t>
  </si>
  <si>
    <t>Actualización de proyectos. Durante este año se estàn ejecutando 6 proyectos, 4 de la direcciòn operativa y 2 de la direcciòn de tramites. Mensualmente se reporta el avance en la plataforma PIIP.</t>
  </si>
  <si>
    <t>Realizar comités técnicos periodicos, donde se evalua el cumplimiento de las metas que tiene la dependencia con sus respectivos compromisos de cumplimiento</t>
  </si>
  <si>
    <t>Tipo de Riesgo</t>
  </si>
  <si>
    <t>Gestiòn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</si>
</sst>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sz val="11"/>
      <color theme="1"/>
      <name val="Arial"/>
      <family val="2"/>
    </font>
    <font>
      <sz val="10"/>
      <color theme="1"/>
      <name val="Arial"/>
      <family val="2"/>
    </font>
    <font>
      <sz val="11"/>
      <name val="Arial"/>
      <family val="2"/>
    </font>
    <font>
      <b/>
      <sz val="12"/>
      <color theme="1"/>
      <name val="Arial"/>
      <family val="2"/>
    </font>
    <font>
      <sz val="11"/>
      <color indexed="8"/>
      <name val="Arial"/>
      <family val="2"/>
    </font>
    <font>
      <b/>
      <sz val="12"/>
      <color indexed="8"/>
      <name val="Arial"/>
      <family val="2"/>
    </font>
    <font>
      <b/>
      <sz val="11"/>
      <color indexed="17"/>
      <name val="Arial"/>
      <family val="2"/>
    </font>
    <font>
      <b/>
      <sz val="11"/>
      <color indexed="8"/>
      <name val="Arial"/>
      <family val="2"/>
    </font>
    <font>
      <b/>
      <sz val="11"/>
      <color theme="1"/>
      <name val="Arial"/>
      <family val="2"/>
    </font>
    <font>
      <b/>
      <sz val="9"/>
      <color theme="1"/>
      <name val="Calibri"/>
      <family val="2"/>
      <scheme val="minor"/>
    </font>
    <font>
      <b/>
      <sz val="9"/>
      <color theme="1"/>
      <name val="Arial"/>
      <family val="2"/>
    </font>
    <font>
      <b/>
      <sz val="10"/>
      <color theme="1"/>
      <name val="Arial"/>
      <family val="2"/>
    </font>
    <font>
      <b/>
      <sz val="14"/>
      <color theme="1"/>
      <name val="Arial"/>
      <family val="2"/>
    </font>
    <font>
      <b/>
      <sz val="11"/>
      <name val="Arial"/>
      <family val="2"/>
    </font>
    <font>
      <sz val="11"/>
      <name val="Calibri"/>
      <family val="2"/>
    </font>
    <font>
      <b/>
      <sz val="20"/>
      <color theme="1"/>
      <name val="Arial"/>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A365"/>
        <bgColor indexed="64"/>
      </patternFill>
    </fill>
    <fill>
      <patternFill patternType="solid">
        <fgColor theme="0"/>
        <bgColor theme="0"/>
      </patternFill>
    </fill>
    <fill>
      <patternFill patternType="solid">
        <fgColor rgb="FF00B0F0"/>
        <bgColor indexed="64"/>
      </patternFill>
    </fill>
    <fill>
      <patternFill patternType="solid">
        <fgColor theme="6" tint="0.59999389629810485"/>
        <bgColor indexed="64"/>
      </patternFill>
    </fill>
  </fills>
  <borders count="12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4659260841701"/>
      </left>
      <right style="thin">
        <color theme="9" tint="-0.249977111117893"/>
      </right>
      <top style="dashed">
        <color theme="9" tint="-0.24994659260841701"/>
      </top>
      <bottom/>
      <diagonal/>
    </border>
    <border>
      <left style="dashed">
        <color theme="9" tint="-0.24994659260841701"/>
      </left>
      <right style="thin">
        <color theme="9" tint="-0.249977111117893"/>
      </right>
      <top/>
      <bottom style="dashed">
        <color theme="9" tint="-0.24994659260841701"/>
      </bottom>
      <diagonal/>
    </border>
    <border>
      <left style="thin">
        <color theme="9" tint="-0.249977111117893"/>
      </left>
      <right style="dashed">
        <color theme="9" tint="-0.24994659260841701"/>
      </right>
      <top style="dashed">
        <color theme="9" tint="-0.24994659260841701"/>
      </top>
      <bottom style="dashed">
        <color theme="9" tint="-0.2499465926084170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theme="0"/>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style="thin">
        <color rgb="FF000000"/>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3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horizontal="center" vertical="center" wrapText="1"/>
    </xf>
    <xf numFmtId="0" fontId="40" fillId="0" borderId="2" xfId="0" applyFont="1" applyBorder="1" applyAlignment="1" applyProtection="1">
      <alignment horizontal="justify" vertical="top" wrapText="1"/>
      <protection locked="0"/>
    </xf>
    <xf numFmtId="14" fontId="1" fillId="0" borderId="6" xfId="0" applyNumberFormat="1" applyFont="1" applyBorder="1" applyAlignment="1" applyProtection="1">
      <alignment horizontal="center" vertical="top"/>
      <protection locked="0"/>
    </xf>
    <xf numFmtId="0" fontId="1" fillId="0" borderId="81" xfId="0" applyFont="1" applyBorder="1" applyAlignment="1" applyProtection="1">
      <alignment horizontal="center" vertical="top"/>
      <protection locked="0"/>
    </xf>
    <xf numFmtId="0" fontId="27" fillId="0" borderId="81" xfId="0" applyFont="1" applyBorder="1" applyAlignment="1" applyProtection="1">
      <alignment horizontal="center" vertical="top"/>
      <protection locked="0"/>
    </xf>
    <xf numFmtId="0" fontId="59" fillId="0" borderId="0" xfId="0" applyFont="1"/>
    <xf numFmtId="0" fontId="60" fillId="0" borderId="0" xfId="0" applyFont="1" applyAlignment="1">
      <alignment horizontal="left" vertical="center"/>
    </xf>
    <xf numFmtId="0" fontId="59" fillId="0" borderId="0" xfId="0" applyFont="1" applyAlignment="1">
      <alignment vertical="center" wrapText="1"/>
    </xf>
    <xf numFmtId="0" fontId="38" fillId="0" borderId="0" xfId="0" applyFont="1" applyAlignment="1">
      <alignment horizontal="left" vertical="center"/>
    </xf>
    <xf numFmtId="0" fontId="38" fillId="0" borderId="0" xfId="0" applyFont="1" applyAlignment="1">
      <alignment horizontal="left" vertical="center" wrapText="1"/>
    </xf>
    <xf numFmtId="0" fontId="60" fillId="0" borderId="0" xfId="0" applyFont="1" applyAlignment="1">
      <alignment horizontal="left" vertical="center" wrapText="1"/>
    </xf>
    <xf numFmtId="0" fontId="59" fillId="0" borderId="0" xfId="0" applyFont="1" applyAlignment="1">
      <alignment horizontal="left" vertical="center"/>
    </xf>
    <xf numFmtId="0" fontId="59" fillId="0" borderId="0" xfId="0" applyFont="1" applyAlignment="1">
      <alignment horizontal="left" vertical="center" wrapText="1"/>
    </xf>
    <xf numFmtId="0" fontId="59" fillId="0" borderId="41" xfId="0" applyFont="1" applyBorder="1" applyAlignment="1">
      <alignment horizontal="left" vertical="center" wrapText="1"/>
    </xf>
    <xf numFmtId="0" fontId="59" fillId="16" borderId="40" xfId="0" applyFont="1" applyFill="1" applyBorder="1" applyAlignment="1">
      <alignment vertical="center" wrapText="1"/>
    </xf>
    <xf numFmtId="0" fontId="59" fillId="0" borderId="40" xfId="0" applyFont="1" applyBorder="1" applyAlignment="1">
      <alignment horizontal="left" vertical="center" wrapText="1"/>
    </xf>
    <xf numFmtId="0" fontId="59" fillId="16" borderId="39" xfId="0" applyFont="1" applyFill="1" applyBorder="1" applyAlignment="1">
      <alignment vertical="center" wrapText="1"/>
    </xf>
    <xf numFmtId="0" fontId="59" fillId="0" borderId="38" xfId="0" applyFont="1" applyBorder="1" applyAlignment="1">
      <alignment horizontal="left" vertical="center" wrapText="1"/>
    </xf>
    <xf numFmtId="0" fontId="59" fillId="16" borderId="33" xfId="0" applyFont="1" applyFill="1" applyBorder="1" applyAlignment="1">
      <alignment vertical="center" wrapText="1"/>
    </xf>
    <xf numFmtId="0" fontId="61" fillId="0" borderId="33" xfId="0" applyFont="1" applyBorder="1" applyAlignment="1">
      <alignment horizontal="left" vertical="center" wrapText="1"/>
    </xf>
    <xf numFmtId="0" fontId="59" fillId="0" borderId="33" xfId="0" applyFont="1" applyBorder="1" applyAlignment="1">
      <alignment horizontal="left" vertical="center" wrapText="1"/>
    </xf>
    <xf numFmtId="0" fontId="59" fillId="16" borderId="37" xfId="0" applyFont="1" applyFill="1" applyBorder="1" applyAlignment="1">
      <alignment vertical="center" wrapText="1"/>
    </xf>
    <xf numFmtId="0" fontId="59" fillId="16" borderId="82" xfId="0" applyFont="1" applyFill="1" applyBorder="1" applyAlignment="1">
      <alignment vertical="center" wrapText="1"/>
    </xf>
    <xf numFmtId="0" fontId="59" fillId="16" borderId="83" xfId="0" applyFont="1" applyFill="1" applyBorder="1" applyAlignment="1">
      <alignment vertical="center" wrapText="1"/>
    </xf>
    <xf numFmtId="0" fontId="62" fillId="17" borderId="85" xfId="0" applyFont="1" applyFill="1" applyBorder="1" applyAlignment="1">
      <alignment horizontal="center" vertical="center"/>
    </xf>
    <xf numFmtId="0" fontId="62" fillId="17" borderId="86" xfId="0" applyFont="1" applyFill="1" applyBorder="1" applyAlignment="1">
      <alignment vertical="center"/>
    </xf>
    <xf numFmtId="0" fontId="64" fillId="0" borderId="0" xfId="0" applyFont="1" applyAlignment="1">
      <alignment horizontal="center" vertical="center" wrapText="1"/>
    </xf>
    <xf numFmtId="0" fontId="64" fillId="0" borderId="0" xfId="0" applyFont="1" applyAlignment="1">
      <alignment vertical="center" wrapText="1"/>
    </xf>
    <xf numFmtId="0" fontId="59" fillId="0" borderId="33" xfId="0" applyFont="1" applyBorder="1" applyAlignment="1">
      <alignment vertical="center" wrapText="1"/>
    </xf>
    <xf numFmtId="0" fontId="59" fillId="0" borderId="82" xfId="0" applyFont="1" applyBorder="1" applyAlignment="1">
      <alignment vertical="center" wrapText="1"/>
    </xf>
    <xf numFmtId="0" fontId="59" fillId="0" borderId="91" xfId="0" applyFont="1" applyBorder="1" applyAlignment="1">
      <alignment horizontal="left" vertical="center" wrapText="1"/>
    </xf>
    <xf numFmtId="0" fontId="59" fillId="16" borderId="92" xfId="0" applyFont="1" applyFill="1" applyBorder="1" applyAlignment="1">
      <alignment vertical="center" wrapText="1"/>
    </xf>
    <xf numFmtId="0" fontId="61" fillId="0" borderId="92" xfId="0" applyFont="1" applyBorder="1" applyAlignment="1">
      <alignment horizontal="left" vertical="center" wrapText="1"/>
    </xf>
    <xf numFmtId="0" fontId="59" fillId="0" borderId="92" xfId="0" applyFont="1" applyBorder="1" applyAlignment="1">
      <alignment horizontal="left" vertical="center" wrapText="1"/>
    </xf>
    <xf numFmtId="0" fontId="59" fillId="16" borderId="93" xfId="0" applyFont="1" applyFill="1" applyBorder="1" applyAlignment="1">
      <alignment vertical="center" wrapText="1"/>
    </xf>
    <xf numFmtId="0" fontId="59" fillId="3" borderId="33" xfId="0" applyFont="1" applyFill="1" applyBorder="1" applyAlignment="1">
      <alignment horizontal="left" vertical="center" wrapText="1"/>
    </xf>
    <xf numFmtId="0" fontId="59" fillId="0" borderId="82" xfId="0" applyFont="1" applyBorder="1" applyAlignment="1">
      <alignment horizontal="left" vertical="center" wrapText="1"/>
    </xf>
    <xf numFmtId="0" fontId="62" fillId="17" borderId="84" xfId="0" applyFont="1" applyFill="1" applyBorder="1" applyAlignment="1">
      <alignment horizontal="center" vertical="center"/>
    </xf>
    <xf numFmtId="165" fontId="0" fillId="0" borderId="0" xfId="0" applyNumberFormat="1" applyProtection="1">
      <protection locked="0"/>
    </xf>
    <xf numFmtId="0" fontId="0" fillId="0" borderId="0" xfId="0" applyProtection="1">
      <protection locked="0"/>
    </xf>
    <xf numFmtId="0" fontId="0" fillId="0" borderId="0" xfId="0" applyAlignment="1" applyProtection="1">
      <alignment horizontal="center"/>
      <protection locked="0"/>
    </xf>
    <xf numFmtId="165" fontId="59" fillId="8" borderId="41" xfId="0" applyNumberFormat="1" applyFont="1" applyFill="1" applyBorder="1" applyAlignment="1">
      <alignment vertical="center"/>
    </xf>
    <xf numFmtId="165" fontId="59" fillId="19" borderId="90" xfId="0" applyNumberFormat="1" applyFont="1" applyFill="1" applyBorder="1" applyAlignment="1">
      <alignment vertical="center"/>
    </xf>
    <xf numFmtId="0" fontId="0" fillId="0" borderId="95" xfId="0" applyBorder="1"/>
    <xf numFmtId="165" fontId="59" fillId="0" borderId="96" xfId="0" applyNumberFormat="1" applyFont="1" applyBorder="1" applyAlignment="1">
      <alignment horizontal="center" vertical="center"/>
    </xf>
    <xf numFmtId="0" fontId="59" fillId="0" borderId="92" xfId="0" applyFont="1" applyBorder="1" applyAlignment="1">
      <alignment horizontal="center" vertical="center"/>
    </xf>
    <xf numFmtId="0" fontId="59" fillId="0" borderId="92" xfId="0" applyFont="1" applyBorder="1" applyAlignment="1" applyProtection="1">
      <alignment horizontal="center" vertical="center"/>
      <protection locked="0"/>
    </xf>
    <xf numFmtId="0" fontId="0" fillId="0" borderId="97" xfId="0" applyBorder="1"/>
    <xf numFmtId="165" fontId="59" fillId="0" borderId="98" xfId="0" applyNumberFormat="1" applyFont="1" applyBorder="1" applyAlignment="1">
      <alignment horizontal="center" vertical="center"/>
    </xf>
    <xf numFmtId="0" fontId="59" fillId="0" borderId="33" xfId="0" applyFont="1" applyBorder="1" applyAlignment="1">
      <alignment horizontal="center" vertical="center"/>
    </xf>
    <xf numFmtId="0" fontId="59" fillId="0" borderId="33" xfId="0" applyFont="1" applyBorder="1" applyAlignment="1" applyProtection="1">
      <alignment horizontal="center" vertical="center"/>
      <protection locked="0"/>
    </xf>
    <xf numFmtId="0" fontId="0" fillId="0" borderId="97" xfId="0" applyBorder="1" applyAlignment="1" applyProtection="1">
      <alignment vertical="top"/>
      <protection locked="0"/>
    </xf>
    <xf numFmtId="0" fontId="0" fillId="0" borderId="99" xfId="0" applyBorder="1" applyAlignment="1" applyProtection="1">
      <alignment horizontal="center" vertical="top"/>
      <protection locked="0"/>
    </xf>
    <xf numFmtId="0" fontId="58" fillId="0" borderId="0" xfId="0" applyFont="1" applyAlignment="1">
      <alignment horizontal="center" vertical="center" wrapText="1"/>
    </xf>
    <xf numFmtId="0" fontId="68" fillId="20" borderId="100" xfId="0" applyFont="1" applyFill="1" applyBorder="1" applyAlignment="1">
      <alignment horizontal="center" vertical="center" wrapText="1"/>
    </xf>
    <xf numFmtId="165" fontId="69" fillId="20" borderId="101" xfId="0" applyNumberFormat="1" applyFont="1" applyFill="1" applyBorder="1" applyAlignment="1">
      <alignment horizontal="center" vertical="center" wrapText="1"/>
    </xf>
    <xf numFmtId="0" fontId="69" fillId="20" borderId="34" xfId="0" applyFont="1" applyFill="1" applyBorder="1" applyAlignment="1">
      <alignment horizontal="center" vertical="center" wrapText="1"/>
    </xf>
    <xf numFmtId="0" fontId="67" fillId="20" borderId="34" xfId="0" applyFont="1" applyFill="1" applyBorder="1" applyAlignment="1">
      <alignment horizontal="center" vertical="center" wrapText="1"/>
    </xf>
    <xf numFmtId="0" fontId="70" fillId="20" borderId="34" xfId="0" applyFont="1" applyFill="1" applyBorder="1" applyAlignment="1">
      <alignment horizontal="center" vertical="center" wrapText="1"/>
    </xf>
    <xf numFmtId="0" fontId="59" fillId="0" borderId="102" xfId="0" applyFont="1" applyBorder="1"/>
    <xf numFmtId="0" fontId="59" fillId="3" borderId="103" xfId="0" applyFont="1" applyFill="1" applyBorder="1" applyAlignment="1">
      <alignment horizontal="left" vertical="center" wrapText="1"/>
    </xf>
    <xf numFmtId="0" fontId="59" fillId="3" borderId="0" xfId="0" applyFont="1" applyFill="1" applyAlignment="1">
      <alignment horizontal="left" vertical="center" wrapText="1"/>
    </xf>
    <xf numFmtId="0" fontId="59" fillId="0" borderId="17" xfId="0" applyFont="1" applyBorder="1"/>
    <xf numFmtId="0" fontId="59" fillId="0" borderId="18" xfId="0" applyFont="1" applyBorder="1"/>
    <xf numFmtId="0" fontId="59" fillId="0" borderId="15" xfId="0" applyFont="1" applyBorder="1"/>
    <xf numFmtId="0" fontId="59" fillId="0" borderId="15" xfId="0" applyFont="1" applyBorder="1" applyAlignment="1">
      <alignment horizontal="left" vertical="center" wrapText="1"/>
    </xf>
    <xf numFmtId="0" fontId="38" fillId="3" borderId="105" xfId="0" applyFont="1" applyFill="1" applyBorder="1" applyAlignment="1" applyProtection="1">
      <alignment horizontal="left" vertical="center"/>
      <protection locked="0"/>
    </xf>
    <xf numFmtId="0" fontId="38" fillId="3" borderId="88" xfId="0" applyFont="1" applyFill="1" applyBorder="1" applyAlignment="1" applyProtection="1">
      <alignment horizontal="left" vertical="center"/>
      <protection locked="0"/>
    </xf>
    <xf numFmtId="0" fontId="38" fillId="3" borderId="98" xfId="0" applyFont="1" applyFill="1" applyBorder="1" applyAlignment="1" applyProtection="1">
      <alignment horizontal="left" vertical="center"/>
      <protection locked="0"/>
    </xf>
    <xf numFmtId="0" fontId="38" fillId="3" borderId="105" xfId="0" applyFont="1" applyFill="1" applyBorder="1" applyAlignment="1" applyProtection="1">
      <alignment horizontal="left" vertical="center" wrapText="1"/>
      <protection locked="0"/>
    </xf>
    <xf numFmtId="0" fontId="38" fillId="3" borderId="98" xfId="0" applyFont="1" applyFill="1" applyBorder="1" applyAlignment="1" applyProtection="1">
      <alignment horizontal="left" vertical="center" wrapText="1"/>
      <protection locked="0"/>
    </xf>
    <xf numFmtId="0" fontId="67" fillId="3" borderId="33" xfId="0" applyFont="1" applyFill="1" applyBorder="1" applyAlignment="1">
      <alignment horizontal="center" vertical="center" wrapText="1"/>
    </xf>
    <xf numFmtId="0" fontId="59" fillId="13" borderId="82" xfId="0" applyFont="1" applyFill="1" applyBorder="1" applyAlignment="1">
      <alignment horizontal="left" vertical="center" wrapText="1"/>
    </xf>
    <xf numFmtId="0" fontId="59" fillId="13" borderId="33" xfId="0" applyFont="1" applyFill="1" applyBorder="1" applyAlignment="1">
      <alignment horizontal="center" vertical="center"/>
    </xf>
    <xf numFmtId="0" fontId="59" fillId="13" borderId="33" xfId="0" applyFont="1" applyFill="1" applyBorder="1" applyAlignment="1">
      <alignment horizontal="left" vertical="center" wrapText="1"/>
    </xf>
    <xf numFmtId="0" fontId="59" fillId="22" borderId="82" xfId="0" applyFont="1" applyFill="1" applyBorder="1" applyAlignment="1">
      <alignment horizontal="left" vertical="center" wrapText="1"/>
    </xf>
    <xf numFmtId="0" fontId="59" fillId="22" borderId="33" xfId="0" applyFont="1" applyFill="1" applyBorder="1" applyAlignment="1">
      <alignment horizontal="left" vertical="center" wrapText="1"/>
    </xf>
    <xf numFmtId="0" fontId="59" fillId="22" borderId="33" xfId="0" applyFont="1" applyFill="1" applyBorder="1" applyAlignment="1">
      <alignment horizontal="center" vertical="center"/>
    </xf>
    <xf numFmtId="0" fontId="61" fillId="22" borderId="33" xfId="0" applyFont="1" applyFill="1" applyBorder="1" applyAlignment="1">
      <alignment horizontal="left" vertical="center" wrapText="1"/>
    </xf>
    <xf numFmtId="0" fontId="61" fillId="22" borderId="92" xfId="0" applyFont="1" applyFill="1" applyBorder="1" applyAlignment="1">
      <alignment horizontal="left" vertical="center" wrapText="1"/>
    </xf>
    <xf numFmtId="0" fontId="61" fillId="22" borderId="40" xfId="0" applyFont="1" applyFill="1" applyBorder="1" applyAlignment="1">
      <alignment horizontal="left" vertical="center" wrapText="1"/>
    </xf>
    <xf numFmtId="0" fontId="59" fillId="23" borderId="90" xfId="0" applyFont="1" applyFill="1" applyBorder="1" applyAlignment="1">
      <alignment horizontal="left" vertical="center" wrapText="1"/>
    </xf>
    <xf numFmtId="0" fontId="59" fillId="23" borderId="33" xfId="0" applyFont="1" applyFill="1" applyBorder="1" applyAlignment="1">
      <alignment horizontal="center" vertical="center"/>
    </xf>
    <xf numFmtId="0" fontId="59" fillId="23" borderId="92" xfId="0" applyFont="1" applyFill="1" applyBorder="1" applyAlignment="1">
      <alignment horizontal="center" vertical="center"/>
    </xf>
    <xf numFmtId="0" fontId="59" fillId="23" borderId="38" xfId="0" applyFont="1" applyFill="1" applyBorder="1" applyAlignment="1">
      <alignment horizontal="left" vertical="center" wrapText="1"/>
    </xf>
    <xf numFmtId="0" fontId="50" fillId="0" borderId="75"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64" fillId="0" borderId="0" xfId="0" applyFont="1" applyAlignment="1">
      <alignment horizontal="center" vertical="center" wrapText="1"/>
    </xf>
    <xf numFmtId="0" fontId="65" fillId="0" borderId="90" xfId="0" applyFont="1" applyBorder="1" applyAlignment="1">
      <alignment horizontal="center" vertical="center" wrapText="1"/>
    </xf>
    <xf numFmtId="0" fontId="65" fillId="0" borderId="38" xfId="0" applyFont="1" applyBorder="1" applyAlignment="1">
      <alignment horizontal="center" vertical="center" wrapText="1"/>
    </xf>
    <xf numFmtId="0" fontId="64" fillId="0" borderId="83" xfId="0" applyFont="1" applyBorder="1" applyAlignment="1">
      <alignment vertical="center" wrapText="1"/>
    </xf>
    <xf numFmtId="0" fontId="64" fillId="0" borderId="37" xfId="0" applyFont="1" applyBorder="1" applyAlignment="1">
      <alignment vertical="center" wrapText="1"/>
    </xf>
    <xf numFmtId="0" fontId="66" fillId="0" borderId="82" xfId="0" applyFont="1" applyBorder="1" applyAlignment="1">
      <alignment horizontal="center" vertical="center" wrapText="1"/>
    </xf>
    <xf numFmtId="0" fontId="66" fillId="0" borderId="33" xfId="0" applyFont="1" applyBorder="1" applyAlignment="1">
      <alignment horizontal="center" vertical="center" wrapText="1"/>
    </xf>
    <xf numFmtId="0" fontId="63" fillId="3" borderId="0" xfId="0" applyFont="1" applyFill="1" applyAlignment="1">
      <alignment horizontal="center" vertical="center" wrapText="1"/>
    </xf>
    <xf numFmtId="0" fontId="64" fillId="0" borderId="89" xfId="0" applyFont="1" applyBorder="1" applyAlignment="1">
      <alignment horizontal="center" vertical="center" wrapText="1"/>
    </xf>
    <xf numFmtId="0" fontId="64" fillId="0" borderId="88" xfId="0" applyFont="1" applyBorder="1" applyAlignment="1">
      <alignment horizontal="center" vertical="center" wrapText="1"/>
    </xf>
    <xf numFmtId="0" fontId="64" fillId="0" borderId="87" xfId="0" applyFont="1" applyBorder="1" applyAlignment="1">
      <alignment horizontal="center" vertical="center" wrapText="1"/>
    </xf>
    <xf numFmtId="0" fontId="59" fillId="18" borderId="37" xfId="0" applyFont="1" applyFill="1" applyBorder="1" applyAlignment="1">
      <alignment horizontal="left" vertical="center"/>
    </xf>
    <xf numFmtId="0" fontId="59" fillId="18" borderId="33" xfId="0" applyFont="1" applyFill="1" applyBorder="1" applyAlignment="1">
      <alignment horizontal="left" vertical="center"/>
    </xf>
    <xf numFmtId="0" fontId="59" fillId="18" borderId="38" xfId="0" applyFont="1" applyFill="1" applyBorder="1" applyAlignment="1">
      <alignment horizontal="left" vertical="center"/>
    </xf>
    <xf numFmtId="0" fontId="63" fillId="18" borderId="39" xfId="0" applyFont="1" applyFill="1" applyBorder="1" applyAlignment="1">
      <alignment horizontal="left" vertical="top" wrapText="1"/>
    </xf>
    <xf numFmtId="0" fontId="63" fillId="18" borderId="40" xfId="0" applyFont="1" applyFill="1" applyBorder="1" applyAlignment="1">
      <alignment horizontal="left" vertical="top"/>
    </xf>
    <xf numFmtId="0" fontId="63" fillId="18" borderId="41" xfId="0" applyFont="1" applyFill="1" applyBorder="1" applyAlignment="1">
      <alignment horizontal="left" vertical="top"/>
    </xf>
    <xf numFmtId="0" fontId="62" fillId="18" borderId="37" xfId="0" applyFont="1" applyFill="1" applyBorder="1" applyAlignment="1">
      <alignment horizontal="center" vertical="center" wrapText="1"/>
    </xf>
    <xf numFmtId="0" fontId="62" fillId="18" borderId="33" xfId="0" applyFont="1" applyFill="1" applyBorder="1" applyAlignment="1">
      <alignment horizontal="center" vertical="center" wrapText="1"/>
    </xf>
    <xf numFmtId="0" fontId="62" fillId="18" borderId="38" xfId="0" applyFont="1" applyFill="1" applyBorder="1" applyAlignment="1">
      <alignment horizontal="center" vertical="center" wrapText="1"/>
    </xf>
    <xf numFmtId="0" fontId="0" fillId="0" borderId="19" xfId="0" applyBorder="1" applyAlignment="1">
      <alignment horizontal="center"/>
    </xf>
    <xf numFmtId="0" fontId="0" fillId="0" borderId="94" xfId="0" applyBorder="1" applyAlignment="1">
      <alignment horizontal="center"/>
    </xf>
    <xf numFmtId="0" fontId="0" fillId="0" borderId="0" xfId="0" applyAlignment="1">
      <alignment horizontal="center"/>
    </xf>
    <xf numFmtId="0" fontId="0" fillId="0" borderId="103" xfId="0" applyBorder="1" applyAlignment="1">
      <alignment horizontal="center"/>
    </xf>
    <xf numFmtId="0" fontId="0" fillId="0" borderId="69" xfId="0" applyBorder="1" applyAlignment="1">
      <alignment horizontal="center"/>
    </xf>
    <xf numFmtId="0" fontId="0" fillId="0" borderId="104" xfId="0" applyBorder="1" applyAlignment="1">
      <alignment horizontal="center"/>
    </xf>
    <xf numFmtId="0" fontId="67" fillId="19" borderId="39" xfId="0" applyFont="1" applyFill="1" applyBorder="1" applyAlignment="1">
      <alignment horizontal="right" vertical="center"/>
    </xf>
    <xf numFmtId="0" fontId="67" fillId="19" borderId="40" xfId="0" applyFont="1" applyFill="1" applyBorder="1" applyAlignment="1">
      <alignment horizontal="right" vertical="center"/>
    </xf>
    <xf numFmtId="0" fontId="67" fillId="20" borderId="36" xfId="0" applyFont="1" applyFill="1" applyBorder="1" applyAlignment="1">
      <alignment horizontal="center" vertical="center" wrapText="1"/>
    </xf>
    <xf numFmtId="0" fontId="67" fillId="20" borderId="47" xfId="0" applyFont="1" applyFill="1" applyBorder="1" applyAlignment="1">
      <alignment horizontal="center" vertical="center" wrapText="1"/>
    </xf>
    <xf numFmtId="0" fontId="59" fillId="0" borderId="82" xfId="0" applyFont="1" applyBorder="1" applyAlignment="1">
      <alignment horizontal="left" vertical="center" wrapText="1"/>
    </xf>
    <xf numFmtId="0" fontId="59" fillId="0" borderId="90" xfId="0" applyFont="1" applyBorder="1" applyAlignment="1">
      <alignment horizontal="left" vertical="center" wrapText="1"/>
    </xf>
    <xf numFmtId="0" fontId="59" fillId="0" borderId="33" xfId="0" applyFont="1" applyBorder="1" applyAlignment="1">
      <alignment horizontal="left" vertical="center" wrapText="1"/>
    </xf>
    <xf numFmtId="0" fontId="59" fillId="0" borderId="38" xfId="0" applyFont="1" applyBorder="1" applyAlignment="1">
      <alignment horizontal="left" vertical="center" wrapText="1"/>
    </xf>
    <xf numFmtId="0" fontId="67" fillId="19" borderId="12" xfId="0" applyFont="1" applyFill="1" applyBorder="1" applyAlignment="1">
      <alignment horizontal="right" vertical="center"/>
    </xf>
    <xf numFmtId="0" fontId="67" fillId="19" borderId="0" xfId="0" applyFont="1" applyFill="1" applyAlignment="1">
      <alignment horizontal="right" vertical="center"/>
    </xf>
    <xf numFmtId="0" fontId="67" fillId="19" borderId="19" xfId="0" applyFont="1" applyFill="1" applyBorder="1" applyAlignment="1">
      <alignment horizontal="right" vertical="center"/>
    </xf>
    <xf numFmtId="0" fontId="67" fillId="19" borderId="94" xfId="0" applyFont="1" applyFill="1" applyBorder="1" applyAlignment="1">
      <alignment horizontal="right" vertical="center"/>
    </xf>
    <xf numFmtId="0" fontId="59" fillId="18" borderId="40" xfId="0" applyFont="1" applyFill="1" applyBorder="1" applyAlignment="1">
      <alignment horizontal="left" vertical="center" wrapText="1"/>
    </xf>
    <xf numFmtId="0" fontId="59" fillId="18" borderId="33" xfId="0" applyFont="1" applyFill="1" applyBorder="1" applyAlignment="1">
      <alignment vertical="center"/>
    </xf>
    <xf numFmtId="0" fontId="66" fillId="0" borderId="85" xfId="0" applyFont="1" applyBorder="1" applyAlignment="1">
      <alignment horizontal="center" vertical="center" wrapText="1"/>
    </xf>
    <xf numFmtId="0" fontId="66" fillId="0" borderId="111" xfId="0" applyFont="1" applyBorder="1" applyAlignment="1">
      <alignment horizontal="center" vertical="center" wrapText="1"/>
    </xf>
    <xf numFmtId="0" fontId="66" fillId="0" borderId="34" xfId="0" applyFont="1" applyBorder="1" applyAlignment="1">
      <alignment horizontal="center" vertical="center" wrapText="1"/>
    </xf>
    <xf numFmtId="0" fontId="59" fillId="0" borderId="0" xfId="0" applyFont="1" applyAlignment="1">
      <alignment horizontal="center"/>
    </xf>
    <xf numFmtId="0" fontId="38" fillId="3" borderId="98" xfId="0" applyFont="1" applyFill="1" applyBorder="1" applyAlignment="1" applyProtection="1">
      <alignment horizontal="left" vertical="center"/>
      <protection locked="0"/>
    </xf>
    <xf numFmtId="0" fontId="38" fillId="3" borderId="88" xfId="0" applyFont="1" applyFill="1" applyBorder="1" applyAlignment="1" applyProtection="1">
      <alignment horizontal="left" vertical="center"/>
      <protection locked="0"/>
    </xf>
    <xf numFmtId="0" fontId="38" fillId="3" borderId="105" xfId="0" applyFont="1" applyFill="1" applyBorder="1" applyAlignment="1" applyProtection="1">
      <alignment horizontal="left" vertical="center"/>
      <protection locked="0"/>
    </xf>
    <xf numFmtId="0" fontId="0" fillId="0" borderId="107" xfId="0" applyBorder="1" applyAlignment="1">
      <alignment horizontal="center" vertical="top" wrapText="1"/>
    </xf>
    <xf numFmtId="0" fontId="0" fillId="0" borderId="106" xfId="0" applyBorder="1" applyAlignment="1">
      <alignment horizontal="center" vertical="top" wrapText="1"/>
    </xf>
    <xf numFmtId="0" fontId="61" fillId="0" borderId="109" xfId="0" applyFont="1" applyBorder="1" applyAlignment="1">
      <alignment horizontal="center" vertical="center" wrapText="1"/>
    </xf>
    <xf numFmtId="0" fontId="61" fillId="0" borderId="108" xfId="0" applyFont="1" applyBorder="1" applyAlignment="1">
      <alignment wrapText="1"/>
    </xf>
    <xf numFmtId="0" fontId="61" fillId="0" borderId="108" xfId="0" applyFont="1" applyBorder="1"/>
    <xf numFmtId="0" fontId="61" fillId="0" borderId="110" xfId="0" applyFont="1" applyBorder="1"/>
    <xf numFmtId="0" fontId="71" fillId="20" borderId="98" xfId="0" applyFont="1" applyFill="1" applyBorder="1" applyAlignment="1">
      <alignment horizontal="center" vertical="center" wrapText="1"/>
    </xf>
    <xf numFmtId="0" fontId="71" fillId="20" borderId="105" xfId="0" applyFont="1" applyFill="1" applyBorder="1" applyAlignment="1">
      <alignment horizontal="center" vertical="center" wrapText="1"/>
    </xf>
    <xf numFmtId="0" fontId="71" fillId="20" borderId="88" xfId="0" applyFont="1" applyFill="1" applyBorder="1" applyAlignment="1">
      <alignment horizontal="center" vertical="center" wrapText="1"/>
    </xf>
    <xf numFmtId="0" fontId="71" fillId="20" borderId="33" xfId="0" applyFont="1" applyFill="1" applyBorder="1" applyAlignment="1">
      <alignment horizontal="center" vertical="center" textRotation="255"/>
    </xf>
    <xf numFmtId="0" fontId="71" fillId="20" borderId="92" xfId="0" applyFont="1" applyFill="1" applyBorder="1" applyAlignment="1">
      <alignment horizontal="center" vertical="center" textRotation="255"/>
    </xf>
    <xf numFmtId="0" fontId="71" fillId="20" borderId="111" xfId="0" applyFont="1" applyFill="1" applyBorder="1" applyAlignment="1">
      <alignment horizontal="center" vertical="center" textRotation="255"/>
    </xf>
    <xf numFmtId="0" fontId="71" fillId="20" borderId="34" xfId="0" applyFont="1" applyFill="1" applyBorder="1" applyAlignment="1">
      <alignment horizontal="center" vertical="center" textRotation="255"/>
    </xf>
    <xf numFmtId="0" fontId="71" fillId="20" borderId="98" xfId="0" applyFont="1" applyFill="1" applyBorder="1" applyAlignment="1">
      <alignment horizontal="center" vertical="center"/>
    </xf>
    <xf numFmtId="0" fontId="71" fillId="20" borderId="105" xfId="0" applyFont="1" applyFill="1" applyBorder="1" applyAlignment="1">
      <alignment horizontal="center" vertical="center"/>
    </xf>
    <xf numFmtId="0" fontId="61" fillId="21" borderId="109" xfId="0" applyFont="1" applyFill="1" applyBorder="1" applyAlignment="1">
      <alignment horizontal="center" vertical="center" wrapText="1"/>
    </xf>
    <xf numFmtId="0" fontId="61" fillId="21" borderId="109" xfId="0" applyFont="1" applyFill="1" applyBorder="1" applyAlignment="1">
      <alignment horizontal="center" vertical="center"/>
    </xf>
    <xf numFmtId="0" fontId="38" fillId="0" borderId="98" xfId="0" applyFont="1" applyBorder="1" applyAlignment="1" applyProtection="1">
      <alignment horizontal="left" vertical="center" wrapText="1"/>
      <protection locked="0"/>
    </xf>
    <xf numFmtId="0" fontId="38" fillId="0" borderId="105" xfId="0" applyFont="1" applyBorder="1" applyAlignment="1" applyProtection="1">
      <alignment horizontal="left" vertical="center" wrapText="1"/>
      <protection locked="0"/>
    </xf>
    <xf numFmtId="0" fontId="59" fillId="0" borderId="98" xfId="0" applyFont="1" applyBorder="1" applyAlignment="1">
      <alignment horizontal="left" vertical="center" wrapText="1"/>
    </xf>
    <xf numFmtId="0" fontId="59" fillId="0" borderId="105" xfId="0" applyFont="1" applyBorder="1" applyAlignment="1">
      <alignment horizontal="left" vertical="center" wrapText="1"/>
    </xf>
    <xf numFmtId="0" fontId="66" fillId="0" borderId="89" xfId="0" applyFont="1" applyBorder="1" applyAlignment="1">
      <alignment horizontal="center" vertical="center" wrapText="1"/>
    </xf>
    <xf numFmtId="0" fontId="66" fillId="0" borderId="88" xfId="0" applyFont="1" applyBorder="1" applyAlignment="1">
      <alignment horizontal="center" vertical="center" wrapText="1"/>
    </xf>
    <xf numFmtId="0" fontId="66" fillId="0" borderId="87" xfId="0" applyFont="1" applyBorder="1" applyAlignment="1">
      <alignment horizontal="center" vertical="center" wrapText="1"/>
    </xf>
    <xf numFmtId="0" fontId="61" fillId="21" borderId="33" xfId="0" applyFont="1" applyFill="1" applyBorder="1" applyAlignment="1">
      <alignment horizontal="center" vertical="center" wrapText="1"/>
    </xf>
    <xf numFmtId="0" fontId="61" fillId="0" borderId="33" xfId="0" applyFont="1" applyBorder="1"/>
    <xf numFmtId="0" fontId="59" fillId="0" borderId="117" xfId="0" applyFont="1" applyBorder="1" applyAlignment="1">
      <alignment horizontal="left" vertical="center" wrapText="1"/>
    </xf>
    <xf numFmtId="0" fontId="59" fillId="0" borderId="116" xfId="0" applyFont="1" applyBorder="1" applyAlignment="1">
      <alignment horizontal="left" vertical="center" wrapText="1"/>
    </xf>
    <xf numFmtId="0" fontId="59" fillId="0" borderId="84" xfId="0" applyFont="1" applyBorder="1" applyAlignment="1">
      <alignment horizontal="center" vertical="center" wrapText="1"/>
    </xf>
    <xf numFmtId="0" fontId="59" fillId="0" borderId="119" xfId="0" applyFont="1" applyBorder="1" applyAlignment="1">
      <alignment horizontal="center" vertical="center" wrapText="1"/>
    </xf>
    <xf numFmtId="0" fontId="59" fillId="0" borderId="43" xfId="0" applyFont="1" applyBorder="1" applyAlignment="1">
      <alignment horizontal="center" vertical="center" wrapText="1"/>
    </xf>
    <xf numFmtId="0" fontId="59" fillId="19" borderId="51" xfId="0" applyFont="1" applyFill="1" applyBorder="1" applyAlignment="1">
      <alignment horizontal="left" vertical="center"/>
    </xf>
    <xf numFmtId="0" fontId="67" fillId="19" borderId="52" xfId="0" applyFont="1" applyFill="1" applyBorder="1" applyAlignment="1">
      <alignment horizontal="left" vertical="center"/>
    </xf>
    <xf numFmtId="0" fontId="67" fillId="19" borderId="53" xfId="0" applyFont="1" applyFill="1" applyBorder="1" applyAlignment="1">
      <alignment horizontal="left" vertical="center"/>
    </xf>
    <xf numFmtId="0" fontId="67" fillId="19" borderId="16" xfId="0" applyFont="1" applyFill="1" applyBorder="1" applyAlignment="1">
      <alignment horizontal="left" vertical="center"/>
    </xf>
    <xf numFmtId="0" fontId="67" fillId="19" borderId="18" xfId="0" applyFont="1" applyFill="1" applyBorder="1" applyAlignment="1">
      <alignment horizontal="left" vertical="center"/>
    </xf>
    <xf numFmtId="0" fontId="67" fillId="19" borderId="17" xfId="0" applyFont="1" applyFill="1" applyBorder="1" applyAlignment="1">
      <alignment horizontal="left" vertical="center"/>
    </xf>
    <xf numFmtId="0" fontId="74" fillId="20" borderId="118" xfId="0" applyFont="1" applyFill="1" applyBorder="1" applyAlignment="1">
      <alignment horizontal="center" vertical="center" wrapText="1"/>
    </xf>
    <xf numFmtId="0" fontId="74" fillId="20" borderId="19" xfId="0" applyFont="1" applyFill="1" applyBorder="1" applyAlignment="1">
      <alignment horizontal="center" vertical="center" wrapText="1"/>
    </xf>
    <xf numFmtId="0" fontId="74" fillId="20" borderId="94" xfId="0" applyFont="1" applyFill="1" applyBorder="1" applyAlignment="1">
      <alignment horizontal="center" vertical="center" wrapText="1"/>
    </xf>
    <xf numFmtId="0" fontId="74" fillId="20" borderId="115" xfId="0" applyFont="1" applyFill="1" applyBorder="1" applyAlignment="1">
      <alignment horizontal="center" vertical="center" wrapText="1"/>
    </xf>
    <xf numFmtId="0" fontId="74" fillId="20" borderId="0" xfId="0" applyFont="1" applyFill="1" applyAlignment="1">
      <alignment horizontal="center" vertical="center" wrapText="1"/>
    </xf>
    <xf numFmtId="0" fontId="74" fillId="20" borderId="103" xfId="0" applyFont="1" applyFill="1" applyBorder="1" applyAlignment="1">
      <alignment horizontal="center" vertical="center" wrapText="1"/>
    </xf>
    <xf numFmtId="0" fontId="74" fillId="20" borderId="101" xfId="0" applyFont="1" applyFill="1" applyBorder="1" applyAlignment="1">
      <alignment horizontal="center" vertical="center" wrapText="1"/>
    </xf>
    <xf numFmtId="0" fontId="74" fillId="20" borderId="69" xfId="0" applyFont="1" applyFill="1" applyBorder="1" applyAlignment="1">
      <alignment horizontal="center" vertical="center" wrapText="1"/>
    </xf>
    <xf numFmtId="0" fontId="74" fillId="20" borderId="104" xfId="0" applyFont="1" applyFill="1" applyBorder="1" applyAlignment="1">
      <alignment horizontal="center" vertical="center" wrapText="1"/>
    </xf>
    <xf numFmtId="0" fontId="71" fillId="20" borderId="117" xfId="0" applyFont="1" applyFill="1" applyBorder="1" applyAlignment="1">
      <alignment horizontal="center" vertical="center" wrapText="1"/>
    </xf>
    <xf numFmtId="0" fontId="71" fillId="20" borderId="49" xfId="0" applyFont="1" applyFill="1" applyBorder="1" applyAlignment="1">
      <alignment horizontal="center" vertical="center" wrapText="1"/>
    </xf>
    <xf numFmtId="0" fontId="71" fillId="20" borderId="116" xfId="0" applyFont="1" applyFill="1" applyBorder="1" applyAlignment="1">
      <alignment horizontal="center" vertical="center" wrapText="1"/>
    </xf>
    <xf numFmtId="0" fontId="71" fillId="20" borderId="98" xfId="0" applyFont="1" applyFill="1" applyBorder="1" applyAlignment="1">
      <alignment horizontal="center"/>
    </xf>
    <xf numFmtId="0" fontId="71" fillId="20" borderId="88" xfId="0" applyFont="1" applyFill="1" applyBorder="1" applyAlignment="1">
      <alignment horizontal="center"/>
    </xf>
    <xf numFmtId="0" fontId="71" fillId="20" borderId="105" xfId="0" applyFont="1" applyFill="1" applyBorder="1" applyAlignment="1">
      <alignment horizontal="center"/>
    </xf>
    <xf numFmtId="0" fontId="61" fillId="0" borderId="33" xfId="0" applyFont="1" applyBorder="1" applyAlignment="1">
      <alignment horizontal="center" vertical="top" wrapText="1"/>
    </xf>
    <xf numFmtId="0" fontId="61" fillId="21" borderId="114" xfId="0" applyFont="1" applyFill="1" applyBorder="1" applyAlignment="1">
      <alignment horizontal="center" vertical="center" wrapText="1"/>
    </xf>
    <xf numFmtId="0" fontId="61" fillId="21" borderId="108" xfId="0" applyFont="1" applyFill="1" applyBorder="1" applyAlignment="1">
      <alignment horizontal="center" vertical="center" wrapText="1"/>
    </xf>
    <xf numFmtId="0" fontId="72" fillId="21" borderId="109" xfId="0" applyFont="1" applyFill="1" applyBorder="1" applyAlignment="1">
      <alignment horizontal="center" vertical="center" wrapText="1"/>
    </xf>
    <xf numFmtId="0" fontId="73" fillId="21" borderId="109" xfId="0" applyFont="1" applyFill="1" applyBorder="1" applyAlignment="1">
      <alignment horizontal="center" wrapText="1"/>
    </xf>
    <xf numFmtId="0" fontId="61" fillId="0" borderId="108" xfId="0" applyFont="1" applyBorder="1" applyAlignment="1">
      <alignment horizontal="center" vertical="center" wrapText="1"/>
    </xf>
    <xf numFmtId="0" fontId="61" fillId="0" borderId="113" xfId="0" applyFont="1" applyBorder="1" applyAlignment="1">
      <alignment horizontal="center" vertical="center" wrapText="1"/>
    </xf>
    <xf numFmtId="0" fontId="61" fillId="0" borderId="112" xfId="0" applyFont="1" applyBorder="1" applyAlignment="1">
      <alignment horizontal="center" vertical="center" wrapText="1"/>
    </xf>
    <xf numFmtId="0" fontId="61" fillId="0" borderId="33" xfId="0" applyFont="1" applyBorder="1" applyAlignment="1">
      <alignment horizontal="center" vertical="center" wrapText="1"/>
    </xf>
    <xf numFmtId="0" fontId="38" fillId="3" borderId="98" xfId="0" applyFont="1" applyFill="1" applyBorder="1" applyAlignment="1" applyProtection="1">
      <alignment horizontal="left" vertical="center" wrapText="1"/>
      <protection locked="0"/>
    </xf>
    <xf numFmtId="0" fontId="38" fillId="3" borderId="88" xfId="0" applyFont="1" applyFill="1" applyBorder="1" applyAlignment="1" applyProtection="1">
      <alignment horizontal="left" vertical="center" wrapText="1"/>
      <protection locked="0"/>
    </xf>
    <xf numFmtId="0" fontId="38" fillId="3" borderId="105" xfId="0" applyFont="1" applyFill="1" applyBorder="1" applyAlignment="1" applyProtection="1">
      <alignment horizontal="left" vertical="center" wrapText="1"/>
      <protection locked="0"/>
    </xf>
    <xf numFmtId="0" fontId="72" fillId="0" borderId="109" xfId="0" applyFont="1" applyBorder="1" applyAlignment="1">
      <alignment horizontal="left" vertical="center" wrapText="1"/>
    </xf>
    <xf numFmtId="0" fontId="61" fillId="21" borderId="98" xfId="0" applyFont="1" applyFill="1" applyBorder="1" applyAlignment="1">
      <alignment horizontal="center" vertical="center" wrapText="1"/>
    </xf>
    <xf numFmtId="0" fontId="61" fillId="21" borderId="10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2" borderId="2"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textRotation="90"/>
      <protection locked="0"/>
    </xf>
    <xf numFmtId="0" fontId="27" fillId="0" borderId="8"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14" fontId="27" fillId="0" borderId="4"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14" fontId="27" fillId="0" borderId="79" xfId="0" applyNumberFormat="1" applyFont="1" applyBorder="1" applyAlignment="1" applyProtection="1">
      <alignment vertical="top"/>
      <protection locked="0"/>
    </xf>
    <xf numFmtId="14" fontId="27" fillId="0" borderId="80" xfId="0" applyNumberFormat="1" applyFont="1" applyBorder="1" applyAlignment="1" applyProtection="1">
      <alignment vertical="top"/>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733425</xdr:colOff>
      <xdr:row>0</xdr:row>
      <xdr:rowOff>38100</xdr:rowOff>
    </xdr:from>
    <xdr:ext cx="523875" cy="657225"/>
    <xdr:pic>
      <xdr:nvPicPr>
        <xdr:cNvPr id="2" name="1 Imagen" descr="logocapitalmusical">
          <a:extLst>
            <a:ext uri="{FF2B5EF4-FFF2-40B4-BE49-F238E27FC236}">
              <a16:creationId xmlns:a16="http://schemas.microsoft.com/office/drawing/2014/main" id="{0B1C0D1A-72FE-4CDD-A440-E97B2C8B28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39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250372</xdr:colOff>
      <xdr:row>0</xdr:row>
      <xdr:rowOff>76200</xdr:rowOff>
    </xdr:from>
    <xdr:ext cx="1441669" cy="602120"/>
    <xdr:pic>
      <xdr:nvPicPr>
        <xdr:cNvPr id="4" name="Imagen 3">
          <a:extLst>
            <a:ext uri="{FF2B5EF4-FFF2-40B4-BE49-F238E27FC236}">
              <a16:creationId xmlns:a16="http://schemas.microsoft.com/office/drawing/2014/main" id="{BA4FEFA5-4D10-4A91-B819-BE2E6CE87B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372" y="76200"/>
          <a:ext cx="1441669" cy="6021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3" name="CuadroTexto 2">
          <a:extLst>
            <a:ext uri="{FF2B5EF4-FFF2-40B4-BE49-F238E27FC236}">
              <a16:creationId xmlns:a16="http://schemas.microsoft.com/office/drawing/2014/main" id="{87470BE0-B5B0-48DF-A5AE-E4889B00E740}"/>
            </a:ext>
          </a:extLst>
        </xdr:cNvPr>
        <xdr:cNvSpPr txBox="1"/>
      </xdr:nvSpPr>
      <xdr:spPr>
        <a:xfrm rot="16200000">
          <a:off x="-1118466" y="3141519"/>
          <a:ext cx="226550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38</xdr:row>
      <xdr:rowOff>288634</xdr:rowOff>
    </xdr:to>
    <xdr:sp macro="" textlink="">
      <xdr:nvSpPr>
        <xdr:cNvPr id="4" name="CuadroTexto 3">
          <a:extLst>
            <a:ext uri="{FF2B5EF4-FFF2-40B4-BE49-F238E27FC236}">
              <a16:creationId xmlns:a16="http://schemas.microsoft.com/office/drawing/2014/main" id="{E1E545B8-1AED-43C0-8BD2-D690411296A3}"/>
            </a:ext>
          </a:extLst>
        </xdr:cNvPr>
        <xdr:cNvSpPr txBox="1"/>
      </xdr:nvSpPr>
      <xdr:spPr>
        <a:xfrm rot="16200000">
          <a:off x="-1289050" y="6079833"/>
          <a:ext cx="25781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5" name="CuadroTexto 4">
          <a:extLst>
            <a:ext uri="{FF2B5EF4-FFF2-40B4-BE49-F238E27FC236}">
              <a16:creationId xmlns:a16="http://schemas.microsoft.com/office/drawing/2014/main" id="{FDBE3EDC-2F3F-428B-942E-1DAF3B05F669}"/>
            </a:ext>
          </a:extLst>
        </xdr:cNvPr>
        <xdr:cNvSpPr txBox="1"/>
      </xdr:nvSpPr>
      <xdr:spPr>
        <a:xfrm>
          <a:off x="16001999" y="0"/>
          <a:ext cx="1731" cy="7337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oneCellAnchor>
    <xdr:from>
      <xdr:col>18</xdr:col>
      <xdr:colOff>149340</xdr:colOff>
      <xdr:row>0</xdr:row>
      <xdr:rowOff>65356</xdr:rowOff>
    </xdr:from>
    <xdr:ext cx="610754" cy="662394"/>
    <xdr:pic>
      <xdr:nvPicPr>
        <xdr:cNvPr id="6" name="Imagen 5">
          <a:extLst>
            <a:ext uri="{FF2B5EF4-FFF2-40B4-BE49-F238E27FC236}">
              <a16:creationId xmlns:a16="http://schemas.microsoft.com/office/drawing/2014/main" id="{6DB1576A-1E06-4706-A491-71DA4B42102C}"/>
            </a:ext>
          </a:extLst>
        </xdr:cNvPr>
        <xdr:cNvPicPr>
          <a:picLocks noChangeAspect="1"/>
        </xdr:cNvPicPr>
      </xdr:nvPicPr>
      <xdr:blipFill>
        <a:blip xmlns:r="http://schemas.openxmlformats.org/officeDocument/2006/relationships" r:embed="rId1"/>
        <a:stretch>
          <a:fillRect/>
        </a:stretch>
      </xdr:blipFill>
      <xdr:spPr>
        <a:xfrm>
          <a:off x="10545197" y="65356"/>
          <a:ext cx="610754" cy="662394"/>
        </a:xfrm>
        <a:prstGeom prst="rect">
          <a:avLst/>
        </a:prstGeom>
      </xdr:spPr>
    </xdr:pic>
    <xdr:clientData/>
  </xdr:oneCellAnchor>
  <xdr:twoCellAnchor>
    <xdr:from>
      <xdr:col>0</xdr:col>
      <xdr:colOff>0</xdr:colOff>
      <xdr:row>39</xdr:row>
      <xdr:rowOff>0</xdr:rowOff>
    </xdr:from>
    <xdr:to>
      <xdr:col>0</xdr:col>
      <xdr:colOff>2</xdr:colOff>
      <xdr:row>39</xdr:row>
      <xdr:rowOff>0</xdr:rowOff>
    </xdr:to>
    <xdr:sp macro="" textlink="">
      <xdr:nvSpPr>
        <xdr:cNvPr id="7" name="CuadroTexto 6">
          <a:extLst>
            <a:ext uri="{FF2B5EF4-FFF2-40B4-BE49-F238E27FC236}">
              <a16:creationId xmlns:a16="http://schemas.microsoft.com/office/drawing/2014/main" id="{D26E3799-0723-43F9-B139-8FD9D4A738E9}"/>
            </a:ext>
          </a:extLst>
        </xdr:cNvPr>
        <xdr:cNvSpPr txBox="1"/>
      </xdr:nvSpPr>
      <xdr:spPr>
        <a:xfrm rot="16200000">
          <a:off x="1" y="736599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883920</xdr:colOff>
          <xdr:row>10</xdr:row>
          <xdr:rowOff>464820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11</xdr:row>
          <xdr:rowOff>167640</xdr:rowOff>
        </xdr:from>
        <xdr:to>
          <xdr:col>19</xdr:col>
          <xdr:colOff>906780</xdr:colOff>
          <xdr:row>11</xdr:row>
          <xdr:rowOff>419100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12</xdr:row>
          <xdr:rowOff>167640</xdr:rowOff>
        </xdr:from>
        <xdr:to>
          <xdr:col>19</xdr:col>
          <xdr:colOff>906780</xdr:colOff>
          <xdr:row>12</xdr:row>
          <xdr:rowOff>419100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13</xdr:row>
          <xdr:rowOff>167640</xdr:rowOff>
        </xdr:from>
        <xdr:to>
          <xdr:col>19</xdr:col>
          <xdr:colOff>906780</xdr:colOff>
          <xdr:row>13</xdr:row>
          <xdr:rowOff>419100</xdr:rowOff>
        </xdr:to>
        <xdr:sp macro="" textlink="">
          <xdr:nvSpPr>
            <xdr:cNvPr id="12292" name="CheckBox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14</xdr:row>
          <xdr:rowOff>175260</xdr:rowOff>
        </xdr:from>
        <xdr:to>
          <xdr:col>19</xdr:col>
          <xdr:colOff>906780</xdr:colOff>
          <xdr:row>14</xdr:row>
          <xdr:rowOff>441960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15</xdr:row>
          <xdr:rowOff>167640</xdr:rowOff>
        </xdr:from>
        <xdr:to>
          <xdr:col>19</xdr:col>
          <xdr:colOff>906780</xdr:colOff>
          <xdr:row>15</xdr:row>
          <xdr:rowOff>419100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16</xdr:row>
          <xdr:rowOff>167640</xdr:rowOff>
        </xdr:from>
        <xdr:to>
          <xdr:col>19</xdr:col>
          <xdr:colOff>906780</xdr:colOff>
          <xdr:row>16</xdr:row>
          <xdr:rowOff>419100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17</xdr:row>
          <xdr:rowOff>167640</xdr:rowOff>
        </xdr:from>
        <xdr:to>
          <xdr:col>19</xdr:col>
          <xdr:colOff>906780</xdr:colOff>
          <xdr:row>17</xdr:row>
          <xdr:rowOff>419100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18</xdr:row>
          <xdr:rowOff>167640</xdr:rowOff>
        </xdr:from>
        <xdr:to>
          <xdr:col>19</xdr:col>
          <xdr:colOff>906780</xdr:colOff>
          <xdr:row>18</xdr:row>
          <xdr:rowOff>419100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19</xdr:row>
          <xdr:rowOff>167640</xdr:rowOff>
        </xdr:from>
        <xdr:to>
          <xdr:col>19</xdr:col>
          <xdr:colOff>906780</xdr:colOff>
          <xdr:row>19</xdr:row>
          <xdr:rowOff>419100</xdr:rowOff>
        </xdr:to>
        <xdr:sp macro="" textlink="">
          <xdr:nvSpPr>
            <xdr:cNvPr id="12298" name="CheckBox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20</xdr:row>
          <xdr:rowOff>167640</xdr:rowOff>
        </xdr:from>
        <xdr:to>
          <xdr:col>19</xdr:col>
          <xdr:colOff>906780</xdr:colOff>
          <xdr:row>20</xdr:row>
          <xdr:rowOff>419100</xdr:rowOff>
        </xdr:to>
        <xdr:sp macro="" textlink="">
          <xdr:nvSpPr>
            <xdr:cNvPr id="12299" name="CheckBox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21</xdr:row>
          <xdr:rowOff>167640</xdr:rowOff>
        </xdr:from>
        <xdr:to>
          <xdr:col>19</xdr:col>
          <xdr:colOff>906780</xdr:colOff>
          <xdr:row>21</xdr:row>
          <xdr:rowOff>419100</xdr:rowOff>
        </xdr:to>
        <xdr:sp macro="" textlink="">
          <xdr:nvSpPr>
            <xdr:cNvPr id="12300" name="CheckBox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22</xdr:row>
          <xdr:rowOff>167640</xdr:rowOff>
        </xdr:from>
        <xdr:to>
          <xdr:col>19</xdr:col>
          <xdr:colOff>906780</xdr:colOff>
          <xdr:row>22</xdr:row>
          <xdr:rowOff>419100</xdr:rowOff>
        </xdr:to>
        <xdr:sp macro="" textlink="">
          <xdr:nvSpPr>
            <xdr:cNvPr id="12301" name="CheckBox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23</xdr:row>
          <xdr:rowOff>167640</xdr:rowOff>
        </xdr:from>
        <xdr:to>
          <xdr:col>19</xdr:col>
          <xdr:colOff>906780</xdr:colOff>
          <xdr:row>23</xdr:row>
          <xdr:rowOff>419100</xdr:rowOff>
        </xdr:to>
        <xdr:sp macro="" textlink="">
          <xdr:nvSpPr>
            <xdr:cNvPr id="12302" name="CheckBox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24</xdr:row>
          <xdr:rowOff>167640</xdr:rowOff>
        </xdr:from>
        <xdr:to>
          <xdr:col>19</xdr:col>
          <xdr:colOff>906780</xdr:colOff>
          <xdr:row>24</xdr:row>
          <xdr:rowOff>419100</xdr:rowOff>
        </xdr:to>
        <xdr:sp macro="" textlink="">
          <xdr:nvSpPr>
            <xdr:cNvPr id="12303" name="CheckBox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25</xdr:row>
          <xdr:rowOff>167640</xdr:rowOff>
        </xdr:from>
        <xdr:to>
          <xdr:col>19</xdr:col>
          <xdr:colOff>906780</xdr:colOff>
          <xdr:row>25</xdr:row>
          <xdr:rowOff>419100</xdr:rowOff>
        </xdr:to>
        <xdr:sp macro="" textlink="">
          <xdr:nvSpPr>
            <xdr:cNvPr id="12304" name="CheckBox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26</xdr:row>
          <xdr:rowOff>167640</xdr:rowOff>
        </xdr:from>
        <xdr:to>
          <xdr:col>19</xdr:col>
          <xdr:colOff>906780</xdr:colOff>
          <xdr:row>26</xdr:row>
          <xdr:rowOff>419100</xdr:rowOff>
        </xdr:to>
        <xdr:sp macro="" textlink="">
          <xdr:nvSpPr>
            <xdr:cNvPr id="12305" name="CheckBox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27</xdr:row>
          <xdr:rowOff>167640</xdr:rowOff>
        </xdr:from>
        <xdr:to>
          <xdr:col>19</xdr:col>
          <xdr:colOff>906780</xdr:colOff>
          <xdr:row>27</xdr:row>
          <xdr:rowOff>419100</xdr:rowOff>
        </xdr:to>
        <xdr:sp macro="" textlink="">
          <xdr:nvSpPr>
            <xdr:cNvPr id="12306" name="CheckBox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28</xdr:row>
          <xdr:rowOff>167640</xdr:rowOff>
        </xdr:from>
        <xdr:to>
          <xdr:col>19</xdr:col>
          <xdr:colOff>906780</xdr:colOff>
          <xdr:row>28</xdr:row>
          <xdr:rowOff>419100</xdr:rowOff>
        </xdr:to>
        <xdr:sp macro="" textlink="">
          <xdr:nvSpPr>
            <xdr:cNvPr id="12307" name="CheckBox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29</xdr:row>
          <xdr:rowOff>167640</xdr:rowOff>
        </xdr:from>
        <xdr:to>
          <xdr:col>19</xdr:col>
          <xdr:colOff>906780</xdr:colOff>
          <xdr:row>29</xdr:row>
          <xdr:rowOff>419100</xdr:rowOff>
        </xdr:to>
        <xdr:sp macro="" textlink="">
          <xdr:nvSpPr>
            <xdr:cNvPr id="12308" name="CheckBox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30</xdr:row>
          <xdr:rowOff>167640</xdr:rowOff>
        </xdr:from>
        <xdr:to>
          <xdr:col>19</xdr:col>
          <xdr:colOff>906780</xdr:colOff>
          <xdr:row>30</xdr:row>
          <xdr:rowOff>419100</xdr:rowOff>
        </xdr:to>
        <xdr:sp macro="" textlink="">
          <xdr:nvSpPr>
            <xdr:cNvPr id="12309" name="CheckBox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31</xdr:row>
          <xdr:rowOff>0</xdr:rowOff>
        </xdr:from>
        <xdr:to>
          <xdr:col>19</xdr:col>
          <xdr:colOff>906780</xdr:colOff>
          <xdr:row>31</xdr:row>
          <xdr:rowOff>251460</xdr:rowOff>
        </xdr:to>
        <xdr:sp macro="" textlink="">
          <xdr:nvSpPr>
            <xdr:cNvPr id="12310" name="CheckBox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31</xdr:row>
          <xdr:rowOff>167640</xdr:rowOff>
        </xdr:from>
        <xdr:to>
          <xdr:col>19</xdr:col>
          <xdr:colOff>906780</xdr:colOff>
          <xdr:row>31</xdr:row>
          <xdr:rowOff>419100</xdr:rowOff>
        </xdr:to>
        <xdr:sp macro="" textlink="">
          <xdr:nvSpPr>
            <xdr:cNvPr id="12311" name="CheckBox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32</xdr:row>
          <xdr:rowOff>167640</xdr:rowOff>
        </xdr:from>
        <xdr:to>
          <xdr:col>19</xdr:col>
          <xdr:colOff>906780</xdr:colOff>
          <xdr:row>32</xdr:row>
          <xdr:rowOff>419100</xdr:rowOff>
        </xdr:to>
        <xdr:sp macro="" textlink="">
          <xdr:nvSpPr>
            <xdr:cNvPr id="12312" name="CheckBox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33</xdr:row>
          <xdr:rowOff>167640</xdr:rowOff>
        </xdr:from>
        <xdr:to>
          <xdr:col>19</xdr:col>
          <xdr:colOff>906780</xdr:colOff>
          <xdr:row>33</xdr:row>
          <xdr:rowOff>419100</xdr:rowOff>
        </xdr:to>
        <xdr:sp macro="" textlink="">
          <xdr:nvSpPr>
            <xdr:cNvPr id="12313" name="CheckBox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34</xdr:row>
          <xdr:rowOff>167640</xdr:rowOff>
        </xdr:from>
        <xdr:to>
          <xdr:col>19</xdr:col>
          <xdr:colOff>906780</xdr:colOff>
          <xdr:row>34</xdr:row>
          <xdr:rowOff>419100</xdr:rowOff>
        </xdr:to>
        <xdr:sp macro="" textlink="">
          <xdr:nvSpPr>
            <xdr:cNvPr id="12314" name="CheckBox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35</xdr:row>
          <xdr:rowOff>167640</xdr:rowOff>
        </xdr:from>
        <xdr:to>
          <xdr:col>19</xdr:col>
          <xdr:colOff>906780</xdr:colOff>
          <xdr:row>35</xdr:row>
          <xdr:rowOff>419100</xdr:rowOff>
        </xdr:to>
        <xdr:sp macro="" textlink="">
          <xdr:nvSpPr>
            <xdr:cNvPr id="12315" name="CheckBox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36</xdr:row>
          <xdr:rowOff>167640</xdr:rowOff>
        </xdr:from>
        <xdr:to>
          <xdr:col>19</xdr:col>
          <xdr:colOff>906780</xdr:colOff>
          <xdr:row>36</xdr:row>
          <xdr:rowOff>419100</xdr:rowOff>
        </xdr:to>
        <xdr:sp macro="" textlink="">
          <xdr:nvSpPr>
            <xdr:cNvPr id="12316" name="CheckBox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37</xdr:row>
          <xdr:rowOff>167640</xdr:rowOff>
        </xdr:from>
        <xdr:to>
          <xdr:col>19</xdr:col>
          <xdr:colOff>906780</xdr:colOff>
          <xdr:row>37</xdr:row>
          <xdr:rowOff>419100</xdr:rowOff>
        </xdr:to>
        <xdr:sp macro="" textlink="">
          <xdr:nvSpPr>
            <xdr:cNvPr id="12317" name="CheckBox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38</xdr:row>
          <xdr:rowOff>167640</xdr:rowOff>
        </xdr:from>
        <xdr:to>
          <xdr:col>19</xdr:col>
          <xdr:colOff>906780</xdr:colOff>
          <xdr:row>38</xdr:row>
          <xdr:rowOff>419100</xdr:rowOff>
        </xdr:to>
        <xdr:sp macro="" textlink="">
          <xdr:nvSpPr>
            <xdr:cNvPr id="12318" name="CheckBox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19" name="CheckBox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0" name="CheckBox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1" name="CheckBox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2" name="CheckBox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3" name="CheckBox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4" name="CheckBox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5" name="CheckBox38"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6" name="CheckBox39"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7" name="CheckBox40"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8" name="CheckBox41"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29" name="CheckBox42"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0" name="CheckBox43"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1" name="CheckBox44"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2" name="CheckBox45"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624840</xdr:colOff>
          <xdr:row>39</xdr:row>
          <xdr:rowOff>0</xdr:rowOff>
        </xdr:from>
        <xdr:to>
          <xdr:col>19</xdr:col>
          <xdr:colOff>906780</xdr:colOff>
          <xdr:row>39</xdr:row>
          <xdr:rowOff>259080</xdr:rowOff>
        </xdr:to>
        <xdr:sp macro="" textlink="">
          <xdr:nvSpPr>
            <xdr:cNvPr id="12333" name="CheckBox46"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80956</xdr:colOff>
      <xdr:row>0</xdr:row>
      <xdr:rowOff>52573</xdr:rowOff>
    </xdr:from>
    <xdr:ext cx="1867588" cy="780006"/>
    <xdr:pic>
      <xdr:nvPicPr>
        <xdr:cNvPr id="8" name="Imagen 7">
          <a:extLst>
            <a:ext uri="{FF2B5EF4-FFF2-40B4-BE49-F238E27FC236}">
              <a16:creationId xmlns:a16="http://schemas.microsoft.com/office/drawing/2014/main" id="{0A1A3185-39D4-4758-A916-F24D54A651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642" y="52573"/>
          <a:ext cx="1867588" cy="78000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502546</xdr:colOff>
      <xdr:row>0</xdr:row>
      <xdr:rowOff>0</xdr:rowOff>
    </xdr:from>
    <xdr:ext cx="623960" cy="767240"/>
    <xdr:pic>
      <xdr:nvPicPr>
        <xdr:cNvPr id="2" name="Imagen 1">
          <a:extLst>
            <a:ext uri="{FF2B5EF4-FFF2-40B4-BE49-F238E27FC236}">
              <a16:creationId xmlns:a16="http://schemas.microsoft.com/office/drawing/2014/main" id="{3A02FFA7-6031-479C-A04B-521BB0AFBA2B}"/>
            </a:ext>
          </a:extLst>
        </xdr:cNvPr>
        <xdr:cNvPicPr>
          <a:picLocks noChangeAspect="1"/>
        </xdr:cNvPicPr>
      </xdr:nvPicPr>
      <xdr:blipFill>
        <a:blip xmlns:r="http://schemas.openxmlformats.org/officeDocument/2006/relationships" r:embed="rId1"/>
        <a:stretch>
          <a:fillRect/>
        </a:stretch>
      </xdr:blipFill>
      <xdr:spPr>
        <a:xfrm>
          <a:off x="13206175" y="0"/>
          <a:ext cx="623960" cy="767240"/>
        </a:xfrm>
        <a:prstGeom prst="rect">
          <a:avLst/>
        </a:prstGeom>
      </xdr:spPr>
    </xdr:pic>
    <xdr:clientData/>
  </xdr:oneCellAnchor>
  <xdr:oneCellAnchor>
    <xdr:from>
      <xdr:col>0</xdr:col>
      <xdr:colOff>87086</xdr:colOff>
      <xdr:row>0</xdr:row>
      <xdr:rowOff>0</xdr:rowOff>
    </xdr:from>
    <xdr:ext cx="1867588" cy="780006"/>
    <xdr:pic>
      <xdr:nvPicPr>
        <xdr:cNvPr id="4" name="Imagen 3">
          <a:extLst>
            <a:ext uri="{FF2B5EF4-FFF2-40B4-BE49-F238E27FC236}">
              <a16:creationId xmlns:a16="http://schemas.microsoft.com/office/drawing/2014/main" id="{C16C5681-B5B6-40F6-95A5-4C73AF0EC8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086" y="0"/>
          <a:ext cx="1867588" cy="78000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IORGIO2020/Downloads/30554-MR-20200507175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definicion riesgo"/>
      <sheetName val="IDENTIFICACION"/>
      <sheetName val="PRIORIZACIÓN DE CAUSA"/>
      <sheetName val="IDENTIFICACION(GyC)"/>
      <sheetName val="DOFA"/>
      <sheetName val="DESCRIPCION"/>
      <sheetName val="PROBABILIDAD"/>
      <sheetName val=" IMPACTO RIESGOS GESTION"/>
      <sheetName val=" Impacto riesgo de corrupción "/>
      <sheetName val="VALORACION RIESGO (1)"/>
      <sheetName val="VALORACION RIESGO (2)"/>
      <sheetName val="VALORACION RIESGO (3)"/>
      <sheetName val="Hoja3"/>
      <sheetName val="VALORACION RIESGO (4)"/>
      <sheetName val="VALORACION RIESGO (5)"/>
      <sheetName val="CONTROLES Y EVALUACION"/>
      <sheetName val="SOLIDEZ DE LOS CONTROLES"/>
      <sheetName val="MAPA DE RIESGO ADMON"/>
    </sheetNames>
    <sheetDataSet>
      <sheetData sheetId="0" refreshError="1">
        <row r="11">
          <cell r="B11" t="str">
            <v xml:space="preserve">Constantes cambios normativos </v>
          </cell>
        </row>
        <row r="14">
          <cell r="D14" t="str">
            <v xml:space="preserve">Dificultad en la unificación de criterios para la realización de los procesos contractuales </v>
          </cell>
        </row>
      </sheetData>
      <sheetData sheetId="1" refreshError="1"/>
      <sheetData sheetId="2" refreshError="1"/>
      <sheetData sheetId="3" refreshError="1">
        <row r="15">
          <cell r="B15" t="str">
            <v xml:space="preserve">Personal insuficiente para adelantar las labores de proceso administrativo y contractual. </v>
          </cell>
        </row>
        <row r="16">
          <cell r="B16" t="str">
            <v xml:space="preserve">Falta de Etica y valores  y de aplicación del código de integridad y buen gobierno. </v>
          </cell>
        </row>
        <row r="17">
          <cell r="B17" t="str">
            <v xml:space="preserve">Dificultad en la unificación de criterios para la realización de los procesos contractuales </v>
          </cell>
        </row>
        <row r="18">
          <cell r="B18" t="str">
            <v>Falta de articulación entre las Secretarías ejecutoras, Secretaría de Planeación  y oficina de Contratación</v>
          </cell>
        </row>
        <row r="19">
          <cell r="B19" t="str">
            <v xml:space="preserve">Equipos tecnológicos obsoletos, Sistemas de Información no integrados. </v>
          </cell>
        </row>
        <row r="21">
          <cell r="B21" t="str">
            <v>Unidades administrativas ubicadas en diferentes sitios de la ciudad (Ibagué).</v>
          </cell>
        </row>
        <row r="23">
          <cell r="B23" t="str">
            <v xml:space="preserve">Desactualización de la caracterización del proceso. </v>
          </cell>
        </row>
        <row r="24">
          <cell r="B24" t="str">
            <v>Demoras en la recepción de la información contractual por parte de las secretarias ejecutoras.</v>
          </cell>
        </row>
        <row r="25">
          <cell r="B25" t="str">
            <v xml:space="preserve">Desconocimiento de la caracterización, manuales, procedimientos, instructivos, guías, formatos y demas documentos propios del proceso por parte del personal nuevo. </v>
          </cell>
        </row>
        <row r="26">
          <cell r="B26" t="str">
            <v>Falta de compromiso de los líderes de los procesos en la implementación de mejora, asociadas a los planes de mejoramiento</v>
          </cell>
        </row>
        <row r="27">
          <cell r="B27" t="str">
            <v xml:space="preserve">Desconocimiento del estatuto contractual y sus decretos reglamentarios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19.xml"/><Relationship Id="rId39" Type="http://schemas.openxmlformats.org/officeDocument/2006/relationships/control" Target="../activeX/activeX32.xml"/><Relationship Id="rId21" Type="http://schemas.openxmlformats.org/officeDocument/2006/relationships/control" Target="../activeX/activeX16.xml"/><Relationship Id="rId34" Type="http://schemas.openxmlformats.org/officeDocument/2006/relationships/control" Target="../activeX/activeX27.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ontrol" Target="../activeX/activeX22.xml"/><Relationship Id="rId11" Type="http://schemas.openxmlformats.org/officeDocument/2006/relationships/control" Target="../activeX/activeX6.xml"/><Relationship Id="rId24" Type="http://schemas.openxmlformats.org/officeDocument/2006/relationships/control" Target="../activeX/activeX18.xml"/><Relationship Id="rId32" Type="http://schemas.openxmlformats.org/officeDocument/2006/relationships/control" Target="../activeX/activeX25.xml"/><Relationship Id="rId37" Type="http://schemas.openxmlformats.org/officeDocument/2006/relationships/control" Target="../activeX/activeX30.xml"/><Relationship Id="rId40" Type="http://schemas.openxmlformats.org/officeDocument/2006/relationships/control" Target="../activeX/activeX33.xml"/><Relationship Id="rId45" Type="http://schemas.openxmlformats.org/officeDocument/2006/relationships/control" Target="../activeX/activeX38.xml"/><Relationship Id="rId53" Type="http://schemas.openxmlformats.org/officeDocument/2006/relationships/image" Target="../media/image7.emf"/><Relationship Id="rId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control" Target="../activeX/activeX24.xml"/><Relationship Id="rId44" Type="http://schemas.openxmlformats.org/officeDocument/2006/relationships/control" Target="../activeX/activeX37.xml"/><Relationship Id="rId52" Type="http://schemas.openxmlformats.org/officeDocument/2006/relationships/control" Target="../activeX/activeX4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image" Target="../media/image5.emf"/><Relationship Id="rId27" Type="http://schemas.openxmlformats.org/officeDocument/2006/relationships/control" Target="../activeX/activeX20.xml"/><Relationship Id="rId30" Type="http://schemas.openxmlformats.org/officeDocument/2006/relationships/control" Target="../activeX/activeX23.xml"/><Relationship Id="rId35" Type="http://schemas.openxmlformats.org/officeDocument/2006/relationships/control" Target="../activeX/activeX28.xml"/><Relationship Id="rId43" Type="http://schemas.openxmlformats.org/officeDocument/2006/relationships/control" Target="../activeX/activeX36.xml"/><Relationship Id="rId48"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44.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image" Target="../media/image6.emf"/><Relationship Id="rId33" Type="http://schemas.openxmlformats.org/officeDocument/2006/relationships/control" Target="../activeX/activeX26.xml"/><Relationship Id="rId38" Type="http://schemas.openxmlformats.org/officeDocument/2006/relationships/control" Target="../activeX/activeX31.xml"/><Relationship Id="rId46" Type="http://schemas.openxmlformats.org/officeDocument/2006/relationships/control" Target="../activeX/activeX39.xml"/><Relationship Id="rId20" Type="http://schemas.openxmlformats.org/officeDocument/2006/relationships/control" Target="../activeX/activeX15.xml"/><Relationship Id="rId41" Type="http://schemas.openxmlformats.org/officeDocument/2006/relationships/control" Target="../activeX/activeX34.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0.xml"/><Relationship Id="rId23" Type="http://schemas.openxmlformats.org/officeDocument/2006/relationships/control" Target="../activeX/activeX17.xml"/><Relationship Id="rId28" Type="http://schemas.openxmlformats.org/officeDocument/2006/relationships/control" Target="../activeX/activeX21.xml"/><Relationship Id="rId36" Type="http://schemas.openxmlformats.org/officeDocument/2006/relationships/control" Target="../activeX/activeX29.xml"/><Relationship Id="rId49" Type="http://schemas.openxmlformats.org/officeDocument/2006/relationships/control" Target="../activeX/activeX4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election activeCell="B4" sqref="B4:H5"/>
    </sheetView>
  </sheetViews>
  <sheetFormatPr baseColWidth="10" defaultColWidth="11.44140625" defaultRowHeight="14.4" x14ac:dyDescent="0.3"/>
  <cols>
    <col min="1" max="1" width="2.77734375" style="67" customWidth="1"/>
    <col min="2" max="3" width="24.5546875" style="67" customWidth="1"/>
    <col min="4" max="4" width="16" style="67" customWidth="1"/>
    <col min="5" max="5" width="24.5546875" style="67" customWidth="1"/>
    <col min="6" max="6" width="27.5546875" style="67" customWidth="1"/>
    <col min="7" max="8" width="24.5546875" style="67" customWidth="1"/>
    <col min="9" max="16384" width="11.44140625" style="67"/>
  </cols>
  <sheetData>
    <row r="1" spans="2:8" ht="15" thickBot="1" x14ac:dyDescent="0.35"/>
    <row r="2" spans="2:8" ht="18" x14ac:dyDescent="0.3">
      <c r="B2" s="235" t="s">
        <v>154</v>
      </c>
      <c r="C2" s="236"/>
      <c r="D2" s="236"/>
      <c r="E2" s="236"/>
      <c r="F2" s="236"/>
      <c r="G2" s="236"/>
      <c r="H2" s="237"/>
    </row>
    <row r="3" spans="2:8" x14ac:dyDescent="0.3">
      <c r="B3" s="68"/>
      <c r="C3" s="69"/>
      <c r="D3" s="69"/>
      <c r="E3" s="69"/>
      <c r="F3" s="69"/>
      <c r="G3" s="69"/>
      <c r="H3" s="70"/>
    </row>
    <row r="4" spans="2:8" ht="63" customHeight="1" x14ac:dyDescent="0.3">
      <c r="B4" s="238" t="s">
        <v>197</v>
      </c>
      <c r="C4" s="239"/>
      <c r="D4" s="239"/>
      <c r="E4" s="239"/>
      <c r="F4" s="239"/>
      <c r="G4" s="239"/>
      <c r="H4" s="240"/>
    </row>
    <row r="5" spans="2:8" ht="63" customHeight="1" x14ac:dyDescent="0.3">
      <c r="B5" s="241"/>
      <c r="C5" s="242"/>
      <c r="D5" s="242"/>
      <c r="E5" s="242"/>
      <c r="F5" s="242"/>
      <c r="G5" s="242"/>
      <c r="H5" s="243"/>
    </row>
    <row r="6" spans="2:8" x14ac:dyDescent="0.3">
      <c r="B6" s="244" t="s">
        <v>152</v>
      </c>
      <c r="C6" s="245"/>
      <c r="D6" s="245"/>
      <c r="E6" s="245"/>
      <c r="F6" s="245"/>
      <c r="G6" s="245"/>
      <c r="H6" s="246"/>
    </row>
    <row r="7" spans="2:8" ht="95.25" customHeight="1" x14ac:dyDescent="0.3">
      <c r="B7" s="254" t="s">
        <v>157</v>
      </c>
      <c r="C7" s="255"/>
      <c r="D7" s="255"/>
      <c r="E7" s="255"/>
      <c r="F7" s="255"/>
      <c r="G7" s="255"/>
      <c r="H7" s="256"/>
    </row>
    <row r="8" spans="2:8" x14ac:dyDescent="0.3">
      <c r="B8" s="102"/>
      <c r="C8" s="103"/>
      <c r="D8" s="103"/>
      <c r="E8" s="103"/>
      <c r="F8" s="103"/>
      <c r="G8" s="103"/>
      <c r="H8" s="104"/>
    </row>
    <row r="9" spans="2:8" ht="16.5" customHeight="1" x14ac:dyDescent="0.3">
      <c r="B9" s="247" t="s">
        <v>190</v>
      </c>
      <c r="C9" s="248"/>
      <c r="D9" s="248"/>
      <c r="E9" s="248"/>
      <c r="F9" s="248"/>
      <c r="G9" s="248"/>
      <c r="H9" s="249"/>
    </row>
    <row r="10" spans="2:8" ht="44.25" customHeight="1" x14ac:dyDescent="0.3">
      <c r="B10" s="247"/>
      <c r="C10" s="248"/>
      <c r="D10" s="248"/>
      <c r="E10" s="248"/>
      <c r="F10" s="248"/>
      <c r="G10" s="248"/>
      <c r="H10" s="249"/>
    </row>
    <row r="11" spans="2:8" ht="15" thickBot="1" x14ac:dyDescent="0.35">
      <c r="B11" s="91"/>
      <c r="C11" s="94"/>
      <c r="D11" s="99"/>
      <c r="E11" s="100"/>
      <c r="F11" s="100"/>
      <c r="G11" s="101"/>
      <c r="H11" s="95"/>
    </row>
    <row r="12" spans="2:8" ht="15" thickTop="1" x14ac:dyDescent="0.3">
      <c r="B12" s="91"/>
      <c r="C12" s="250" t="s">
        <v>153</v>
      </c>
      <c r="D12" s="251"/>
      <c r="E12" s="252" t="s">
        <v>191</v>
      </c>
      <c r="F12" s="253"/>
      <c r="G12" s="94"/>
      <c r="H12" s="95"/>
    </row>
    <row r="13" spans="2:8" ht="35.25" customHeight="1" x14ac:dyDescent="0.3">
      <c r="B13" s="91"/>
      <c r="C13" s="257" t="s">
        <v>184</v>
      </c>
      <c r="D13" s="258"/>
      <c r="E13" s="259" t="s">
        <v>189</v>
      </c>
      <c r="F13" s="260"/>
      <c r="G13" s="94"/>
      <c r="H13" s="95"/>
    </row>
    <row r="14" spans="2:8" ht="17.25" customHeight="1" x14ac:dyDescent="0.3">
      <c r="B14" s="91"/>
      <c r="C14" s="257" t="s">
        <v>185</v>
      </c>
      <c r="D14" s="258"/>
      <c r="E14" s="259" t="s">
        <v>187</v>
      </c>
      <c r="F14" s="260"/>
      <c r="G14" s="94"/>
      <c r="H14" s="95"/>
    </row>
    <row r="15" spans="2:8" ht="19.5" customHeight="1" x14ac:dyDescent="0.3">
      <c r="B15" s="91"/>
      <c r="C15" s="257" t="s">
        <v>186</v>
      </c>
      <c r="D15" s="258"/>
      <c r="E15" s="259" t="s">
        <v>188</v>
      </c>
      <c r="F15" s="260"/>
      <c r="G15" s="94"/>
      <c r="H15" s="95"/>
    </row>
    <row r="16" spans="2:8" ht="69.75" customHeight="1" x14ac:dyDescent="0.3">
      <c r="B16" s="91"/>
      <c r="C16" s="257" t="s">
        <v>155</v>
      </c>
      <c r="D16" s="258"/>
      <c r="E16" s="259" t="s">
        <v>156</v>
      </c>
      <c r="F16" s="260"/>
      <c r="G16" s="94"/>
      <c r="H16" s="95"/>
    </row>
    <row r="17" spans="2:8" ht="34.5" customHeight="1" x14ac:dyDescent="0.3">
      <c r="B17" s="91"/>
      <c r="C17" s="261" t="s">
        <v>2</v>
      </c>
      <c r="D17" s="262"/>
      <c r="E17" s="263" t="s">
        <v>198</v>
      </c>
      <c r="F17" s="264"/>
      <c r="G17" s="94"/>
      <c r="H17" s="95"/>
    </row>
    <row r="18" spans="2:8" ht="27.75" customHeight="1" x14ac:dyDescent="0.3">
      <c r="B18" s="91"/>
      <c r="C18" s="261" t="s">
        <v>3</v>
      </c>
      <c r="D18" s="262"/>
      <c r="E18" s="263" t="s">
        <v>199</v>
      </c>
      <c r="F18" s="264"/>
      <c r="G18" s="94"/>
      <c r="H18" s="95"/>
    </row>
    <row r="19" spans="2:8" ht="28.5" customHeight="1" x14ac:dyDescent="0.3">
      <c r="B19" s="91"/>
      <c r="C19" s="261" t="s">
        <v>41</v>
      </c>
      <c r="D19" s="262"/>
      <c r="E19" s="263" t="s">
        <v>200</v>
      </c>
      <c r="F19" s="264"/>
      <c r="G19" s="94"/>
      <c r="H19" s="95"/>
    </row>
    <row r="20" spans="2:8" ht="72.75" customHeight="1" x14ac:dyDescent="0.3">
      <c r="B20" s="91"/>
      <c r="C20" s="261" t="s">
        <v>1</v>
      </c>
      <c r="D20" s="262"/>
      <c r="E20" s="263" t="s">
        <v>201</v>
      </c>
      <c r="F20" s="264"/>
      <c r="G20" s="94"/>
      <c r="H20" s="95"/>
    </row>
    <row r="21" spans="2:8" ht="64.5" customHeight="1" x14ac:dyDescent="0.3">
      <c r="B21" s="91"/>
      <c r="C21" s="261" t="s">
        <v>49</v>
      </c>
      <c r="D21" s="262"/>
      <c r="E21" s="263" t="s">
        <v>159</v>
      </c>
      <c r="F21" s="264"/>
      <c r="G21" s="94"/>
      <c r="H21" s="95"/>
    </row>
    <row r="22" spans="2:8" ht="71.25" customHeight="1" x14ac:dyDescent="0.3">
      <c r="B22" s="91"/>
      <c r="C22" s="261" t="s">
        <v>158</v>
      </c>
      <c r="D22" s="262"/>
      <c r="E22" s="263" t="s">
        <v>160</v>
      </c>
      <c r="F22" s="264"/>
      <c r="G22" s="94"/>
      <c r="H22" s="95"/>
    </row>
    <row r="23" spans="2:8" ht="55.5" customHeight="1" x14ac:dyDescent="0.3">
      <c r="B23" s="91"/>
      <c r="C23" s="268" t="s">
        <v>161</v>
      </c>
      <c r="D23" s="269"/>
      <c r="E23" s="263" t="s">
        <v>162</v>
      </c>
      <c r="F23" s="264"/>
      <c r="G23" s="94"/>
      <c r="H23" s="95"/>
    </row>
    <row r="24" spans="2:8" ht="42" customHeight="1" x14ac:dyDescent="0.3">
      <c r="B24" s="91"/>
      <c r="C24" s="268" t="s">
        <v>47</v>
      </c>
      <c r="D24" s="269"/>
      <c r="E24" s="263" t="s">
        <v>163</v>
      </c>
      <c r="F24" s="264"/>
      <c r="G24" s="94"/>
      <c r="H24" s="95"/>
    </row>
    <row r="25" spans="2:8" ht="59.25" customHeight="1" x14ac:dyDescent="0.3">
      <c r="B25" s="91"/>
      <c r="C25" s="268" t="s">
        <v>151</v>
      </c>
      <c r="D25" s="269"/>
      <c r="E25" s="263" t="s">
        <v>164</v>
      </c>
      <c r="F25" s="264"/>
      <c r="G25" s="94"/>
      <c r="H25" s="95"/>
    </row>
    <row r="26" spans="2:8" ht="23.25" customHeight="1" x14ac:dyDescent="0.3">
      <c r="B26" s="91"/>
      <c r="C26" s="268" t="s">
        <v>12</v>
      </c>
      <c r="D26" s="269"/>
      <c r="E26" s="263" t="s">
        <v>165</v>
      </c>
      <c r="F26" s="264"/>
      <c r="G26" s="94"/>
      <c r="H26" s="95"/>
    </row>
    <row r="27" spans="2:8" ht="30.75" customHeight="1" x14ac:dyDescent="0.3">
      <c r="B27" s="91"/>
      <c r="C27" s="268" t="s">
        <v>169</v>
      </c>
      <c r="D27" s="269"/>
      <c r="E27" s="263" t="s">
        <v>166</v>
      </c>
      <c r="F27" s="264"/>
      <c r="G27" s="94"/>
      <c r="H27" s="95"/>
    </row>
    <row r="28" spans="2:8" ht="35.25" customHeight="1" x14ac:dyDescent="0.3">
      <c r="B28" s="91"/>
      <c r="C28" s="268" t="s">
        <v>170</v>
      </c>
      <c r="D28" s="269"/>
      <c r="E28" s="263" t="s">
        <v>167</v>
      </c>
      <c r="F28" s="264"/>
      <c r="G28" s="94"/>
      <c r="H28" s="95"/>
    </row>
    <row r="29" spans="2:8" ht="33" customHeight="1" x14ac:dyDescent="0.3">
      <c r="B29" s="91"/>
      <c r="C29" s="268" t="s">
        <v>170</v>
      </c>
      <c r="D29" s="269"/>
      <c r="E29" s="263" t="s">
        <v>167</v>
      </c>
      <c r="F29" s="264"/>
      <c r="G29" s="94"/>
      <c r="H29" s="95"/>
    </row>
    <row r="30" spans="2:8" ht="30" customHeight="1" x14ac:dyDescent="0.3">
      <c r="B30" s="91"/>
      <c r="C30" s="268" t="s">
        <v>171</v>
      </c>
      <c r="D30" s="269"/>
      <c r="E30" s="263" t="s">
        <v>168</v>
      </c>
      <c r="F30" s="264"/>
      <c r="G30" s="94"/>
      <c r="H30" s="95"/>
    </row>
    <row r="31" spans="2:8" ht="35.25" customHeight="1" x14ac:dyDescent="0.3">
      <c r="B31" s="91"/>
      <c r="C31" s="268" t="s">
        <v>172</v>
      </c>
      <c r="D31" s="269"/>
      <c r="E31" s="263" t="s">
        <v>173</v>
      </c>
      <c r="F31" s="264"/>
      <c r="G31" s="94"/>
      <c r="H31" s="95"/>
    </row>
    <row r="32" spans="2:8" ht="31.5" customHeight="1" x14ac:dyDescent="0.3">
      <c r="B32" s="91"/>
      <c r="C32" s="268" t="s">
        <v>174</v>
      </c>
      <c r="D32" s="269"/>
      <c r="E32" s="263" t="s">
        <v>175</v>
      </c>
      <c r="F32" s="264"/>
      <c r="G32" s="94"/>
      <c r="H32" s="95"/>
    </row>
    <row r="33" spans="2:8" ht="35.25" customHeight="1" x14ac:dyDescent="0.3">
      <c r="B33" s="91"/>
      <c r="C33" s="268" t="s">
        <v>176</v>
      </c>
      <c r="D33" s="269"/>
      <c r="E33" s="263" t="s">
        <v>177</v>
      </c>
      <c r="F33" s="264"/>
      <c r="G33" s="94"/>
      <c r="H33" s="95"/>
    </row>
    <row r="34" spans="2:8" ht="59.25" customHeight="1" x14ac:dyDescent="0.3">
      <c r="B34" s="91"/>
      <c r="C34" s="268" t="s">
        <v>178</v>
      </c>
      <c r="D34" s="269"/>
      <c r="E34" s="263" t="s">
        <v>179</v>
      </c>
      <c r="F34" s="264"/>
      <c r="G34" s="94"/>
      <c r="H34" s="95"/>
    </row>
    <row r="35" spans="2:8" ht="29.25" customHeight="1" x14ac:dyDescent="0.3">
      <c r="B35" s="91"/>
      <c r="C35" s="268" t="s">
        <v>29</v>
      </c>
      <c r="D35" s="269"/>
      <c r="E35" s="263" t="s">
        <v>180</v>
      </c>
      <c r="F35" s="264"/>
      <c r="G35" s="94"/>
      <c r="H35" s="95"/>
    </row>
    <row r="36" spans="2:8" ht="82.5" customHeight="1" x14ac:dyDescent="0.3">
      <c r="B36" s="91"/>
      <c r="C36" s="268" t="s">
        <v>182</v>
      </c>
      <c r="D36" s="269"/>
      <c r="E36" s="263" t="s">
        <v>181</v>
      </c>
      <c r="F36" s="264"/>
      <c r="G36" s="94"/>
      <c r="H36" s="95"/>
    </row>
    <row r="37" spans="2:8" ht="46.5" customHeight="1" x14ac:dyDescent="0.3">
      <c r="B37" s="91"/>
      <c r="C37" s="268" t="s">
        <v>38</v>
      </c>
      <c r="D37" s="269"/>
      <c r="E37" s="263" t="s">
        <v>183</v>
      </c>
      <c r="F37" s="264"/>
      <c r="G37" s="94"/>
      <c r="H37" s="95"/>
    </row>
    <row r="38" spans="2:8" ht="6.75" customHeight="1" thickBot="1" x14ac:dyDescent="0.35">
      <c r="B38" s="91"/>
      <c r="C38" s="270"/>
      <c r="D38" s="271"/>
      <c r="E38" s="272"/>
      <c r="F38" s="273"/>
      <c r="G38" s="94"/>
      <c r="H38" s="95"/>
    </row>
    <row r="39" spans="2:8" ht="15" thickTop="1" x14ac:dyDescent="0.3">
      <c r="B39" s="91"/>
      <c r="C39" s="92"/>
      <c r="D39" s="92"/>
      <c r="E39" s="93"/>
      <c r="F39" s="93"/>
      <c r="G39" s="94"/>
      <c r="H39" s="95"/>
    </row>
    <row r="40" spans="2:8" ht="21" customHeight="1" x14ac:dyDescent="0.3">
      <c r="B40" s="265" t="s">
        <v>192</v>
      </c>
      <c r="C40" s="266"/>
      <c r="D40" s="266"/>
      <c r="E40" s="266"/>
      <c r="F40" s="266"/>
      <c r="G40" s="266"/>
      <c r="H40" s="267"/>
    </row>
    <row r="41" spans="2:8" ht="20.25" customHeight="1" x14ac:dyDescent="0.3">
      <c r="B41" s="265" t="s">
        <v>193</v>
      </c>
      <c r="C41" s="266"/>
      <c r="D41" s="266"/>
      <c r="E41" s="266"/>
      <c r="F41" s="266"/>
      <c r="G41" s="266"/>
      <c r="H41" s="267"/>
    </row>
    <row r="42" spans="2:8" ht="20.25" customHeight="1" x14ac:dyDescent="0.3">
      <c r="B42" s="265" t="s">
        <v>194</v>
      </c>
      <c r="C42" s="266"/>
      <c r="D42" s="266"/>
      <c r="E42" s="266"/>
      <c r="F42" s="266"/>
      <c r="G42" s="266"/>
      <c r="H42" s="267"/>
    </row>
    <row r="43" spans="2:8" ht="20.25" customHeight="1" x14ac:dyDescent="0.3">
      <c r="B43" s="265" t="s">
        <v>195</v>
      </c>
      <c r="C43" s="266"/>
      <c r="D43" s="266"/>
      <c r="E43" s="266"/>
      <c r="F43" s="266"/>
      <c r="G43" s="266"/>
      <c r="H43" s="267"/>
    </row>
    <row r="44" spans="2:8" x14ac:dyDescent="0.3">
      <c r="B44" s="265" t="s">
        <v>196</v>
      </c>
      <c r="C44" s="266"/>
      <c r="D44" s="266"/>
      <c r="E44" s="266"/>
      <c r="F44" s="266"/>
      <c r="G44" s="266"/>
      <c r="H44" s="267"/>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9" workbookViewId="0"/>
  </sheetViews>
  <sheetFormatPr baseColWidth="10" defaultColWidth="14.44140625" defaultRowHeight="13.8" x14ac:dyDescent="0.3"/>
  <cols>
    <col min="1" max="2" width="14.44140625" style="72"/>
    <col min="3" max="3" width="17" style="72" customWidth="1"/>
    <col min="4" max="4" width="14.44140625" style="72"/>
    <col min="5" max="5" width="46" style="72" customWidth="1"/>
    <col min="6" max="16384" width="14.44140625" style="72"/>
  </cols>
  <sheetData>
    <row r="1" spans="2:6" ht="24" customHeight="1" thickBot="1" x14ac:dyDescent="0.35">
      <c r="B1" s="622" t="s">
        <v>76</v>
      </c>
      <c r="C1" s="623"/>
      <c r="D1" s="623"/>
      <c r="E1" s="623"/>
      <c r="F1" s="624"/>
    </row>
    <row r="2" spans="2:6" ht="16.2" thickBot="1" x14ac:dyDescent="0.35">
      <c r="B2" s="73"/>
      <c r="C2" s="73"/>
      <c r="D2" s="73"/>
      <c r="E2" s="73"/>
      <c r="F2" s="73"/>
    </row>
    <row r="3" spans="2:6" ht="16.2" thickBot="1" x14ac:dyDescent="0.35">
      <c r="B3" s="626" t="s">
        <v>62</v>
      </c>
      <c r="C3" s="627"/>
      <c r="D3" s="627"/>
      <c r="E3" s="85" t="s">
        <v>63</v>
      </c>
      <c r="F3" s="86" t="s">
        <v>64</v>
      </c>
    </row>
    <row r="4" spans="2:6" ht="31.2" x14ac:dyDescent="0.3">
      <c r="B4" s="628" t="s">
        <v>65</v>
      </c>
      <c r="C4" s="630" t="s">
        <v>13</v>
      </c>
      <c r="D4" s="74" t="s">
        <v>14</v>
      </c>
      <c r="E4" s="75" t="s">
        <v>66</v>
      </c>
      <c r="F4" s="76">
        <v>0.25</v>
      </c>
    </row>
    <row r="5" spans="2:6" ht="46.8" x14ac:dyDescent="0.3">
      <c r="B5" s="629"/>
      <c r="C5" s="631"/>
      <c r="D5" s="77" t="s">
        <v>15</v>
      </c>
      <c r="E5" s="78" t="s">
        <v>67</v>
      </c>
      <c r="F5" s="79">
        <v>0.15</v>
      </c>
    </row>
    <row r="6" spans="2:6" ht="46.8" x14ac:dyDescent="0.3">
      <c r="B6" s="629"/>
      <c r="C6" s="631"/>
      <c r="D6" s="77" t="s">
        <v>16</v>
      </c>
      <c r="E6" s="78" t="s">
        <v>68</v>
      </c>
      <c r="F6" s="79">
        <v>0.1</v>
      </c>
    </row>
    <row r="7" spans="2:6" ht="62.4" x14ac:dyDescent="0.3">
      <c r="B7" s="629"/>
      <c r="C7" s="631" t="s">
        <v>17</v>
      </c>
      <c r="D7" s="77" t="s">
        <v>10</v>
      </c>
      <c r="E7" s="78" t="s">
        <v>69</v>
      </c>
      <c r="F7" s="79">
        <v>0.25</v>
      </c>
    </row>
    <row r="8" spans="2:6" ht="31.2" x14ac:dyDescent="0.3">
      <c r="B8" s="629"/>
      <c r="C8" s="631"/>
      <c r="D8" s="77" t="s">
        <v>9</v>
      </c>
      <c r="E8" s="78" t="s">
        <v>70</v>
      </c>
      <c r="F8" s="79">
        <v>0.15</v>
      </c>
    </row>
    <row r="9" spans="2:6" ht="46.8" x14ac:dyDescent="0.3">
      <c r="B9" s="629" t="s">
        <v>150</v>
      </c>
      <c r="C9" s="631" t="s">
        <v>18</v>
      </c>
      <c r="D9" s="77" t="s">
        <v>19</v>
      </c>
      <c r="E9" s="78" t="s">
        <v>71</v>
      </c>
      <c r="F9" s="80" t="s">
        <v>72</v>
      </c>
    </row>
    <row r="10" spans="2:6" ht="46.8" x14ac:dyDescent="0.3">
      <c r="B10" s="629"/>
      <c r="C10" s="631"/>
      <c r="D10" s="77" t="s">
        <v>20</v>
      </c>
      <c r="E10" s="78" t="s">
        <v>73</v>
      </c>
      <c r="F10" s="80" t="s">
        <v>72</v>
      </c>
    </row>
    <row r="11" spans="2:6" ht="46.8" x14ac:dyDescent="0.3">
      <c r="B11" s="629"/>
      <c r="C11" s="631" t="s">
        <v>21</v>
      </c>
      <c r="D11" s="77" t="s">
        <v>22</v>
      </c>
      <c r="E11" s="78" t="s">
        <v>74</v>
      </c>
      <c r="F11" s="80" t="s">
        <v>72</v>
      </c>
    </row>
    <row r="12" spans="2:6" ht="46.8" x14ac:dyDescent="0.3">
      <c r="B12" s="629"/>
      <c r="C12" s="631"/>
      <c r="D12" s="77" t="s">
        <v>23</v>
      </c>
      <c r="E12" s="78" t="s">
        <v>75</v>
      </c>
      <c r="F12" s="80" t="s">
        <v>72</v>
      </c>
    </row>
    <row r="13" spans="2:6" ht="31.2" x14ac:dyDescent="0.3">
      <c r="B13" s="629"/>
      <c r="C13" s="631" t="s">
        <v>24</v>
      </c>
      <c r="D13" s="77" t="s">
        <v>113</v>
      </c>
      <c r="E13" s="78" t="s">
        <v>116</v>
      </c>
      <c r="F13" s="80" t="s">
        <v>72</v>
      </c>
    </row>
    <row r="14" spans="2:6" ht="16.2" thickBot="1" x14ac:dyDescent="0.35">
      <c r="B14" s="632"/>
      <c r="C14" s="633"/>
      <c r="D14" s="81" t="s">
        <v>114</v>
      </c>
      <c r="E14" s="82" t="s">
        <v>115</v>
      </c>
      <c r="F14" s="83" t="s">
        <v>72</v>
      </c>
    </row>
    <row r="15" spans="2:6" ht="49.5" customHeight="1" x14ac:dyDescent="0.3">
      <c r="B15" s="625" t="s">
        <v>147</v>
      </c>
      <c r="C15" s="625"/>
      <c r="D15" s="625"/>
      <c r="E15" s="625"/>
      <c r="F15" s="625"/>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777343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617C-FACF-447D-9A58-726AD0A6C9CB}">
  <dimension ref="A1:J55"/>
  <sheetViews>
    <sheetView topLeftCell="A3" zoomScale="70" zoomScaleNormal="70" workbookViewId="0">
      <selection activeCell="B17" sqref="B17"/>
    </sheetView>
  </sheetViews>
  <sheetFormatPr baseColWidth="10" defaultColWidth="11.44140625" defaultRowHeight="13.8" x14ac:dyDescent="0.25"/>
  <cols>
    <col min="1" max="1" width="29.44140625" style="152" customWidth="1"/>
    <col min="2" max="2" width="29.21875" style="152" customWidth="1"/>
    <col min="3" max="3" width="30.21875" style="152" customWidth="1"/>
    <col min="4" max="4" width="31.77734375" style="152" customWidth="1"/>
    <col min="5" max="5" width="32.5546875" style="152" customWidth="1"/>
    <col min="6" max="6" width="32" style="152" customWidth="1"/>
    <col min="7" max="16384" width="11.44140625" style="152"/>
  </cols>
  <sheetData>
    <row r="1" spans="1:10" ht="15" customHeight="1" x14ac:dyDescent="0.25">
      <c r="A1" s="277"/>
      <c r="B1" s="279" t="s">
        <v>298</v>
      </c>
      <c r="C1" s="279"/>
      <c r="D1" s="279"/>
      <c r="E1" s="176" t="s">
        <v>389</v>
      </c>
      <c r="F1" s="275"/>
      <c r="G1" s="174"/>
      <c r="J1" s="274"/>
    </row>
    <row r="2" spans="1:10" ht="15" customHeight="1" x14ac:dyDescent="0.25">
      <c r="A2" s="278"/>
      <c r="B2" s="280"/>
      <c r="C2" s="280"/>
      <c r="D2" s="280"/>
      <c r="E2" s="175" t="s">
        <v>263</v>
      </c>
      <c r="F2" s="276"/>
      <c r="G2" s="174"/>
      <c r="J2" s="274"/>
    </row>
    <row r="3" spans="1:10" ht="15" customHeight="1" x14ac:dyDescent="0.25">
      <c r="A3" s="278"/>
      <c r="B3" s="280" t="s">
        <v>262</v>
      </c>
      <c r="C3" s="280"/>
      <c r="D3" s="280"/>
      <c r="E3" s="175" t="s">
        <v>261</v>
      </c>
      <c r="F3" s="276"/>
      <c r="G3" s="174"/>
      <c r="J3" s="274"/>
    </row>
    <row r="4" spans="1:10" ht="15.75" customHeight="1" x14ac:dyDescent="0.25">
      <c r="A4" s="278"/>
      <c r="B4" s="280"/>
      <c r="C4" s="280"/>
      <c r="D4" s="280"/>
      <c r="E4" s="175" t="s">
        <v>390</v>
      </c>
      <c r="F4" s="276"/>
      <c r="G4" s="174"/>
      <c r="J4" s="274"/>
    </row>
    <row r="5" spans="1:10" ht="15.75" customHeight="1" x14ac:dyDescent="0.25">
      <c r="A5" s="282"/>
      <c r="B5" s="283"/>
      <c r="C5" s="283"/>
      <c r="D5" s="283"/>
      <c r="E5" s="283"/>
      <c r="F5" s="284"/>
      <c r="G5" s="174"/>
      <c r="J5" s="173"/>
    </row>
    <row r="6" spans="1:10" ht="15" customHeight="1" x14ac:dyDescent="0.25">
      <c r="A6" s="291" t="s">
        <v>260</v>
      </c>
      <c r="B6" s="292"/>
      <c r="C6" s="292"/>
      <c r="D6" s="292"/>
      <c r="E6" s="292"/>
      <c r="F6" s="293"/>
    </row>
    <row r="7" spans="1:10" ht="15.75" customHeight="1" x14ac:dyDescent="0.25">
      <c r="A7" s="291"/>
      <c r="B7" s="292"/>
      <c r="C7" s="292"/>
      <c r="D7" s="292"/>
      <c r="E7" s="292"/>
      <c r="F7" s="293"/>
    </row>
    <row r="8" spans="1:10" ht="27" customHeight="1" x14ac:dyDescent="0.25">
      <c r="A8" s="285" t="s">
        <v>297</v>
      </c>
      <c r="B8" s="286"/>
      <c r="C8" s="286"/>
      <c r="D8" s="286"/>
      <c r="E8" s="286"/>
      <c r="F8" s="287"/>
    </row>
    <row r="9" spans="1:10" ht="77.25" customHeight="1" thickBot="1" x14ac:dyDescent="0.3">
      <c r="A9" s="288" t="s">
        <v>296</v>
      </c>
      <c r="B9" s="289"/>
      <c r="C9" s="289"/>
      <c r="D9" s="289"/>
      <c r="E9" s="289"/>
      <c r="F9" s="290"/>
    </row>
    <row r="10" spans="1:10" ht="18.75" customHeight="1" thickBot="1" x14ac:dyDescent="0.3">
      <c r="A10" s="281"/>
      <c r="B10" s="281"/>
      <c r="C10" s="281"/>
      <c r="D10" s="281"/>
      <c r="E10" s="281"/>
      <c r="F10" s="281"/>
    </row>
    <row r="11" spans="1:10" ht="22.5" customHeight="1" thickBot="1" x14ac:dyDescent="0.3">
      <c r="A11" s="172" t="s">
        <v>259</v>
      </c>
      <c r="B11" s="171" t="s">
        <v>256</v>
      </c>
      <c r="C11" s="171" t="s">
        <v>258</v>
      </c>
      <c r="D11" s="171" t="s">
        <v>256</v>
      </c>
      <c r="E11" s="171" t="s">
        <v>257</v>
      </c>
      <c r="F11" s="184" t="s">
        <v>256</v>
      </c>
    </row>
    <row r="12" spans="1:10" ht="90" customHeight="1" x14ac:dyDescent="0.25">
      <c r="A12" s="170" t="s">
        <v>252</v>
      </c>
      <c r="B12" s="219" t="s">
        <v>295</v>
      </c>
      <c r="C12" s="169" t="s">
        <v>244</v>
      </c>
      <c r="D12" s="222" t="s">
        <v>294</v>
      </c>
      <c r="E12" s="169" t="s">
        <v>240</v>
      </c>
      <c r="F12" s="228" t="s">
        <v>293</v>
      </c>
    </row>
    <row r="13" spans="1:10" ht="60" customHeight="1" x14ac:dyDescent="0.25">
      <c r="A13" s="168" t="s">
        <v>292</v>
      </c>
      <c r="B13" s="221" t="s">
        <v>291</v>
      </c>
      <c r="C13" s="165" t="s">
        <v>253</v>
      </c>
      <c r="D13" s="223" t="s">
        <v>290</v>
      </c>
      <c r="E13" s="165" t="s">
        <v>236</v>
      </c>
      <c r="F13" s="231" t="s">
        <v>289</v>
      </c>
    </row>
    <row r="14" spans="1:10" ht="96" customHeight="1" x14ac:dyDescent="0.25">
      <c r="A14" s="168" t="s">
        <v>250</v>
      </c>
      <c r="B14" s="221" t="s">
        <v>288</v>
      </c>
      <c r="C14" s="165" t="s">
        <v>253</v>
      </c>
      <c r="D14" s="223" t="s">
        <v>287</v>
      </c>
      <c r="E14" s="165" t="s">
        <v>286</v>
      </c>
      <c r="F14" s="231" t="s">
        <v>285</v>
      </c>
    </row>
    <row r="15" spans="1:10" ht="78.599999999999994" customHeight="1" x14ac:dyDescent="0.25">
      <c r="A15" s="168" t="s">
        <v>250</v>
      </c>
      <c r="B15" s="221" t="s">
        <v>284</v>
      </c>
      <c r="C15" s="165" t="s">
        <v>238</v>
      </c>
      <c r="D15" s="223" t="s">
        <v>283</v>
      </c>
      <c r="E15" s="165"/>
      <c r="F15" s="164"/>
    </row>
    <row r="16" spans="1:10" ht="80.400000000000006" customHeight="1" x14ac:dyDescent="0.25">
      <c r="A16" s="168" t="s">
        <v>255</v>
      </c>
      <c r="B16" s="221" t="s">
        <v>282</v>
      </c>
      <c r="C16" s="165" t="s">
        <v>246</v>
      </c>
      <c r="D16" s="223" t="s">
        <v>281</v>
      </c>
      <c r="E16" s="165"/>
      <c r="F16" s="164"/>
    </row>
    <row r="17" spans="1:6" ht="90" customHeight="1" x14ac:dyDescent="0.25">
      <c r="A17" s="168" t="s">
        <v>248</v>
      </c>
      <c r="B17" s="221" t="s">
        <v>280</v>
      </c>
      <c r="C17" s="165" t="s">
        <v>246</v>
      </c>
      <c r="D17" s="223" t="s">
        <v>279</v>
      </c>
      <c r="E17" s="165"/>
      <c r="F17" s="164"/>
    </row>
    <row r="18" spans="1:6" ht="84.6" customHeight="1" x14ac:dyDescent="0.25">
      <c r="A18" s="168" t="s">
        <v>278</v>
      </c>
      <c r="B18" s="221" t="s">
        <v>277</v>
      </c>
      <c r="C18" s="165" t="s">
        <v>242</v>
      </c>
      <c r="D18" s="223" t="s">
        <v>276</v>
      </c>
      <c r="E18" s="165"/>
      <c r="F18" s="164"/>
    </row>
    <row r="19" spans="1:6" ht="87" customHeight="1" x14ac:dyDescent="0.25">
      <c r="A19" s="168" t="s">
        <v>247</v>
      </c>
      <c r="B19" s="221" t="s">
        <v>275</v>
      </c>
      <c r="C19" s="165" t="s">
        <v>242</v>
      </c>
      <c r="D19" s="223" t="s">
        <v>274</v>
      </c>
      <c r="E19" s="165"/>
      <c r="F19" s="164"/>
    </row>
    <row r="20" spans="1:6" ht="65.25" customHeight="1" x14ac:dyDescent="0.25">
      <c r="A20" s="168" t="s">
        <v>250</v>
      </c>
      <c r="B20" s="221" t="s">
        <v>273</v>
      </c>
      <c r="C20" s="165" t="s">
        <v>241</v>
      </c>
      <c r="D20" s="225" t="s">
        <v>272</v>
      </c>
      <c r="E20" s="165"/>
      <c r="F20" s="164"/>
    </row>
    <row r="21" spans="1:6" ht="66.75" customHeight="1" x14ac:dyDescent="0.25">
      <c r="A21" s="168"/>
      <c r="B21" s="167"/>
      <c r="C21" s="165" t="s">
        <v>241</v>
      </c>
      <c r="D21" s="225" t="s">
        <v>271</v>
      </c>
      <c r="E21" s="165"/>
      <c r="F21" s="164"/>
    </row>
    <row r="22" spans="1:6" ht="69" customHeight="1" x14ac:dyDescent="0.25">
      <c r="A22" s="168"/>
      <c r="B22" s="167"/>
      <c r="C22" s="165" t="s">
        <v>244</v>
      </c>
      <c r="D22" s="225" t="s">
        <v>270</v>
      </c>
      <c r="E22" s="165"/>
      <c r="F22" s="164"/>
    </row>
    <row r="23" spans="1:6" ht="89.4" customHeight="1" x14ac:dyDescent="0.25">
      <c r="A23" s="168"/>
      <c r="B23" s="167"/>
      <c r="C23" s="165" t="s">
        <v>244</v>
      </c>
      <c r="D23" s="225" t="s">
        <v>269</v>
      </c>
      <c r="E23" s="165"/>
      <c r="F23" s="164"/>
    </row>
    <row r="24" spans="1:6" ht="97.8" customHeight="1" x14ac:dyDescent="0.25">
      <c r="A24" s="168"/>
      <c r="B24" s="167"/>
      <c r="C24" s="165" t="s">
        <v>244</v>
      </c>
      <c r="D24" s="225" t="s">
        <v>268</v>
      </c>
      <c r="E24" s="165"/>
      <c r="F24" s="164"/>
    </row>
    <row r="25" spans="1:6" ht="62.25" customHeight="1" x14ac:dyDescent="0.25">
      <c r="A25" s="181"/>
      <c r="B25" s="180"/>
      <c r="C25" s="178" t="s">
        <v>237</v>
      </c>
      <c r="D25" s="226" t="s">
        <v>267</v>
      </c>
      <c r="E25" s="178"/>
      <c r="F25" s="177"/>
    </row>
    <row r="26" spans="1:6" ht="96" customHeight="1" x14ac:dyDescent="0.25">
      <c r="A26" s="181"/>
      <c r="B26" s="180"/>
      <c r="C26" s="178" t="s">
        <v>246</v>
      </c>
      <c r="D26" s="226" t="s">
        <v>266</v>
      </c>
      <c r="E26" s="178"/>
      <c r="F26" s="177"/>
    </row>
    <row r="27" spans="1:6" ht="149.25" customHeight="1" x14ac:dyDescent="0.25">
      <c r="A27" s="181"/>
      <c r="B27" s="180"/>
      <c r="C27" s="178" t="s">
        <v>253</v>
      </c>
      <c r="D27" s="226" t="s">
        <v>265</v>
      </c>
      <c r="E27" s="178"/>
      <c r="F27" s="177"/>
    </row>
    <row r="28" spans="1:6" ht="56.25" customHeight="1" thickBot="1" x14ac:dyDescent="0.3">
      <c r="A28" s="163"/>
      <c r="B28" s="162"/>
      <c r="C28" s="161" t="s">
        <v>237</v>
      </c>
      <c r="D28" s="227" t="s">
        <v>264</v>
      </c>
      <c r="E28" s="161"/>
      <c r="F28" s="160"/>
    </row>
    <row r="29" spans="1:6" ht="65.25" customHeight="1" x14ac:dyDescent="0.25">
      <c r="A29" s="154"/>
      <c r="B29" s="159"/>
      <c r="C29" s="154"/>
      <c r="D29" s="158"/>
      <c r="E29" s="154"/>
      <c r="F29" s="158"/>
    </row>
    <row r="30" spans="1:6" ht="62.25" customHeight="1" x14ac:dyDescent="0.25">
      <c r="A30" s="154"/>
      <c r="B30" s="159"/>
      <c r="C30" s="154"/>
      <c r="D30" s="158"/>
      <c r="E30" s="154"/>
      <c r="F30" s="158"/>
    </row>
    <row r="31" spans="1:6" ht="63" customHeight="1" x14ac:dyDescent="0.25">
      <c r="A31" s="154"/>
      <c r="B31" s="159"/>
      <c r="C31" s="154"/>
      <c r="D31" s="158"/>
      <c r="E31" s="154"/>
      <c r="F31" s="159"/>
    </row>
    <row r="32" spans="1:6" ht="51.75" customHeight="1" x14ac:dyDescent="0.25">
      <c r="A32" s="154"/>
      <c r="B32" s="159"/>
      <c r="C32" s="154"/>
      <c r="D32" s="158"/>
      <c r="E32" s="154"/>
      <c r="F32" s="159"/>
    </row>
    <row r="33" spans="1:6" ht="52.5" customHeight="1" x14ac:dyDescent="0.25">
      <c r="A33" s="154"/>
      <c r="B33" s="158"/>
      <c r="C33" s="154"/>
      <c r="D33" s="158"/>
      <c r="E33" s="154"/>
      <c r="F33" s="158"/>
    </row>
    <row r="34" spans="1:6" ht="63.75" customHeight="1" x14ac:dyDescent="0.25">
      <c r="A34" s="154"/>
      <c r="B34" s="158"/>
      <c r="C34" s="154"/>
      <c r="D34" s="158"/>
      <c r="E34" s="154"/>
      <c r="F34" s="158"/>
    </row>
    <row r="35" spans="1:6" ht="66" customHeight="1" x14ac:dyDescent="0.25">
      <c r="A35" s="154"/>
      <c r="B35" s="157"/>
      <c r="C35" s="154"/>
      <c r="D35" s="156"/>
      <c r="E35" s="154"/>
      <c r="F35" s="157"/>
    </row>
    <row r="36" spans="1:6" ht="55.5" customHeight="1" x14ac:dyDescent="0.25">
      <c r="A36" s="154"/>
      <c r="B36" s="157"/>
      <c r="C36" s="154"/>
      <c r="D36" s="156"/>
      <c r="E36" s="154"/>
      <c r="F36" s="153"/>
    </row>
    <row r="37" spans="1:6" ht="51.75" customHeight="1" x14ac:dyDescent="0.25">
      <c r="A37" s="154"/>
      <c r="B37" s="153"/>
      <c r="C37" s="154"/>
      <c r="D37" s="155"/>
      <c r="E37" s="154"/>
      <c r="F37" s="153"/>
    </row>
    <row r="38" spans="1:6" ht="55.5" customHeight="1" x14ac:dyDescent="0.25">
      <c r="A38" s="154"/>
      <c r="B38" s="153"/>
      <c r="C38" s="154"/>
      <c r="D38" s="153"/>
      <c r="E38" s="154"/>
      <c r="F38" s="153"/>
    </row>
    <row r="39" spans="1:6" ht="55.5" customHeight="1" x14ac:dyDescent="0.25">
      <c r="A39" s="154"/>
      <c r="B39" s="153"/>
      <c r="C39" s="154"/>
      <c r="D39" s="153"/>
      <c r="E39" s="154"/>
      <c r="F39" s="153"/>
    </row>
    <row r="40" spans="1:6" ht="54.75" customHeight="1" x14ac:dyDescent="0.25">
      <c r="A40" s="154"/>
      <c r="B40" s="153"/>
      <c r="C40" s="154"/>
      <c r="D40" s="153"/>
      <c r="E40" s="154"/>
      <c r="F40" s="153"/>
    </row>
    <row r="41" spans="1:6" ht="56.25" customHeight="1" x14ac:dyDescent="0.25">
      <c r="A41" s="154"/>
      <c r="B41" s="153"/>
      <c r="C41" s="154"/>
      <c r="D41" s="153"/>
      <c r="E41" s="154"/>
      <c r="F41" s="153"/>
    </row>
    <row r="42" spans="1:6" ht="54.75" customHeight="1" x14ac:dyDescent="0.25">
      <c r="A42" s="154"/>
      <c r="B42" s="157"/>
      <c r="C42" s="154"/>
      <c r="D42" s="156"/>
      <c r="E42" s="154"/>
      <c r="F42" s="157"/>
    </row>
    <row r="43" spans="1:6" ht="55.5" customHeight="1" x14ac:dyDescent="0.25">
      <c r="A43" s="154"/>
      <c r="B43" s="157"/>
      <c r="C43" s="154"/>
      <c r="D43" s="156"/>
      <c r="E43" s="154"/>
      <c r="F43" s="153"/>
    </row>
    <row r="44" spans="1:6" ht="54.75" customHeight="1" x14ac:dyDescent="0.25">
      <c r="A44" s="154"/>
      <c r="B44" s="153"/>
      <c r="C44" s="154"/>
      <c r="D44" s="155"/>
      <c r="E44" s="154"/>
      <c r="F44" s="153"/>
    </row>
    <row r="45" spans="1:6" ht="55.5" customHeight="1" x14ac:dyDescent="0.25">
      <c r="A45" s="154"/>
      <c r="B45" s="153"/>
      <c r="C45" s="154"/>
      <c r="D45" s="153"/>
      <c r="E45" s="154"/>
      <c r="F45" s="153"/>
    </row>
    <row r="46" spans="1:6" ht="56.25" customHeight="1" x14ac:dyDescent="0.25">
      <c r="A46" s="154"/>
      <c r="B46" s="153"/>
      <c r="C46" s="154"/>
      <c r="D46" s="153"/>
      <c r="E46" s="154"/>
      <c r="F46" s="153"/>
    </row>
    <row r="47" spans="1:6" ht="59.25" customHeight="1" x14ac:dyDescent="0.25">
      <c r="A47" s="154"/>
      <c r="B47" s="153"/>
      <c r="C47" s="154"/>
      <c r="D47" s="153"/>
      <c r="E47" s="154"/>
      <c r="F47" s="153"/>
    </row>
    <row r="48" spans="1:6" ht="55.5" customHeight="1" x14ac:dyDescent="0.25">
      <c r="A48" s="154"/>
      <c r="B48" s="153"/>
      <c r="C48" s="154"/>
      <c r="D48" s="153"/>
      <c r="E48" s="154"/>
      <c r="F48" s="153"/>
    </row>
    <row r="49" spans="1:6" ht="55.5" customHeight="1" x14ac:dyDescent="0.25">
      <c r="A49" s="154"/>
      <c r="B49" s="157"/>
      <c r="C49" s="154"/>
      <c r="D49" s="156"/>
      <c r="E49" s="154"/>
      <c r="F49" s="157"/>
    </row>
    <row r="50" spans="1:6" ht="56.25" customHeight="1" x14ac:dyDescent="0.25">
      <c r="A50" s="154"/>
      <c r="B50" s="157"/>
      <c r="C50" s="154"/>
      <c r="D50" s="156"/>
      <c r="E50" s="154"/>
      <c r="F50" s="153"/>
    </row>
    <row r="51" spans="1:6" ht="54" customHeight="1" x14ac:dyDescent="0.25">
      <c r="A51" s="154"/>
      <c r="B51" s="153"/>
      <c r="C51" s="154"/>
      <c r="D51" s="155"/>
      <c r="E51" s="154"/>
      <c r="F51" s="153"/>
    </row>
    <row r="52" spans="1:6" ht="56.25" customHeight="1" x14ac:dyDescent="0.25">
      <c r="A52" s="154"/>
      <c r="B52" s="153"/>
      <c r="C52" s="154"/>
      <c r="D52" s="153"/>
      <c r="E52" s="154"/>
      <c r="F52" s="153"/>
    </row>
    <row r="53" spans="1:6" ht="59.25" customHeight="1" x14ac:dyDescent="0.25">
      <c r="A53" s="154"/>
      <c r="B53" s="153"/>
      <c r="C53" s="154"/>
      <c r="D53" s="153"/>
      <c r="E53" s="154"/>
      <c r="F53" s="153"/>
    </row>
    <row r="54" spans="1:6" ht="54.75" customHeight="1" x14ac:dyDescent="0.25">
      <c r="A54" s="154"/>
      <c r="B54" s="153"/>
      <c r="C54" s="154"/>
      <c r="D54" s="153"/>
      <c r="E54" s="154"/>
      <c r="F54" s="153"/>
    </row>
    <row r="55" spans="1:6" ht="55.5" customHeight="1" x14ac:dyDescent="0.25">
      <c r="A55" s="154"/>
      <c r="B55" s="153"/>
      <c r="C55" s="154"/>
      <c r="D55" s="153"/>
      <c r="E55" s="154"/>
      <c r="F55" s="153"/>
    </row>
  </sheetData>
  <mergeCells count="10">
    <mergeCell ref="A10:F10"/>
    <mergeCell ref="A5:F5"/>
    <mergeCell ref="A8:F8"/>
    <mergeCell ref="A9:F9"/>
    <mergeCell ref="A6:F7"/>
    <mergeCell ref="J1:J4"/>
    <mergeCell ref="F1:F4"/>
    <mergeCell ref="A1:A4"/>
    <mergeCell ref="B1:D2"/>
    <mergeCell ref="B3:D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6C95-160F-4A34-B18B-AFFF3AC3EF55}">
  <sheetPr codeName="Hoja1"/>
  <dimension ref="A1:X41"/>
  <sheetViews>
    <sheetView zoomScale="70" zoomScaleNormal="70" workbookViewId="0">
      <selection activeCell="A7" sqref="A7:T7"/>
    </sheetView>
  </sheetViews>
  <sheetFormatPr baseColWidth="10" defaultColWidth="11.44140625" defaultRowHeight="14.4" x14ac:dyDescent="0.3"/>
  <cols>
    <col min="1" max="1" width="4.5546875" style="187" customWidth="1"/>
    <col min="2" max="2" width="38.109375" style="186" customWidth="1"/>
    <col min="3" max="17" width="6.44140625" style="186" customWidth="1"/>
    <col min="18" max="18" width="8.21875" style="186" customWidth="1"/>
    <col min="19" max="19" width="13" style="185" customWidth="1"/>
    <col min="20" max="20" width="30.33203125" customWidth="1"/>
    <col min="21" max="23" width="11.44140625" hidden="1" customWidth="1"/>
  </cols>
  <sheetData>
    <row r="1" spans="1:24" ht="29.4" customHeight="1" x14ac:dyDescent="0.3">
      <c r="A1" s="294"/>
      <c r="B1" s="295"/>
      <c r="C1" s="280" t="str">
        <f>+Contexto!B1</f>
        <v xml:space="preserve">PROCESO: </v>
      </c>
      <c r="D1" s="280"/>
      <c r="E1" s="280"/>
      <c r="F1" s="280"/>
      <c r="G1" s="280"/>
      <c r="H1" s="280"/>
      <c r="I1" s="280"/>
      <c r="J1" s="280"/>
      <c r="K1" s="280"/>
      <c r="L1" s="280"/>
      <c r="M1" s="280"/>
      <c r="N1" s="280"/>
      <c r="O1" s="280"/>
      <c r="P1" s="280"/>
      <c r="Q1" s="280"/>
      <c r="R1" s="280"/>
      <c r="S1" s="314"/>
      <c r="T1" s="304" t="s">
        <v>388</v>
      </c>
      <c r="U1" s="304"/>
      <c r="V1" s="304"/>
      <c r="W1" s="305"/>
    </row>
    <row r="2" spans="1:24" ht="15" customHeight="1" x14ac:dyDescent="0.3">
      <c r="A2" s="296"/>
      <c r="B2" s="297"/>
      <c r="C2" s="280"/>
      <c r="D2" s="280"/>
      <c r="E2" s="280"/>
      <c r="F2" s="280"/>
      <c r="G2" s="280"/>
      <c r="H2" s="280"/>
      <c r="I2" s="280"/>
      <c r="J2" s="280"/>
      <c r="K2" s="280"/>
      <c r="L2" s="280"/>
      <c r="M2" s="280"/>
      <c r="N2" s="280"/>
      <c r="O2" s="280"/>
      <c r="P2" s="280"/>
      <c r="Q2" s="280"/>
      <c r="R2" s="280"/>
      <c r="S2" s="315"/>
      <c r="T2" s="306" t="s">
        <v>263</v>
      </c>
      <c r="U2" s="306"/>
      <c r="V2" s="306"/>
      <c r="W2" s="307"/>
    </row>
    <row r="3" spans="1:24" ht="15" customHeight="1" x14ac:dyDescent="0.3">
      <c r="A3" s="296"/>
      <c r="B3" s="297"/>
      <c r="C3" s="280" t="s">
        <v>320</v>
      </c>
      <c r="D3" s="280"/>
      <c r="E3" s="280"/>
      <c r="F3" s="280"/>
      <c r="G3" s="280"/>
      <c r="H3" s="280"/>
      <c r="I3" s="280"/>
      <c r="J3" s="280"/>
      <c r="K3" s="280"/>
      <c r="L3" s="280"/>
      <c r="M3" s="280"/>
      <c r="N3" s="280"/>
      <c r="O3" s="280"/>
      <c r="P3" s="280"/>
      <c r="Q3" s="280"/>
      <c r="R3" s="280"/>
      <c r="S3" s="315"/>
      <c r="T3" s="306" t="s">
        <v>392</v>
      </c>
      <c r="U3" s="306"/>
      <c r="V3" s="306"/>
      <c r="W3" s="307"/>
    </row>
    <row r="4" spans="1:24" ht="15.75" customHeight="1" x14ac:dyDescent="0.3">
      <c r="A4" s="298"/>
      <c r="B4" s="299"/>
      <c r="C4" s="280"/>
      <c r="D4" s="280"/>
      <c r="E4" s="280"/>
      <c r="F4" s="280"/>
      <c r="G4" s="280"/>
      <c r="H4" s="280"/>
      <c r="I4" s="280"/>
      <c r="J4" s="280"/>
      <c r="K4" s="280"/>
      <c r="L4" s="280"/>
      <c r="M4" s="280"/>
      <c r="N4" s="280"/>
      <c r="O4" s="280"/>
      <c r="P4" s="280"/>
      <c r="Q4" s="280"/>
      <c r="R4" s="280"/>
      <c r="S4" s="316"/>
      <c r="T4" s="306" t="s">
        <v>391</v>
      </c>
      <c r="U4" s="306"/>
      <c r="V4" s="306"/>
      <c r="W4" s="307"/>
    </row>
    <row r="5" spans="1:24" ht="15.75" customHeight="1" x14ac:dyDescent="0.3">
      <c r="A5" s="298"/>
      <c r="B5" s="298"/>
      <c r="C5" s="298"/>
      <c r="D5" s="298"/>
      <c r="E5" s="298"/>
      <c r="F5" s="298"/>
      <c r="G5" s="298"/>
      <c r="H5" s="298"/>
      <c r="I5" s="298"/>
      <c r="J5" s="298"/>
      <c r="K5" s="298"/>
      <c r="L5" s="298"/>
      <c r="M5" s="298"/>
      <c r="N5" s="298"/>
      <c r="O5" s="298"/>
      <c r="P5" s="298"/>
      <c r="Q5" s="298"/>
      <c r="R5" s="298"/>
      <c r="S5" s="298"/>
      <c r="T5" s="299"/>
      <c r="U5" s="159"/>
      <c r="V5" s="159"/>
      <c r="W5" s="212"/>
    </row>
    <row r="6" spans="1:24" s="152" customFormat="1" ht="27" customHeight="1" x14ac:dyDescent="0.25">
      <c r="A6" s="313" t="s">
        <v>297</v>
      </c>
      <c r="B6" s="313"/>
      <c r="C6" s="313"/>
      <c r="D6" s="313"/>
      <c r="E6" s="313"/>
      <c r="F6" s="313"/>
      <c r="G6" s="313"/>
      <c r="H6" s="313"/>
      <c r="I6" s="313"/>
      <c r="J6" s="313"/>
      <c r="K6" s="313"/>
      <c r="L6" s="313"/>
      <c r="M6" s="313"/>
      <c r="N6" s="313"/>
      <c r="O6" s="313"/>
      <c r="P6" s="313"/>
      <c r="Q6" s="313"/>
      <c r="R6" s="313"/>
      <c r="S6" s="313"/>
      <c r="T6" s="313"/>
      <c r="W6" s="211"/>
    </row>
    <row r="7" spans="1:24" s="152" customFormat="1" ht="81" customHeight="1" thickBot="1" x14ac:dyDescent="0.3">
      <c r="A7" s="312" t="s">
        <v>321</v>
      </c>
      <c r="B7" s="312"/>
      <c r="C7" s="312"/>
      <c r="D7" s="312"/>
      <c r="E7" s="312"/>
      <c r="F7" s="312"/>
      <c r="G7" s="312"/>
      <c r="H7" s="312"/>
      <c r="I7" s="312"/>
      <c r="J7" s="312"/>
      <c r="K7" s="312"/>
      <c r="L7" s="312"/>
      <c r="M7" s="312"/>
      <c r="N7" s="312"/>
      <c r="O7" s="312"/>
      <c r="P7" s="312"/>
      <c r="Q7" s="312"/>
      <c r="R7" s="312"/>
      <c r="S7" s="312"/>
      <c r="T7" s="312"/>
      <c r="U7" s="210"/>
      <c r="V7" s="210"/>
      <c r="W7" s="209"/>
    </row>
    <row r="8" spans="1:24" s="152" customFormat="1" ht="26.25" customHeight="1" thickBot="1" x14ac:dyDescent="0.3">
      <c r="A8" s="208"/>
      <c r="B8" s="208"/>
      <c r="C8" s="208"/>
      <c r="D8" s="208"/>
      <c r="E8" s="208"/>
      <c r="F8" s="208"/>
      <c r="G8" s="208"/>
      <c r="H8" s="208"/>
      <c r="I8" s="208"/>
      <c r="J8" s="208"/>
      <c r="K8" s="208"/>
      <c r="L8" s="208"/>
      <c r="M8" s="208"/>
      <c r="N8" s="208"/>
      <c r="O8" s="208"/>
      <c r="P8" s="208"/>
      <c r="Q8" s="208"/>
      <c r="R8" s="208"/>
      <c r="S8" s="208"/>
      <c r="T8" s="207"/>
      <c r="X8" s="206"/>
    </row>
    <row r="9" spans="1:24" s="152" customFormat="1" ht="39.75" customHeight="1" thickBot="1" x14ac:dyDescent="0.3">
      <c r="A9" s="302"/>
      <c r="B9" s="302"/>
      <c r="C9" s="302" t="b">
        <v>0</v>
      </c>
      <c r="D9" s="302"/>
      <c r="E9" s="302"/>
      <c r="F9" s="302"/>
      <c r="G9" s="302"/>
      <c r="H9" s="302"/>
      <c r="I9" s="302"/>
      <c r="J9" s="302"/>
      <c r="K9" s="302"/>
      <c r="L9" s="302"/>
      <c r="M9" s="302"/>
      <c r="N9" s="302"/>
      <c r="O9" s="302"/>
      <c r="P9" s="302"/>
      <c r="Q9" s="302"/>
      <c r="R9" s="302"/>
      <c r="S9" s="302"/>
      <c r="T9" s="303"/>
    </row>
    <row r="10" spans="1:24" s="200" customFormat="1" ht="32.25" customHeight="1" thickBot="1" x14ac:dyDescent="0.35">
      <c r="A10" s="205" t="s">
        <v>319</v>
      </c>
      <c r="B10" s="204" t="s">
        <v>318</v>
      </c>
      <c r="C10" s="204" t="s">
        <v>317</v>
      </c>
      <c r="D10" s="204" t="s">
        <v>316</v>
      </c>
      <c r="E10" s="204" t="s">
        <v>315</v>
      </c>
      <c r="F10" s="204" t="s">
        <v>314</v>
      </c>
      <c r="G10" s="204" t="s">
        <v>313</v>
      </c>
      <c r="H10" s="204" t="s">
        <v>312</v>
      </c>
      <c r="I10" s="204" t="s">
        <v>311</v>
      </c>
      <c r="J10" s="204" t="s">
        <v>310</v>
      </c>
      <c r="K10" s="204" t="s">
        <v>309</v>
      </c>
      <c r="L10" s="204" t="s">
        <v>308</v>
      </c>
      <c r="M10" s="204" t="s">
        <v>307</v>
      </c>
      <c r="N10" s="204" t="s">
        <v>306</v>
      </c>
      <c r="O10" s="204" t="s">
        <v>305</v>
      </c>
      <c r="P10" s="204" t="s">
        <v>304</v>
      </c>
      <c r="Q10" s="204" t="s">
        <v>303</v>
      </c>
      <c r="R10" s="203" t="s">
        <v>302</v>
      </c>
      <c r="S10" s="202" t="s">
        <v>299</v>
      </c>
      <c r="T10" s="201" t="s">
        <v>301</v>
      </c>
    </row>
    <row r="11" spans="1:24" ht="78" customHeight="1" x14ac:dyDescent="0.3">
      <c r="A11" s="220">
        <v>1</v>
      </c>
      <c r="B11" s="183" t="s">
        <v>295</v>
      </c>
      <c r="C11" s="197">
        <v>4</v>
      </c>
      <c r="D11" s="197">
        <v>3</v>
      </c>
      <c r="E11" s="197">
        <v>4</v>
      </c>
      <c r="F11" s="197">
        <v>4</v>
      </c>
      <c r="G11" s="197"/>
      <c r="H11" s="197"/>
      <c r="I11" s="197"/>
      <c r="J11" s="197"/>
      <c r="K11" s="197"/>
      <c r="L11" s="197"/>
      <c r="M11" s="197"/>
      <c r="N11" s="197"/>
      <c r="O11" s="197"/>
      <c r="P11" s="197"/>
      <c r="Q11" s="197"/>
      <c r="R11" s="196">
        <f t="shared" ref="R11:R39" si="0">SUM(C11:Q11)</f>
        <v>15</v>
      </c>
      <c r="S11" s="195">
        <f t="shared" ref="S11:S39" si="1">IF(ISERROR(AVERAGE(C11:Q11)),0,AVERAGE(C11:Q11))</f>
        <v>3.75</v>
      </c>
      <c r="T11" s="199"/>
    </row>
    <row r="12" spans="1:24" ht="52.2" customHeight="1" x14ac:dyDescent="0.3">
      <c r="A12" s="220">
        <v>2</v>
      </c>
      <c r="B12" s="182" t="s">
        <v>291</v>
      </c>
      <c r="C12" s="197">
        <v>4</v>
      </c>
      <c r="D12" s="197">
        <v>4</v>
      </c>
      <c r="E12" s="197">
        <v>4</v>
      </c>
      <c r="F12" s="197">
        <v>4</v>
      </c>
      <c r="G12" s="197"/>
      <c r="H12" s="197"/>
      <c r="I12" s="197"/>
      <c r="J12" s="197"/>
      <c r="K12" s="197"/>
      <c r="L12" s="197"/>
      <c r="M12" s="197"/>
      <c r="N12" s="197"/>
      <c r="O12" s="197"/>
      <c r="P12" s="197"/>
      <c r="Q12" s="197"/>
      <c r="R12" s="196">
        <f t="shared" si="0"/>
        <v>16</v>
      </c>
      <c r="S12" s="195">
        <f t="shared" si="1"/>
        <v>4</v>
      </c>
      <c r="T12" s="198"/>
    </row>
    <row r="13" spans="1:24" ht="65.25" customHeight="1" x14ac:dyDescent="0.3">
      <c r="A13" s="220">
        <v>3</v>
      </c>
      <c r="B13" s="182" t="s">
        <v>288</v>
      </c>
      <c r="C13" s="197">
        <v>3</v>
      </c>
      <c r="D13" s="197">
        <v>3</v>
      </c>
      <c r="E13" s="197">
        <v>3</v>
      </c>
      <c r="F13" s="197">
        <v>2</v>
      </c>
      <c r="G13" s="197"/>
      <c r="H13" s="197"/>
      <c r="I13" s="197"/>
      <c r="J13" s="197"/>
      <c r="K13" s="197"/>
      <c r="L13" s="197"/>
      <c r="M13" s="197"/>
      <c r="N13" s="197"/>
      <c r="O13" s="197"/>
      <c r="P13" s="197"/>
      <c r="Q13" s="197"/>
      <c r="R13" s="196">
        <f t="shared" si="0"/>
        <v>11</v>
      </c>
      <c r="S13" s="195">
        <f t="shared" si="1"/>
        <v>2.75</v>
      </c>
      <c r="T13" s="194"/>
    </row>
    <row r="14" spans="1:24" ht="66" customHeight="1" x14ac:dyDescent="0.3">
      <c r="A14" s="220">
        <v>4</v>
      </c>
      <c r="B14" s="167" t="s">
        <v>284</v>
      </c>
      <c r="C14" s="197">
        <v>5</v>
      </c>
      <c r="D14" s="197">
        <v>5</v>
      </c>
      <c r="E14" s="197">
        <v>4</v>
      </c>
      <c r="F14" s="197">
        <v>4</v>
      </c>
      <c r="G14" s="197"/>
      <c r="H14" s="197"/>
      <c r="I14" s="197"/>
      <c r="J14" s="197"/>
      <c r="K14" s="197"/>
      <c r="L14" s="197"/>
      <c r="M14" s="197"/>
      <c r="N14" s="197"/>
      <c r="O14" s="197"/>
      <c r="P14" s="197"/>
      <c r="Q14" s="197"/>
      <c r="R14" s="196">
        <f t="shared" si="0"/>
        <v>18</v>
      </c>
      <c r="S14" s="195">
        <f t="shared" si="1"/>
        <v>4.5</v>
      </c>
      <c r="T14" s="194"/>
    </row>
    <row r="15" spans="1:24" ht="80.400000000000006" customHeight="1" x14ac:dyDescent="0.3">
      <c r="A15" s="220">
        <v>5</v>
      </c>
      <c r="B15" s="167" t="s">
        <v>282</v>
      </c>
      <c r="C15" s="197">
        <v>3</v>
      </c>
      <c r="D15" s="197">
        <v>4</v>
      </c>
      <c r="E15" s="197">
        <v>3</v>
      </c>
      <c r="F15" s="197">
        <v>3</v>
      </c>
      <c r="G15" s="197"/>
      <c r="H15" s="197"/>
      <c r="I15" s="197"/>
      <c r="J15" s="197"/>
      <c r="K15" s="197"/>
      <c r="L15" s="197"/>
      <c r="M15" s="197"/>
      <c r="N15" s="197"/>
      <c r="O15" s="197"/>
      <c r="P15" s="197"/>
      <c r="Q15" s="197"/>
      <c r="R15" s="196">
        <f t="shared" si="0"/>
        <v>13</v>
      </c>
      <c r="S15" s="195">
        <f t="shared" si="1"/>
        <v>3.25</v>
      </c>
      <c r="T15" s="194"/>
    </row>
    <row r="16" spans="1:24" ht="75" customHeight="1" x14ac:dyDescent="0.3">
      <c r="A16" s="220">
        <v>6</v>
      </c>
      <c r="B16" s="167" t="s">
        <v>280</v>
      </c>
      <c r="C16" s="197">
        <v>5</v>
      </c>
      <c r="D16" s="197">
        <v>4</v>
      </c>
      <c r="E16" s="197">
        <v>5</v>
      </c>
      <c r="F16" s="197">
        <v>4</v>
      </c>
      <c r="G16" s="197"/>
      <c r="H16" s="197"/>
      <c r="I16" s="197"/>
      <c r="J16" s="197"/>
      <c r="K16" s="197"/>
      <c r="L16" s="197"/>
      <c r="M16" s="197"/>
      <c r="N16" s="197"/>
      <c r="O16" s="197"/>
      <c r="P16" s="197"/>
      <c r="Q16" s="197"/>
      <c r="R16" s="196">
        <f t="shared" si="0"/>
        <v>18</v>
      </c>
      <c r="S16" s="195">
        <f t="shared" si="1"/>
        <v>4.5</v>
      </c>
      <c r="T16" s="194"/>
    </row>
    <row r="17" spans="1:20" ht="45.6" customHeight="1" x14ac:dyDescent="0.3">
      <c r="A17" s="220">
        <v>7</v>
      </c>
      <c r="B17" s="167" t="s">
        <v>277</v>
      </c>
      <c r="C17" s="197">
        <v>4</v>
      </c>
      <c r="D17" s="197">
        <v>4</v>
      </c>
      <c r="E17" s="197">
        <v>3</v>
      </c>
      <c r="F17" s="197">
        <v>4</v>
      </c>
      <c r="G17" s="197"/>
      <c r="H17" s="197"/>
      <c r="I17" s="197"/>
      <c r="J17" s="197"/>
      <c r="K17" s="197"/>
      <c r="L17" s="197"/>
      <c r="M17" s="197"/>
      <c r="N17" s="197"/>
      <c r="O17" s="197"/>
      <c r="P17" s="197"/>
      <c r="Q17" s="197"/>
      <c r="R17" s="196">
        <f t="shared" si="0"/>
        <v>15</v>
      </c>
      <c r="S17" s="195">
        <f t="shared" si="1"/>
        <v>3.75</v>
      </c>
      <c r="T17" s="194"/>
    </row>
    <row r="18" spans="1:20" ht="46.5" customHeight="1" x14ac:dyDescent="0.3">
      <c r="A18" s="220">
        <v>8</v>
      </c>
      <c r="B18" s="167" t="s">
        <v>275</v>
      </c>
      <c r="C18" s="197">
        <v>5</v>
      </c>
      <c r="D18" s="197">
        <v>5</v>
      </c>
      <c r="E18" s="197">
        <v>5</v>
      </c>
      <c r="F18" s="197">
        <v>5</v>
      </c>
      <c r="G18" s="197"/>
      <c r="H18" s="197"/>
      <c r="I18" s="197"/>
      <c r="J18" s="197"/>
      <c r="K18" s="197"/>
      <c r="L18" s="197"/>
      <c r="M18" s="197"/>
      <c r="N18" s="197"/>
      <c r="O18" s="197"/>
      <c r="P18" s="197"/>
      <c r="Q18" s="197"/>
      <c r="R18" s="196">
        <f t="shared" si="0"/>
        <v>20</v>
      </c>
      <c r="S18" s="195">
        <f t="shared" si="1"/>
        <v>5</v>
      </c>
      <c r="T18" s="194"/>
    </row>
    <row r="19" spans="1:20" ht="52.2" customHeight="1" thickBot="1" x14ac:dyDescent="0.35">
      <c r="A19" s="220">
        <v>9</v>
      </c>
      <c r="B19" s="167" t="s">
        <v>273</v>
      </c>
      <c r="C19" s="197">
        <v>5</v>
      </c>
      <c r="D19" s="197">
        <v>5</v>
      </c>
      <c r="E19" s="197">
        <v>5</v>
      </c>
      <c r="F19" s="197">
        <v>5</v>
      </c>
      <c r="G19" s="197"/>
      <c r="H19" s="197"/>
      <c r="I19" s="197"/>
      <c r="J19" s="197"/>
      <c r="K19" s="197"/>
      <c r="L19" s="197"/>
      <c r="M19" s="197"/>
      <c r="N19" s="197"/>
      <c r="O19" s="197"/>
      <c r="P19" s="197"/>
      <c r="Q19" s="197"/>
      <c r="R19" s="196">
        <f t="shared" si="0"/>
        <v>20</v>
      </c>
      <c r="S19" s="195">
        <f t="shared" si="1"/>
        <v>5</v>
      </c>
      <c r="T19" s="194"/>
    </row>
    <row r="20" spans="1:20" ht="61.8" customHeight="1" x14ac:dyDescent="0.3">
      <c r="A20" s="224">
        <v>10</v>
      </c>
      <c r="B20" s="183" t="s">
        <v>294</v>
      </c>
      <c r="C20" s="197">
        <v>5</v>
      </c>
      <c r="D20" s="197">
        <v>5</v>
      </c>
      <c r="E20" s="197">
        <v>3</v>
      </c>
      <c r="F20" s="197">
        <v>4</v>
      </c>
      <c r="G20" s="197"/>
      <c r="H20" s="197"/>
      <c r="I20" s="197"/>
      <c r="J20" s="197"/>
      <c r="K20" s="197"/>
      <c r="L20" s="197"/>
      <c r="M20" s="197"/>
      <c r="N20" s="197"/>
      <c r="O20" s="197"/>
      <c r="P20" s="197"/>
      <c r="Q20" s="197"/>
      <c r="R20" s="196">
        <f t="shared" si="0"/>
        <v>17</v>
      </c>
      <c r="S20" s="195">
        <f t="shared" si="1"/>
        <v>4.25</v>
      </c>
      <c r="T20" s="194"/>
    </row>
    <row r="21" spans="1:20" ht="57" customHeight="1" x14ac:dyDescent="0.3">
      <c r="A21" s="224">
        <v>11</v>
      </c>
      <c r="B21" s="167" t="s">
        <v>290</v>
      </c>
      <c r="C21" s="197">
        <v>4</v>
      </c>
      <c r="D21" s="197">
        <v>4</v>
      </c>
      <c r="E21" s="197">
        <v>4</v>
      </c>
      <c r="F21" s="197">
        <v>5</v>
      </c>
      <c r="G21" s="197"/>
      <c r="H21" s="197"/>
      <c r="I21" s="197"/>
      <c r="J21" s="197"/>
      <c r="K21" s="197"/>
      <c r="L21" s="197"/>
      <c r="M21" s="197"/>
      <c r="N21" s="197"/>
      <c r="O21" s="197"/>
      <c r="P21" s="197"/>
      <c r="Q21" s="197"/>
      <c r="R21" s="196">
        <f t="shared" si="0"/>
        <v>17</v>
      </c>
      <c r="S21" s="195">
        <f t="shared" si="1"/>
        <v>4.25</v>
      </c>
      <c r="T21" s="194"/>
    </row>
    <row r="22" spans="1:20" ht="88.8" customHeight="1" x14ac:dyDescent="0.3">
      <c r="A22" s="224">
        <v>12</v>
      </c>
      <c r="B22" s="167" t="s">
        <v>287</v>
      </c>
      <c r="C22" s="197">
        <v>5</v>
      </c>
      <c r="D22" s="197">
        <v>5</v>
      </c>
      <c r="E22" s="197">
        <v>5</v>
      </c>
      <c r="F22" s="197">
        <v>5</v>
      </c>
      <c r="G22" s="197"/>
      <c r="H22" s="197"/>
      <c r="I22" s="197"/>
      <c r="J22" s="197"/>
      <c r="K22" s="197"/>
      <c r="L22" s="197"/>
      <c r="M22" s="197"/>
      <c r="N22" s="197"/>
      <c r="O22" s="197"/>
      <c r="P22" s="197"/>
      <c r="Q22" s="197"/>
      <c r="R22" s="196">
        <f t="shared" si="0"/>
        <v>20</v>
      </c>
      <c r="S22" s="195">
        <f t="shared" si="1"/>
        <v>5</v>
      </c>
      <c r="T22" s="194"/>
    </row>
    <row r="23" spans="1:20" ht="60.6" customHeight="1" x14ac:dyDescent="0.3">
      <c r="A23" s="224">
        <v>13</v>
      </c>
      <c r="B23" s="167" t="s">
        <v>283</v>
      </c>
      <c r="C23" s="197">
        <v>5</v>
      </c>
      <c r="D23" s="197">
        <v>5</v>
      </c>
      <c r="E23" s="197">
        <v>3</v>
      </c>
      <c r="F23" s="197">
        <v>5</v>
      </c>
      <c r="G23" s="197"/>
      <c r="H23" s="197"/>
      <c r="I23" s="197"/>
      <c r="J23" s="197"/>
      <c r="K23" s="197"/>
      <c r="L23" s="197"/>
      <c r="M23" s="197"/>
      <c r="N23" s="197"/>
      <c r="O23" s="197"/>
      <c r="P23" s="197"/>
      <c r="Q23" s="197"/>
      <c r="R23" s="196">
        <f t="shared" si="0"/>
        <v>18</v>
      </c>
      <c r="S23" s="195">
        <f t="shared" si="1"/>
        <v>4.5</v>
      </c>
      <c r="T23" s="194"/>
    </row>
    <row r="24" spans="1:20" ht="63.6" customHeight="1" x14ac:dyDescent="0.3">
      <c r="A24" s="224">
        <v>14</v>
      </c>
      <c r="B24" s="167" t="s">
        <v>281</v>
      </c>
      <c r="C24" s="197">
        <v>4</v>
      </c>
      <c r="D24" s="197">
        <v>4</v>
      </c>
      <c r="E24" s="197">
        <v>5</v>
      </c>
      <c r="F24" s="197">
        <v>4</v>
      </c>
      <c r="G24" s="197"/>
      <c r="H24" s="197"/>
      <c r="I24" s="197"/>
      <c r="J24" s="197"/>
      <c r="K24" s="197"/>
      <c r="L24" s="197"/>
      <c r="M24" s="197"/>
      <c r="N24" s="197"/>
      <c r="O24" s="197"/>
      <c r="P24" s="197"/>
      <c r="Q24" s="197"/>
      <c r="R24" s="196">
        <f t="shared" si="0"/>
        <v>17</v>
      </c>
      <c r="S24" s="195">
        <f t="shared" si="1"/>
        <v>4.25</v>
      </c>
      <c r="T24" s="194"/>
    </row>
    <row r="25" spans="1:20" ht="69.599999999999994" customHeight="1" x14ac:dyDescent="0.3">
      <c r="A25" s="224">
        <v>15</v>
      </c>
      <c r="B25" s="167" t="s">
        <v>279</v>
      </c>
      <c r="C25" s="197">
        <v>5</v>
      </c>
      <c r="D25" s="197">
        <v>5</v>
      </c>
      <c r="E25" s="197">
        <v>5</v>
      </c>
      <c r="F25" s="197">
        <v>5</v>
      </c>
      <c r="G25" s="197"/>
      <c r="H25" s="197"/>
      <c r="I25" s="197"/>
      <c r="J25" s="197"/>
      <c r="K25" s="197"/>
      <c r="L25" s="197"/>
      <c r="M25" s="197"/>
      <c r="N25" s="197"/>
      <c r="O25" s="197"/>
      <c r="P25" s="197"/>
      <c r="Q25" s="197"/>
      <c r="R25" s="196">
        <f t="shared" si="0"/>
        <v>20</v>
      </c>
      <c r="S25" s="195">
        <f t="shared" si="1"/>
        <v>5</v>
      </c>
      <c r="T25" s="194"/>
    </row>
    <row r="26" spans="1:20" ht="48.75" customHeight="1" x14ac:dyDescent="0.3">
      <c r="A26" s="224">
        <v>16</v>
      </c>
      <c r="B26" s="167" t="s">
        <v>276</v>
      </c>
      <c r="C26" s="197">
        <v>5</v>
      </c>
      <c r="D26" s="197">
        <v>5</v>
      </c>
      <c r="E26" s="197">
        <v>5</v>
      </c>
      <c r="F26" s="197">
        <v>5</v>
      </c>
      <c r="G26" s="197"/>
      <c r="H26" s="197"/>
      <c r="I26" s="197"/>
      <c r="J26" s="197"/>
      <c r="K26" s="197"/>
      <c r="L26" s="197"/>
      <c r="M26" s="197"/>
      <c r="N26" s="197"/>
      <c r="O26" s="197"/>
      <c r="P26" s="197"/>
      <c r="Q26" s="197"/>
      <c r="R26" s="196">
        <f t="shared" si="0"/>
        <v>20</v>
      </c>
      <c r="S26" s="195">
        <f t="shared" si="1"/>
        <v>5</v>
      </c>
      <c r="T26" s="194"/>
    </row>
    <row r="27" spans="1:20" ht="39.75" customHeight="1" x14ac:dyDescent="0.3">
      <c r="A27" s="224">
        <v>17</v>
      </c>
      <c r="B27" s="167" t="s">
        <v>274</v>
      </c>
      <c r="C27" s="197">
        <v>5</v>
      </c>
      <c r="D27" s="197">
        <v>4</v>
      </c>
      <c r="E27" s="197">
        <v>4</v>
      </c>
      <c r="F27" s="197">
        <v>4</v>
      </c>
      <c r="G27" s="197"/>
      <c r="H27" s="197"/>
      <c r="I27" s="197"/>
      <c r="J27" s="197"/>
      <c r="K27" s="197"/>
      <c r="L27" s="197"/>
      <c r="M27" s="197"/>
      <c r="N27" s="197"/>
      <c r="O27" s="197"/>
      <c r="P27" s="197"/>
      <c r="Q27" s="197"/>
      <c r="R27" s="196">
        <f t="shared" si="0"/>
        <v>17</v>
      </c>
      <c r="S27" s="195">
        <f t="shared" si="1"/>
        <v>4.25</v>
      </c>
      <c r="T27" s="194"/>
    </row>
    <row r="28" spans="1:20" ht="39.75" customHeight="1" x14ac:dyDescent="0.3">
      <c r="A28" s="224">
        <v>18</v>
      </c>
      <c r="B28" s="166" t="s">
        <v>272</v>
      </c>
      <c r="C28" s="197">
        <v>3</v>
      </c>
      <c r="D28" s="197">
        <v>3</v>
      </c>
      <c r="E28" s="197">
        <v>3</v>
      </c>
      <c r="F28" s="197">
        <v>3</v>
      </c>
      <c r="G28" s="197"/>
      <c r="H28" s="197"/>
      <c r="I28" s="197"/>
      <c r="J28" s="197"/>
      <c r="K28" s="197"/>
      <c r="L28" s="197"/>
      <c r="M28" s="197"/>
      <c r="N28" s="197"/>
      <c r="O28" s="197"/>
      <c r="P28" s="197"/>
      <c r="Q28" s="197"/>
      <c r="R28" s="196">
        <f t="shared" si="0"/>
        <v>12</v>
      </c>
      <c r="S28" s="195">
        <f t="shared" si="1"/>
        <v>3</v>
      </c>
      <c r="T28" s="194"/>
    </row>
    <row r="29" spans="1:20" ht="48" customHeight="1" x14ac:dyDescent="0.3">
      <c r="A29" s="224">
        <v>19</v>
      </c>
      <c r="B29" s="166" t="s">
        <v>271</v>
      </c>
      <c r="C29" s="197">
        <v>2</v>
      </c>
      <c r="D29" s="197">
        <v>3</v>
      </c>
      <c r="E29" s="197">
        <v>2</v>
      </c>
      <c r="F29" s="197">
        <v>3</v>
      </c>
      <c r="G29" s="197"/>
      <c r="H29" s="197"/>
      <c r="I29" s="197"/>
      <c r="J29" s="197"/>
      <c r="K29" s="197"/>
      <c r="L29" s="197"/>
      <c r="M29" s="197"/>
      <c r="N29" s="197"/>
      <c r="O29" s="197"/>
      <c r="P29" s="197"/>
      <c r="Q29" s="197"/>
      <c r="R29" s="196">
        <f t="shared" si="0"/>
        <v>10</v>
      </c>
      <c r="S29" s="195">
        <f t="shared" si="1"/>
        <v>2.5</v>
      </c>
      <c r="T29" s="194"/>
    </row>
    <row r="30" spans="1:20" ht="39.75" customHeight="1" x14ac:dyDescent="0.3">
      <c r="A30" s="224">
        <v>20</v>
      </c>
      <c r="B30" s="166" t="s">
        <v>270</v>
      </c>
      <c r="C30" s="197">
        <v>3</v>
      </c>
      <c r="D30" s="197">
        <v>3</v>
      </c>
      <c r="E30" s="197">
        <v>4</v>
      </c>
      <c r="F30" s="197">
        <v>4</v>
      </c>
      <c r="G30" s="197"/>
      <c r="H30" s="197"/>
      <c r="I30" s="197"/>
      <c r="J30" s="197"/>
      <c r="K30" s="197"/>
      <c r="L30" s="197"/>
      <c r="M30" s="197"/>
      <c r="N30" s="197"/>
      <c r="O30" s="197"/>
      <c r="P30" s="197"/>
      <c r="Q30" s="197"/>
      <c r="R30" s="196">
        <f t="shared" si="0"/>
        <v>14</v>
      </c>
      <c r="S30" s="195">
        <f t="shared" si="1"/>
        <v>3.5</v>
      </c>
      <c r="T30" s="194"/>
    </row>
    <row r="31" spans="1:20" ht="61.8" customHeight="1" x14ac:dyDescent="0.3">
      <c r="A31" s="224">
        <v>21</v>
      </c>
      <c r="B31" s="166" t="s">
        <v>269</v>
      </c>
      <c r="C31" s="197">
        <v>5</v>
      </c>
      <c r="D31" s="197">
        <v>5</v>
      </c>
      <c r="E31" s="197">
        <v>5</v>
      </c>
      <c r="F31" s="197">
        <v>5</v>
      </c>
      <c r="G31" s="197"/>
      <c r="H31" s="197"/>
      <c r="I31" s="197"/>
      <c r="J31" s="197"/>
      <c r="K31" s="197"/>
      <c r="L31" s="197"/>
      <c r="M31" s="197"/>
      <c r="N31" s="197"/>
      <c r="O31" s="197"/>
      <c r="P31" s="197"/>
      <c r="Q31" s="197"/>
      <c r="R31" s="196">
        <f t="shared" si="0"/>
        <v>20</v>
      </c>
      <c r="S31" s="195">
        <f t="shared" si="1"/>
        <v>5</v>
      </c>
      <c r="T31" s="194"/>
    </row>
    <row r="32" spans="1:20" ht="84" customHeight="1" x14ac:dyDescent="0.3">
      <c r="A32" s="224">
        <v>23</v>
      </c>
      <c r="B32" s="166" t="s">
        <v>268</v>
      </c>
      <c r="C32" s="197">
        <v>3</v>
      </c>
      <c r="D32" s="197">
        <v>4</v>
      </c>
      <c r="E32" s="197">
        <v>3</v>
      </c>
      <c r="F32" s="197">
        <v>3</v>
      </c>
      <c r="G32" s="197"/>
      <c r="H32" s="197"/>
      <c r="I32" s="197"/>
      <c r="J32" s="197"/>
      <c r="K32" s="197"/>
      <c r="L32" s="197"/>
      <c r="M32" s="197"/>
      <c r="N32" s="197"/>
      <c r="O32" s="197"/>
      <c r="P32" s="197"/>
      <c r="Q32" s="197"/>
      <c r="R32" s="196">
        <f t="shared" si="0"/>
        <v>13</v>
      </c>
      <c r="S32" s="195">
        <f t="shared" si="1"/>
        <v>3.25</v>
      </c>
      <c r="T32" s="194"/>
    </row>
    <row r="33" spans="1:20" ht="46.5" customHeight="1" x14ac:dyDescent="0.3">
      <c r="A33" s="224">
        <v>24</v>
      </c>
      <c r="B33" s="179" t="s">
        <v>267</v>
      </c>
      <c r="C33" s="197">
        <v>5</v>
      </c>
      <c r="D33" s="197">
        <v>5</v>
      </c>
      <c r="E33" s="197">
        <v>5</v>
      </c>
      <c r="F33" s="197">
        <v>5</v>
      </c>
      <c r="G33" s="197"/>
      <c r="H33" s="197"/>
      <c r="I33" s="197"/>
      <c r="J33" s="197"/>
      <c r="K33" s="197"/>
      <c r="L33" s="197"/>
      <c r="M33" s="197"/>
      <c r="N33" s="197"/>
      <c r="O33" s="197"/>
      <c r="P33" s="197"/>
      <c r="Q33" s="197"/>
      <c r="R33" s="196">
        <f t="shared" si="0"/>
        <v>20</v>
      </c>
      <c r="S33" s="195">
        <f t="shared" si="1"/>
        <v>5</v>
      </c>
      <c r="T33" s="194"/>
    </row>
    <row r="34" spans="1:20" ht="88.8" customHeight="1" x14ac:dyDescent="0.3">
      <c r="A34" s="224">
        <v>25</v>
      </c>
      <c r="B34" s="179" t="s">
        <v>266</v>
      </c>
      <c r="C34" s="197">
        <v>4</v>
      </c>
      <c r="D34" s="197">
        <v>4</v>
      </c>
      <c r="E34" s="197">
        <v>4</v>
      </c>
      <c r="F34" s="197">
        <v>3</v>
      </c>
      <c r="G34" s="197"/>
      <c r="H34" s="197"/>
      <c r="I34" s="197"/>
      <c r="J34" s="197"/>
      <c r="K34" s="197"/>
      <c r="L34" s="197"/>
      <c r="M34" s="197"/>
      <c r="N34" s="197"/>
      <c r="O34" s="197"/>
      <c r="P34" s="197"/>
      <c r="Q34" s="197"/>
      <c r="R34" s="196">
        <f t="shared" si="0"/>
        <v>15</v>
      </c>
      <c r="S34" s="195">
        <f t="shared" si="1"/>
        <v>3.75</v>
      </c>
      <c r="T34" s="194"/>
    </row>
    <row r="35" spans="1:20" ht="124.2" customHeight="1" x14ac:dyDescent="0.3">
      <c r="A35" s="224">
        <v>26</v>
      </c>
      <c r="B35" s="166" t="s">
        <v>265</v>
      </c>
      <c r="C35" s="197">
        <v>5</v>
      </c>
      <c r="D35" s="197">
        <v>4</v>
      </c>
      <c r="E35" s="197">
        <v>4</v>
      </c>
      <c r="F35" s="197">
        <v>3</v>
      </c>
      <c r="G35" s="197"/>
      <c r="H35" s="197"/>
      <c r="I35" s="197"/>
      <c r="J35" s="197"/>
      <c r="K35" s="197"/>
      <c r="L35" s="197"/>
      <c r="M35" s="197"/>
      <c r="N35" s="197"/>
      <c r="O35" s="197"/>
      <c r="P35" s="197"/>
      <c r="Q35" s="197"/>
      <c r="R35" s="196">
        <f t="shared" si="0"/>
        <v>16</v>
      </c>
      <c r="S35" s="195">
        <f t="shared" si="1"/>
        <v>4</v>
      </c>
      <c r="T35" s="194"/>
    </row>
    <row r="36" spans="1:20" ht="62.4" customHeight="1" x14ac:dyDescent="0.3">
      <c r="A36" s="224">
        <v>27</v>
      </c>
      <c r="B36" s="166" t="s">
        <v>264</v>
      </c>
      <c r="C36" s="197">
        <v>3</v>
      </c>
      <c r="D36" s="197">
        <v>3</v>
      </c>
      <c r="E36" s="197">
        <v>4</v>
      </c>
      <c r="F36" s="197">
        <v>4</v>
      </c>
      <c r="G36" s="197"/>
      <c r="H36" s="197"/>
      <c r="I36" s="197"/>
      <c r="J36" s="197"/>
      <c r="K36" s="197"/>
      <c r="L36" s="197"/>
      <c r="M36" s="197"/>
      <c r="N36" s="197"/>
      <c r="O36" s="197"/>
      <c r="P36" s="197"/>
      <c r="Q36" s="197"/>
      <c r="R36" s="196">
        <f t="shared" si="0"/>
        <v>14</v>
      </c>
      <c r="S36" s="195">
        <f t="shared" si="1"/>
        <v>3.5</v>
      </c>
      <c r="T36" s="194"/>
    </row>
    <row r="37" spans="1:20" ht="52.2" customHeight="1" x14ac:dyDescent="0.3">
      <c r="A37" s="229">
        <v>28</v>
      </c>
      <c r="B37" s="167" t="s">
        <v>293</v>
      </c>
      <c r="C37" s="197">
        <v>4</v>
      </c>
      <c r="D37" s="197">
        <v>3</v>
      </c>
      <c r="E37" s="197">
        <v>3</v>
      </c>
      <c r="F37" s="197">
        <v>4</v>
      </c>
      <c r="G37" s="197"/>
      <c r="H37" s="197"/>
      <c r="I37" s="197"/>
      <c r="J37" s="197"/>
      <c r="K37" s="197"/>
      <c r="L37" s="197"/>
      <c r="M37" s="197"/>
      <c r="N37" s="197"/>
      <c r="O37" s="197"/>
      <c r="P37" s="197"/>
      <c r="Q37" s="197"/>
      <c r="R37" s="196">
        <f t="shared" si="0"/>
        <v>14</v>
      </c>
      <c r="S37" s="195">
        <f t="shared" si="1"/>
        <v>3.5</v>
      </c>
      <c r="T37" s="194"/>
    </row>
    <row r="38" spans="1:20" ht="62.4" customHeight="1" x14ac:dyDescent="0.3">
      <c r="A38" s="229">
        <v>29</v>
      </c>
      <c r="B38" s="167" t="s">
        <v>289</v>
      </c>
      <c r="C38" s="197">
        <v>4</v>
      </c>
      <c r="D38" s="197">
        <v>4</v>
      </c>
      <c r="E38" s="197">
        <v>4</v>
      </c>
      <c r="F38" s="197">
        <v>5</v>
      </c>
      <c r="G38" s="197"/>
      <c r="H38" s="197"/>
      <c r="I38" s="197"/>
      <c r="J38" s="197"/>
      <c r="K38" s="197"/>
      <c r="L38" s="197"/>
      <c r="M38" s="197"/>
      <c r="N38" s="197"/>
      <c r="O38" s="197"/>
      <c r="P38" s="197"/>
      <c r="Q38" s="197"/>
      <c r="R38" s="196">
        <f t="shared" si="0"/>
        <v>17</v>
      </c>
      <c r="S38" s="195">
        <f t="shared" si="1"/>
        <v>4.25</v>
      </c>
      <c r="T38" s="194"/>
    </row>
    <row r="39" spans="1:20" ht="58.2" customHeight="1" thickBot="1" x14ac:dyDescent="0.35">
      <c r="A39" s="230">
        <v>30</v>
      </c>
      <c r="B39" s="167" t="s">
        <v>285</v>
      </c>
      <c r="C39" s="197">
        <v>5</v>
      </c>
      <c r="D39" s="197">
        <v>5</v>
      </c>
      <c r="E39" s="193">
        <v>4</v>
      </c>
      <c r="F39" s="193">
        <v>4</v>
      </c>
      <c r="G39" s="193"/>
      <c r="H39" s="193"/>
      <c r="I39" s="193"/>
      <c r="J39" s="193"/>
      <c r="K39" s="193"/>
      <c r="L39" s="193"/>
      <c r="M39" s="193"/>
      <c r="N39" s="193"/>
      <c r="O39" s="193"/>
      <c r="P39" s="193"/>
      <c r="Q39" s="193"/>
      <c r="R39" s="192">
        <f t="shared" si="0"/>
        <v>18</v>
      </c>
      <c r="S39" s="191">
        <f t="shared" si="1"/>
        <v>4.5</v>
      </c>
      <c r="T39" s="190"/>
    </row>
    <row r="40" spans="1:20" ht="24" customHeight="1" x14ac:dyDescent="0.3">
      <c r="A40" s="308" t="s">
        <v>300</v>
      </c>
      <c r="B40" s="309"/>
      <c r="C40" s="309"/>
      <c r="D40" s="309"/>
      <c r="E40" s="310"/>
      <c r="F40" s="310"/>
      <c r="G40" s="310"/>
      <c r="H40" s="310"/>
      <c r="I40" s="310"/>
      <c r="J40" s="310"/>
      <c r="K40" s="310"/>
      <c r="L40" s="310"/>
      <c r="M40" s="310"/>
      <c r="N40" s="310"/>
      <c r="O40" s="310"/>
      <c r="P40" s="310"/>
      <c r="Q40" s="310"/>
      <c r="R40" s="311"/>
      <c r="S40" s="189">
        <f>SUM(S11:S39)</f>
        <v>118.75</v>
      </c>
    </row>
    <row r="41" spans="1:20" ht="28.5" customHeight="1" thickBot="1" x14ac:dyDescent="0.35">
      <c r="A41" s="300" t="s">
        <v>299</v>
      </c>
      <c r="B41" s="301"/>
      <c r="C41" s="301"/>
      <c r="D41" s="301"/>
      <c r="E41" s="301"/>
      <c r="F41" s="301"/>
      <c r="G41" s="301"/>
      <c r="H41" s="301"/>
      <c r="I41" s="301"/>
      <c r="J41" s="301"/>
      <c r="K41" s="301"/>
      <c r="L41" s="301"/>
      <c r="M41" s="301"/>
      <c r="N41" s="301"/>
      <c r="O41" s="301"/>
      <c r="P41" s="301"/>
      <c r="Q41" s="301"/>
      <c r="R41" s="301"/>
      <c r="S41" s="188">
        <f>S40/A39</f>
        <v>3.9583333333333335</v>
      </c>
    </row>
  </sheetData>
  <sheetProtection selectLockedCells="1"/>
  <mergeCells count="14">
    <mergeCell ref="A1:B4"/>
    <mergeCell ref="A5:T5"/>
    <mergeCell ref="A41:R41"/>
    <mergeCell ref="A9:T9"/>
    <mergeCell ref="T1:W1"/>
    <mergeCell ref="T2:W2"/>
    <mergeCell ref="T3:W3"/>
    <mergeCell ref="T4:W4"/>
    <mergeCell ref="A40:R40"/>
    <mergeCell ref="A7:T7"/>
    <mergeCell ref="A6:T6"/>
    <mergeCell ref="C1:R2"/>
    <mergeCell ref="C3:R4"/>
    <mergeCell ref="S1:S4"/>
  </mergeCells>
  <conditionalFormatting sqref="Z14">
    <cfRule type="dataBar" priority="1">
      <dataBar>
        <cfvo type="min"/>
        <cfvo type="max"/>
        <color rgb="FFFFB628"/>
      </dataBar>
      <extLst>
        <ext xmlns:x14="http://schemas.microsoft.com/office/spreadsheetml/2009/9/main" uri="{B025F937-C7B1-47D3-B67F-A62EFF666E3E}">
          <x14:id>{55861C6E-E702-4716-9B7A-D4FB19EAFB2B}</x14:id>
        </ext>
      </extLst>
    </cfRule>
  </conditionalFormatting>
  <dataValidations count="1">
    <dataValidation type="whole" showErrorMessage="1" error="DATO INVÁLIDO_x000a_Tenga en cuenta que la escala de calificación va de 1 a 5" sqref="C11:Q39" xr:uid="{00000000-0002-0000-0400-000000000000}">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2333" r:id="rId4" name="CheckBox46">
          <controlPr defaultSize="0" autoLine="0" r:id="rId5">
            <anchor moveWithCells="1">
              <from>
                <xdr:col>19</xdr:col>
                <xdr:colOff>624840</xdr:colOff>
                <xdr:row>39</xdr:row>
                <xdr:rowOff>0</xdr:rowOff>
              </from>
              <to>
                <xdr:col>19</xdr:col>
                <xdr:colOff>914400</xdr:colOff>
                <xdr:row>39</xdr:row>
                <xdr:rowOff>259080</xdr:rowOff>
              </to>
            </anchor>
          </controlPr>
        </control>
      </mc:Choice>
      <mc:Fallback>
        <control shapeId="12333" r:id="rId4" name="CheckBox46"/>
      </mc:Fallback>
    </mc:AlternateContent>
    <mc:AlternateContent xmlns:mc="http://schemas.openxmlformats.org/markup-compatibility/2006">
      <mc:Choice Requires="x14">
        <control shapeId="12332" r:id="rId6" name="CheckBox45">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32" r:id="rId6" name="CheckBox45"/>
      </mc:Fallback>
    </mc:AlternateContent>
    <mc:AlternateContent xmlns:mc="http://schemas.openxmlformats.org/markup-compatibility/2006">
      <mc:Choice Requires="x14">
        <control shapeId="12331" r:id="rId8" name="CheckBox44">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31" r:id="rId8" name="CheckBox44"/>
      </mc:Fallback>
    </mc:AlternateContent>
    <mc:AlternateContent xmlns:mc="http://schemas.openxmlformats.org/markup-compatibility/2006">
      <mc:Choice Requires="x14">
        <control shapeId="12330" r:id="rId9" name="CheckBox43">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30" r:id="rId9" name="CheckBox43"/>
      </mc:Fallback>
    </mc:AlternateContent>
    <mc:AlternateContent xmlns:mc="http://schemas.openxmlformats.org/markup-compatibility/2006">
      <mc:Choice Requires="x14">
        <control shapeId="12329" r:id="rId10" name="CheckBox42">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9" r:id="rId10" name="CheckBox42"/>
      </mc:Fallback>
    </mc:AlternateContent>
    <mc:AlternateContent xmlns:mc="http://schemas.openxmlformats.org/markup-compatibility/2006">
      <mc:Choice Requires="x14">
        <control shapeId="12328" r:id="rId11" name="CheckBox41">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8" r:id="rId11" name="CheckBox41"/>
      </mc:Fallback>
    </mc:AlternateContent>
    <mc:AlternateContent xmlns:mc="http://schemas.openxmlformats.org/markup-compatibility/2006">
      <mc:Choice Requires="x14">
        <control shapeId="12327" r:id="rId12" name="CheckBox40">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7" r:id="rId12" name="CheckBox40"/>
      </mc:Fallback>
    </mc:AlternateContent>
    <mc:AlternateContent xmlns:mc="http://schemas.openxmlformats.org/markup-compatibility/2006">
      <mc:Choice Requires="x14">
        <control shapeId="12326" r:id="rId13" name="CheckBox39">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6" r:id="rId13" name="CheckBox39"/>
      </mc:Fallback>
    </mc:AlternateContent>
    <mc:AlternateContent xmlns:mc="http://schemas.openxmlformats.org/markup-compatibility/2006">
      <mc:Choice Requires="x14">
        <control shapeId="12325" r:id="rId14" name="CheckBox38">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5" r:id="rId14" name="CheckBox38"/>
      </mc:Fallback>
    </mc:AlternateContent>
    <mc:AlternateContent xmlns:mc="http://schemas.openxmlformats.org/markup-compatibility/2006">
      <mc:Choice Requires="x14">
        <control shapeId="12324" r:id="rId15" name="CheckBox36">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4" r:id="rId15" name="CheckBox36"/>
      </mc:Fallback>
    </mc:AlternateContent>
    <mc:AlternateContent xmlns:mc="http://schemas.openxmlformats.org/markup-compatibility/2006">
      <mc:Choice Requires="x14">
        <control shapeId="12323" r:id="rId16" name="CheckBox35">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3" r:id="rId16" name="CheckBox35"/>
      </mc:Fallback>
    </mc:AlternateContent>
    <mc:AlternateContent xmlns:mc="http://schemas.openxmlformats.org/markup-compatibility/2006">
      <mc:Choice Requires="x14">
        <control shapeId="12322" r:id="rId17" name="CheckBox34">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2" r:id="rId17" name="CheckBox34"/>
      </mc:Fallback>
    </mc:AlternateContent>
    <mc:AlternateContent xmlns:mc="http://schemas.openxmlformats.org/markup-compatibility/2006">
      <mc:Choice Requires="x14">
        <control shapeId="12321" r:id="rId18" name="CheckBox33">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1" r:id="rId18" name="CheckBox33"/>
      </mc:Fallback>
    </mc:AlternateContent>
    <mc:AlternateContent xmlns:mc="http://schemas.openxmlformats.org/markup-compatibility/2006">
      <mc:Choice Requires="x14">
        <control shapeId="12320" r:id="rId19" name="CheckBox32">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20" r:id="rId19" name="CheckBox32"/>
      </mc:Fallback>
    </mc:AlternateContent>
    <mc:AlternateContent xmlns:mc="http://schemas.openxmlformats.org/markup-compatibility/2006">
      <mc:Choice Requires="x14">
        <control shapeId="12319" r:id="rId20" name="CheckBox31">
          <controlPr defaultSize="0" autoLine="0" r:id="rId7">
            <anchor moveWithCells="1">
              <from>
                <xdr:col>19</xdr:col>
                <xdr:colOff>624840</xdr:colOff>
                <xdr:row>39</xdr:row>
                <xdr:rowOff>0</xdr:rowOff>
              </from>
              <to>
                <xdr:col>19</xdr:col>
                <xdr:colOff>914400</xdr:colOff>
                <xdr:row>39</xdr:row>
                <xdr:rowOff>259080</xdr:rowOff>
              </to>
            </anchor>
          </controlPr>
        </control>
      </mc:Choice>
      <mc:Fallback>
        <control shapeId="12319" r:id="rId20" name="CheckBox31"/>
      </mc:Fallback>
    </mc:AlternateContent>
    <mc:AlternateContent xmlns:mc="http://schemas.openxmlformats.org/markup-compatibility/2006">
      <mc:Choice Requires="x14">
        <control shapeId="12318" r:id="rId21" name="CheckBox30">
          <controlPr defaultSize="0" autoLine="0" r:id="rId22">
            <anchor moveWithCells="1">
              <from>
                <xdr:col>19</xdr:col>
                <xdr:colOff>624840</xdr:colOff>
                <xdr:row>38</xdr:row>
                <xdr:rowOff>167640</xdr:rowOff>
              </from>
              <to>
                <xdr:col>19</xdr:col>
                <xdr:colOff>914400</xdr:colOff>
                <xdr:row>38</xdr:row>
                <xdr:rowOff>419100</xdr:rowOff>
              </to>
            </anchor>
          </controlPr>
        </control>
      </mc:Choice>
      <mc:Fallback>
        <control shapeId="12318" r:id="rId21" name="CheckBox30"/>
      </mc:Fallback>
    </mc:AlternateContent>
    <mc:AlternateContent xmlns:mc="http://schemas.openxmlformats.org/markup-compatibility/2006">
      <mc:Choice Requires="x14">
        <control shapeId="12317" r:id="rId23" name="CheckBox29">
          <controlPr defaultSize="0" autoLine="0" r:id="rId22">
            <anchor moveWithCells="1">
              <from>
                <xdr:col>19</xdr:col>
                <xdr:colOff>624840</xdr:colOff>
                <xdr:row>37</xdr:row>
                <xdr:rowOff>167640</xdr:rowOff>
              </from>
              <to>
                <xdr:col>19</xdr:col>
                <xdr:colOff>914400</xdr:colOff>
                <xdr:row>37</xdr:row>
                <xdr:rowOff>419100</xdr:rowOff>
              </to>
            </anchor>
          </controlPr>
        </control>
      </mc:Choice>
      <mc:Fallback>
        <control shapeId="12317" r:id="rId23" name="CheckBox29"/>
      </mc:Fallback>
    </mc:AlternateContent>
    <mc:AlternateContent xmlns:mc="http://schemas.openxmlformats.org/markup-compatibility/2006">
      <mc:Choice Requires="x14">
        <control shapeId="12316" r:id="rId24" name="CheckBox28">
          <controlPr defaultSize="0" autoLine="0" r:id="rId25">
            <anchor moveWithCells="1">
              <from>
                <xdr:col>19</xdr:col>
                <xdr:colOff>624840</xdr:colOff>
                <xdr:row>36</xdr:row>
                <xdr:rowOff>167640</xdr:rowOff>
              </from>
              <to>
                <xdr:col>19</xdr:col>
                <xdr:colOff>914400</xdr:colOff>
                <xdr:row>36</xdr:row>
                <xdr:rowOff>419100</xdr:rowOff>
              </to>
            </anchor>
          </controlPr>
        </control>
      </mc:Choice>
      <mc:Fallback>
        <control shapeId="12316" r:id="rId24" name="CheckBox28"/>
      </mc:Fallback>
    </mc:AlternateContent>
    <mc:AlternateContent xmlns:mc="http://schemas.openxmlformats.org/markup-compatibility/2006">
      <mc:Choice Requires="x14">
        <control shapeId="12315" r:id="rId26" name="CheckBox27">
          <controlPr defaultSize="0" autoLine="0" r:id="rId25">
            <anchor moveWithCells="1">
              <from>
                <xdr:col>19</xdr:col>
                <xdr:colOff>624840</xdr:colOff>
                <xdr:row>35</xdr:row>
                <xdr:rowOff>167640</xdr:rowOff>
              </from>
              <to>
                <xdr:col>19</xdr:col>
                <xdr:colOff>914400</xdr:colOff>
                <xdr:row>35</xdr:row>
                <xdr:rowOff>419100</xdr:rowOff>
              </to>
            </anchor>
          </controlPr>
        </control>
      </mc:Choice>
      <mc:Fallback>
        <control shapeId="12315" r:id="rId26" name="CheckBox27"/>
      </mc:Fallback>
    </mc:AlternateContent>
    <mc:AlternateContent xmlns:mc="http://schemas.openxmlformats.org/markup-compatibility/2006">
      <mc:Choice Requires="x14">
        <control shapeId="12314" r:id="rId27" name="CheckBox26">
          <controlPr defaultSize="0" autoLine="0" r:id="rId25">
            <anchor moveWithCells="1">
              <from>
                <xdr:col>19</xdr:col>
                <xdr:colOff>624840</xdr:colOff>
                <xdr:row>34</xdr:row>
                <xdr:rowOff>167640</xdr:rowOff>
              </from>
              <to>
                <xdr:col>19</xdr:col>
                <xdr:colOff>914400</xdr:colOff>
                <xdr:row>34</xdr:row>
                <xdr:rowOff>419100</xdr:rowOff>
              </to>
            </anchor>
          </controlPr>
        </control>
      </mc:Choice>
      <mc:Fallback>
        <control shapeId="12314" r:id="rId27" name="CheckBox26"/>
      </mc:Fallback>
    </mc:AlternateContent>
    <mc:AlternateContent xmlns:mc="http://schemas.openxmlformats.org/markup-compatibility/2006">
      <mc:Choice Requires="x14">
        <control shapeId="12313" r:id="rId28" name="CheckBox25">
          <controlPr defaultSize="0" autoLine="0" r:id="rId25">
            <anchor moveWithCells="1">
              <from>
                <xdr:col>19</xdr:col>
                <xdr:colOff>624840</xdr:colOff>
                <xdr:row>33</xdr:row>
                <xdr:rowOff>167640</xdr:rowOff>
              </from>
              <to>
                <xdr:col>19</xdr:col>
                <xdr:colOff>914400</xdr:colOff>
                <xdr:row>33</xdr:row>
                <xdr:rowOff>419100</xdr:rowOff>
              </to>
            </anchor>
          </controlPr>
        </control>
      </mc:Choice>
      <mc:Fallback>
        <control shapeId="12313" r:id="rId28" name="CheckBox25"/>
      </mc:Fallback>
    </mc:AlternateContent>
    <mc:AlternateContent xmlns:mc="http://schemas.openxmlformats.org/markup-compatibility/2006">
      <mc:Choice Requires="x14">
        <control shapeId="12312" r:id="rId29" name="CheckBox24">
          <controlPr defaultSize="0" autoLine="0" r:id="rId22">
            <anchor moveWithCells="1">
              <from>
                <xdr:col>19</xdr:col>
                <xdr:colOff>624840</xdr:colOff>
                <xdr:row>32</xdr:row>
                <xdr:rowOff>167640</xdr:rowOff>
              </from>
              <to>
                <xdr:col>19</xdr:col>
                <xdr:colOff>914400</xdr:colOff>
                <xdr:row>32</xdr:row>
                <xdr:rowOff>419100</xdr:rowOff>
              </to>
            </anchor>
          </controlPr>
        </control>
      </mc:Choice>
      <mc:Fallback>
        <control shapeId="12312" r:id="rId29" name="CheckBox24"/>
      </mc:Fallback>
    </mc:AlternateContent>
    <mc:AlternateContent xmlns:mc="http://schemas.openxmlformats.org/markup-compatibility/2006">
      <mc:Choice Requires="x14">
        <control shapeId="12311" r:id="rId30" name="CheckBox23">
          <controlPr defaultSize="0" autoLine="0" r:id="rId25">
            <anchor moveWithCells="1">
              <from>
                <xdr:col>19</xdr:col>
                <xdr:colOff>624840</xdr:colOff>
                <xdr:row>31</xdr:row>
                <xdr:rowOff>167640</xdr:rowOff>
              </from>
              <to>
                <xdr:col>19</xdr:col>
                <xdr:colOff>914400</xdr:colOff>
                <xdr:row>31</xdr:row>
                <xdr:rowOff>419100</xdr:rowOff>
              </to>
            </anchor>
          </controlPr>
        </control>
      </mc:Choice>
      <mc:Fallback>
        <control shapeId="12311" r:id="rId30" name="CheckBox23"/>
      </mc:Fallback>
    </mc:AlternateContent>
    <mc:AlternateContent xmlns:mc="http://schemas.openxmlformats.org/markup-compatibility/2006">
      <mc:Choice Requires="x14">
        <control shapeId="12310" r:id="rId31" name="CheckBox22">
          <controlPr defaultSize="0" autoLine="0" r:id="rId22">
            <anchor moveWithCells="1">
              <from>
                <xdr:col>19</xdr:col>
                <xdr:colOff>624840</xdr:colOff>
                <xdr:row>31</xdr:row>
                <xdr:rowOff>0</xdr:rowOff>
              </from>
              <to>
                <xdr:col>19</xdr:col>
                <xdr:colOff>914400</xdr:colOff>
                <xdr:row>31</xdr:row>
                <xdr:rowOff>251460</xdr:rowOff>
              </to>
            </anchor>
          </controlPr>
        </control>
      </mc:Choice>
      <mc:Fallback>
        <control shapeId="12310" r:id="rId31" name="CheckBox22"/>
      </mc:Fallback>
    </mc:AlternateContent>
    <mc:AlternateContent xmlns:mc="http://schemas.openxmlformats.org/markup-compatibility/2006">
      <mc:Choice Requires="x14">
        <control shapeId="12309" r:id="rId32" name="CheckBox21">
          <controlPr defaultSize="0" autoLine="0" r:id="rId22">
            <anchor moveWithCells="1">
              <from>
                <xdr:col>19</xdr:col>
                <xdr:colOff>624840</xdr:colOff>
                <xdr:row>30</xdr:row>
                <xdr:rowOff>167640</xdr:rowOff>
              </from>
              <to>
                <xdr:col>19</xdr:col>
                <xdr:colOff>914400</xdr:colOff>
                <xdr:row>30</xdr:row>
                <xdr:rowOff>419100</xdr:rowOff>
              </to>
            </anchor>
          </controlPr>
        </control>
      </mc:Choice>
      <mc:Fallback>
        <control shapeId="12309" r:id="rId32" name="CheckBox21"/>
      </mc:Fallback>
    </mc:AlternateContent>
    <mc:AlternateContent xmlns:mc="http://schemas.openxmlformats.org/markup-compatibility/2006">
      <mc:Choice Requires="x14">
        <control shapeId="12308" r:id="rId33" name="CheckBox20">
          <controlPr defaultSize="0" autoLine="0" r:id="rId25">
            <anchor moveWithCells="1">
              <from>
                <xdr:col>19</xdr:col>
                <xdr:colOff>624840</xdr:colOff>
                <xdr:row>29</xdr:row>
                <xdr:rowOff>167640</xdr:rowOff>
              </from>
              <to>
                <xdr:col>19</xdr:col>
                <xdr:colOff>914400</xdr:colOff>
                <xdr:row>29</xdr:row>
                <xdr:rowOff>419100</xdr:rowOff>
              </to>
            </anchor>
          </controlPr>
        </control>
      </mc:Choice>
      <mc:Fallback>
        <control shapeId="12308" r:id="rId33" name="CheckBox20"/>
      </mc:Fallback>
    </mc:AlternateContent>
    <mc:AlternateContent xmlns:mc="http://schemas.openxmlformats.org/markup-compatibility/2006">
      <mc:Choice Requires="x14">
        <control shapeId="12307" r:id="rId34" name="CheckBox19">
          <controlPr defaultSize="0" autoLine="0" r:id="rId25">
            <anchor moveWithCells="1">
              <from>
                <xdr:col>19</xdr:col>
                <xdr:colOff>624840</xdr:colOff>
                <xdr:row>28</xdr:row>
                <xdr:rowOff>167640</xdr:rowOff>
              </from>
              <to>
                <xdr:col>19</xdr:col>
                <xdr:colOff>914400</xdr:colOff>
                <xdr:row>28</xdr:row>
                <xdr:rowOff>419100</xdr:rowOff>
              </to>
            </anchor>
          </controlPr>
        </control>
      </mc:Choice>
      <mc:Fallback>
        <control shapeId="12307" r:id="rId34" name="CheckBox19"/>
      </mc:Fallback>
    </mc:AlternateContent>
    <mc:AlternateContent xmlns:mc="http://schemas.openxmlformats.org/markup-compatibility/2006">
      <mc:Choice Requires="x14">
        <control shapeId="12306" r:id="rId35" name="CheckBox18">
          <controlPr defaultSize="0" autoLine="0" r:id="rId25">
            <anchor moveWithCells="1">
              <from>
                <xdr:col>19</xdr:col>
                <xdr:colOff>624840</xdr:colOff>
                <xdr:row>27</xdr:row>
                <xdr:rowOff>167640</xdr:rowOff>
              </from>
              <to>
                <xdr:col>19</xdr:col>
                <xdr:colOff>914400</xdr:colOff>
                <xdr:row>27</xdr:row>
                <xdr:rowOff>419100</xdr:rowOff>
              </to>
            </anchor>
          </controlPr>
        </control>
      </mc:Choice>
      <mc:Fallback>
        <control shapeId="12306" r:id="rId35" name="CheckBox18"/>
      </mc:Fallback>
    </mc:AlternateContent>
    <mc:AlternateContent xmlns:mc="http://schemas.openxmlformats.org/markup-compatibility/2006">
      <mc:Choice Requires="x14">
        <control shapeId="12305" r:id="rId36" name="CheckBox17">
          <controlPr defaultSize="0" autoLine="0" r:id="rId22">
            <anchor moveWithCells="1">
              <from>
                <xdr:col>19</xdr:col>
                <xdr:colOff>624840</xdr:colOff>
                <xdr:row>26</xdr:row>
                <xdr:rowOff>167640</xdr:rowOff>
              </from>
              <to>
                <xdr:col>19</xdr:col>
                <xdr:colOff>914400</xdr:colOff>
                <xdr:row>26</xdr:row>
                <xdr:rowOff>419100</xdr:rowOff>
              </to>
            </anchor>
          </controlPr>
        </control>
      </mc:Choice>
      <mc:Fallback>
        <control shapeId="12305" r:id="rId36" name="CheckBox17"/>
      </mc:Fallback>
    </mc:AlternateContent>
    <mc:AlternateContent xmlns:mc="http://schemas.openxmlformats.org/markup-compatibility/2006">
      <mc:Choice Requires="x14">
        <control shapeId="12304" r:id="rId37" name="CheckBox16">
          <controlPr defaultSize="0" autoLine="0" r:id="rId22">
            <anchor moveWithCells="1">
              <from>
                <xdr:col>19</xdr:col>
                <xdr:colOff>624840</xdr:colOff>
                <xdr:row>25</xdr:row>
                <xdr:rowOff>167640</xdr:rowOff>
              </from>
              <to>
                <xdr:col>19</xdr:col>
                <xdr:colOff>914400</xdr:colOff>
                <xdr:row>25</xdr:row>
                <xdr:rowOff>419100</xdr:rowOff>
              </to>
            </anchor>
          </controlPr>
        </control>
      </mc:Choice>
      <mc:Fallback>
        <control shapeId="12304" r:id="rId37" name="CheckBox16"/>
      </mc:Fallback>
    </mc:AlternateContent>
    <mc:AlternateContent xmlns:mc="http://schemas.openxmlformats.org/markup-compatibility/2006">
      <mc:Choice Requires="x14">
        <control shapeId="12303" r:id="rId38" name="CheckBox15">
          <controlPr defaultSize="0" autoLine="0" r:id="rId22">
            <anchor moveWithCells="1">
              <from>
                <xdr:col>19</xdr:col>
                <xdr:colOff>624840</xdr:colOff>
                <xdr:row>24</xdr:row>
                <xdr:rowOff>167640</xdr:rowOff>
              </from>
              <to>
                <xdr:col>19</xdr:col>
                <xdr:colOff>914400</xdr:colOff>
                <xdr:row>24</xdr:row>
                <xdr:rowOff>419100</xdr:rowOff>
              </to>
            </anchor>
          </controlPr>
        </control>
      </mc:Choice>
      <mc:Fallback>
        <control shapeId="12303" r:id="rId38" name="CheckBox15"/>
      </mc:Fallback>
    </mc:AlternateContent>
    <mc:AlternateContent xmlns:mc="http://schemas.openxmlformats.org/markup-compatibility/2006">
      <mc:Choice Requires="x14">
        <control shapeId="12302" r:id="rId39" name="CheckBox14">
          <controlPr defaultSize="0" autoLine="0" r:id="rId22">
            <anchor moveWithCells="1">
              <from>
                <xdr:col>19</xdr:col>
                <xdr:colOff>624840</xdr:colOff>
                <xdr:row>23</xdr:row>
                <xdr:rowOff>167640</xdr:rowOff>
              </from>
              <to>
                <xdr:col>19</xdr:col>
                <xdr:colOff>914400</xdr:colOff>
                <xdr:row>23</xdr:row>
                <xdr:rowOff>419100</xdr:rowOff>
              </to>
            </anchor>
          </controlPr>
        </control>
      </mc:Choice>
      <mc:Fallback>
        <control shapeId="12302" r:id="rId39" name="CheckBox14"/>
      </mc:Fallback>
    </mc:AlternateContent>
    <mc:AlternateContent xmlns:mc="http://schemas.openxmlformats.org/markup-compatibility/2006">
      <mc:Choice Requires="x14">
        <control shapeId="12301" r:id="rId40" name="CheckBox13">
          <controlPr defaultSize="0" autoLine="0" r:id="rId22">
            <anchor moveWithCells="1">
              <from>
                <xdr:col>19</xdr:col>
                <xdr:colOff>624840</xdr:colOff>
                <xdr:row>22</xdr:row>
                <xdr:rowOff>167640</xdr:rowOff>
              </from>
              <to>
                <xdr:col>19</xdr:col>
                <xdr:colOff>914400</xdr:colOff>
                <xdr:row>22</xdr:row>
                <xdr:rowOff>419100</xdr:rowOff>
              </to>
            </anchor>
          </controlPr>
        </control>
      </mc:Choice>
      <mc:Fallback>
        <control shapeId="12301" r:id="rId40" name="CheckBox13"/>
      </mc:Fallback>
    </mc:AlternateContent>
    <mc:AlternateContent xmlns:mc="http://schemas.openxmlformats.org/markup-compatibility/2006">
      <mc:Choice Requires="x14">
        <control shapeId="12300" r:id="rId41" name="CheckBox12">
          <controlPr defaultSize="0" autoLine="0" r:id="rId22">
            <anchor moveWithCells="1">
              <from>
                <xdr:col>19</xdr:col>
                <xdr:colOff>624840</xdr:colOff>
                <xdr:row>21</xdr:row>
                <xdr:rowOff>167640</xdr:rowOff>
              </from>
              <to>
                <xdr:col>19</xdr:col>
                <xdr:colOff>914400</xdr:colOff>
                <xdr:row>21</xdr:row>
                <xdr:rowOff>419100</xdr:rowOff>
              </to>
            </anchor>
          </controlPr>
        </control>
      </mc:Choice>
      <mc:Fallback>
        <control shapeId="12300" r:id="rId41" name="CheckBox12"/>
      </mc:Fallback>
    </mc:AlternateContent>
    <mc:AlternateContent xmlns:mc="http://schemas.openxmlformats.org/markup-compatibility/2006">
      <mc:Choice Requires="x14">
        <control shapeId="12299" r:id="rId42" name="CheckBox11">
          <controlPr defaultSize="0" autoLine="0" r:id="rId22">
            <anchor moveWithCells="1">
              <from>
                <xdr:col>19</xdr:col>
                <xdr:colOff>624840</xdr:colOff>
                <xdr:row>20</xdr:row>
                <xdr:rowOff>167640</xdr:rowOff>
              </from>
              <to>
                <xdr:col>19</xdr:col>
                <xdr:colOff>914400</xdr:colOff>
                <xdr:row>20</xdr:row>
                <xdr:rowOff>419100</xdr:rowOff>
              </to>
            </anchor>
          </controlPr>
        </control>
      </mc:Choice>
      <mc:Fallback>
        <control shapeId="12299" r:id="rId42" name="CheckBox11"/>
      </mc:Fallback>
    </mc:AlternateContent>
    <mc:AlternateContent xmlns:mc="http://schemas.openxmlformats.org/markup-compatibility/2006">
      <mc:Choice Requires="x14">
        <control shapeId="12298" r:id="rId43" name="CheckBox10">
          <controlPr defaultSize="0" autoLine="0" r:id="rId22">
            <anchor moveWithCells="1">
              <from>
                <xdr:col>19</xdr:col>
                <xdr:colOff>624840</xdr:colOff>
                <xdr:row>19</xdr:row>
                <xdr:rowOff>167640</xdr:rowOff>
              </from>
              <to>
                <xdr:col>19</xdr:col>
                <xdr:colOff>914400</xdr:colOff>
                <xdr:row>19</xdr:row>
                <xdr:rowOff>419100</xdr:rowOff>
              </to>
            </anchor>
          </controlPr>
        </control>
      </mc:Choice>
      <mc:Fallback>
        <control shapeId="12298" r:id="rId43" name="CheckBox10"/>
      </mc:Fallback>
    </mc:AlternateContent>
    <mc:AlternateContent xmlns:mc="http://schemas.openxmlformats.org/markup-compatibility/2006">
      <mc:Choice Requires="x14">
        <control shapeId="12297" r:id="rId44" name="CheckBox9">
          <controlPr defaultSize="0" autoLine="0" r:id="rId22">
            <anchor moveWithCells="1">
              <from>
                <xdr:col>19</xdr:col>
                <xdr:colOff>624840</xdr:colOff>
                <xdr:row>18</xdr:row>
                <xdr:rowOff>167640</xdr:rowOff>
              </from>
              <to>
                <xdr:col>19</xdr:col>
                <xdr:colOff>914400</xdr:colOff>
                <xdr:row>18</xdr:row>
                <xdr:rowOff>419100</xdr:rowOff>
              </to>
            </anchor>
          </controlPr>
        </control>
      </mc:Choice>
      <mc:Fallback>
        <control shapeId="12297" r:id="rId44" name="CheckBox9"/>
      </mc:Fallback>
    </mc:AlternateContent>
    <mc:AlternateContent xmlns:mc="http://schemas.openxmlformats.org/markup-compatibility/2006">
      <mc:Choice Requires="x14">
        <control shapeId="12296" r:id="rId45" name="CheckBox8">
          <controlPr defaultSize="0" autoLine="0" r:id="rId22">
            <anchor moveWithCells="1">
              <from>
                <xdr:col>19</xdr:col>
                <xdr:colOff>624840</xdr:colOff>
                <xdr:row>17</xdr:row>
                <xdr:rowOff>167640</xdr:rowOff>
              </from>
              <to>
                <xdr:col>19</xdr:col>
                <xdr:colOff>914400</xdr:colOff>
                <xdr:row>17</xdr:row>
                <xdr:rowOff>419100</xdr:rowOff>
              </to>
            </anchor>
          </controlPr>
        </control>
      </mc:Choice>
      <mc:Fallback>
        <control shapeId="12296" r:id="rId45" name="CheckBox8"/>
      </mc:Fallback>
    </mc:AlternateContent>
    <mc:AlternateContent xmlns:mc="http://schemas.openxmlformats.org/markup-compatibility/2006">
      <mc:Choice Requires="x14">
        <control shapeId="12295" r:id="rId46" name="CheckBox7">
          <controlPr defaultSize="0" autoLine="0" r:id="rId25">
            <anchor moveWithCells="1">
              <from>
                <xdr:col>19</xdr:col>
                <xdr:colOff>624840</xdr:colOff>
                <xdr:row>16</xdr:row>
                <xdr:rowOff>167640</xdr:rowOff>
              </from>
              <to>
                <xdr:col>19</xdr:col>
                <xdr:colOff>914400</xdr:colOff>
                <xdr:row>16</xdr:row>
                <xdr:rowOff>419100</xdr:rowOff>
              </to>
            </anchor>
          </controlPr>
        </control>
      </mc:Choice>
      <mc:Fallback>
        <control shapeId="12295" r:id="rId46" name="CheckBox7"/>
      </mc:Fallback>
    </mc:AlternateContent>
    <mc:AlternateContent xmlns:mc="http://schemas.openxmlformats.org/markup-compatibility/2006">
      <mc:Choice Requires="x14">
        <control shapeId="12294" r:id="rId47" name="CheckBox6">
          <controlPr defaultSize="0" autoLine="0" r:id="rId22">
            <anchor moveWithCells="1">
              <from>
                <xdr:col>19</xdr:col>
                <xdr:colOff>624840</xdr:colOff>
                <xdr:row>15</xdr:row>
                <xdr:rowOff>167640</xdr:rowOff>
              </from>
              <to>
                <xdr:col>19</xdr:col>
                <xdr:colOff>914400</xdr:colOff>
                <xdr:row>15</xdr:row>
                <xdr:rowOff>419100</xdr:rowOff>
              </to>
            </anchor>
          </controlPr>
        </control>
      </mc:Choice>
      <mc:Fallback>
        <control shapeId="12294" r:id="rId47" name="CheckBox6"/>
      </mc:Fallback>
    </mc:AlternateContent>
    <mc:AlternateContent xmlns:mc="http://schemas.openxmlformats.org/markup-compatibility/2006">
      <mc:Choice Requires="x14">
        <control shapeId="12293" r:id="rId48" name="CheckBox5">
          <controlPr defaultSize="0" autoLine="0" r:id="rId7">
            <anchor moveWithCells="1">
              <from>
                <xdr:col>19</xdr:col>
                <xdr:colOff>624840</xdr:colOff>
                <xdr:row>14</xdr:row>
                <xdr:rowOff>175260</xdr:rowOff>
              </from>
              <to>
                <xdr:col>19</xdr:col>
                <xdr:colOff>914400</xdr:colOff>
                <xdr:row>14</xdr:row>
                <xdr:rowOff>426720</xdr:rowOff>
              </to>
            </anchor>
          </controlPr>
        </control>
      </mc:Choice>
      <mc:Fallback>
        <control shapeId="12293" r:id="rId48" name="CheckBox5"/>
      </mc:Fallback>
    </mc:AlternateContent>
    <mc:AlternateContent xmlns:mc="http://schemas.openxmlformats.org/markup-compatibility/2006">
      <mc:Choice Requires="x14">
        <control shapeId="12292" r:id="rId49" name="CheckBox4">
          <controlPr defaultSize="0" autoLine="0" r:id="rId22">
            <anchor moveWithCells="1">
              <from>
                <xdr:col>19</xdr:col>
                <xdr:colOff>624840</xdr:colOff>
                <xdr:row>13</xdr:row>
                <xdr:rowOff>167640</xdr:rowOff>
              </from>
              <to>
                <xdr:col>19</xdr:col>
                <xdr:colOff>914400</xdr:colOff>
                <xdr:row>13</xdr:row>
                <xdr:rowOff>419100</xdr:rowOff>
              </to>
            </anchor>
          </controlPr>
        </control>
      </mc:Choice>
      <mc:Fallback>
        <control shapeId="12292" r:id="rId49" name="CheckBox4"/>
      </mc:Fallback>
    </mc:AlternateContent>
    <mc:AlternateContent xmlns:mc="http://schemas.openxmlformats.org/markup-compatibility/2006">
      <mc:Choice Requires="x14">
        <control shapeId="12291" r:id="rId50" name="CheckBox3">
          <controlPr defaultSize="0" autoLine="0" r:id="rId25">
            <anchor moveWithCells="1">
              <from>
                <xdr:col>19</xdr:col>
                <xdr:colOff>624840</xdr:colOff>
                <xdr:row>12</xdr:row>
                <xdr:rowOff>167640</xdr:rowOff>
              </from>
              <to>
                <xdr:col>19</xdr:col>
                <xdr:colOff>914400</xdr:colOff>
                <xdr:row>12</xdr:row>
                <xdr:rowOff>419100</xdr:rowOff>
              </to>
            </anchor>
          </controlPr>
        </control>
      </mc:Choice>
      <mc:Fallback>
        <control shapeId="12291" r:id="rId50" name="CheckBox3"/>
      </mc:Fallback>
    </mc:AlternateContent>
    <mc:AlternateContent xmlns:mc="http://schemas.openxmlformats.org/markup-compatibility/2006">
      <mc:Choice Requires="x14">
        <control shapeId="12290" r:id="rId51" name="CheckBox2">
          <controlPr defaultSize="0" autoLine="0" r:id="rId25">
            <anchor moveWithCells="1">
              <from>
                <xdr:col>19</xdr:col>
                <xdr:colOff>624840</xdr:colOff>
                <xdr:row>11</xdr:row>
                <xdr:rowOff>167640</xdr:rowOff>
              </from>
              <to>
                <xdr:col>19</xdr:col>
                <xdr:colOff>914400</xdr:colOff>
                <xdr:row>11</xdr:row>
                <xdr:rowOff>419100</xdr:rowOff>
              </to>
            </anchor>
          </controlPr>
        </control>
      </mc:Choice>
      <mc:Fallback>
        <control shapeId="12290" r:id="rId51" name="CheckBox2"/>
      </mc:Fallback>
    </mc:AlternateContent>
    <mc:AlternateContent xmlns:mc="http://schemas.openxmlformats.org/markup-compatibility/2006">
      <mc:Choice Requires="x14">
        <control shapeId="12289" r:id="rId52" name="CheckBox1">
          <controlPr defaultSize="0" autoLine="0" r:id="rId53">
            <anchor moveWithCells="1">
              <from>
                <xdr:col>19</xdr:col>
                <xdr:colOff>632460</xdr:colOff>
                <xdr:row>10</xdr:row>
                <xdr:rowOff>60960</xdr:rowOff>
              </from>
              <to>
                <xdr:col>19</xdr:col>
                <xdr:colOff>876300</xdr:colOff>
                <xdr:row>10</xdr:row>
                <xdr:rowOff>457200</xdr:rowOff>
              </to>
            </anchor>
          </controlPr>
        </control>
      </mc:Choice>
      <mc:Fallback>
        <control shapeId="12289" r:id="rId52" name="CheckBox1"/>
      </mc:Fallback>
    </mc:AlternateContent>
  </controls>
  <extLst>
    <ext xmlns:x14="http://schemas.microsoft.com/office/spreadsheetml/2009/9/main" uri="{78C0D931-6437-407d-A8EE-F0AAD7539E65}">
      <x14:conditionalFormattings>
        <x14:conditionalFormatting xmlns:xm="http://schemas.microsoft.com/office/excel/2006/main">
          <x14:cfRule type="dataBar" id="{55861C6E-E702-4716-9B7A-D4FB19EAFB2B}">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90B1-F3CC-495F-B2F3-E226D1F5AABF}">
  <dimension ref="A1:N131"/>
  <sheetViews>
    <sheetView topLeftCell="A31" zoomScale="70" zoomScaleNormal="70" workbookViewId="0">
      <selection activeCell="C51" sqref="C51:D51"/>
    </sheetView>
  </sheetViews>
  <sheetFormatPr baseColWidth="10" defaultColWidth="11.44140625" defaultRowHeight="13.8" x14ac:dyDescent="0.25"/>
  <cols>
    <col min="1" max="1" width="12.77734375" style="152" customWidth="1"/>
    <col min="2" max="2" width="16.5546875" style="152" customWidth="1"/>
    <col min="3" max="3" width="26.109375" style="152" customWidth="1"/>
    <col min="4" max="4" width="27.5546875" style="152" customWidth="1"/>
    <col min="5" max="5" width="4.33203125" style="152" bestFit="1" customWidth="1"/>
    <col min="6" max="6" width="51.33203125" style="152" customWidth="1"/>
    <col min="7" max="7" width="21.44140625" style="152" customWidth="1"/>
    <col min="8" max="8" width="15.5546875" style="152" customWidth="1"/>
    <col min="9" max="9" width="19.33203125" style="152" customWidth="1"/>
    <col min="10" max="10" width="24.88671875" style="152" customWidth="1"/>
    <col min="11" max="16384" width="11.44140625" style="152"/>
  </cols>
  <sheetData>
    <row r="1" spans="1:14" ht="15" customHeight="1" x14ac:dyDescent="0.25">
      <c r="A1" s="280"/>
      <c r="B1" s="280"/>
      <c r="C1" s="280" t="str">
        <f>+Contexto!$B$1</f>
        <v xml:space="preserve">PROCESO: </v>
      </c>
      <c r="D1" s="280"/>
      <c r="E1" s="280"/>
      <c r="F1" s="280"/>
      <c r="G1" s="280"/>
      <c r="H1" s="347" t="s">
        <v>388</v>
      </c>
      <c r="I1" s="348"/>
      <c r="J1" s="349"/>
      <c r="K1" s="174"/>
      <c r="N1" s="274"/>
    </row>
    <row r="2" spans="1:14" ht="15" customHeight="1" x14ac:dyDescent="0.25">
      <c r="A2" s="280"/>
      <c r="B2" s="280"/>
      <c r="C2" s="280"/>
      <c r="D2" s="280"/>
      <c r="E2" s="280"/>
      <c r="F2" s="280"/>
      <c r="G2" s="280"/>
      <c r="H2" s="340" t="s">
        <v>263</v>
      </c>
      <c r="I2" s="341"/>
      <c r="J2" s="350"/>
      <c r="K2" s="174"/>
      <c r="N2" s="274"/>
    </row>
    <row r="3" spans="1:14" ht="15" customHeight="1" x14ac:dyDescent="0.25">
      <c r="A3" s="280"/>
      <c r="B3" s="280"/>
      <c r="C3" s="280" t="s">
        <v>387</v>
      </c>
      <c r="D3" s="280"/>
      <c r="E3" s="280"/>
      <c r="F3" s="280"/>
      <c r="G3" s="280"/>
      <c r="H3" s="340" t="s">
        <v>261</v>
      </c>
      <c r="I3" s="341"/>
      <c r="J3" s="350"/>
      <c r="K3" s="174"/>
      <c r="N3" s="274"/>
    </row>
    <row r="4" spans="1:14" ht="15.75" customHeight="1" x14ac:dyDescent="0.25">
      <c r="A4" s="280"/>
      <c r="B4" s="280"/>
      <c r="C4" s="280"/>
      <c r="D4" s="280"/>
      <c r="E4" s="280"/>
      <c r="F4" s="280"/>
      <c r="G4" s="280"/>
      <c r="H4" s="340" t="s">
        <v>393</v>
      </c>
      <c r="I4" s="341"/>
      <c r="J4" s="351"/>
      <c r="K4" s="174"/>
      <c r="N4" s="274"/>
    </row>
    <row r="5" spans="1:14" ht="15.75" customHeight="1" x14ac:dyDescent="0.25">
      <c r="A5" s="342"/>
      <c r="B5" s="343"/>
      <c r="C5" s="343"/>
      <c r="D5" s="343"/>
      <c r="E5" s="343"/>
      <c r="F5" s="343"/>
      <c r="G5" s="343"/>
      <c r="H5" s="343"/>
      <c r="I5" s="343"/>
      <c r="J5" s="344"/>
      <c r="K5" s="174"/>
      <c r="N5" s="173"/>
    </row>
    <row r="6" spans="1:14" ht="15" customHeight="1" x14ac:dyDescent="0.25">
      <c r="A6" s="352" t="s">
        <v>297</v>
      </c>
      <c r="B6" s="353"/>
      <c r="C6" s="353"/>
      <c r="D6" s="353"/>
      <c r="E6" s="353"/>
      <c r="F6" s="353"/>
      <c r="G6" s="353"/>
      <c r="H6" s="353"/>
      <c r="I6" s="353"/>
      <c r="J6" s="354"/>
    </row>
    <row r="7" spans="1:14" ht="32.25" customHeight="1" thickBot="1" x14ac:dyDescent="0.3">
      <c r="A7" s="355"/>
      <c r="B7" s="356"/>
      <c r="C7" s="356"/>
      <c r="D7" s="356"/>
      <c r="E7" s="356"/>
      <c r="F7" s="356"/>
      <c r="G7" s="356"/>
      <c r="H7" s="356"/>
      <c r="I7" s="356"/>
      <c r="J7" s="357"/>
    </row>
    <row r="8" spans="1:14" ht="23.25" customHeight="1" x14ac:dyDescent="0.25">
      <c r="A8" s="358" t="s">
        <v>386</v>
      </c>
      <c r="B8" s="359"/>
      <c r="C8" s="359"/>
      <c r="D8" s="360"/>
      <c r="E8" s="367" t="s">
        <v>258</v>
      </c>
      <c r="F8" s="368"/>
      <c r="G8" s="368"/>
      <c r="H8" s="368"/>
      <c r="I8" s="368"/>
      <c r="J8" s="369"/>
    </row>
    <row r="9" spans="1:14" ht="23.25" customHeight="1" x14ac:dyDescent="0.25">
      <c r="A9" s="361"/>
      <c r="B9" s="362"/>
      <c r="C9" s="362"/>
      <c r="D9" s="363"/>
      <c r="E9" s="327" t="s">
        <v>335</v>
      </c>
      <c r="F9" s="328"/>
      <c r="G9" s="327" t="s">
        <v>370</v>
      </c>
      <c r="H9" s="329"/>
      <c r="I9" s="329"/>
      <c r="J9" s="328"/>
    </row>
    <row r="10" spans="1:14" ht="23.25" customHeight="1" x14ac:dyDescent="0.3">
      <c r="A10" s="361"/>
      <c r="B10" s="362"/>
      <c r="C10" s="362"/>
      <c r="D10" s="363"/>
      <c r="E10" s="334" t="s">
        <v>385</v>
      </c>
      <c r="F10" s="335"/>
      <c r="G10" s="370" t="s">
        <v>384</v>
      </c>
      <c r="H10" s="371"/>
      <c r="I10" s="371"/>
      <c r="J10" s="372"/>
    </row>
    <row r="11" spans="1:14" ht="43.5" customHeight="1" x14ac:dyDescent="0.25">
      <c r="A11" s="361"/>
      <c r="B11" s="362"/>
      <c r="C11" s="362"/>
      <c r="D11" s="363"/>
      <c r="E11" s="218">
        <v>1</v>
      </c>
      <c r="F11" s="345" t="str">
        <f>'[1]PRIORIZACIÓN DE CAUSA'!B15</f>
        <v xml:space="preserve">Personal insuficiente para adelantar las labores de proceso administrativo y contractual. </v>
      </c>
      <c r="G11" s="346"/>
      <c r="H11" s="345" t="s">
        <v>383</v>
      </c>
      <c r="I11" s="345"/>
      <c r="J11" s="345"/>
    </row>
    <row r="12" spans="1:14" ht="43.5" customHeight="1" x14ac:dyDescent="0.25">
      <c r="A12" s="361"/>
      <c r="B12" s="362"/>
      <c r="C12" s="362"/>
      <c r="D12" s="363"/>
      <c r="E12" s="218">
        <v>2</v>
      </c>
      <c r="F12" s="345" t="str">
        <f>'[1]PRIORIZACIÓN DE CAUSA'!B16</f>
        <v xml:space="preserve">Falta de Etica y valores  y de aplicación del código de integridad y buen gobierno. </v>
      </c>
      <c r="G12" s="346"/>
      <c r="H12" s="345" t="s">
        <v>382</v>
      </c>
      <c r="I12" s="345"/>
      <c r="J12" s="345"/>
    </row>
    <row r="13" spans="1:14" ht="43.5" customHeight="1" x14ac:dyDescent="0.25">
      <c r="A13" s="361"/>
      <c r="B13" s="362"/>
      <c r="C13" s="362"/>
      <c r="D13" s="363"/>
      <c r="E13" s="218">
        <v>3</v>
      </c>
      <c r="F13" s="345" t="str">
        <f>'[1]PRIORIZACIÓN DE CAUSA'!B17</f>
        <v xml:space="preserve">Dificultad en la unificación de criterios para la realización de los procesos contractuales </v>
      </c>
      <c r="G13" s="346"/>
      <c r="H13" s="345" t="s">
        <v>381</v>
      </c>
      <c r="I13" s="345"/>
      <c r="J13" s="345"/>
    </row>
    <row r="14" spans="1:14" ht="43.5" customHeight="1" x14ac:dyDescent="0.25">
      <c r="A14" s="361"/>
      <c r="B14" s="362"/>
      <c r="C14" s="362"/>
      <c r="D14" s="363"/>
      <c r="E14" s="218">
        <v>4</v>
      </c>
      <c r="F14" s="345" t="str">
        <f>'[1]PRIORIZACIÓN DE CAUSA'!B18</f>
        <v>Falta de articulación entre las Secretarías ejecutoras, Secretaría de Planeación  y oficina de Contratación</v>
      </c>
      <c r="G14" s="346"/>
      <c r="H14" s="345" t="s">
        <v>380</v>
      </c>
      <c r="I14" s="345"/>
      <c r="J14" s="345"/>
    </row>
    <row r="15" spans="1:14" ht="49.5" customHeight="1" x14ac:dyDescent="0.25">
      <c r="A15" s="361"/>
      <c r="B15" s="362"/>
      <c r="C15" s="362"/>
      <c r="D15" s="363"/>
      <c r="E15" s="218">
        <v>5</v>
      </c>
      <c r="F15" s="345" t="str">
        <f>'[1]PRIORIZACIÓN DE CAUSA'!B19</f>
        <v xml:space="preserve">Equipos tecnológicos obsoletos, Sistemas de Información no integrados. </v>
      </c>
      <c r="G15" s="346"/>
      <c r="H15" s="345" t="s">
        <v>379</v>
      </c>
      <c r="I15" s="345"/>
      <c r="J15" s="345"/>
    </row>
    <row r="16" spans="1:14" ht="71.25" customHeight="1" x14ac:dyDescent="0.25">
      <c r="A16" s="361"/>
      <c r="B16" s="362"/>
      <c r="C16" s="362"/>
      <c r="D16" s="363"/>
      <c r="E16" s="218">
        <v>6</v>
      </c>
      <c r="F16" s="345" t="str">
        <f>'[1]PRIORIZACIÓN DE CAUSA'!B21</f>
        <v>Unidades administrativas ubicadas en diferentes sitios de la ciudad (Ibagué).</v>
      </c>
      <c r="G16" s="346"/>
      <c r="H16" s="345" t="s">
        <v>378</v>
      </c>
      <c r="I16" s="345"/>
      <c r="J16" s="345"/>
    </row>
    <row r="17" spans="1:10" ht="54.75" customHeight="1" x14ac:dyDescent="0.25">
      <c r="A17" s="361"/>
      <c r="B17" s="362"/>
      <c r="C17" s="362"/>
      <c r="D17" s="363"/>
      <c r="E17" s="218">
        <v>7</v>
      </c>
      <c r="F17" s="345" t="str">
        <f>'[1]PRIORIZACIÓN DE CAUSA'!B23</f>
        <v xml:space="preserve">Desactualización de la caracterización del proceso. </v>
      </c>
      <c r="G17" s="346"/>
      <c r="H17" s="345" t="s">
        <v>377</v>
      </c>
      <c r="I17" s="345"/>
      <c r="J17" s="345"/>
    </row>
    <row r="18" spans="1:10" ht="48.75" customHeight="1" x14ac:dyDescent="0.25">
      <c r="A18" s="361"/>
      <c r="B18" s="362"/>
      <c r="C18" s="362"/>
      <c r="D18" s="363"/>
      <c r="E18" s="218">
        <v>8</v>
      </c>
      <c r="F18" s="345" t="str">
        <f>'[1]PRIORIZACIÓN DE CAUSA'!B24</f>
        <v>Demoras en la recepción de la información contractual por parte de las secretarias ejecutoras.</v>
      </c>
      <c r="G18" s="346"/>
      <c r="H18" s="345" t="s">
        <v>376</v>
      </c>
      <c r="I18" s="345"/>
      <c r="J18" s="345"/>
    </row>
    <row r="19" spans="1:10" ht="54.75" customHeight="1" x14ac:dyDescent="0.25">
      <c r="A19" s="361"/>
      <c r="B19" s="362"/>
      <c r="C19" s="362"/>
      <c r="D19" s="363"/>
      <c r="E19" s="218">
        <v>9</v>
      </c>
      <c r="F19" s="345" t="str">
        <f>'[1]PRIORIZACIÓN DE CAUSA'!B25</f>
        <v xml:space="preserve">Desconocimiento de la caracterización, manuales, procedimientos, instructivos, guías, formatos y demas documentos propios del proceso por parte del personal nuevo. </v>
      </c>
      <c r="G19" s="346"/>
      <c r="H19" s="345" t="s">
        <v>375</v>
      </c>
      <c r="I19" s="345"/>
      <c r="J19" s="345"/>
    </row>
    <row r="20" spans="1:10" ht="59.25" customHeight="1" x14ac:dyDescent="0.25">
      <c r="A20" s="361"/>
      <c r="B20" s="362"/>
      <c r="C20" s="362"/>
      <c r="D20" s="363"/>
      <c r="E20" s="218">
        <v>10</v>
      </c>
      <c r="F20" s="345" t="str">
        <f>'[1]PRIORIZACIÓN DE CAUSA'!B26</f>
        <v>Falta de compromiso de los líderes de los procesos en la implementación de mejora, asociadas a los planes de mejoramiento</v>
      </c>
      <c r="G20" s="346"/>
      <c r="H20" s="345"/>
      <c r="I20" s="345"/>
      <c r="J20" s="345"/>
    </row>
    <row r="21" spans="1:10" ht="49.5" customHeight="1" x14ac:dyDescent="0.25">
      <c r="A21" s="361"/>
      <c r="B21" s="362"/>
      <c r="C21" s="362"/>
      <c r="D21" s="363"/>
      <c r="E21" s="218">
        <v>11</v>
      </c>
      <c r="F21" s="345" t="str">
        <f>'[1]PRIORIZACIÓN DE CAUSA'!B27</f>
        <v xml:space="preserve">Desconocimiento del estatuto contractual y sus decretos reglamentarios </v>
      </c>
      <c r="G21" s="346"/>
      <c r="H21" s="345" t="s">
        <v>374</v>
      </c>
      <c r="I21" s="345"/>
      <c r="J21" s="345"/>
    </row>
    <row r="22" spans="1:10" ht="49.5" customHeight="1" x14ac:dyDescent="0.25">
      <c r="A22" s="361"/>
      <c r="B22" s="362"/>
      <c r="C22" s="362"/>
      <c r="D22" s="363"/>
      <c r="E22" s="218">
        <v>12</v>
      </c>
      <c r="F22" s="345" t="str">
        <f>[1]CONTEXTO!D14</f>
        <v xml:space="preserve">Dificultad en la unificación de criterios para la realización de los procesos contractuales </v>
      </c>
      <c r="G22" s="346"/>
      <c r="H22" s="345"/>
      <c r="I22" s="345"/>
      <c r="J22" s="345"/>
    </row>
    <row r="23" spans="1:10" ht="49.5" customHeight="1" x14ac:dyDescent="0.25">
      <c r="A23" s="361"/>
      <c r="B23" s="362"/>
      <c r="C23" s="362"/>
      <c r="D23" s="363"/>
      <c r="E23" s="218">
        <v>13</v>
      </c>
      <c r="F23" s="373" t="s">
        <v>245</v>
      </c>
      <c r="G23" s="346"/>
      <c r="H23" s="345"/>
      <c r="I23" s="345"/>
      <c r="J23" s="345"/>
    </row>
    <row r="24" spans="1:10" ht="49.5" customHeight="1" x14ac:dyDescent="0.25">
      <c r="A24" s="361"/>
      <c r="B24" s="362"/>
      <c r="C24" s="362"/>
      <c r="D24" s="363"/>
      <c r="E24" s="218">
        <v>14</v>
      </c>
      <c r="F24" s="373" t="s">
        <v>243</v>
      </c>
      <c r="G24" s="346"/>
      <c r="H24" s="345"/>
      <c r="I24" s="345"/>
      <c r="J24" s="345"/>
    </row>
    <row r="25" spans="1:10" ht="86.25" customHeight="1" x14ac:dyDescent="0.25">
      <c r="A25" s="361"/>
      <c r="B25" s="362"/>
      <c r="C25" s="362"/>
      <c r="D25" s="363"/>
      <c r="E25" s="218">
        <v>15</v>
      </c>
      <c r="F25" s="373" t="s">
        <v>373</v>
      </c>
      <c r="G25" s="346"/>
      <c r="H25" s="345"/>
      <c r="I25" s="345"/>
      <c r="J25" s="345"/>
    </row>
    <row r="26" spans="1:10" ht="49.5" customHeight="1" x14ac:dyDescent="0.25">
      <c r="A26" s="361"/>
      <c r="B26" s="362"/>
      <c r="C26" s="362"/>
      <c r="D26" s="363"/>
      <c r="E26" s="218">
        <v>16</v>
      </c>
      <c r="F26" s="373" t="s">
        <v>239</v>
      </c>
      <c r="G26" s="346"/>
      <c r="H26" s="345"/>
      <c r="I26" s="345"/>
      <c r="J26" s="345"/>
    </row>
    <row r="27" spans="1:10" ht="66.75" customHeight="1" x14ac:dyDescent="0.25">
      <c r="A27" s="361"/>
      <c r="B27" s="362"/>
      <c r="C27" s="362"/>
      <c r="D27" s="363"/>
      <c r="E27" s="218">
        <v>17</v>
      </c>
      <c r="F27" s="345" t="s">
        <v>372</v>
      </c>
      <c r="G27" s="346"/>
      <c r="H27" s="345"/>
      <c r="I27" s="345"/>
      <c r="J27" s="345"/>
    </row>
    <row r="28" spans="1:10" ht="72" customHeight="1" x14ac:dyDescent="0.25">
      <c r="A28" s="364"/>
      <c r="B28" s="365"/>
      <c r="C28" s="365"/>
      <c r="D28" s="366"/>
      <c r="E28" s="218">
        <v>18</v>
      </c>
      <c r="F28" s="386" t="s">
        <v>371</v>
      </c>
      <c r="G28" s="387"/>
      <c r="H28" s="345"/>
      <c r="I28" s="345"/>
      <c r="J28" s="345"/>
    </row>
    <row r="29" spans="1:10" ht="49.5" customHeight="1" x14ac:dyDescent="0.25">
      <c r="A29" s="330" t="s">
        <v>259</v>
      </c>
      <c r="B29" s="331" t="s">
        <v>370</v>
      </c>
      <c r="C29" s="334" t="s">
        <v>369</v>
      </c>
      <c r="D29" s="335"/>
      <c r="E29" s="327" t="s">
        <v>368</v>
      </c>
      <c r="F29" s="328"/>
      <c r="G29" s="327" t="s">
        <v>367</v>
      </c>
      <c r="H29" s="329"/>
      <c r="I29" s="329"/>
      <c r="J29" s="328"/>
    </row>
    <row r="30" spans="1:10" ht="81.75" customHeight="1" x14ac:dyDescent="0.25">
      <c r="A30" s="330"/>
      <c r="B30" s="332"/>
      <c r="C30" s="336" t="s">
        <v>366</v>
      </c>
      <c r="D30" s="325"/>
      <c r="E30" s="323" t="s">
        <v>365</v>
      </c>
      <c r="F30" s="325"/>
      <c r="G30" s="323" t="s">
        <v>364</v>
      </c>
      <c r="H30" s="326"/>
      <c r="I30" s="326"/>
      <c r="J30" s="325"/>
    </row>
    <row r="31" spans="1:10" ht="72.75" customHeight="1" x14ac:dyDescent="0.25">
      <c r="A31" s="330"/>
      <c r="B31" s="332"/>
      <c r="C31" s="336" t="s">
        <v>363</v>
      </c>
      <c r="D31" s="325"/>
      <c r="E31" s="323" t="s">
        <v>362</v>
      </c>
      <c r="F31" s="325"/>
      <c r="G31" s="323" t="s">
        <v>361</v>
      </c>
      <c r="H31" s="326"/>
      <c r="I31" s="326"/>
      <c r="J31" s="325"/>
    </row>
    <row r="32" spans="1:10" ht="90" customHeight="1" x14ac:dyDescent="0.25">
      <c r="A32" s="330"/>
      <c r="B32" s="332"/>
      <c r="C32" s="376" t="s">
        <v>360</v>
      </c>
      <c r="D32" s="325"/>
      <c r="E32" s="323" t="s">
        <v>359</v>
      </c>
      <c r="F32" s="325"/>
      <c r="G32" s="323" t="s">
        <v>358</v>
      </c>
      <c r="H32" s="326"/>
      <c r="I32" s="326"/>
      <c r="J32" s="325"/>
    </row>
    <row r="33" spans="1:10" ht="88.5" customHeight="1" x14ac:dyDescent="0.3">
      <c r="A33" s="330"/>
      <c r="B33" s="332"/>
      <c r="C33" s="377" t="s">
        <v>357</v>
      </c>
      <c r="D33" s="325"/>
      <c r="E33" s="323" t="s">
        <v>356</v>
      </c>
      <c r="F33" s="325"/>
      <c r="G33" s="382"/>
      <c r="H33" s="383"/>
      <c r="I33" s="383"/>
      <c r="J33" s="384"/>
    </row>
    <row r="34" spans="1:10" ht="123.75" customHeight="1" x14ac:dyDescent="0.25">
      <c r="A34" s="330"/>
      <c r="B34" s="332"/>
      <c r="C34" s="337" t="s">
        <v>355</v>
      </c>
      <c r="D34" s="325"/>
      <c r="E34" s="323" t="s">
        <v>354</v>
      </c>
      <c r="F34" s="325"/>
      <c r="G34" s="318"/>
      <c r="H34" s="319"/>
      <c r="I34" s="319"/>
      <c r="J34" s="320"/>
    </row>
    <row r="35" spans="1:10" ht="66.75" customHeight="1" x14ac:dyDescent="0.25">
      <c r="A35" s="330"/>
      <c r="B35" s="332"/>
      <c r="C35" s="336" t="s">
        <v>353</v>
      </c>
      <c r="D35" s="325"/>
      <c r="E35" s="323" t="s">
        <v>352</v>
      </c>
      <c r="F35" s="325"/>
      <c r="G35" s="318"/>
      <c r="H35" s="319"/>
      <c r="I35" s="319"/>
      <c r="J35" s="320"/>
    </row>
    <row r="36" spans="1:10" ht="89.25" customHeight="1" x14ac:dyDescent="0.25">
      <c r="A36" s="330"/>
      <c r="B36" s="332"/>
      <c r="C36" s="336" t="s">
        <v>351</v>
      </c>
      <c r="D36" s="325"/>
      <c r="E36" s="323" t="s">
        <v>350</v>
      </c>
      <c r="F36" s="325"/>
      <c r="G36" s="318"/>
      <c r="H36" s="319"/>
      <c r="I36" s="319"/>
      <c r="J36" s="320"/>
    </row>
    <row r="37" spans="1:10" ht="95.25" customHeight="1" x14ac:dyDescent="0.25">
      <c r="A37" s="330"/>
      <c r="B37" s="332"/>
      <c r="C37" s="337" t="s">
        <v>349</v>
      </c>
      <c r="D37" s="325"/>
      <c r="E37" s="323" t="s">
        <v>348</v>
      </c>
      <c r="F37" s="325"/>
      <c r="G37" s="318"/>
      <c r="H37" s="319"/>
      <c r="I37" s="319"/>
      <c r="J37" s="320"/>
    </row>
    <row r="38" spans="1:10" ht="70.5" customHeight="1" x14ac:dyDescent="0.25">
      <c r="A38" s="330"/>
      <c r="B38" s="332"/>
      <c r="C38" s="336" t="s">
        <v>347</v>
      </c>
      <c r="D38" s="325"/>
      <c r="E38" s="323" t="s">
        <v>346</v>
      </c>
      <c r="F38" s="324"/>
      <c r="G38" s="318"/>
      <c r="H38" s="319"/>
      <c r="I38" s="319"/>
      <c r="J38" s="320"/>
    </row>
    <row r="39" spans="1:10" ht="52.5" customHeight="1" x14ac:dyDescent="0.25">
      <c r="A39" s="330"/>
      <c r="B39" s="332"/>
      <c r="C39" s="374" t="s">
        <v>345</v>
      </c>
      <c r="D39" s="375"/>
      <c r="E39" s="323" t="s">
        <v>344</v>
      </c>
      <c r="F39" s="325"/>
      <c r="G39" s="215"/>
      <c r="H39" s="214"/>
      <c r="I39" s="214"/>
      <c r="J39" s="213"/>
    </row>
    <row r="40" spans="1:10" ht="52.5" customHeight="1" x14ac:dyDescent="0.25">
      <c r="A40" s="330"/>
      <c r="B40" s="332"/>
      <c r="C40" s="374" t="s">
        <v>343</v>
      </c>
      <c r="D40" s="375"/>
      <c r="E40" s="323" t="s">
        <v>342</v>
      </c>
      <c r="F40" s="325"/>
      <c r="G40" s="215"/>
      <c r="H40" s="214"/>
      <c r="I40" s="214"/>
      <c r="J40" s="213"/>
    </row>
    <row r="41" spans="1:10" ht="91.5" customHeight="1" x14ac:dyDescent="0.25">
      <c r="A41" s="330"/>
      <c r="B41" s="332"/>
      <c r="C41" s="374" t="s">
        <v>341</v>
      </c>
      <c r="D41" s="375"/>
      <c r="E41" s="323" t="s">
        <v>340</v>
      </c>
      <c r="F41" s="325"/>
      <c r="G41" s="215"/>
      <c r="H41" s="214"/>
      <c r="I41" s="214"/>
      <c r="J41" s="213"/>
    </row>
    <row r="42" spans="1:10" ht="72.75" customHeight="1" x14ac:dyDescent="0.25">
      <c r="A42" s="330"/>
      <c r="B42" s="332"/>
      <c r="C42" s="217"/>
      <c r="D42" s="216"/>
      <c r="E42" s="385" t="s">
        <v>339</v>
      </c>
      <c r="F42" s="325"/>
      <c r="G42" s="215"/>
      <c r="H42" s="214"/>
      <c r="I42" s="214"/>
      <c r="J42" s="213"/>
    </row>
    <row r="43" spans="1:10" ht="82.5" customHeight="1" x14ac:dyDescent="0.25">
      <c r="A43" s="330"/>
      <c r="B43" s="332"/>
      <c r="C43" s="217"/>
      <c r="D43" s="216"/>
      <c r="E43" s="323" t="s">
        <v>338</v>
      </c>
      <c r="F43" s="378"/>
      <c r="G43" s="215"/>
      <c r="H43" s="214"/>
      <c r="I43" s="214"/>
      <c r="J43" s="213"/>
    </row>
    <row r="44" spans="1:10" ht="64.5" customHeight="1" x14ac:dyDescent="0.25">
      <c r="A44" s="330"/>
      <c r="B44" s="332"/>
      <c r="C44" s="217"/>
      <c r="D44" s="216"/>
      <c r="E44" s="379" t="s">
        <v>337</v>
      </c>
      <c r="F44" s="380"/>
      <c r="G44" s="215"/>
      <c r="H44" s="214"/>
      <c r="I44" s="214"/>
      <c r="J44" s="213"/>
    </row>
    <row r="45" spans="1:10" ht="52.5" customHeight="1" x14ac:dyDescent="0.25">
      <c r="A45" s="330"/>
      <c r="B45" s="332"/>
      <c r="C45" s="217"/>
      <c r="D45" s="216"/>
      <c r="E45" s="381" t="s">
        <v>336</v>
      </c>
      <c r="F45" s="381"/>
      <c r="G45" s="215"/>
      <c r="H45" s="214"/>
      <c r="I45" s="214"/>
      <c r="J45" s="213"/>
    </row>
    <row r="46" spans="1:10" ht="51" customHeight="1" x14ac:dyDescent="0.25">
      <c r="A46" s="330"/>
      <c r="B46" s="333"/>
      <c r="C46" s="318"/>
      <c r="D46" s="320"/>
      <c r="E46" s="318"/>
      <c r="F46" s="320"/>
      <c r="G46" s="318"/>
      <c r="H46" s="319"/>
      <c r="I46" s="319"/>
      <c r="J46" s="320"/>
    </row>
    <row r="47" spans="1:10" ht="101.25" customHeight="1" x14ac:dyDescent="0.25">
      <c r="A47" s="330"/>
      <c r="B47" s="330" t="s">
        <v>335</v>
      </c>
      <c r="C47" s="334" t="s">
        <v>334</v>
      </c>
      <c r="D47" s="335"/>
      <c r="E47" s="327" t="s">
        <v>333</v>
      </c>
      <c r="F47" s="328"/>
      <c r="G47" s="327" t="s">
        <v>332</v>
      </c>
      <c r="H47" s="329"/>
      <c r="I47" s="329"/>
      <c r="J47" s="328"/>
    </row>
    <row r="48" spans="1:10" ht="64.5" customHeight="1" x14ac:dyDescent="0.25">
      <c r="A48" s="330"/>
      <c r="B48" s="330"/>
      <c r="C48" s="321" t="s">
        <v>254</v>
      </c>
      <c r="D48" s="322"/>
      <c r="E48" s="323" t="s">
        <v>331</v>
      </c>
      <c r="F48" s="325"/>
      <c r="G48" s="323" t="s">
        <v>330</v>
      </c>
      <c r="H48" s="326"/>
      <c r="I48" s="326"/>
      <c r="J48" s="325"/>
    </row>
    <row r="49" spans="1:10" ht="97.5" customHeight="1" x14ac:dyDescent="0.25">
      <c r="A49" s="330"/>
      <c r="B49" s="330"/>
      <c r="C49" s="321" t="s">
        <v>251</v>
      </c>
      <c r="D49" s="322" t="s">
        <v>251</v>
      </c>
      <c r="E49" s="323" t="s">
        <v>329</v>
      </c>
      <c r="F49" s="325"/>
      <c r="G49" s="323" t="s">
        <v>328</v>
      </c>
      <c r="H49" s="326"/>
      <c r="I49" s="326"/>
      <c r="J49" s="325"/>
    </row>
    <row r="50" spans="1:10" ht="94.5" customHeight="1" x14ac:dyDescent="0.25">
      <c r="A50" s="330"/>
      <c r="B50" s="330"/>
      <c r="C50" s="321" t="s">
        <v>249</v>
      </c>
      <c r="D50" s="322" t="s">
        <v>249</v>
      </c>
      <c r="E50" s="323" t="s">
        <v>327</v>
      </c>
      <c r="F50" s="325"/>
      <c r="G50" s="323" t="s">
        <v>326</v>
      </c>
      <c r="H50" s="326"/>
      <c r="I50" s="326"/>
      <c r="J50" s="325"/>
    </row>
    <row r="51" spans="1:10" ht="75" customHeight="1" x14ac:dyDescent="0.25">
      <c r="A51" s="330"/>
      <c r="B51" s="330"/>
      <c r="C51" s="321" t="s">
        <v>325</v>
      </c>
      <c r="D51" s="322" t="s">
        <v>325</v>
      </c>
      <c r="E51" s="323" t="s">
        <v>324</v>
      </c>
      <c r="F51" s="324"/>
      <c r="G51" s="318"/>
      <c r="H51" s="319"/>
      <c r="I51" s="319"/>
      <c r="J51" s="320"/>
    </row>
    <row r="52" spans="1:10" ht="67.5" customHeight="1" x14ac:dyDescent="0.25">
      <c r="A52" s="330"/>
      <c r="B52" s="330"/>
      <c r="C52" s="321" t="s">
        <v>323</v>
      </c>
      <c r="D52" s="322" t="s">
        <v>323</v>
      </c>
      <c r="E52" s="338" t="s">
        <v>322</v>
      </c>
      <c r="F52" s="339"/>
      <c r="G52" s="318"/>
      <c r="H52" s="319"/>
      <c r="I52" s="319"/>
      <c r="J52" s="320"/>
    </row>
    <row r="53" spans="1:10" ht="67.5" customHeight="1" x14ac:dyDescent="0.25">
      <c r="A53" s="330"/>
      <c r="B53" s="330"/>
      <c r="C53" s="318"/>
      <c r="D53" s="320"/>
      <c r="E53" s="318"/>
      <c r="F53" s="320"/>
      <c r="G53" s="318"/>
      <c r="H53" s="319"/>
      <c r="I53" s="319"/>
      <c r="J53" s="320"/>
    </row>
    <row r="54" spans="1:10" x14ac:dyDescent="0.25">
      <c r="E54" s="317"/>
      <c r="F54" s="317"/>
      <c r="G54" s="317"/>
      <c r="H54" s="317"/>
      <c r="I54" s="317"/>
      <c r="J54" s="317"/>
    </row>
    <row r="55" spans="1:10" x14ac:dyDescent="0.25">
      <c r="E55" s="317"/>
      <c r="F55" s="317"/>
      <c r="G55" s="317"/>
      <c r="H55" s="317"/>
      <c r="I55" s="317"/>
      <c r="J55" s="317"/>
    </row>
    <row r="56" spans="1:10" x14ac:dyDescent="0.25">
      <c r="E56" s="317"/>
      <c r="F56" s="317"/>
      <c r="G56" s="317"/>
      <c r="H56" s="317"/>
      <c r="I56" s="317"/>
      <c r="J56" s="317"/>
    </row>
    <row r="57" spans="1:10" x14ac:dyDescent="0.25">
      <c r="E57" s="317"/>
      <c r="F57" s="317"/>
      <c r="G57" s="317"/>
      <c r="H57" s="317"/>
      <c r="I57" s="317"/>
      <c r="J57" s="317"/>
    </row>
    <row r="58" spans="1:10" x14ac:dyDescent="0.25">
      <c r="E58" s="317"/>
      <c r="F58" s="317"/>
      <c r="G58" s="317"/>
      <c r="H58" s="317"/>
      <c r="I58" s="317"/>
      <c r="J58" s="317"/>
    </row>
    <row r="59" spans="1:10" x14ac:dyDescent="0.25">
      <c r="E59" s="317"/>
      <c r="F59" s="317"/>
      <c r="G59" s="317"/>
      <c r="H59" s="317"/>
      <c r="I59" s="317"/>
      <c r="J59" s="317"/>
    </row>
    <row r="60" spans="1:10" x14ac:dyDescent="0.25">
      <c r="E60" s="317"/>
      <c r="F60" s="317"/>
      <c r="G60" s="317"/>
      <c r="H60" s="317"/>
      <c r="I60" s="317"/>
      <c r="J60" s="317"/>
    </row>
    <row r="61" spans="1:10" x14ac:dyDescent="0.25">
      <c r="E61" s="317"/>
      <c r="F61" s="317"/>
      <c r="G61" s="317"/>
      <c r="H61" s="317"/>
      <c r="I61" s="317"/>
      <c r="J61" s="317"/>
    </row>
    <row r="62" spans="1:10" x14ac:dyDescent="0.25">
      <c r="E62" s="317"/>
      <c r="F62" s="317"/>
      <c r="G62" s="317"/>
      <c r="H62" s="317"/>
      <c r="I62" s="317"/>
      <c r="J62" s="317"/>
    </row>
    <row r="63" spans="1:10" x14ac:dyDescent="0.25">
      <c r="E63" s="317"/>
      <c r="F63" s="317"/>
      <c r="G63" s="317"/>
      <c r="H63" s="317"/>
      <c r="I63" s="317"/>
      <c r="J63" s="317"/>
    </row>
    <row r="64" spans="1:10" x14ac:dyDescent="0.25">
      <c r="E64" s="317"/>
      <c r="F64" s="317"/>
      <c r="G64" s="317"/>
      <c r="H64" s="317"/>
      <c r="I64" s="317"/>
      <c r="J64" s="317"/>
    </row>
    <row r="65" spans="5:10" x14ac:dyDescent="0.25">
      <c r="E65" s="317"/>
      <c r="F65" s="317"/>
      <c r="G65" s="317"/>
      <c r="H65" s="317"/>
      <c r="I65" s="317"/>
      <c r="J65" s="317"/>
    </row>
    <row r="66" spans="5:10" x14ac:dyDescent="0.25">
      <c r="E66" s="317"/>
      <c r="F66" s="317"/>
      <c r="G66" s="317"/>
      <c r="H66" s="317"/>
      <c r="I66" s="317"/>
      <c r="J66" s="317"/>
    </row>
    <row r="67" spans="5:10" x14ac:dyDescent="0.25">
      <c r="E67" s="317"/>
      <c r="F67" s="317"/>
      <c r="G67" s="317"/>
      <c r="H67" s="317"/>
      <c r="I67" s="317"/>
      <c r="J67" s="317"/>
    </row>
    <row r="68" spans="5:10" x14ac:dyDescent="0.25">
      <c r="E68" s="317"/>
      <c r="F68" s="317"/>
      <c r="G68" s="317"/>
      <c r="H68" s="317"/>
      <c r="I68" s="317"/>
      <c r="J68" s="317"/>
    </row>
    <row r="69" spans="5:10" x14ac:dyDescent="0.25">
      <c r="E69" s="317"/>
      <c r="F69" s="317"/>
      <c r="G69" s="317"/>
      <c r="H69" s="317"/>
      <c r="I69" s="317"/>
      <c r="J69" s="317"/>
    </row>
    <row r="70" spans="5:10" x14ac:dyDescent="0.25">
      <c r="E70" s="317"/>
      <c r="F70" s="317"/>
      <c r="G70" s="317"/>
      <c r="H70" s="317"/>
      <c r="I70" s="317"/>
      <c r="J70" s="317"/>
    </row>
    <row r="71" spans="5:10" x14ac:dyDescent="0.25">
      <c r="E71" s="317"/>
      <c r="F71" s="317"/>
      <c r="G71" s="317"/>
      <c r="H71" s="317"/>
      <c r="I71" s="317"/>
      <c r="J71" s="317"/>
    </row>
    <row r="72" spans="5:10" x14ac:dyDescent="0.25">
      <c r="E72" s="317"/>
      <c r="F72" s="317"/>
      <c r="G72" s="317"/>
      <c r="H72" s="317"/>
      <c r="I72" s="317"/>
      <c r="J72" s="317"/>
    </row>
    <row r="73" spans="5:10" x14ac:dyDescent="0.25">
      <c r="E73" s="317"/>
      <c r="F73" s="317"/>
      <c r="G73" s="317"/>
      <c r="H73" s="317"/>
      <c r="I73" s="317"/>
      <c r="J73" s="317"/>
    </row>
    <row r="74" spans="5:10" x14ac:dyDescent="0.25">
      <c r="E74" s="317"/>
      <c r="F74" s="317"/>
      <c r="G74" s="317"/>
      <c r="H74" s="317"/>
      <c r="I74" s="317"/>
      <c r="J74" s="317"/>
    </row>
    <row r="75" spans="5:10" x14ac:dyDescent="0.25">
      <c r="E75" s="317"/>
      <c r="F75" s="317"/>
      <c r="G75" s="317"/>
      <c r="H75" s="317"/>
      <c r="I75" s="317"/>
      <c r="J75" s="317"/>
    </row>
    <row r="76" spans="5:10" x14ac:dyDescent="0.25">
      <c r="E76" s="317"/>
      <c r="F76" s="317"/>
      <c r="G76" s="317"/>
      <c r="H76" s="317"/>
      <c r="I76" s="317"/>
      <c r="J76" s="317"/>
    </row>
    <row r="77" spans="5:10" x14ac:dyDescent="0.25">
      <c r="E77" s="317"/>
      <c r="F77" s="317"/>
      <c r="G77" s="317"/>
      <c r="H77" s="317"/>
      <c r="I77" s="317"/>
      <c r="J77" s="317"/>
    </row>
    <row r="78" spans="5:10" x14ac:dyDescent="0.25">
      <c r="E78" s="317"/>
      <c r="F78" s="317"/>
      <c r="G78" s="317"/>
      <c r="H78" s="317"/>
      <c r="I78" s="317"/>
      <c r="J78" s="317"/>
    </row>
    <row r="79" spans="5:10" x14ac:dyDescent="0.25">
      <c r="E79" s="317"/>
      <c r="F79" s="317"/>
      <c r="G79" s="317"/>
      <c r="H79" s="317"/>
      <c r="I79" s="317"/>
      <c r="J79" s="317"/>
    </row>
    <row r="80" spans="5:10" x14ac:dyDescent="0.25">
      <c r="E80" s="317"/>
      <c r="F80" s="317"/>
      <c r="G80" s="317"/>
      <c r="H80" s="317"/>
      <c r="I80" s="317"/>
      <c r="J80" s="317"/>
    </row>
    <row r="81" spans="5:10" x14ac:dyDescent="0.25">
      <c r="E81" s="317"/>
      <c r="F81" s="317"/>
      <c r="G81" s="317"/>
      <c r="H81" s="317"/>
      <c r="I81" s="317"/>
      <c r="J81" s="317"/>
    </row>
    <row r="82" spans="5:10" x14ac:dyDescent="0.25">
      <c r="E82" s="317"/>
      <c r="F82" s="317"/>
      <c r="G82" s="317"/>
      <c r="H82" s="317"/>
      <c r="I82" s="317"/>
      <c r="J82" s="317"/>
    </row>
    <row r="83" spans="5:10" x14ac:dyDescent="0.25">
      <c r="E83" s="317"/>
      <c r="F83" s="317"/>
      <c r="G83" s="317"/>
      <c r="H83" s="317"/>
      <c r="I83" s="317"/>
      <c r="J83" s="317"/>
    </row>
    <row r="84" spans="5:10" x14ac:dyDescent="0.25">
      <c r="E84" s="317"/>
      <c r="F84" s="317"/>
      <c r="G84" s="317"/>
      <c r="H84" s="317"/>
      <c r="I84" s="317"/>
      <c r="J84" s="317"/>
    </row>
    <row r="85" spans="5:10" x14ac:dyDescent="0.25">
      <c r="E85" s="317"/>
      <c r="F85" s="317"/>
      <c r="G85" s="317"/>
      <c r="H85" s="317"/>
      <c r="I85" s="317"/>
      <c r="J85" s="317"/>
    </row>
    <row r="86" spans="5:10" x14ac:dyDescent="0.25">
      <c r="E86" s="317"/>
      <c r="F86" s="317"/>
      <c r="G86" s="317"/>
      <c r="H86" s="317"/>
      <c r="I86" s="317"/>
      <c r="J86" s="317"/>
    </row>
    <row r="87" spans="5:10" x14ac:dyDescent="0.25">
      <c r="E87" s="317"/>
      <c r="F87" s="317"/>
      <c r="G87" s="317"/>
      <c r="H87" s="317"/>
      <c r="I87" s="317"/>
      <c r="J87" s="317"/>
    </row>
    <row r="88" spans="5:10" x14ac:dyDescent="0.25">
      <c r="E88" s="317"/>
      <c r="F88" s="317"/>
      <c r="G88" s="317"/>
      <c r="H88" s="317"/>
      <c r="I88" s="317"/>
      <c r="J88" s="317"/>
    </row>
    <row r="89" spans="5:10" x14ac:dyDescent="0.25">
      <c r="E89" s="317"/>
      <c r="F89" s="317"/>
      <c r="G89" s="317"/>
      <c r="H89" s="317"/>
      <c r="I89" s="317"/>
      <c r="J89" s="317"/>
    </row>
    <row r="90" spans="5:10" x14ac:dyDescent="0.25">
      <c r="E90" s="317"/>
      <c r="F90" s="317"/>
      <c r="G90" s="317"/>
      <c r="H90" s="317"/>
      <c r="I90" s="317"/>
      <c r="J90" s="317"/>
    </row>
    <row r="91" spans="5:10" x14ac:dyDescent="0.25">
      <c r="E91" s="317"/>
      <c r="F91" s="317"/>
      <c r="G91" s="317"/>
      <c r="H91" s="317"/>
      <c r="I91" s="317"/>
      <c r="J91" s="317"/>
    </row>
    <row r="92" spans="5:10" x14ac:dyDescent="0.25">
      <c r="E92" s="317"/>
      <c r="F92" s="317"/>
      <c r="G92" s="317"/>
      <c r="H92" s="317"/>
      <c r="I92" s="317"/>
      <c r="J92" s="317"/>
    </row>
    <row r="93" spans="5:10" x14ac:dyDescent="0.25">
      <c r="E93" s="317"/>
      <c r="F93" s="317"/>
      <c r="G93" s="317"/>
      <c r="H93" s="317"/>
      <c r="I93" s="317"/>
      <c r="J93" s="317"/>
    </row>
    <row r="94" spans="5:10" x14ac:dyDescent="0.25">
      <c r="E94" s="317"/>
      <c r="F94" s="317"/>
      <c r="G94" s="317"/>
      <c r="H94" s="317"/>
      <c r="I94" s="317"/>
      <c r="J94" s="317"/>
    </row>
    <row r="95" spans="5:10" x14ac:dyDescent="0.25">
      <c r="E95" s="317"/>
      <c r="F95" s="317"/>
      <c r="G95" s="317"/>
      <c r="H95" s="317"/>
      <c r="I95" s="317"/>
      <c r="J95" s="317"/>
    </row>
    <row r="96" spans="5:10" x14ac:dyDescent="0.25">
      <c r="E96" s="317"/>
      <c r="F96" s="317"/>
      <c r="G96" s="317"/>
      <c r="H96" s="317"/>
      <c r="I96" s="317"/>
      <c r="J96" s="317"/>
    </row>
    <row r="97" spans="5:10" x14ac:dyDescent="0.25">
      <c r="E97" s="317"/>
      <c r="F97" s="317"/>
      <c r="G97" s="317"/>
      <c r="H97" s="317"/>
      <c r="I97" s="317"/>
      <c r="J97" s="317"/>
    </row>
    <row r="98" spans="5:10" x14ac:dyDescent="0.25">
      <c r="E98" s="317"/>
      <c r="F98" s="317"/>
      <c r="G98" s="317"/>
      <c r="H98" s="317"/>
      <c r="I98" s="317"/>
      <c r="J98" s="317"/>
    </row>
    <row r="99" spans="5:10" x14ac:dyDescent="0.25">
      <c r="E99" s="317"/>
      <c r="F99" s="317"/>
      <c r="G99" s="317"/>
      <c r="H99" s="317"/>
      <c r="I99" s="317"/>
      <c r="J99" s="317"/>
    </row>
    <row r="100" spans="5:10" x14ac:dyDescent="0.25">
      <c r="E100" s="317"/>
      <c r="F100" s="317"/>
      <c r="G100" s="317"/>
      <c r="H100" s="317"/>
      <c r="I100" s="317"/>
      <c r="J100" s="317"/>
    </row>
    <row r="101" spans="5:10" x14ac:dyDescent="0.25">
      <c r="E101" s="317"/>
      <c r="F101" s="317"/>
      <c r="G101" s="317"/>
      <c r="H101" s="317"/>
      <c r="I101" s="317"/>
      <c r="J101" s="317"/>
    </row>
    <row r="102" spans="5:10" x14ac:dyDescent="0.25">
      <c r="E102" s="317"/>
      <c r="F102" s="317"/>
      <c r="G102" s="317"/>
      <c r="H102" s="317"/>
      <c r="I102" s="317"/>
      <c r="J102" s="317"/>
    </row>
    <row r="103" spans="5:10" x14ac:dyDescent="0.25">
      <c r="E103" s="317"/>
      <c r="F103" s="317"/>
      <c r="G103" s="317"/>
      <c r="H103" s="317"/>
      <c r="I103" s="317"/>
      <c r="J103" s="317"/>
    </row>
    <row r="104" spans="5:10" x14ac:dyDescent="0.25">
      <c r="E104" s="317"/>
      <c r="F104" s="317"/>
      <c r="G104" s="317"/>
      <c r="H104" s="317"/>
      <c r="I104" s="317"/>
      <c r="J104" s="317"/>
    </row>
    <row r="105" spans="5:10" x14ac:dyDescent="0.25">
      <c r="E105" s="317"/>
      <c r="F105" s="317"/>
      <c r="G105" s="317"/>
      <c r="H105" s="317"/>
      <c r="I105" s="317"/>
      <c r="J105" s="317"/>
    </row>
    <row r="106" spans="5:10" x14ac:dyDescent="0.25">
      <c r="E106" s="317"/>
      <c r="F106" s="317"/>
      <c r="G106" s="317"/>
      <c r="H106" s="317"/>
      <c r="I106" s="317"/>
      <c r="J106" s="317"/>
    </row>
    <row r="107" spans="5:10" x14ac:dyDescent="0.25">
      <c r="E107" s="317"/>
      <c r="F107" s="317"/>
      <c r="G107" s="317"/>
      <c r="H107" s="317"/>
      <c r="I107" s="317"/>
      <c r="J107" s="317"/>
    </row>
    <row r="108" spans="5:10" x14ac:dyDescent="0.25">
      <c r="E108" s="317"/>
      <c r="F108" s="317"/>
      <c r="G108" s="317"/>
      <c r="H108" s="317"/>
      <c r="I108" s="317"/>
      <c r="J108" s="317"/>
    </row>
    <row r="109" spans="5:10" x14ac:dyDescent="0.25">
      <c r="E109" s="317"/>
      <c r="F109" s="317"/>
      <c r="G109" s="317"/>
      <c r="H109" s="317"/>
      <c r="I109" s="317"/>
      <c r="J109" s="317"/>
    </row>
    <row r="110" spans="5:10" x14ac:dyDescent="0.25">
      <c r="E110" s="317"/>
      <c r="F110" s="317"/>
      <c r="G110" s="317"/>
      <c r="H110" s="317"/>
      <c r="I110" s="317"/>
      <c r="J110" s="317"/>
    </row>
    <row r="111" spans="5:10" x14ac:dyDescent="0.25">
      <c r="E111" s="317"/>
      <c r="F111" s="317"/>
      <c r="G111" s="317"/>
      <c r="H111" s="317"/>
      <c r="I111" s="317"/>
      <c r="J111" s="317"/>
    </row>
    <row r="112" spans="5:10" x14ac:dyDescent="0.25">
      <c r="E112" s="317"/>
      <c r="F112" s="317"/>
      <c r="G112" s="317"/>
      <c r="H112" s="317"/>
      <c r="I112" s="317"/>
      <c r="J112" s="317"/>
    </row>
    <row r="113" spans="5:10" x14ac:dyDescent="0.25">
      <c r="E113" s="317"/>
      <c r="F113" s="317"/>
      <c r="G113" s="317"/>
      <c r="H113" s="317"/>
      <c r="I113" s="317"/>
      <c r="J113" s="317"/>
    </row>
    <row r="114" spans="5:10" x14ac:dyDescent="0.25">
      <c r="E114" s="317"/>
      <c r="F114" s="317"/>
      <c r="G114" s="317"/>
      <c r="H114" s="317"/>
      <c r="I114" s="317"/>
      <c r="J114" s="317"/>
    </row>
    <row r="115" spans="5:10" x14ac:dyDescent="0.25">
      <c r="E115" s="317"/>
      <c r="F115" s="317"/>
      <c r="G115" s="317"/>
      <c r="H115" s="317"/>
      <c r="I115" s="317"/>
      <c r="J115" s="317"/>
    </row>
    <row r="116" spans="5:10" x14ac:dyDescent="0.25">
      <c r="E116" s="317"/>
      <c r="F116" s="317"/>
      <c r="G116" s="317"/>
      <c r="H116" s="317"/>
      <c r="I116" s="317"/>
      <c r="J116" s="317"/>
    </row>
    <row r="117" spans="5:10" x14ac:dyDescent="0.25">
      <c r="E117" s="317"/>
      <c r="F117" s="317"/>
      <c r="G117" s="317"/>
      <c r="H117" s="317"/>
      <c r="I117" s="317"/>
      <c r="J117" s="317"/>
    </row>
    <row r="118" spans="5:10" x14ac:dyDescent="0.25">
      <c r="E118" s="317"/>
      <c r="F118" s="317"/>
      <c r="G118" s="317"/>
      <c r="H118" s="317"/>
      <c r="I118" s="317"/>
      <c r="J118" s="317"/>
    </row>
    <row r="119" spans="5:10" x14ac:dyDescent="0.25">
      <c r="E119" s="317"/>
      <c r="F119" s="317"/>
      <c r="G119" s="317"/>
      <c r="H119" s="317"/>
      <c r="I119" s="317"/>
      <c r="J119" s="317"/>
    </row>
    <row r="120" spans="5:10" x14ac:dyDescent="0.25">
      <c r="E120" s="317"/>
      <c r="F120" s="317"/>
      <c r="G120" s="317"/>
      <c r="H120" s="317"/>
      <c r="I120" s="317"/>
      <c r="J120" s="317"/>
    </row>
    <row r="121" spans="5:10" x14ac:dyDescent="0.25">
      <c r="E121" s="317"/>
      <c r="F121" s="317"/>
      <c r="G121" s="317"/>
      <c r="H121" s="317"/>
      <c r="I121" s="317"/>
      <c r="J121" s="317"/>
    </row>
    <row r="122" spans="5:10" x14ac:dyDescent="0.25">
      <c r="E122" s="317"/>
      <c r="F122" s="317"/>
      <c r="G122" s="317"/>
      <c r="H122" s="317"/>
      <c r="I122" s="317"/>
      <c r="J122" s="317"/>
    </row>
    <row r="123" spans="5:10" x14ac:dyDescent="0.25">
      <c r="E123" s="317"/>
      <c r="F123" s="317"/>
      <c r="G123" s="317"/>
      <c r="H123" s="317"/>
      <c r="I123" s="317"/>
      <c r="J123" s="317"/>
    </row>
    <row r="124" spans="5:10" x14ac:dyDescent="0.25">
      <c r="E124" s="317"/>
      <c r="F124" s="317"/>
      <c r="G124" s="317"/>
      <c r="H124" s="317"/>
      <c r="I124" s="317"/>
      <c r="J124" s="317"/>
    </row>
    <row r="125" spans="5:10" x14ac:dyDescent="0.25">
      <c r="E125" s="317"/>
      <c r="F125" s="317"/>
      <c r="G125" s="317"/>
      <c r="H125" s="317"/>
      <c r="I125" s="317"/>
      <c r="J125" s="317"/>
    </row>
    <row r="126" spans="5:10" x14ac:dyDescent="0.25">
      <c r="E126" s="317"/>
      <c r="F126" s="317"/>
      <c r="G126" s="317"/>
      <c r="H126" s="317"/>
      <c r="I126" s="317"/>
      <c r="J126" s="317"/>
    </row>
    <row r="127" spans="5:10" x14ac:dyDescent="0.25">
      <c r="E127" s="317"/>
      <c r="F127" s="317"/>
      <c r="G127" s="317"/>
      <c r="H127" s="317"/>
      <c r="I127" s="317"/>
      <c r="J127" s="317"/>
    </row>
    <row r="128" spans="5:10" x14ac:dyDescent="0.25">
      <c r="E128" s="317"/>
      <c r="F128" s="317"/>
      <c r="G128" s="317"/>
      <c r="H128" s="317"/>
      <c r="I128" s="317"/>
      <c r="J128" s="317"/>
    </row>
    <row r="129" spans="5:10" x14ac:dyDescent="0.25">
      <c r="E129" s="317"/>
      <c r="F129" s="317"/>
      <c r="G129" s="317"/>
      <c r="H129" s="317"/>
      <c r="I129" s="317"/>
      <c r="J129" s="317"/>
    </row>
    <row r="130" spans="5:10" x14ac:dyDescent="0.25">
      <c r="E130" s="317"/>
      <c r="F130" s="317"/>
      <c r="G130" s="317"/>
      <c r="H130" s="317"/>
      <c r="I130" s="317"/>
      <c r="J130" s="317"/>
    </row>
    <row r="131" spans="5:10" x14ac:dyDescent="0.25">
      <c r="E131" s="317"/>
      <c r="F131" s="317"/>
      <c r="G131" s="317"/>
      <c r="H131" s="317"/>
      <c r="I131" s="317"/>
      <c r="J131" s="317"/>
    </row>
  </sheetData>
  <mergeCells count="276">
    <mergeCell ref="E43:F43"/>
    <mergeCell ref="E44:F44"/>
    <mergeCell ref="E45:F45"/>
    <mergeCell ref="H22:J22"/>
    <mergeCell ref="H23:J23"/>
    <mergeCell ref="H24:J24"/>
    <mergeCell ref="H25:J25"/>
    <mergeCell ref="H26:J26"/>
    <mergeCell ref="H27:J27"/>
    <mergeCell ref="H28:J28"/>
    <mergeCell ref="G33:J33"/>
    <mergeCell ref="E42:F42"/>
    <mergeCell ref="E32:F32"/>
    <mergeCell ref="G32:J32"/>
    <mergeCell ref="E33:F33"/>
    <mergeCell ref="F26:G26"/>
    <mergeCell ref="F27:G27"/>
    <mergeCell ref="F28:G28"/>
    <mergeCell ref="F22:G22"/>
    <mergeCell ref="C39:D39"/>
    <mergeCell ref="C40:D40"/>
    <mergeCell ref="F24:G24"/>
    <mergeCell ref="F25:G25"/>
    <mergeCell ref="F20:G20"/>
    <mergeCell ref="F21:G21"/>
    <mergeCell ref="F18:G18"/>
    <mergeCell ref="F19:G19"/>
    <mergeCell ref="E30:F30"/>
    <mergeCell ref="G30:J30"/>
    <mergeCell ref="C31:D31"/>
    <mergeCell ref="E31:F31"/>
    <mergeCell ref="C32:D32"/>
    <mergeCell ref="C33:D33"/>
    <mergeCell ref="B47:B53"/>
    <mergeCell ref="C47:D47"/>
    <mergeCell ref="G31:J31"/>
    <mergeCell ref="F15:G15"/>
    <mergeCell ref="F16:G16"/>
    <mergeCell ref="F17:G17"/>
    <mergeCell ref="E9:F9"/>
    <mergeCell ref="G9:J9"/>
    <mergeCell ref="E10:F10"/>
    <mergeCell ref="G10:J10"/>
    <mergeCell ref="H13:J13"/>
    <mergeCell ref="H14:J14"/>
    <mergeCell ref="H15:J15"/>
    <mergeCell ref="H16:J16"/>
    <mergeCell ref="H17:J17"/>
    <mergeCell ref="F23:G23"/>
    <mergeCell ref="C41:D41"/>
    <mergeCell ref="E39:F39"/>
    <mergeCell ref="E40:F40"/>
    <mergeCell ref="E41:F41"/>
    <mergeCell ref="C34:D34"/>
    <mergeCell ref="E34:F34"/>
    <mergeCell ref="G34:J34"/>
    <mergeCell ref="H18:J18"/>
    <mergeCell ref="N1:N4"/>
    <mergeCell ref="H2:I2"/>
    <mergeCell ref="H3:I3"/>
    <mergeCell ref="H4:I4"/>
    <mergeCell ref="A5:J5"/>
    <mergeCell ref="F11:G11"/>
    <mergeCell ref="F12:G12"/>
    <mergeCell ref="H11:J11"/>
    <mergeCell ref="H12:J12"/>
    <mergeCell ref="H1:I1"/>
    <mergeCell ref="J1:J4"/>
    <mergeCell ref="A6:J7"/>
    <mergeCell ref="A8:D28"/>
    <mergeCell ref="E8:J8"/>
    <mergeCell ref="F13:G13"/>
    <mergeCell ref="F14:G14"/>
    <mergeCell ref="H19:J19"/>
    <mergeCell ref="H20:J20"/>
    <mergeCell ref="H21:J21"/>
    <mergeCell ref="C3:G4"/>
    <mergeCell ref="C1:G2"/>
    <mergeCell ref="A1:B4"/>
    <mergeCell ref="A29:A53"/>
    <mergeCell ref="B29:B46"/>
    <mergeCell ref="C29:D29"/>
    <mergeCell ref="E29:F29"/>
    <mergeCell ref="G29:J29"/>
    <mergeCell ref="C30:D30"/>
    <mergeCell ref="G38:J38"/>
    <mergeCell ref="C35:D35"/>
    <mergeCell ref="E35:F35"/>
    <mergeCell ref="G35:J35"/>
    <mergeCell ref="C36:D36"/>
    <mergeCell ref="E36:F36"/>
    <mergeCell ref="G36:J36"/>
    <mergeCell ref="E49:F49"/>
    <mergeCell ref="G49:J49"/>
    <mergeCell ref="C50:D50"/>
    <mergeCell ref="C46:D46"/>
    <mergeCell ref="E46:F46"/>
    <mergeCell ref="C37:D37"/>
    <mergeCell ref="E37:F37"/>
    <mergeCell ref="G37:J37"/>
    <mergeCell ref="C38:D38"/>
    <mergeCell ref="E38:F38"/>
    <mergeCell ref="E52:F52"/>
    <mergeCell ref="G46:J46"/>
    <mergeCell ref="C53:D53"/>
    <mergeCell ref="E53:F53"/>
    <mergeCell ref="G53:J53"/>
    <mergeCell ref="C51:D51"/>
    <mergeCell ref="E51:F51"/>
    <mergeCell ref="G51:J51"/>
    <mergeCell ref="C52:D52"/>
    <mergeCell ref="G52:J52"/>
    <mergeCell ref="E50:F50"/>
    <mergeCell ref="G50:J50"/>
    <mergeCell ref="E47:F47"/>
    <mergeCell ref="G47:J47"/>
    <mergeCell ref="C48:D48"/>
    <mergeCell ref="E48:F48"/>
    <mergeCell ref="G48:J48"/>
    <mergeCell ref="C49:D49"/>
    <mergeCell ref="E59:F59"/>
    <mergeCell ref="G59:J59"/>
    <mergeCell ref="E55:F55"/>
    <mergeCell ref="G55:J55"/>
    <mergeCell ref="E56:F56"/>
    <mergeCell ref="G56:J56"/>
    <mergeCell ref="E54:F54"/>
    <mergeCell ref="G54:J54"/>
    <mergeCell ref="E57:F57"/>
    <mergeCell ref="G57:J57"/>
    <mergeCell ref="E58:F58"/>
    <mergeCell ref="G58:J58"/>
    <mergeCell ref="E60:F60"/>
    <mergeCell ref="G60:J60"/>
    <mergeCell ref="E61:F61"/>
    <mergeCell ref="G61:J61"/>
    <mergeCell ref="E62:F62"/>
    <mergeCell ref="G62:J62"/>
    <mergeCell ref="E63:F63"/>
    <mergeCell ref="G63:J63"/>
    <mergeCell ref="E64:F64"/>
    <mergeCell ref="G64:J64"/>
    <mergeCell ref="E65:F65"/>
    <mergeCell ref="G65:J65"/>
    <mergeCell ref="E66:F66"/>
    <mergeCell ref="G66:J66"/>
    <mergeCell ref="E67:F67"/>
    <mergeCell ref="G67:J67"/>
    <mergeCell ref="E68:F68"/>
    <mergeCell ref="G68:J68"/>
    <mergeCell ref="E69:F69"/>
    <mergeCell ref="G69:J69"/>
    <mergeCell ref="E70:F70"/>
    <mergeCell ref="G70:J70"/>
    <mergeCell ref="E71:F71"/>
    <mergeCell ref="G71:J71"/>
    <mergeCell ref="E72:F72"/>
    <mergeCell ref="G72:J72"/>
    <mergeCell ref="E73:F73"/>
    <mergeCell ref="G73:J73"/>
    <mergeCell ref="E74:F74"/>
    <mergeCell ref="G74:J74"/>
    <mergeCell ref="E75:F75"/>
    <mergeCell ref="G75:J75"/>
    <mergeCell ref="E76:F76"/>
    <mergeCell ref="G76:J76"/>
    <mergeCell ref="E77:F77"/>
    <mergeCell ref="G77:J77"/>
    <mergeCell ref="E78:F78"/>
    <mergeCell ref="G78:J78"/>
    <mergeCell ref="E79:F79"/>
    <mergeCell ref="G79:J79"/>
    <mergeCell ref="E80:F80"/>
    <mergeCell ref="G80:J80"/>
    <mergeCell ref="E81:F81"/>
    <mergeCell ref="G81:J81"/>
    <mergeCell ref="E82:F82"/>
    <mergeCell ref="G82:J82"/>
    <mergeCell ref="E83:F83"/>
    <mergeCell ref="G83:J83"/>
    <mergeCell ref="E84:F84"/>
    <mergeCell ref="G84:J84"/>
    <mergeCell ref="E85:F85"/>
    <mergeCell ref="G85:J85"/>
    <mergeCell ref="E86:F86"/>
    <mergeCell ref="G86:J86"/>
    <mergeCell ref="E87:F87"/>
    <mergeCell ref="G87:J87"/>
    <mergeCell ref="E88:F88"/>
    <mergeCell ref="G88:J88"/>
    <mergeCell ref="E89:F89"/>
    <mergeCell ref="G89:J89"/>
    <mergeCell ref="E90:F90"/>
    <mergeCell ref="G90:J90"/>
    <mergeCell ref="E91:F91"/>
    <mergeCell ref="G91:J91"/>
    <mergeCell ref="E92:F92"/>
    <mergeCell ref="G92:J92"/>
    <mergeCell ref="E93:F93"/>
    <mergeCell ref="G93:J93"/>
    <mergeCell ref="E94:F94"/>
    <mergeCell ref="G94:J94"/>
    <mergeCell ref="E95:F95"/>
    <mergeCell ref="G95:J95"/>
    <mergeCell ref="E96:F96"/>
    <mergeCell ref="G96:J96"/>
    <mergeCell ref="E97:F97"/>
    <mergeCell ref="G97:J97"/>
    <mergeCell ref="E98:F98"/>
    <mergeCell ref="G98:J98"/>
    <mergeCell ref="E99:F99"/>
    <mergeCell ref="G99:J99"/>
    <mergeCell ref="E100:F100"/>
    <mergeCell ref="G100:J100"/>
    <mergeCell ref="E101:F101"/>
    <mergeCell ref="G101:J101"/>
    <mergeCell ref="E102:F102"/>
    <mergeCell ref="G102:J102"/>
    <mergeCell ref="E103:F103"/>
    <mergeCell ref="G103:J103"/>
    <mergeCell ref="E104:F104"/>
    <mergeCell ref="G104:J104"/>
    <mergeCell ref="E105:F105"/>
    <mergeCell ref="G105:J105"/>
    <mergeCell ref="E106:F106"/>
    <mergeCell ref="G106:J106"/>
    <mergeCell ref="E107:F107"/>
    <mergeCell ref="G107:J107"/>
    <mergeCell ref="E108:F108"/>
    <mergeCell ref="G108:J108"/>
    <mergeCell ref="E109:F109"/>
    <mergeCell ref="G109:J109"/>
    <mergeCell ref="E110:F110"/>
    <mergeCell ref="G110:J110"/>
    <mergeCell ref="E111:F111"/>
    <mergeCell ref="G111:J111"/>
    <mergeCell ref="E112:F112"/>
    <mergeCell ref="G112:J112"/>
    <mergeCell ref="E113:F113"/>
    <mergeCell ref="G113:J113"/>
    <mergeCell ref="E114:F114"/>
    <mergeCell ref="G114:J114"/>
    <mergeCell ref="E115:F115"/>
    <mergeCell ref="G115:J115"/>
    <mergeCell ref="E116:F116"/>
    <mergeCell ref="G116:J116"/>
    <mergeCell ref="E117:F117"/>
    <mergeCell ref="G117:J117"/>
    <mergeCell ref="E118:F118"/>
    <mergeCell ref="G118:J118"/>
    <mergeCell ref="E119:F119"/>
    <mergeCell ref="G119:J119"/>
    <mergeCell ref="E120:F120"/>
    <mergeCell ref="G120:J120"/>
    <mergeCell ref="E121:F121"/>
    <mergeCell ref="G121:J121"/>
    <mergeCell ref="E122:F122"/>
    <mergeCell ref="G122:J122"/>
    <mergeCell ref="E123:F123"/>
    <mergeCell ref="G123:J123"/>
    <mergeCell ref="E124:F124"/>
    <mergeCell ref="G124:J124"/>
    <mergeCell ref="E130:F130"/>
    <mergeCell ref="G130:J130"/>
    <mergeCell ref="E131:F131"/>
    <mergeCell ref="G131:J131"/>
    <mergeCell ref="E125:F125"/>
    <mergeCell ref="G125:J125"/>
    <mergeCell ref="E126:F126"/>
    <mergeCell ref="G126:J126"/>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68"/>
  <sheetViews>
    <sheetView tabSelected="1" topLeftCell="A10" zoomScale="66" zoomScaleNormal="66" workbookViewId="0">
      <selection sqref="A1:AL17"/>
    </sheetView>
  </sheetViews>
  <sheetFormatPr baseColWidth="10" defaultColWidth="11.44140625" defaultRowHeight="13.8" x14ac:dyDescent="0.25"/>
  <cols>
    <col min="1" max="1" width="4" style="2" bestFit="1" customWidth="1"/>
    <col min="2" max="2" width="14.21875" style="2" customWidth="1"/>
    <col min="3" max="3" width="13.21875" style="2" customWidth="1"/>
    <col min="4" max="4" width="16.21875" style="2" customWidth="1"/>
    <col min="5" max="5" width="30.44140625" style="2" customWidth="1"/>
    <col min="6" max="8" width="35" style="1" customWidth="1"/>
    <col min="9" max="9" width="18.21875" style="5" customWidth="1"/>
    <col min="10" max="10" width="14.44140625" style="1" customWidth="1"/>
    <col min="11" max="11" width="12" style="1" customWidth="1"/>
    <col min="12" max="12" width="6.44140625" style="1" bestFit="1" customWidth="1"/>
    <col min="13" max="13" width="24.44140625" style="1" bestFit="1" customWidth="1"/>
    <col min="14" max="14" width="28.44140625" style="1" hidden="1" customWidth="1"/>
    <col min="15" max="15" width="17.5546875" style="1" customWidth="1"/>
    <col min="16" max="16" width="6.44140625" style="1" bestFit="1" customWidth="1"/>
    <col min="17" max="17" width="16" style="1" customWidth="1"/>
    <col min="18" max="18" width="5.77734375" style="1" customWidth="1"/>
    <col min="19" max="19" width="55" style="1" customWidth="1"/>
    <col min="20" max="20" width="15.21875" style="1" bestFit="1" customWidth="1"/>
    <col min="21" max="21" width="6.77734375" style="1" customWidth="1"/>
    <col min="22" max="22" width="5" style="1" customWidth="1"/>
    <col min="23" max="23" width="5.5546875" style="1" customWidth="1"/>
    <col min="24" max="24" width="7.21875" style="1" customWidth="1"/>
    <col min="25" max="25" width="6.5546875" style="1" customWidth="1"/>
    <col min="26" max="26" width="4.5546875" style="1" bestFit="1" customWidth="1"/>
    <col min="27" max="27" width="38.5546875" style="1" bestFit="1" customWidth="1"/>
    <col min="28" max="28" width="8.5546875" style="1" customWidth="1"/>
    <col min="29" max="29" width="10.44140625" style="1" customWidth="1"/>
    <col min="30" max="30" width="9.44140625" style="1" customWidth="1"/>
    <col min="31" max="31" width="9.21875" style="1" customWidth="1"/>
    <col min="32" max="32" width="8.44140625" style="1" customWidth="1"/>
    <col min="33" max="33" width="7.44140625" style="1" customWidth="1"/>
    <col min="34" max="34" width="23" style="1" customWidth="1"/>
    <col min="35" max="35" width="22" style="1" customWidth="1"/>
    <col min="36" max="36" width="16.77734375" style="1" customWidth="1"/>
    <col min="37" max="37" width="14.77734375" style="1" customWidth="1"/>
    <col min="38" max="38" width="21" style="1" customWidth="1"/>
    <col min="39" max="16384" width="11.44140625" style="1"/>
  </cols>
  <sheetData>
    <row r="1" spans="1:70" ht="16.5" customHeight="1" x14ac:dyDescent="0.25">
      <c r="A1" s="465" t="s">
        <v>138</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7"/>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468"/>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70"/>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479" t="s">
        <v>42</v>
      </c>
      <c r="B4" s="480"/>
      <c r="C4" s="413" t="s">
        <v>216</v>
      </c>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25">
      <c r="A5" s="479" t="s">
        <v>124</v>
      </c>
      <c r="B5" s="480"/>
      <c r="C5" s="414" t="s">
        <v>214</v>
      </c>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479" t="s">
        <v>43</v>
      </c>
      <c r="B6" s="480"/>
      <c r="C6" s="414" t="s">
        <v>215</v>
      </c>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471" t="s">
        <v>133</v>
      </c>
      <c r="B7" s="472"/>
      <c r="C7" s="473"/>
      <c r="D7" s="473"/>
      <c r="E7" s="473"/>
      <c r="F7" s="473"/>
      <c r="G7" s="473"/>
      <c r="H7" s="473"/>
      <c r="I7" s="473"/>
      <c r="J7" s="474"/>
      <c r="K7" s="475" t="s">
        <v>134</v>
      </c>
      <c r="L7" s="473"/>
      <c r="M7" s="473"/>
      <c r="N7" s="473"/>
      <c r="O7" s="473"/>
      <c r="P7" s="473"/>
      <c r="Q7" s="474"/>
      <c r="R7" s="475" t="s">
        <v>135</v>
      </c>
      <c r="S7" s="473"/>
      <c r="T7" s="473"/>
      <c r="U7" s="473"/>
      <c r="V7" s="473"/>
      <c r="W7" s="473"/>
      <c r="X7" s="473"/>
      <c r="Y7" s="473"/>
      <c r="Z7" s="474"/>
      <c r="AA7" s="475" t="s">
        <v>136</v>
      </c>
      <c r="AB7" s="473"/>
      <c r="AC7" s="473"/>
      <c r="AD7" s="473"/>
      <c r="AE7" s="473"/>
      <c r="AF7" s="473"/>
      <c r="AG7" s="474"/>
      <c r="AH7" s="475" t="s">
        <v>34</v>
      </c>
      <c r="AI7" s="473"/>
      <c r="AJ7" s="473"/>
      <c r="AK7" s="473"/>
      <c r="AL7" s="474"/>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481" t="s">
        <v>0</v>
      </c>
      <c r="B8" s="478" t="s">
        <v>2</v>
      </c>
      <c r="C8" s="441" t="s">
        <v>3</v>
      </c>
      <c r="D8" s="441" t="s">
        <v>41</v>
      </c>
      <c r="E8" s="445" t="s">
        <v>202</v>
      </c>
      <c r="F8" s="483" t="s">
        <v>1</v>
      </c>
      <c r="G8" s="136"/>
      <c r="H8" s="136"/>
      <c r="I8" s="445" t="s">
        <v>49</v>
      </c>
      <c r="J8" s="441" t="s">
        <v>129</v>
      </c>
      <c r="K8" s="446" t="s">
        <v>33</v>
      </c>
      <c r="L8" s="476" t="s">
        <v>5</v>
      </c>
      <c r="M8" s="445" t="s">
        <v>85</v>
      </c>
      <c r="N8" s="445" t="s">
        <v>90</v>
      </c>
      <c r="O8" s="477" t="s">
        <v>44</v>
      </c>
      <c r="P8" s="476" t="s">
        <v>5</v>
      </c>
      <c r="Q8" s="441" t="s">
        <v>47</v>
      </c>
      <c r="R8" s="442" t="s">
        <v>11</v>
      </c>
      <c r="S8" s="425" t="s">
        <v>151</v>
      </c>
      <c r="T8" s="445" t="s">
        <v>12</v>
      </c>
      <c r="U8" s="425" t="s">
        <v>8</v>
      </c>
      <c r="V8" s="425"/>
      <c r="W8" s="425"/>
      <c r="X8" s="425"/>
      <c r="Y8" s="425"/>
      <c r="Z8" s="425"/>
      <c r="AA8" s="444" t="s">
        <v>132</v>
      </c>
      <c r="AB8" s="444" t="s">
        <v>45</v>
      </c>
      <c r="AC8" s="444" t="s">
        <v>5</v>
      </c>
      <c r="AD8" s="444" t="s">
        <v>46</v>
      </c>
      <c r="AE8" s="444" t="s">
        <v>5</v>
      </c>
      <c r="AF8" s="444" t="s">
        <v>48</v>
      </c>
      <c r="AG8" s="442" t="s">
        <v>29</v>
      </c>
      <c r="AH8" s="425" t="s">
        <v>34</v>
      </c>
      <c r="AI8" s="425" t="s">
        <v>35</v>
      </c>
      <c r="AJ8" s="425" t="s">
        <v>36</v>
      </c>
      <c r="AK8" s="425" t="s">
        <v>37</v>
      </c>
      <c r="AL8" s="425"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482"/>
      <c r="B9" s="478"/>
      <c r="C9" s="425"/>
      <c r="D9" s="425"/>
      <c r="E9" s="446"/>
      <c r="F9" s="484"/>
      <c r="G9" s="136" t="s">
        <v>397</v>
      </c>
      <c r="H9" s="136" t="s">
        <v>203</v>
      </c>
      <c r="I9" s="441"/>
      <c r="J9" s="425"/>
      <c r="K9" s="441"/>
      <c r="L9" s="475"/>
      <c r="M9" s="441"/>
      <c r="N9" s="441"/>
      <c r="O9" s="475"/>
      <c r="P9" s="475"/>
      <c r="Q9" s="425"/>
      <c r="R9" s="443"/>
      <c r="S9" s="425"/>
      <c r="T9" s="441"/>
      <c r="U9" s="7" t="s">
        <v>13</v>
      </c>
      <c r="V9" s="7" t="s">
        <v>17</v>
      </c>
      <c r="W9" s="7" t="s">
        <v>28</v>
      </c>
      <c r="X9" s="7" t="s">
        <v>18</v>
      </c>
      <c r="Y9" s="7" t="s">
        <v>21</v>
      </c>
      <c r="Z9" s="7" t="s">
        <v>24</v>
      </c>
      <c r="AA9" s="444"/>
      <c r="AB9" s="444"/>
      <c r="AC9" s="444"/>
      <c r="AD9" s="444"/>
      <c r="AE9" s="444"/>
      <c r="AF9" s="444"/>
      <c r="AG9" s="443"/>
      <c r="AH9" s="425"/>
      <c r="AI9" s="425"/>
      <c r="AJ9" s="425"/>
      <c r="AK9" s="425"/>
      <c r="AL9" s="4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245.25" customHeight="1" x14ac:dyDescent="0.3">
      <c r="A10" s="388">
        <v>1</v>
      </c>
      <c r="B10" s="391" t="s">
        <v>128</v>
      </c>
      <c r="C10" s="391" t="s">
        <v>222</v>
      </c>
      <c r="D10" s="394" t="s">
        <v>218</v>
      </c>
      <c r="E10" s="147" t="s">
        <v>219</v>
      </c>
      <c r="F10" s="397" t="s">
        <v>228</v>
      </c>
      <c r="G10" s="232" t="s">
        <v>398</v>
      </c>
      <c r="H10" s="397" t="s">
        <v>227</v>
      </c>
      <c r="I10" s="429" t="s">
        <v>117</v>
      </c>
      <c r="J10" s="410">
        <f>300*246</f>
        <v>73800</v>
      </c>
      <c r="K10" s="407" t="str">
        <f>IF(J10&lt;=0,"",IF(J10&lt;=2,"Muy Baja",IF(J10&lt;=24,"Baja",IF(J10&lt;=500,"Media",IF(J10&lt;=5000,"Alta","Muy Alta")))))</f>
        <v>Muy Alta</v>
      </c>
      <c r="L10" s="401">
        <f>IF(K10="","",IF(K10="Muy Baja",0.2,IF(K10="Baja",0.4,IF(K10="Media",0.6,IF(K10="Alta",0.8,IF(K10="Muy Alta",1,))))))</f>
        <v>1</v>
      </c>
      <c r="M10" s="404" t="s">
        <v>144</v>
      </c>
      <c r="N10" s="401"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407" t="str">
        <f>IF(OR(N10='Tabla Impacto'!$C$11,N10='Tabla Impacto'!$D$11),"Leve",IF(OR(N10='Tabla Impacto'!$C$12,N10='Tabla Impacto'!$D$12),"Menor",IF(OR(N10='Tabla Impacto'!$C$13,N10='Tabla Impacto'!$D$13),"Moderado",IF(OR(N10='Tabla Impacto'!$C$14,N10='Tabla Impacto'!$D$14),"Mayor",IF(OR(N10='Tabla Impacto'!$C$15,N10='Tabla Impacto'!$D$15),"Catastrófico","")))))</f>
        <v>Moderado</v>
      </c>
      <c r="P10" s="401">
        <f>IF(O10="","",IF(O10="Leve",0.2,IF(O10="Menor",0.4,IF(O10="Moderado",0.6,IF(O10="Mayor",0.8,IF(O10="Catastrófico",1,))))))</f>
        <v>0.6</v>
      </c>
      <c r="Q10" s="39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13" t="s">
        <v>231</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113</v>
      </c>
      <c r="AA10" s="108">
        <f>IFERROR(IF(T10="Probabilidad",(L10-(+L10*W10)),IF(T10="Impacto",L10,"")),"")</f>
        <v>0.6</v>
      </c>
      <c r="AB10" s="116" t="str">
        <f>IFERROR(IF(AA10="","",IF(AA10&lt;=0.2,"Muy Baja",IF(AA10&lt;=0.4,"Baja",IF(AA10&lt;=0.6,"Media",IF(AA10&lt;=0.8,"Alta","Muy Alta"))))),"")</f>
        <v>Media</v>
      </c>
      <c r="AC10" s="117">
        <f>+AA10</f>
        <v>0.6</v>
      </c>
      <c r="AD10" s="116" t="str">
        <f>IFERROR(IF(AE10="","",IF(AE10&lt;=0.2,"Leve",IF(AE10&lt;=0.4,"Menor",IF(AE10&lt;=0.6,"Moderado",IF(AE10&lt;=0.8,"Mayor","Catastrófico"))))),"")</f>
        <v>Moderado</v>
      </c>
      <c r="AE10" s="117">
        <f>IFERROR(IF(T10="Impacto",(P10-(+P10*W10)),IF(T10="Probabilidad",P10,"")),"")</f>
        <v>0.6</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432" t="s">
        <v>130</v>
      </c>
      <c r="AH10" s="391" t="s">
        <v>235</v>
      </c>
      <c r="AI10" s="410" t="s">
        <v>223</v>
      </c>
      <c r="AJ10" s="435" t="s">
        <v>394</v>
      </c>
      <c r="AK10" s="437">
        <v>45754</v>
      </c>
      <c r="AL10" s="151"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76.8" x14ac:dyDescent="0.25">
      <c r="A11" s="389"/>
      <c r="B11" s="392"/>
      <c r="C11" s="392"/>
      <c r="D11" s="395"/>
      <c r="E11" s="137" t="s">
        <v>217</v>
      </c>
      <c r="F11" s="397"/>
      <c r="G11" s="232" t="s">
        <v>398</v>
      </c>
      <c r="H11" s="397"/>
      <c r="I11" s="430"/>
      <c r="J11" s="411"/>
      <c r="K11" s="408"/>
      <c r="L11" s="402"/>
      <c r="M11" s="405"/>
      <c r="N11" s="402">
        <f>IF(NOT(ISERROR(MATCH(M11,_xlfn.ANCHORARRAY(F18),0))),L20&amp;"Por favor no seleccionar los criterios de impacto",M11)</f>
        <v>0</v>
      </c>
      <c r="O11" s="408"/>
      <c r="P11" s="402"/>
      <c r="Q11" s="399"/>
      <c r="R11" s="105">
        <v>2</v>
      </c>
      <c r="S11" s="112" t="s">
        <v>229</v>
      </c>
      <c r="T11" s="107" t="str">
        <f t="shared" ref="T11" si="0">IF(OR(U11="Preventivo",U11="Detectivo"),"Probabilidad",IF(U11="Correctivo","Impacto",""))</f>
        <v>Probabilidad</v>
      </c>
      <c r="U11" s="114" t="s">
        <v>14</v>
      </c>
      <c r="V11" s="114" t="s">
        <v>9</v>
      </c>
      <c r="W11" s="115" t="str">
        <f t="shared" ref="W11" si="1">IF(AND(U11="Preventivo",V11="Automático"),"50%",IF(AND(U11="Preventivo",V11="Manual"),"40%",IF(AND(U11="Detectivo",V11="Automático"),"40%",IF(AND(U11="Detectivo",V11="Manual"),"30%",IF(AND(U11="Correctivo",V11="Automático"),"35%",IF(AND(U11="Correctivo",V11="Manual"),"25%",""))))))</f>
        <v>40%</v>
      </c>
      <c r="X11" s="114" t="s">
        <v>20</v>
      </c>
      <c r="Y11" s="114" t="s">
        <v>22</v>
      </c>
      <c r="Z11" s="114" t="s">
        <v>113</v>
      </c>
      <c r="AA11" s="108">
        <f>IFERROR(IF(AND(T10="Probabilidad",T11="Probabilidad"),(AC10-(+AC10*W11)),IF(AND(T10="Impacto",T11="Probabilidad"),(L10-(+L10*W11)),IF(T11="Impacto",AC10,""))),"")</f>
        <v>0.36</v>
      </c>
      <c r="AB11" s="116" t="str">
        <f t="shared" ref="AB11" si="2">IFERROR(IF(AA11="","",IF(AA11&lt;=0.2,"Muy Baja",IF(AA11&lt;=0.4,"Baja",IF(AA11&lt;=0.6,"Media",IF(AA11&lt;=0.8,"Alta","Muy Alta"))))),"")</f>
        <v>Baja</v>
      </c>
      <c r="AC11" s="117">
        <f>+AA11</f>
        <v>0.36</v>
      </c>
      <c r="AD11" s="116" t="str">
        <f t="shared" ref="AD11" si="3">IFERROR(IF(AE11="","",IF(AE11&lt;=0.2,"Leve",IF(AE11&lt;=0.4,"Menor",IF(AE11&lt;=0.6,"Moderado",IF(AE11&lt;=0.8,"Mayor","Catastrófico"))))),"")</f>
        <v>Moderado</v>
      </c>
      <c r="AE11" s="117">
        <f>IFERROR(IF(AND(T10="Impacto",T11="Impacto"),(AE10-(+AE10*W11)),IF(AND(T10="Probabilidad",T11="Impacto"),(P10-(+P10*W11)),IF(T11="Probabilidad",AE10,""))),"")</f>
        <v>0.6</v>
      </c>
      <c r="AF11" s="118" t="str">
        <f t="shared" ref="AF11" si="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433"/>
      <c r="AH11" s="393"/>
      <c r="AI11" s="412"/>
      <c r="AJ11" s="436"/>
      <c r="AK11" s="438"/>
      <c r="AL11" s="150"/>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81" customHeight="1" x14ac:dyDescent="0.25">
      <c r="A12" s="389"/>
      <c r="B12" s="392"/>
      <c r="C12" s="392"/>
      <c r="D12" s="395"/>
      <c r="E12" s="137"/>
      <c r="F12" s="397"/>
      <c r="G12" s="232"/>
      <c r="H12" s="397"/>
      <c r="I12" s="430"/>
      <c r="J12" s="411"/>
      <c r="K12" s="408"/>
      <c r="L12" s="402"/>
      <c r="M12" s="405"/>
      <c r="N12" s="402">
        <f>IF(NOT(ISERROR(MATCH(M12,_xlfn.ANCHORARRAY(F19),0))),L21&amp;"Por favor no seleccionar los criterios de impacto",M12)</f>
        <v>0</v>
      </c>
      <c r="O12" s="408"/>
      <c r="P12" s="402"/>
      <c r="Q12" s="399"/>
      <c r="R12" s="105">
        <v>3</v>
      </c>
      <c r="S12" s="112"/>
      <c r="T12" s="107"/>
      <c r="U12" s="114"/>
      <c r="V12" s="114"/>
      <c r="W12" s="115"/>
      <c r="X12" s="114"/>
      <c r="Y12" s="114"/>
      <c r="Z12" s="114"/>
      <c r="AA12" s="108" t="str">
        <f>IFERROR(IF(AND(T11="Probabilidad",T12="Probabilidad"),(AC11-(+AC11*W12)),IF(AND(T11="Impacto",T12="Probabilidad"),(AC10-(+AC10*W12)),IF(T12="Impacto",AC11,""))),"")</f>
        <v/>
      </c>
      <c r="AB12" s="116" t="str">
        <f t="shared" ref="AB12:AB15" si="5">IFERROR(IF(AA12="","",IF(AA12&lt;=0.2,"Muy Baja",IF(AA12&lt;=0.4,"Baja",IF(AA12&lt;=0.6,"Media",IF(AA12&lt;=0.8,"Alta","Muy Alta"))))),"")</f>
        <v/>
      </c>
      <c r="AC12" s="117" t="str">
        <f t="shared" ref="AC12:AC15" si="6">+AA12</f>
        <v/>
      </c>
      <c r="AD12" s="116" t="str">
        <f t="shared" ref="AD12:AD15" si="7">IFERROR(IF(AE12="","",IF(AE12&lt;=0.2,"Leve",IF(AE12&lt;=0.4,"Menor",IF(AE12&lt;=0.6,"Moderado",IF(AE12&lt;=0.8,"Mayor","Catastrófico"))))),"")</f>
        <v/>
      </c>
      <c r="AE12" s="117" t="str">
        <f t="shared" ref="AE12:AE15" si="8">IFERROR(IF(AND(T11="Impacto",T12="Impacto"),(AE11-(+AE11*W12)),IF(AND(T11="Probabilidad",T12="Impacto"),(AE10-(+AE10*W12)),IF(T12="Probabilidad",AE11,""))),"")</f>
        <v/>
      </c>
      <c r="AF12" s="118" t="str">
        <f t="shared" ref="AF12:AF15" si="9">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434"/>
      <c r="AH12" s="109"/>
      <c r="AI12" s="110"/>
      <c r="AJ12" s="111"/>
      <c r="AK12" s="149"/>
      <c r="AL12" s="150"/>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25">
      <c r="A13" s="389"/>
      <c r="B13" s="392"/>
      <c r="C13" s="392"/>
      <c r="D13" s="395"/>
      <c r="E13" s="137"/>
      <c r="F13" s="397"/>
      <c r="G13" s="232"/>
      <c r="H13" s="397"/>
      <c r="I13" s="430"/>
      <c r="J13" s="411"/>
      <c r="K13" s="408"/>
      <c r="L13" s="402"/>
      <c r="M13" s="405"/>
      <c r="N13" s="402">
        <f>IF(NOT(ISERROR(MATCH(M13,_xlfn.ANCHORARRAY(F20),0))),L22&amp;"Por favor no seleccionar los criterios de impacto",M13)</f>
        <v>0</v>
      </c>
      <c r="O13" s="408"/>
      <c r="P13" s="402"/>
      <c r="Q13" s="399"/>
      <c r="R13" s="105">
        <v>4</v>
      </c>
      <c r="S13" s="106"/>
      <c r="T13" s="107" t="str">
        <f t="shared" ref="T13:T15" si="10">IF(OR(U13="Preventivo",U13="Detectivo"),"Probabilidad",IF(U13="Correctivo","Impacto",""))</f>
        <v/>
      </c>
      <c r="U13" s="114"/>
      <c r="V13" s="114"/>
      <c r="W13" s="115" t="str">
        <f t="shared" ref="W13:W15" si="11">IF(AND(U13="Preventivo",V13="Automático"),"50%",IF(AND(U13="Preventivo",V13="Manual"),"40%",IF(AND(U13="Detectivo",V13="Automático"),"40%",IF(AND(U13="Detectivo",V13="Manual"),"30%",IF(AND(U13="Correctivo",V13="Automático"),"35%",IF(AND(U13="Correctivo",V13="Manual"),"25%",""))))))</f>
        <v/>
      </c>
      <c r="X13" s="114"/>
      <c r="Y13" s="114"/>
      <c r="Z13" s="114"/>
      <c r="AA13" s="108" t="str">
        <f t="shared" ref="AA13:AA15" si="12">IFERROR(IF(AND(T12="Probabilidad",T13="Probabilidad"),(AC12-(+AC12*W13)),IF(AND(T12="Impacto",T13="Probabilidad"),(AC11-(+AC11*W13)),IF(T13="Impacto",AC12,""))),"")</f>
        <v/>
      </c>
      <c r="AB13" s="116" t="str">
        <f t="shared" si="5"/>
        <v/>
      </c>
      <c r="AC13" s="117" t="str">
        <f t="shared" si="6"/>
        <v/>
      </c>
      <c r="AD13" s="116" t="str">
        <f t="shared" si="7"/>
        <v/>
      </c>
      <c r="AE13" s="117" t="str">
        <f t="shared" si="8"/>
        <v/>
      </c>
      <c r="AF13" s="118" t="str">
        <f t="shared" si="9"/>
        <v/>
      </c>
      <c r="AG13" s="119"/>
      <c r="AH13" s="109"/>
      <c r="AI13" s="110"/>
      <c r="AJ13" s="111"/>
      <c r="AK13" s="149"/>
      <c r="AL13" s="150"/>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25">
      <c r="A14" s="389"/>
      <c r="B14" s="392"/>
      <c r="C14" s="392"/>
      <c r="D14" s="395"/>
      <c r="E14" s="137"/>
      <c r="F14" s="397"/>
      <c r="G14" s="232"/>
      <c r="H14" s="397"/>
      <c r="I14" s="430"/>
      <c r="J14" s="411"/>
      <c r="K14" s="408"/>
      <c r="L14" s="402"/>
      <c r="M14" s="405"/>
      <c r="N14" s="402">
        <f>IF(NOT(ISERROR(MATCH(M14,_xlfn.ANCHORARRAY(F21),0))),L23&amp;"Por favor no seleccionar los criterios de impacto",M14)</f>
        <v>0</v>
      </c>
      <c r="O14" s="408"/>
      <c r="P14" s="402"/>
      <c r="Q14" s="399"/>
      <c r="R14" s="105">
        <v>5</v>
      </c>
      <c r="S14" s="106"/>
      <c r="T14" s="107" t="str">
        <f t="shared" si="10"/>
        <v/>
      </c>
      <c r="U14" s="114"/>
      <c r="V14" s="114"/>
      <c r="W14" s="115" t="str">
        <f t="shared" si="11"/>
        <v/>
      </c>
      <c r="X14" s="114"/>
      <c r="Y14" s="114"/>
      <c r="Z14" s="114"/>
      <c r="AA14" s="108" t="str">
        <f t="shared" si="12"/>
        <v/>
      </c>
      <c r="AB14" s="116" t="str">
        <f t="shared" si="5"/>
        <v/>
      </c>
      <c r="AC14" s="117" t="str">
        <f t="shared" si="6"/>
        <v/>
      </c>
      <c r="AD14" s="116" t="str">
        <f t="shared" si="7"/>
        <v/>
      </c>
      <c r="AE14" s="117" t="str">
        <f t="shared" si="8"/>
        <v/>
      </c>
      <c r="AF14" s="118" t="str">
        <f t="shared" si="9"/>
        <v/>
      </c>
      <c r="AG14" s="119"/>
      <c r="AH14" s="109"/>
      <c r="AI14" s="110"/>
      <c r="AJ14" s="111"/>
      <c r="AK14" s="149"/>
      <c r="AL14" s="150"/>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25">
      <c r="A15" s="390"/>
      <c r="B15" s="393"/>
      <c r="C15" s="393"/>
      <c r="D15" s="396"/>
      <c r="E15" s="137"/>
      <c r="F15" s="397"/>
      <c r="G15" s="232"/>
      <c r="H15" s="397"/>
      <c r="I15" s="431"/>
      <c r="J15" s="412"/>
      <c r="K15" s="409"/>
      <c r="L15" s="403"/>
      <c r="M15" s="406"/>
      <c r="N15" s="403">
        <f>IF(NOT(ISERROR(MATCH(M15,_xlfn.ANCHORARRAY(F22),0))),L24&amp;"Por favor no seleccionar los criterios de impacto",M15)</f>
        <v>0</v>
      </c>
      <c r="O15" s="409"/>
      <c r="P15" s="403"/>
      <c r="Q15" s="400"/>
      <c r="R15" s="105">
        <v>6</v>
      </c>
      <c r="S15" s="106"/>
      <c r="T15" s="107" t="str">
        <f t="shared" si="10"/>
        <v/>
      </c>
      <c r="U15" s="114"/>
      <c r="V15" s="114"/>
      <c r="W15" s="115" t="str">
        <f t="shared" si="11"/>
        <v/>
      </c>
      <c r="X15" s="114"/>
      <c r="Y15" s="114"/>
      <c r="Z15" s="114"/>
      <c r="AA15" s="108" t="str">
        <f t="shared" si="12"/>
        <v/>
      </c>
      <c r="AB15" s="116" t="str">
        <f t="shared" si="5"/>
        <v/>
      </c>
      <c r="AC15" s="117" t="str">
        <f t="shared" si="6"/>
        <v/>
      </c>
      <c r="AD15" s="116" t="str">
        <f t="shared" si="7"/>
        <v/>
      </c>
      <c r="AE15" s="117" t="str">
        <f t="shared" si="8"/>
        <v/>
      </c>
      <c r="AF15" s="118" t="str">
        <f t="shared" si="9"/>
        <v/>
      </c>
      <c r="AG15" s="119"/>
      <c r="AH15" s="109"/>
      <c r="AI15" s="110"/>
      <c r="AJ15" s="111"/>
      <c r="AK15" s="149"/>
      <c r="AL15" s="150"/>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47.5" customHeight="1" x14ac:dyDescent="0.25">
      <c r="A16" s="388">
        <v>2</v>
      </c>
      <c r="B16" s="456" t="s">
        <v>128</v>
      </c>
      <c r="C16" s="456" t="s">
        <v>225</v>
      </c>
      <c r="D16" s="415" t="s">
        <v>224</v>
      </c>
      <c r="E16" s="138" t="s">
        <v>220</v>
      </c>
      <c r="F16" s="418" t="s">
        <v>230</v>
      </c>
      <c r="G16" s="233" t="s">
        <v>398</v>
      </c>
      <c r="H16" s="439" t="s">
        <v>226</v>
      </c>
      <c r="I16" s="447" t="s">
        <v>117</v>
      </c>
      <c r="J16" s="450">
        <v>28</v>
      </c>
      <c r="K16" s="422" t="str">
        <f>IF(J16&lt;=0,"",IF(J16&lt;=2,"Muy Baja",IF(J16&lt;=24,"Baja",IF(J16&lt;=500,"Media",IF(J16&lt;=5000,"Alta","Muy Alta")))))</f>
        <v>Media</v>
      </c>
      <c r="L16" s="419">
        <f>IF(K16="","",IF(K16="Muy Baja",0.2,IF(K16="Baja",0.4,IF(K16="Media",0.6,IF(K16="Alta",0.8,IF(K16="Muy Alta",1,))))))</f>
        <v>0.6</v>
      </c>
      <c r="M16" s="453" t="s">
        <v>144</v>
      </c>
      <c r="N16" s="419"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422" t="str">
        <f>IF(OR(N16='Tabla Impacto'!$C$11,N16='Tabla Impacto'!$D$11),"Leve",IF(OR(N16='Tabla Impacto'!$C$12,N16='Tabla Impacto'!$D$12),"Menor",IF(OR(N16='Tabla Impacto'!$C$13,N16='Tabla Impacto'!$D$13),"Moderado",IF(OR(N16='Tabla Impacto'!$C$14,N16='Tabla Impacto'!$D$14),"Mayor",IF(OR(N16='Tabla Impacto'!$C$15,N16='Tabla Impacto'!$D$15),"Catastrófico","")))))</f>
        <v>Moderado</v>
      </c>
      <c r="P16" s="419">
        <f>IF(O16="","",IF(O16="Leve",0.2,IF(O16="Menor",0.4,IF(O16="Moderado",0.6,IF(O16="Mayor",0.8,IF(O16="Catastrófico",1,))))))</f>
        <v>0.6</v>
      </c>
      <c r="Q16" s="426"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148" t="s">
        <v>233</v>
      </c>
      <c r="T16" s="107" t="str">
        <f>IF(OR(U16="Preventivo",U16="Detectivo"),"Probabilidad",IF(U16="Correctivo","Impacto",""))</f>
        <v>Probabilidad</v>
      </c>
      <c r="U16" s="114" t="s">
        <v>14</v>
      </c>
      <c r="V16" s="114" t="s">
        <v>10</v>
      </c>
      <c r="W16" s="115" t="str">
        <f>IF(AND(U16="Preventivo",V16="Automático"),"50%",IF(AND(U16="Preventivo",V16="Manual"),"40%",IF(AND(U16="Detectivo",V16="Automático"),"40%",IF(AND(U16="Detectivo",V16="Manual"),"30%",IF(AND(U16="Correctivo",V16="Automático"),"35%",IF(AND(U16="Correctivo",V16="Manual"),"25%",""))))))</f>
        <v>50%</v>
      </c>
      <c r="X16" s="114" t="s">
        <v>19</v>
      </c>
      <c r="Y16" s="114" t="s">
        <v>22</v>
      </c>
      <c r="Z16" s="114" t="s">
        <v>113</v>
      </c>
      <c r="AA16" s="108">
        <f>IFERROR(IF(T16="Probabilidad",(L16-(+L16*W16)),IF(T16="Impacto",L16,"")),"")</f>
        <v>0.3</v>
      </c>
      <c r="AB16" s="116" t="str">
        <f>IFERROR(IF(AA16="","",IF(AA16&lt;=0.2,"Muy Baja",IF(AA16&lt;=0.4,"Baja",IF(AA16&lt;=0.6,"Media",IF(AA16&lt;=0.8,"Alta","Muy Alta"))))),"")</f>
        <v>Baja</v>
      </c>
      <c r="AC16" s="117">
        <f>+AA16</f>
        <v>0.3</v>
      </c>
      <c r="AD16" s="116" t="str">
        <f>IFERROR(IF(AE16="","",IF(AE16&lt;=0.2,"Leve",IF(AE16&lt;=0.4,"Menor",IF(AE16&lt;=0.6,"Moderado",IF(AE16&lt;=0.8,"Mayor","Catastrófico"))))),"")</f>
        <v>Moderado</v>
      </c>
      <c r="AE16" s="117">
        <f>IFERROR(IF(T16="Impacto",(P16-(+P16*W16)),IF(T16="Probabilidad",P16,"")),"")</f>
        <v>0.6</v>
      </c>
      <c r="AF16" s="118"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19"/>
      <c r="AH16" s="109" t="s">
        <v>396</v>
      </c>
      <c r="AI16" s="110" t="s">
        <v>232</v>
      </c>
      <c r="AJ16" s="111" t="s">
        <v>394</v>
      </c>
      <c r="AK16" s="149">
        <v>45754</v>
      </c>
      <c r="AL16" s="151" t="s">
        <v>40</v>
      </c>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97.25" customHeight="1" x14ac:dyDescent="0.25">
      <c r="A17" s="389"/>
      <c r="B17" s="457"/>
      <c r="C17" s="457"/>
      <c r="D17" s="416"/>
      <c r="E17" s="138" t="s">
        <v>221</v>
      </c>
      <c r="F17" s="418"/>
      <c r="G17" s="234" t="s">
        <v>398</v>
      </c>
      <c r="H17" s="440"/>
      <c r="I17" s="448"/>
      <c r="J17" s="451"/>
      <c r="K17" s="423"/>
      <c r="L17" s="420"/>
      <c r="M17" s="454"/>
      <c r="N17" s="420">
        <f>IF(NOT(ISERROR(MATCH(M17,_xlfn.ANCHORARRAY(F24),0))),L26&amp;"Por favor no seleccionar los criterios de impacto",M17)</f>
        <v>0</v>
      </c>
      <c r="O17" s="423"/>
      <c r="P17" s="420"/>
      <c r="Q17" s="427"/>
      <c r="R17" s="105">
        <v>2</v>
      </c>
      <c r="S17" s="148" t="s">
        <v>234</v>
      </c>
      <c r="T17" s="107" t="str">
        <f>IF(OR(U17="Preventivo",U17="Detectivo"),"Probabilidad",IF(U17="Correctivo","Impacto",""))</f>
        <v>Probabilidad</v>
      </c>
      <c r="U17" s="114" t="s">
        <v>14</v>
      </c>
      <c r="V17" s="114" t="s">
        <v>9</v>
      </c>
      <c r="W17" s="115" t="str">
        <f t="shared" ref="W17" si="13">IF(AND(U17="Preventivo",V17="Automático"),"50%",IF(AND(U17="Preventivo",V17="Manual"),"40%",IF(AND(U17="Detectivo",V17="Automático"),"40%",IF(AND(U17="Detectivo",V17="Manual"),"30%",IF(AND(U17="Correctivo",V17="Automático"),"35%",IF(AND(U17="Correctivo",V17="Manual"),"25%",""))))))</f>
        <v>40%</v>
      </c>
      <c r="X17" s="114" t="s">
        <v>19</v>
      </c>
      <c r="Y17" s="114" t="s">
        <v>22</v>
      </c>
      <c r="Z17" s="114" t="s">
        <v>113</v>
      </c>
      <c r="AA17" s="108">
        <f>IFERROR(IF(AND(T16="Probabilidad",T17="Probabilidad"),(AC16-(+AC16*W17)),IF(AND(T16="Impacto",T17="Probabilidad"),(L16-(+L16*W17)),IF(T17="Impacto",AC16,""))),"")</f>
        <v>0.18</v>
      </c>
      <c r="AB17" s="116" t="str">
        <f t="shared" ref="AB17" si="14">IFERROR(IF(AA17="","",IF(AA17&lt;=0.2,"Muy Baja",IF(AA17&lt;=0.4,"Baja",IF(AA17&lt;=0.6,"Media",IF(AA17&lt;=0.8,"Alta","Muy Alta"))))),"")</f>
        <v>Muy Baja</v>
      </c>
      <c r="AC17" s="117">
        <f>+AA17</f>
        <v>0.18</v>
      </c>
      <c r="AD17" s="116" t="str">
        <f t="shared" ref="AD17" si="15">IFERROR(IF(AE17="","",IF(AE17&lt;=0.2,"Leve",IF(AE17&lt;=0.4,"Menor",IF(AE17&lt;=0.6,"Moderado",IF(AE17&lt;=0.8,"Mayor","Catastrófico"))))),"")</f>
        <v>Moderado</v>
      </c>
      <c r="AE17" s="117">
        <f>IFERROR(IF(AND(T16="Impacto",T17="Impacto"),(AE16-(+AE16*W17)),IF(AND(T16="Probabilidad",T17="Impacto"),(P16-(+P16*W17)),IF(T17="Probabilidad",AE16,""))),"")</f>
        <v>0.6</v>
      </c>
      <c r="AF17" s="118" t="str">
        <f t="shared" ref="AF17" si="16">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19"/>
      <c r="AH17" s="109" t="s">
        <v>395</v>
      </c>
      <c r="AI17" s="110" t="s">
        <v>232</v>
      </c>
      <c r="AJ17" s="111" t="s">
        <v>394</v>
      </c>
      <c r="AK17" s="149">
        <v>45754</v>
      </c>
      <c r="AL17" s="151" t="s">
        <v>40</v>
      </c>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30.75" customHeight="1" x14ac:dyDescent="0.25">
      <c r="A18" s="388">
        <v>3</v>
      </c>
      <c r="B18" s="456"/>
      <c r="C18" s="456"/>
      <c r="D18" s="415"/>
      <c r="E18" s="138"/>
      <c r="F18" s="418"/>
      <c r="G18" s="139"/>
      <c r="H18" s="139"/>
      <c r="I18" s="447"/>
      <c r="J18" s="450"/>
      <c r="K18" s="422" t="str">
        <f t="shared" ref="K18" si="17">IF(J18&lt;=0,"",IF(J18&lt;=2,"Muy Baja",IF(J18&lt;=24,"Baja",IF(J18&lt;=500,"Media",IF(J18&lt;=5000,"Alta","Muy Alta")))))</f>
        <v/>
      </c>
      <c r="L18" s="419" t="str">
        <f t="shared" ref="L18" si="18">IF(K18="","",IF(K18="Muy Baja",0.2,IF(K18="Baja",0.4,IF(K18="Media",0.6,IF(K18="Alta",0.8,IF(K18="Muy Alta",1,))))))</f>
        <v/>
      </c>
      <c r="M18" s="453"/>
      <c r="N18" s="419">
        <f>IF(NOT(ISERROR(MATCH(M18,'Tabla Impacto'!$B$221:$B$223,0))),'Tabla Impacto'!$F$223&amp;"Por favor no seleccionar los criterios de impacto(Afectación Económica o presupuestal y Pérdida Reputacional)",M18)</f>
        <v>0</v>
      </c>
      <c r="O18" s="422" t="str">
        <f>IF(OR(N18='Tabla Impacto'!$C$11,N18='Tabla Impacto'!$D$11),"Leve",IF(OR(N18='Tabla Impacto'!$C$12,N18='Tabla Impacto'!$D$12),"Menor",IF(OR(N18='Tabla Impacto'!$C$13,N18='Tabla Impacto'!$D$13),"Moderado",IF(OR(N18='Tabla Impacto'!$C$14,N18='Tabla Impacto'!$D$14),"Mayor",IF(OR(N18='Tabla Impacto'!$C$15,N18='Tabla Impacto'!$D$15),"Catastrófico","")))))</f>
        <v/>
      </c>
      <c r="P18" s="419" t="str">
        <f t="shared" ref="P18" si="19">IF(O18="","",IF(O18="Leve",0.2,IF(O18="Menor",0.4,IF(O18="Moderado",0.6,IF(O18="Mayor",0.8,IF(O18="Catastrófico",1,))))))</f>
        <v/>
      </c>
      <c r="Q18" s="426" t="str">
        <f t="shared" ref="Q18" si="20">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
      </c>
      <c r="R18" s="105">
        <v>1</v>
      </c>
      <c r="S18" s="106"/>
      <c r="T18" s="107" t="str">
        <f>IF(OR(U18="Preventivo",U18="Detectivo"),"Probabilidad",IF(U18="Correctivo","Impacto",""))</f>
        <v/>
      </c>
      <c r="U18" s="114"/>
      <c r="V18" s="114"/>
      <c r="W18" s="115" t="str">
        <f>IF(AND(U18="Preventivo",V18="Automático"),"50%",IF(AND(U18="Preventivo",V18="Manual"),"40%",IF(AND(U18="Detectivo",V18="Automático"),"40%",IF(AND(U18="Detectivo",V18="Manual"),"30%",IF(AND(U18="Correctivo",V18="Automático"),"35%",IF(AND(U18="Correctivo",V18="Manual"),"25%",""))))))</f>
        <v/>
      </c>
      <c r="X18" s="114"/>
      <c r="Y18" s="114"/>
      <c r="Z18" s="114"/>
      <c r="AA18" s="108" t="str">
        <f>IFERROR(IF(T18="Probabilidad",(L18-(+L18*W18)),IF(T18="Impacto",L18,"")),"")</f>
        <v/>
      </c>
      <c r="AB18" s="116" t="str">
        <f>IFERROR(IF(AA18="","",IF(AA18&lt;=0.2,"Muy Baja",IF(AA18&lt;=0.4,"Baja",IF(AA18&lt;=0.6,"Media",IF(AA18&lt;=0.8,"Alta","Muy Alta"))))),"")</f>
        <v/>
      </c>
      <c r="AC18" s="117" t="str">
        <f>+AA18</f>
        <v/>
      </c>
      <c r="AD18" s="116" t="str">
        <f>IFERROR(IF(AE18="","",IF(AE18&lt;=0.2,"Leve",IF(AE18&lt;=0.4,"Menor",IF(AE18&lt;=0.6,"Moderado",IF(AE18&lt;=0.8,"Mayor","Catastrófico"))))),"")</f>
        <v/>
      </c>
      <c r="AE18" s="117" t="str">
        <f>IFERROR(IF(T18="Impacto",(P18-(+P18*W18)),IF(T18="Probabilidad",P18,"")),"")</f>
        <v/>
      </c>
      <c r="AF18" s="118"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19"/>
      <c r="AH18" s="109"/>
      <c r="AI18" s="110"/>
      <c r="AJ18" s="111"/>
      <c r="AK18" s="111"/>
      <c r="AL18" s="110"/>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25">
      <c r="A19" s="389"/>
      <c r="B19" s="457"/>
      <c r="C19" s="457"/>
      <c r="D19" s="416"/>
      <c r="E19" s="138"/>
      <c r="F19" s="418"/>
      <c r="G19" s="139"/>
      <c r="H19" s="139"/>
      <c r="I19" s="448"/>
      <c r="J19" s="451"/>
      <c r="K19" s="423"/>
      <c r="L19" s="420"/>
      <c r="M19" s="454"/>
      <c r="N19" s="420">
        <f>IF(NOT(ISERROR(MATCH(M19,_xlfn.ANCHORARRAY(F30),0))),L32&amp;"Por favor no seleccionar los criterios de impacto",M19)</f>
        <v>0</v>
      </c>
      <c r="O19" s="423"/>
      <c r="P19" s="420"/>
      <c r="Q19" s="427"/>
      <c r="R19" s="105">
        <v>2</v>
      </c>
      <c r="S19" s="106"/>
      <c r="T19" s="107" t="str">
        <f>IF(OR(U19="Preventivo",U19="Detectivo"),"Probabilidad",IF(U19="Correctivo","Impacto",""))</f>
        <v/>
      </c>
      <c r="U19" s="114"/>
      <c r="V19" s="114"/>
      <c r="W19" s="115" t="str">
        <f t="shared" ref="W19:W23" si="21">IF(AND(U19="Preventivo",V19="Automático"),"50%",IF(AND(U19="Preventivo",V19="Manual"),"40%",IF(AND(U19="Detectivo",V19="Automático"),"40%",IF(AND(U19="Detectivo",V19="Manual"),"30%",IF(AND(U19="Correctivo",V19="Automático"),"35%",IF(AND(U19="Correctivo",V19="Manual"),"25%",""))))))</f>
        <v/>
      </c>
      <c r="X19" s="114"/>
      <c r="Y19" s="114"/>
      <c r="Z19" s="114"/>
      <c r="AA19" s="108" t="str">
        <f>IFERROR(IF(AND(T18="Probabilidad",T19="Probabilidad"),(AC18-(+AC18*W19)),IF(AND(T18="Impacto",T19="Probabilidad"),(L18-(+L18*W19)),IF(T19="Impacto",AC18,""))),"")</f>
        <v/>
      </c>
      <c r="AB19" s="116" t="str">
        <f t="shared" ref="AB19:AB23" si="22">IFERROR(IF(AA19="","",IF(AA19&lt;=0.2,"Muy Baja",IF(AA19&lt;=0.4,"Baja",IF(AA19&lt;=0.6,"Media",IF(AA19&lt;=0.8,"Alta","Muy Alta"))))),"")</f>
        <v/>
      </c>
      <c r="AC19" s="117" t="str">
        <f>+AA19</f>
        <v/>
      </c>
      <c r="AD19" s="116" t="str">
        <f t="shared" ref="AD19:AD23" si="23">IFERROR(IF(AE19="","",IF(AE19&lt;=0.2,"Leve",IF(AE19&lt;=0.4,"Menor",IF(AE19&lt;=0.6,"Moderado",IF(AE19&lt;=0.8,"Mayor","Catastrófico"))))),"")</f>
        <v/>
      </c>
      <c r="AE19" s="117" t="str">
        <f>IFERROR(IF(AND(T18="Impacto",T19="Impacto"),(AE18-(+AE18*W19)),IF(AND(T18="Probabilidad",T19="Impacto"),(P18-(+P18*W19)),IF(T19="Probabilidad",AE18,""))),"")</f>
        <v/>
      </c>
      <c r="AF19" s="118" t="str">
        <f t="shared" ref="AF19:AF23" si="24">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119"/>
      <c r="AH19" s="109"/>
      <c r="AI19" s="110"/>
      <c r="AJ19" s="111"/>
      <c r="AK19" s="111"/>
      <c r="AL19" s="110"/>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customHeight="1" x14ac:dyDescent="0.25">
      <c r="A20" s="389"/>
      <c r="B20" s="457"/>
      <c r="C20" s="457"/>
      <c r="D20" s="416"/>
      <c r="E20" s="138"/>
      <c r="F20" s="418"/>
      <c r="G20" s="139"/>
      <c r="H20" s="139"/>
      <c r="I20" s="448"/>
      <c r="J20" s="451"/>
      <c r="K20" s="423"/>
      <c r="L20" s="420"/>
      <c r="M20" s="454"/>
      <c r="N20" s="420">
        <f>IF(NOT(ISERROR(MATCH(M20,_xlfn.ANCHORARRAY(F31),0))),L33&amp;"Por favor no seleccionar los criterios de impacto",M20)</f>
        <v>0</v>
      </c>
      <c r="O20" s="423"/>
      <c r="P20" s="420"/>
      <c r="Q20" s="427"/>
      <c r="R20" s="105">
        <v>3</v>
      </c>
      <c r="S20" s="112"/>
      <c r="T20" s="107" t="str">
        <f t="shared" ref="T20:T23" si="25">IF(OR(U20="Preventivo",U20="Detectivo"),"Probabilidad",IF(U20="Correctivo","Impacto",""))</f>
        <v/>
      </c>
      <c r="U20" s="114"/>
      <c r="V20" s="114"/>
      <c r="W20" s="115" t="str">
        <f t="shared" si="21"/>
        <v/>
      </c>
      <c r="X20" s="114"/>
      <c r="Y20" s="114"/>
      <c r="Z20" s="114"/>
      <c r="AA20" s="108" t="str">
        <f>IFERROR(IF(AND(T19="Probabilidad",T20="Probabilidad"),(AC19-(+AC19*W20)),IF(AND(T19="Impacto",T20="Probabilidad"),(AC18-(+AC18*W20)),IF(T20="Impacto",AC19,""))),"")</f>
        <v/>
      </c>
      <c r="AB20" s="116" t="str">
        <f t="shared" si="22"/>
        <v/>
      </c>
      <c r="AC20" s="117" t="str">
        <f t="shared" ref="AC20:AC23" si="26">+AA20</f>
        <v/>
      </c>
      <c r="AD20" s="116" t="str">
        <f t="shared" si="23"/>
        <v/>
      </c>
      <c r="AE20" s="117" t="str">
        <f t="shared" ref="AE20:AE23" si="27">IFERROR(IF(AND(T19="Impacto",T20="Impacto"),(AE19-(+AE19*W20)),IF(AND(T19="Probabilidad",T20="Impacto"),(AE18-(+AE18*W20)),IF(T20="Probabilidad",AE19,""))),"")</f>
        <v/>
      </c>
      <c r="AF20" s="118" t="str">
        <f t="shared" si="24"/>
        <v/>
      </c>
      <c r="AG20" s="119"/>
      <c r="AH20" s="109"/>
      <c r="AI20" s="110"/>
      <c r="AJ20" s="111"/>
      <c r="AK20" s="111"/>
      <c r="AL20" s="110"/>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customHeight="1" x14ac:dyDescent="0.25">
      <c r="A21" s="389"/>
      <c r="B21" s="457"/>
      <c r="C21" s="457"/>
      <c r="D21" s="416"/>
      <c r="E21" s="138"/>
      <c r="F21" s="418"/>
      <c r="G21" s="139"/>
      <c r="H21" s="139"/>
      <c r="I21" s="448"/>
      <c r="J21" s="451"/>
      <c r="K21" s="423"/>
      <c r="L21" s="420"/>
      <c r="M21" s="454"/>
      <c r="N21" s="420">
        <f>IF(NOT(ISERROR(MATCH(M21,_xlfn.ANCHORARRAY(F32),0))),L34&amp;"Por favor no seleccionar los criterios de impacto",M21)</f>
        <v>0</v>
      </c>
      <c r="O21" s="423"/>
      <c r="P21" s="420"/>
      <c r="Q21" s="427"/>
      <c r="R21" s="105">
        <v>4</v>
      </c>
      <c r="S21" s="106"/>
      <c r="T21" s="107" t="str">
        <f t="shared" si="25"/>
        <v/>
      </c>
      <c r="U21" s="114"/>
      <c r="V21" s="114"/>
      <c r="W21" s="115" t="str">
        <f t="shared" si="21"/>
        <v/>
      </c>
      <c r="X21" s="114"/>
      <c r="Y21" s="114"/>
      <c r="Z21" s="114"/>
      <c r="AA21" s="108" t="str">
        <f t="shared" ref="AA21:AA23" si="28">IFERROR(IF(AND(T20="Probabilidad",T21="Probabilidad"),(AC20-(+AC20*W21)),IF(AND(T20="Impacto",T21="Probabilidad"),(AC19-(+AC19*W21)),IF(T21="Impacto",AC20,""))),"")</f>
        <v/>
      </c>
      <c r="AB21" s="116" t="str">
        <f t="shared" si="22"/>
        <v/>
      </c>
      <c r="AC21" s="117" t="str">
        <f t="shared" si="26"/>
        <v/>
      </c>
      <c r="AD21" s="116" t="str">
        <f t="shared" si="23"/>
        <v/>
      </c>
      <c r="AE21" s="117" t="str">
        <f t="shared" si="27"/>
        <v/>
      </c>
      <c r="AF21" s="118" t="str">
        <f t="shared" si="24"/>
        <v/>
      </c>
      <c r="AG21" s="119"/>
      <c r="AH21" s="109"/>
      <c r="AI21" s="110"/>
      <c r="AJ21" s="111"/>
      <c r="AK21" s="111"/>
      <c r="AL21" s="110"/>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customHeight="1" x14ac:dyDescent="0.25">
      <c r="A22" s="389"/>
      <c r="B22" s="457"/>
      <c r="C22" s="457"/>
      <c r="D22" s="416"/>
      <c r="E22" s="138"/>
      <c r="F22" s="418"/>
      <c r="G22" s="139"/>
      <c r="H22" s="139"/>
      <c r="I22" s="448"/>
      <c r="J22" s="451"/>
      <c r="K22" s="423"/>
      <c r="L22" s="420"/>
      <c r="M22" s="454"/>
      <c r="N22" s="420">
        <f>IF(NOT(ISERROR(MATCH(M22,_xlfn.ANCHORARRAY(F33),0))),L35&amp;"Por favor no seleccionar los criterios de impacto",M22)</f>
        <v>0</v>
      </c>
      <c r="O22" s="423"/>
      <c r="P22" s="420"/>
      <c r="Q22" s="427"/>
      <c r="R22" s="105">
        <v>5</v>
      </c>
      <c r="S22" s="106"/>
      <c r="T22" s="107" t="str">
        <f t="shared" si="25"/>
        <v/>
      </c>
      <c r="U22" s="114"/>
      <c r="V22" s="114"/>
      <c r="W22" s="115" t="str">
        <f t="shared" si="21"/>
        <v/>
      </c>
      <c r="X22" s="114"/>
      <c r="Y22" s="114"/>
      <c r="Z22" s="114"/>
      <c r="AA22" s="108" t="str">
        <f t="shared" si="28"/>
        <v/>
      </c>
      <c r="AB22" s="116" t="str">
        <f t="shared" si="22"/>
        <v/>
      </c>
      <c r="AC22" s="117" t="str">
        <f t="shared" si="26"/>
        <v/>
      </c>
      <c r="AD22" s="116" t="str">
        <f t="shared" si="23"/>
        <v/>
      </c>
      <c r="AE22" s="117" t="str">
        <f t="shared" si="27"/>
        <v/>
      </c>
      <c r="AF22" s="118" t="str">
        <f t="shared" si="24"/>
        <v/>
      </c>
      <c r="AG22" s="119"/>
      <c r="AH22" s="109"/>
      <c r="AI22" s="110"/>
      <c r="AJ22" s="111"/>
      <c r="AK22" s="111"/>
      <c r="AL22" s="110"/>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25">
      <c r="A23" s="390"/>
      <c r="B23" s="458"/>
      <c r="C23" s="458"/>
      <c r="D23" s="417"/>
      <c r="E23" s="138"/>
      <c r="F23" s="418"/>
      <c r="G23" s="139"/>
      <c r="H23" s="139"/>
      <c r="I23" s="449"/>
      <c r="J23" s="452"/>
      <c r="K23" s="424"/>
      <c r="L23" s="421"/>
      <c r="M23" s="455"/>
      <c r="N23" s="421">
        <f>IF(NOT(ISERROR(MATCH(M23,_xlfn.ANCHORARRAY(F34),0))),L36&amp;"Por favor no seleccionar los criterios de impacto",M23)</f>
        <v>0</v>
      </c>
      <c r="O23" s="424"/>
      <c r="P23" s="421"/>
      <c r="Q23" s="428"/>
      <c r="R23" s="105">
        <v>6</v>
      </c>
      <c r="S23" s="106"/>
      <c r="T23" s="107" t="str">
        <f t="shared" si="25"/>
        <v/>
      </c>
      <c r="U23" s="114"/>
      <c r="V23" s="114"/>
      <c r="W23" s="115" t="str">
        <f t="shared" si="21"/>
        <v/>
      </c>
      <c r="X23" s="114"/>
      <c r="Y23" s="114"/>
      <c r="Z23" s="114"/>
      <c r="AA23" s="108" t="str">
        <f t="shared" si="28"/>
        <v/>
      </c>
      <c r="AB23" s="116" t="str">
        <f t="shared" si="22"/>
        <v/>
      </c>
      <c r="AC23" s="117" t="str">
        <f t="shared" si="26"/>
        <v/>
      </c>
      <c r="AD23" s="116" t="str">
        <f t="shared" si="23"/>
        <v/>
      </c>
      <c r="AE23" s="117" t="str">
        <f t="shared" si="27"/>
        <v/>
      </c>
      <c r="AF23" s="118" t="str">
        <f t="shared" si="24"/>
        <v/>
      </c>
      <c r="AG23" s="119"/>
      <c r="AH23" s="109"/>
      <c r="AI23" s="110"/>
      <c r="AJ23" s="111"/>
      <c r="AK23" s="111"/>
      <c r="AL23" s="110"/>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25">
      <c r="A24" s="388">
        <v>4</v>
      </c>
      <c r="B24" s="456"/>
      <c r="C24" s="456"/>
      <c r="D24" s="415"/>
      <c r="E24" s="138"/>
      <c r="F24" s="418"/>
      <c r="G24" s="139"/>
      <c r="H24" s="139"/>
      <c r="I24" s="447"/>
      <c r="J24" s="450"/>
      <c r="K24" s="422" t="str">
        <f t="shared" ref="K24" si="29">IF(J24&lt;=0,"",IF(J24&lt;=2,"Muy Baja",IF(J24&lt;=24,"Baja",IF(J24&lt;=500,"Media",IF(J24&lt;=5000,"Alta","Muy Alta")))))</f>
        <v/>
      </c>
      <c r="L24" s="419" t="str">
        <f t="shared" ref="L24" si="30">IF(K24="","",IF(K24="Muy Baja",0.2,IF(K24="Baja",0.4,IF(K24="Media",0.6,IF(K24="Alta",0.8,IF(K24="Muy Alta",1,))))))</f>
        <v/>
      </c>
      <c r="M24" s="453"/>
      <c r="N24" s="419">
        <f>IF(NOT(ISERROR(MATCH(M24,'Tabla Impacto'!$B$221:$B$223,0))),'Tabla Impacto'!$F$223&amp;"Por favor no seleccionar los criterios de impacto(Afectación Económica o presupuestal y Pérdida Reputacional)",M24)</f>
        <v>0</v>
      </c>
      <c r="O24" s="422" t="str">
        <f>IF(OR(N24='Tabla Impacto'!$C$11,N24='Tabla Impacto'!$D$11),"Leve",IF(OR(N24='Tabla Impacto'!$C$12,N24='Tabla Impacto'!$D$12),"Menor",IF(OR(N24='Tabla Impacto'!$C$13,N24='Tabla Impacto'!$D$13),"Moderado",IF(OR(N24='Tabla Impacto'!$C$14,N24='Tabla Impacto'!$D$14),"Mayor",IF(OR(N24='Tabla Impacto'!$C$15,N24='Tabla Impacto'!$D$15),"Catastrófico","")))))</f>
        <v/>
      </c>
      <c r="P24" s="419" t="str">
        <f t="shared" ref="P24" si="31">IF(O24="","",IF(O24="Leve",0.2,IF(O24="Menor",0.4,IF(O24="Moderado",0.6,IF(O24="Mayor",0.8,IF(O24="Catastrófico",1,))))))</f>
        <v/>
      </c>
      <c r="Q24" s="426" t="str">
        <f t="shared" ref="Q24" si="32">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
      </c>
      <c r="R24" s="105">
        <v>1</v>
      </c>
      <c r="S24" s="106"/>
      <c r="T24" s="107" t="str">
        <f>IF(OR(U24="Preventivo",U24="Detectivo"),"Probabilidad",IF(U24="Correctivo","Impacto",""))</f>
        <v/>
      </c>
      <c r="U24" s="114"/>
      <c r="V24" s="114"/>
      <c r="W24" s="115" t="str">
        <f>IF(AND(U24="Preventivo",V24="Automático"),"50%",IF(AND(U24="Preventivo",V24="Manual"),"40%",IF(AND(U24="Detectivo",V24="Automático"),"40%",IF(AND(U24="Detectivo",V24="Manual"),"30%",IF(AND(U24="Correctivo",V24="Automático"),"35%",IF(AND(U24="Correctivo",V24="Manual"),"25%",""))))))</f>
        <v/>
      </c>
      <c r="X24" s="114"/>
      <c r="Y24" s="114"/>
      <c r="Z24" s="114"/>
      <c r="AA24" s="108" t="str">
        <f>IFERROR(IF(T24="Probabilidad",(L24-(+L24*W24)),IF(T24="Impacto",L24,"")),"")</f>
        <v/>
      </c>
      <c r="AB24" s="116" t="str">
        <f>IFERROR(IF(AA24="","",IF(AA24&lt;=0.2,"Muy Baja",IF(AA24&lt;=0.4,"Baja",IF(AA24&lt;=0.6,"Media",IF(AA24&lt;=0.8,"Alta","Muy Alta"))))),"")</f>
        <v/>
      </c>
      <c r="AC24" s="117" t="str">
        <f>+AA24</f>
        <v/>
      </c>
      <c r="AD24" s="116" t="str">
        <f>IFERROR(IF(AE24="","",IF(AE24&lt;=0.2,"Leve",IF(AE24&lt;=0.4,"Menor",IF(AE24&lt;=0.6,"Moderado",IF(AE24&lt;=0.8,"Mayor","Catastrófico"))))),"")</f>
        <v/>
      </c>
      <c r="AE24" s="117" t="str">
        <f>IFERROR(IF(T24="Impacto",(P24-(+P24*W24)),IF(T24="Probabilidad",P24,"")),"")</f>
        <v/>
      </c>
      <c r="AF24" s="118" t="str">
        <f>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19"/>
      <c r="AH24" s="109"/>
      <c r="AI24" s="110"/>
      <c r="AJ24" s="111"/>
      <c r="AK24" s="111"/>
      <c r="AL24" s="110"/>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25">
      <c r="A25" s="389"/>
      <c r="B25" s="457"/>
      <c r="C25" s="457"/>
      <c r="D25" s="416"/>
      <c r="E25" s="138"/>
      <c r="F25" s="418"/>
      <c r="G25" s="139"/>
      <c r="H25" s="139"/>
      <c r="I25" s="448"/>
      <c r="J25" s="451"/>
      <c r="K25" s="423"/>
      <c r="L25" s="420"/>
      <c r="M25" s="454"/>
      <c r="N25" s="420">
        <f>IF(NOT(ISERROR(MATCH(M25,_xlfn.ANCHORARRAY(F36),0))),L38&amp;"Por favor no seleccionar los criterios de impacto",M25)</f>
        <v>0</v>
      </c>
      <c r="O25" s="423"/>
      <c r="P25" s="420"/>
      <c r="Q25" s="427"/>
      <c r="R25" s="105">
        <v>2</v>
      </c>
      <c r="S25" s="106"/>
      <c r="T25" s="107" t="str">
        <f>IF(OR(U25="Preventivo",U25="Detectivo"),"Probabilidad",IF(U25="Correctivo","Impacto",""))</f>
        <v/>
      </c>
      <c r="U25" s="114"/>
      <c r="V25" s="114"/>
      <c r="W25" s="115" t="str">
        <f t="shared" ref="W25:W29" si="33">IF(AND(U25="Preventivo",V25="Automático"),"50%",IF(AND(U25="Preventivo",V25="Manual"),"40%",IF(AND(U25="Detectivo",V25="Automático"),"40%",IF(AND(U25="Detectivo",V25="Manual"),"30%",IF(AND(U25="Correctivo",V25="Automático"),"35%",IF(AND(U25="Correctivo",V25="Manual"),"25%",""))))))</f>
        <v/>
      </c>
      <c r="X25" s="114"/>
      <c r="Y25" s="114"/>
      <c r="Z25" s="114"/>
      <c r="AA25" s="108" t="str">
        <f>IFERROR(IF(AND(T24="Probabilidad",T25="Probabilidad"),(AC24-(+AC24*W25)),IF(AND(T24="Impacto",T25="Probabilidad"),(L24-(+L24*W25)),IF(T25="Impacto",AC24,""))),"")</f>
        <v/>
      </c>
      <c r="AB25" s="116" t="str">
        <f t="shared" ref="AB25:AB29" si="34">IFERROR(IF(AA25="","",IF(AA25&lt;=0.2,"Muy Baja",IF(AA25&lt;=0.4,"Baja",IF(AA25&lt;=0.6,"Media",IF(AA25&lt;=0.8,"Alta","Muy Alta"))))),"")</f>
        <v/>
      </c>
      <c r="AC25" s="117" t="str">
        <f>+AA25</f>
        <v/>
      </c>
      <c r="AD25" s="116" t="str">
        <f t="shared" ref="AD25:AD29" si="35">IFERROR(IF(AE25="","",IF(AE25&lt;=0.2,"Leve",IF(AE25&lt;=0.4,"Menor",IF(AE25&lt;=0.6,"Moderado",IF(AE25&lt;=0.8,"Mayor","Catastrófico"))))),"")</f>
        <v/>
      </c>
      <c r="AE25" s="117" t="str">
        <f>IFERROR(IF(AND(T24="Impacto",T25="Impacto"),(AE24-(+AE24*W25)),IF(AND(T24="Probabilidad",T25="Impacto"),(P24-(+P24*W25)),IF(T25="Probabilidad",AE24,""))),"")</f>
        <v/>
      </c>
      <c r="AF25" s="118" t="str">
        <f t="shared" ref="AF25:AF29" si="36">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119"/>
      <c r="AH25" s="109"/>
      <c r="AI25" s="110"/>
      <c r="AJ25" s="111"/>
      <c r="AK25" s="111"/>
      <c r="AL25" s="110"/>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25">
      <c r="A26" s="389"/>
      <c r="B26" s="457"/>
      <c r="C26" s="457"/>
      <c r="D26" s="416"/>
      <c r="E26" s="138"/>
      <c r="F26" s="418"/>
      <c r="G26" s="139"/>
      <c r="H26" s="139"/>
      <c r="I26" s="448"/>
      <c r="J26" s="451"/>
      <c r="K26" s="423"/>
      <c r="L26" s="420"/>
      <c r="M26" s="454"/>
      <c r="N26" s="420">
        <f>IF(NOT(ISERROR(MATCH(M26,_xlfn.ANCHORARRAY(F37),0))),L39&amp;"Por favor no seleccionar los criterios de impacto",M26)</f>
        <v>0</v>
      </c>
      <c r="O26" s="423"/>
      <c r="P26" s="420"/>
      <c r="Q26" s="427"/>
      <c r="R26" s="105">
        <v>3</v>
      </c>
      <c r="S26" s="112"/>
      <c r="T26" s="107" t="str">
        <f t="shared" ref="T26:T29" si="37">IF(OR(U26="Preventivo",U26="Detectivo"),"Probabilidad",IF(U26="Correctivo","Impacto",""))</f>
        <v/>
      </c>
      <c r="U26" s="114"/>
      <c r="V26" s="114"/>
      <c r="W26" s="115" t="str">
        <f t="shared" si="33"/>
        <v/>
      </c>
      <c r="X26" s="114"/>
      <c r="Y26" s="114"/>
      <c r="Z26" s="114"/>
      <c r="AA26" s="108" t="str">
        <f>IFERROR(IF(AND(T25="Probabilidad",T26="Probabilidad"),(AC25-(+AC25*W26)),IF(AND(T25="Impacto",T26="Probabilidad"),(AC24-(+AC24*W26)),IF(T26="Impacto",AC25,""))),"")</f>
        <v/>
      </c>
      <c r="AB26" s="116" t="str">
        <f t="shared" si="34"/>
        <v/>
      </c>
      <c r="AC26" s="117" t="str">
        <f t="shared" ref="AC26:AC29" si="38">+AA26</f>
        <v/>
      </c>
      <c r="AD26" s="116" t="str">
        <f t="shared" si="35"/>
        <v/>
      </c>
      <c r="AE26" s="117" t="str">
        <f t="shared" ref="AE26:AE29" si="39">IFERROR(IF(AND(T25="Impacto",T26="Impacto"),(AE25-(+AE25*W26)),IF(AND(T25="Probabilidad",T26="Impacto"),(AE24-(+AE24*W26)),IF(T26="Probabilidad",AE25,""))),"")</f>
        <v/>
      </c>
      <c r="AF26" s="118" t="str">
        <f t="shared" si="36"/>
        <v/>
      </c>
      <c r="AG26" s="119"/>
      <c r="AH26" s="109"/>
      <c r="AI26" s="110"/>
      <c r="AJ26" s="111"/>
      <c r="AK26" s="111"/>
      <c r="AL26" s="110"/>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25">
      <c r="A27" s="389"/>
      <c r="B27" s="457"/>
      <c r="C27" s="457"/>
      <c r="D27" s="416"/>
      <c r="E27" s="138"/>
      <c r="F27" s="418"/>
      <c r="G27" s="139"/>
      <c r="H27" s="139"/>
      <c r="I27" s="448"/>
      <c r="J27" s="451"/>
      <c r="K27" s="423"/>
      <c r="L27" s="420"/>
      <c r="M27" s="454"/>
      <c r="N27" s="420">
        <f>IF(NOT(ISERROR(MATCH(M27,_xlfn.ANCHORARRAY(F38),0))),L40&amp;"Por favor no seleccionar los criterios de impacto",M27)</f>
        <v>0</v>
      </c>
      <c r="O27" s="423"/>
      <c r="P27" s="420"/>
      <c r="Q27" s="427"/>
      <c r="R27" s="105">
        <v>4</v>
      </c>
      <c r="S27" s="106"/>
      <c r="T27" s="107" t="str">
        <f t="shared" si="37"/>
        <v/>
      </c>
      <c r="U27" s="114"/>
      <c r="V27" s="114"/>
      <c r="W27" s="115" t="str">
        <f t="shared" si="33"/>
        <v/>
      </c>
      <c r="X27" s="114"/>
      <c r="Y27" s="114"/>
      <c r="Z27" s="114"/>
      <c r="AA27" s="108" t="str">
        <f t="shared" ref="AA27:AA29" si="40">IFERROR(IF(AND(T26="Probabilidad",T27="Probabilidad"),(AC26-(+AC26*W27)),IF(AND(T26="Impacto",T27="Probabilidad"),(AC25-(+AC25*W27)),IF(T27="Impacto",AC26,""))),"")</f>
        <v/>
      </c>
      <c r="AB27" s="116" t="str">
        <f t="shared" si="34"/>
        <v/>
      </c>
      <c r="AC27" s="117" t="str">
        <f t="shared" si="38"/>
        <v/>
      </c>
      <c r="AD27" s="116" t="str">
        <f t="shared" si="35"/>
        <v/>
      </c>
      <c r="AE27" s="117" t="str">
        <f t="shared" si="39"/>
        <v/>
      </c>
      <c r="AF27" s="118" t="str">
        <f t="shared" si="36"/>
        <v/>
      </c>
      <c r="AG27" s="119"/>
      <c r="AH27" s="109"/>
      <c r="AI27" s="110"/>
      <c r="AJ27" s="111"/>
      <c r="AK27" s="111"/>
      <c r="AL27" s="110"/>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25">
      <c r="A28" s="389"/>
      <c r="B28" s="457"/>
      <c r="C28" s="457"/>
      <c r="D28" s="416"/>
      <c r="E28" s="138"/>
      <c r="F28" s="418"/>
      <c r="G28" s="139"/>
      <c r="H28" s="139"/>
      <c r="I28" s="448"/>
      <c r="J28" s="451"/>
      <c r="K28" s="423"/>
      <c r="L28" s="420"/>
      <c r="M28" s="454"/>
      <c r="N28" s="420">
        <f>IF(NOT(ISERROR(MATCH(M28,_xlfn.ANCHORARRAY(F39),0))),L41&amp;"Por favor no seleccionar los criterios de impacto",M28)</f>
        <v>0</v>
      </c>
      <c r="O28" s="423"/>
      <c r="P28" s="420"/>
      <c r="Q28" s="427"/>
      <c r="R28" s="105">
        <v>5</v>
      </c>
      <c r="S28" s="106"/>
      <c r="T28" s="107" t="str">
        <f t="shared" si="37"/>
        <v/>
      </c>
      <c r="U28" s="114"/>
      <c r="V28" s="114"/>
      <c r="W28" s="115" t="str">
        <f t="shared" si="33"/>
        <v/>
      </c>
      <c r="X28" s="114"/>
      <c r="Y28" s="114"/>
      <c r="Z28" s="114"/>
      <c r="AA28" s="108" t="str">
        <f t="shared" si="40"/>
        <v/>
      </c>
      <c r="AB28" s="116" t="str">
        <f t="shared" si="34"/>
        <v/>
      </c>
      <c r="AC28" s="117" t="str">
        <f t="shared" si="38"/>
        <v/>
      </c>
      <c r="AD28" s="116" t="str">
        <f t="shared" si="35"/>
        <v/>
      </c>
      <c r="AE28" s="117" t="str">
        <f t="shared" si="39"/>
        <v/>
      </c>
      <c r="AF28" s="118" t="str">
        <f t="shared" si="36"/>
        <v/>
      </c>
      <c r="AG28" s="119"/>
      <c r="AH28" s="109"/>
      <c r="AI28" s="110"/>
      <c r="AJ28" s="111"/>
      <c r="AK28" s="111"/>
      <c r="AL28" s="110"/>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390"/>
      <c r="B29" s="458"/>
      <c r="C29" s="458"/>
      <c r="D29" s="417"/>
      <c r="E29" s="138"/>
      <c r="F29" s="418"/>
      <c r="G29" s="139"/>
      <c r="H29" s="139"/>
      <c r="I29" s="449"/>
      <c r="J29" s="452"/>
      <c r="K29" s="424"/>
      <c r="L29" s="421"/>
      <c r="M29" s="455"/>
      <c r="N29" s="421">
        <f>IF(NOT(ISERROR(MATCH(M29,_xlfn.ANCHORARRAY(F40),0))),L42&amp;"Por favor no seleccionar los criterios de impacto",M29)</f>
        <v>0</v>
      </c>
      <c r="O29" s="424"/>
      <c r="P29" s="421"/>
      <c r="Q29" s="428"/>
      <c r="R29" s="105">
        <v>6</v>
      </c>
      <c r="S29" s="106"/>
      <c r="T29" s="107" t="str">
        <f t="shared" si="37"/>
        <v/>
      </c>
      <c r="U29" s="114"/>
      <c r="V29" s="114"/>
      <c r="W29" s="115" t="str">
        <f t="shared" si="33"/>
        <v/>
      </c>
      <c r="X29" s="114"/>
      <c r="Y29" s="114"/>
      <c r="Z29" s="114"/>
      <c r="AA29" s="108" t="str">
        <f t="shared" si="40"/>
        <v/>
      </c>
      <c r="AB29" s="116" t="str">
        <f t="shared" si="34"/>
        <v/>
      </c>
      <c r="AC29" s="117" t="str">
        <f t="shared" si="38"/>
        <v/>
      </c>
      <c r="AD29" s="116" t="str">
        <f t="shared" si="35"/>
        <v/>
      </c>
      <c r="AE29" s="117" t="str">
        <f t="shared" si="39"/>
        <v/>
      </c>
      <c r="AF29" s="118" t="str">
        <f t="shared" si="36"/>
        <v/>
      </c>
      <c r="AG29" s="119"/>
      <c r="AH29" s="109"/>
      <c r="AI29" s="110"/>
      <c r="AJ29" s="111"/>
      <c r="AK29" s="111"/>
      <c r="AL29" s="110"/>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388">
        <v>5</v>
      </c>
      <c r="B30" s="456"/>
      <c r="C30" s="456"/>
      <c r="D30" s="415"/>
      <c r="E30" s="138"/>
      <c r="F30" s="418"/>
      <c r="G30" s="139"/>
      <c r="H30" s="139"/>
      <c r="I30" s="447"/>
      <c r="J30" s="450"/>
      <c r="K30" s="422" t="str">
        <f t="shared" ref="K30" si="41">IF(J30&lt;=0,"",IF(J30&lt;=2,"Muy Baja",IF(J30&lt;=24,"Baja",IF(J30&lt;=500,"Media",IF(J30&lt;=5000,"Alta","Muy Alta")))))</f>
        <v/>
      </c>
      <c r="L30" s="419" t="str">
        <f t="shared" ref="L30" si="42">IF(K30="","",IF(K30="Muy Baja",0.2,IF(K30="Baja",0.4,IF(K30="Media",0.6,IF(K30="Alta",0.8,IF(K30="Muy Alta",1,))))))</f>
        <v/>
      </c>
      <c r="M30" s="453"/>
      <c r="N30" s="419">
        <f>IF(NOT(ISERROR(MATCH(M30,'Tabla Impacto'!$B$221:$B$223,0))),'Tabla Impacto'!$F$223&amp;"Por favor no seleccionar los criterios de impacto(Afectación Económica o presupuestal y Pérdida Reputacional)",M30)</f>
        <v>0</v>
      </c>
      <c r="O30" s="422" t="str">
        <f>IF(OR(N30='Tabla Impacto'!$C$11,N30='Tabla Impacto'!$D$11),"Leve",IF(OR(N30='Tabla Impacto'!$C$12,N30='Tabla Impacto'!$D$12),"Menor",IF(OR(N30='Tabla Impacto'!$C$13,N30='Tabla Impacto'!$D$13),"Moderado",IF(OR(N30='Tabla Impacto'!$C$14,N30='Tabla Impacto'!$D$14),"Mayor",IF(OR(N30='Tabla Impacto'!$C$15,N30='Tabla Impacto'!$D$15),"Catastrófico","")))))</f>
        <v/>
      </c>
      <c r="P30" s="419" t="str">
        <f t="shared" ref="P30" si="43">IF(O30="","",IF(O30="Leve",0.2,IF(O30="Menor",0.4,IF(O30="Moderado",0.6,IF(O30="Mayor",0.8,IF(O30="Catastrófico",1,))))))</f>
        <v/>
      </c>
      <c r="Q30" s="426" t="str">
        <f t="shared" ref="Q30" si="44">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
      </c>
      <c r="R30" s="105">
        <v>1</v>
      </c>
      <c r="S30" s="106"/>
      <c r="T30" s="107" t="str">
        <f>IF(OR(U30="Preventivo",U30="Detectivo"),"Probabilidad",IF(U30="Correctivo","Impacto",""))</f>
        <v/>
      </c>
      <c r="U30" s="114"/>
      <c r="V30" s="114"/>
      <c r="W30" s="115" t="str">
        <f>IF(AND(U30="Preventivo",V30="Automático"),"50%",IF(AND(U30="Preventivo",V30="Manual"),"40%",IF(AND(U30="Detectivo",V30="Automático"),"40%",IF(AND(U30="Detectivo",V30="Manual"),"30%",IF(AND(U30="Correctivo",V30="Automático"),"35%",IF(AND(U30="Correctivo",V30="Manual"),"25%",""))))))</f>
        <v/>
      </c>
      <c r="X30" s="114"/>
      <c r="Y30" s="114"/>
      <c r="Z30" s="114"/>
      <c r="AA30" s="108" t="str">
        <f>IFERROR(IF(T30="Probabilidad",(L30-(+L30*W30)),IF(T30="Impacto",L30,"")),"")</f>
        <v/>
      </c>
      <c r="AB30" s="116" t="str">
        <f>IFERROR(IF(AA30="","",IF(AA30&lt;=0.2,"Muy Baja",IF(AA30&lt;=0.4,"Baja",IF(AA30&lt;=0.6,"Media",IF(AA30&lt;=0.8,"Alta","Muy Alta"))))),"")</f>
        <v/>
      </c>
      <c r="AC30" s="117" t="str">
        <f>+AA30</f>
        <v/>
      </c>
      <c r="AD30" s="116" t="str">
        <f>IFERROR(IF(AE30="","",IF(AE30&lt;=0.2,"Leve",IF(AE30&lt;=0.4,"Menor",IF(AE30&lt;=0.6,"Moderado",IF(AE30&lt;=0.8,"Mayor","Catastrófico"))))),"")</f>
        <v/>
      </c>
      <c r="AE30" s="117" t="str">
        <f>IFERROR(IF(T30="Impacto",(P30-(+P30*W30)),IF(T30="Probabilidad",P30,"")),"")</f>
        <v/>
      </c>
      <c r="AF30" s="118"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19"/>
      <c r="AH30" s="109"/>
      <c r="AI30" s="110"/>
      <c r="AJ30" s="111"/>
      <c r="AK30" s="111"/>
      <c r="AL30" s="110"/>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389"/>
      <c r="B31" s="457"/>
      <c r="C31" s="457"/>
      <c r="D31" s="416"/>
      <c r="E31" s="138"/>
      <c r="F31" s="418"/>
      <c r="G31" s="139"/>
      <c r="H31" s="139"/>
      <c r="I31" s="448"/>
      <c r="J31" s="451"/>
      <c r="K31" s="423"/>
      <c r="L31" s="420"/>
      <c r="M31" s="454"/>
      <c r="N31" s="420">
        <f>IF(NOT(ISERROR(MATCH(M31,_xlfn.ANCHORARRAY(F42),0))),L44&amp;"Por favor no seleccionar los criterios de impacto",M31)</f>
        <v>0</v>
      </c>
      <c r="O31" s="423"/>
      <c r="P31" s="420"/>
      <c r="Q31" s="427"/>
      <c r="R31" s="105">
        <v>2</v>
      </c>
      <c r="S31" s="106"/>
      <c r="T31" s="107" t="str">
        <f>IF(OR(U31="Preventivo",U31="Detectivo"),"Probabilidad",IF(U31="Correctivo","Impacto",""))</f>
        <v/>
      </c>
      <c r="U31" s="114"/>
      <c r="V31" s="114"/>
      <c r="W31" s="115" t="str">
        <f t="shared" ref="W31:W35" si="45">IF(AND(U31="Preventivo",V31="Automático"),"50%",IF(AND(U31="Preventivo",V31="Manual"),"40%",IF(AND(U31="Detectivo",V31="Automático"),"40%",IF(AND(U31="Detectivo",V31="Manual"),"30%",IF(AND(U31="Correctivo",V31="Automático"),"35%",IF(AND(U31="Correctivo",V31="Manual"),"25%",""))))))</f>
        <v/>
      </c>
      <c r="X31" s="114"/>
      <c r="Y31" s="114"/>
      <c r="Z31" s="114"/>
      <c r="AA31" s="108" t="str">
        <f>IFERROR(IF(AND(T30="Probabilidad",T31="Probabilidad"),(AC30-(+AC30*W31)),IF(AND(T30="Impacto",T31="Probabilidad"),(L30-(+L30*W31)),IF(T31="Impacto",AC30,""))),"")</f>
        <v/>
      </c>
      <c r="AB31" s="116" t="str">
        <f t="shared" ref="AB31:AB35" si="46">IFERROR(IF(AA31="","",IF(AA31&lt;=0.2,"Muy Baja",IF(AA31&lt;=0.4,"Baja",IF(AA31&lt;=0.6,"Media",IF(AA31&lt;=0.8,"Alta","Muy Alta"))))),"")</f>
        <v/>
      </c>
      <c r="AC31" s="117" t="str">
        <f>+AA31</f>
        <v/>
      </c>
      <c r="AD31" s="116" t="str">
        <f t="shared" ref="AD31:AD35" si="47">IFERROR(IF(AE31="","",IF(AE31&lt;=0.2,"Leve",IF(AE31&lt;=0.4,"Menor",IF(AE31&lt;=0.6,"Moderado",IF(AE31&lt;=0.8,"Mayor","Catastrófico"))))),"")</f>
        <v/>
      </c>
      <c r="AE31" s="117" t="str">
        <f>IFERROR(IF(AND(T30="Impacto",T31="Impacto"),(AE30-(+AE30*W31)),IF(AND(T30="Probabilidad",T31="Impacto"),(P30-(+P30*W31)),IF(T31="Probabilidad",AE30,""))),"")</f>
        <v/>
      </c>
      <c r="AF31" s="118" t="str">
        <f t="shared" ref="AF31:AF35" si="48">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119"/>
      <c r="AH31" s="109"/>
      <c r="AI31" s="110"/>
      <c r="AJ31" s="111"/>
      <c r="AK31" s="111"/>
      <c r="AL31" s="110"/>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389"/>
      <c r="B32" s="457"/>
      <c r="C32" s="457"/>
      <c r="D32" s="416"/>
      <c r="E32" s="138"/>
      <c r="F32" s="418"/>
      <c r="G32" s="139"/>
      <c r="H32" s="139"/>
      <c r="I32" s="448"/>
      <c r="J32" s="451"/>
      <c r="K32" s="423"/>
      <c r="L32" s="420"/>
      <c r="M32" s="454"/>
      <c r="N32" s="420">
        <f>IF(NOT(ISERROR(MATCH(M32,_xlfn.ANCHORARRAY(F43),0))),L45&amp;"Por favor no seleccionar los criterios de impacto",M32)</f>
        <v>0</v>
      </c>
      <c r="O32" s="423"/>
      <c r="P32" s="420"/>
      <c r="Q32" s="427"/>
      <c r="R32" s="105">
        <v>3</v>
      </c>
      <c r="S32" s="112"/>
      <c r="T32" s="107" t="str">
        <f t="shared" ref="T32:T35" si="49">IF(OR(U32="Preventivo",U32="Detectivo"),"Probabilidad",IF(U32="Correctivo","Impacto",""))</f>
        <v/>
      </c>
      <c r="U32" s="114"/>
      <c r="V32" s="114"/>
      <c r="W32" s="115" t="str">
        <f t="shared" si="45"/>
        <v/>
      </c>
      <c r="X32" s="114"/>
      <c r="Y32" s="114"/>
      <c r="Z32" s="114"/>
      <c r="AA32" s="108" t="str">
        <f>IFERROR(IF(AND(T31="Probabilidad",T32="Probabilidad"),(AC31-(+AC31*W32)),IF(AND(T31="Impacto",T32="Probabilidad"),(AC30-(+AC30*W32)),IF(T32="Impacto",AC31,""))),"")</f>
        <v/>
      </c>
      <c r="AB32" s="116" t="str">
        <f t="shared" si="46"/>
        <v/>
      </c>
      <c r="AC32" s="117" t="str">
        <f t="shared" ref="AC32:AC35" si="50">+AA32</f>
        <v/>
      </c>
      <c r="AD32" s="116" t="str">
        <f t="shared" si="47"/>
        <v/>
      </c>
      <c r="AE32" s="117" t="str">
        <f t="shared" ref="AE32:AE35" si="51">IFERROR(IF(AND(T31="Impacto",T32="Impacto"),(AE31-(+AE31*W32)),IF(AND(T31="Probabilidad",T32="Impacto"),(AE30-(+AE30*W32)),IF(T32="Probabilidad",AE31,""))),"")</f>
        <v/>
      </c>
      <c r="AF32" s="118" t="str">
        <f t="shared" si="48"/>
        <v/>
      </c>
      <c r="AG32" s="119"/>
      <c r="AH32" s="109"/>
      <c r="AI32" s="110"/>
      <c r="AJ32" s="111"/>
      <c r="AK32" s="111"/>
      <c r="AL32" s="110"/>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389"/>
      <c r="B33" s="457"/>
      <c r="C33" s="457"/>
      <c r="D33" s="416"/>
      <c r="E33" s="138"/>
      <c r="F33" s="418"/>
      <c r="G33" s="139"/>
      <c r="H33" s="139"/>
      <c r="I33" s="448"/>
      <c r="J33" s="451"/>
      <c r="K33" s="423"/>
      <c r="L33" s="420"/>
      <c r="M33" s="454"/>
      <c r="N33" s="420">
        <f>IF(NOT(ISERROR(MATCH(M33,_xlfn.ANCHORARRAY(F44),0))),L46&amp;"Por favor no seleccionar los criterios de impacto",M33)</f>
        <v>0</v>
      </c>
      <c r="O33" s="423"/>
      <c r="P33" s="420"/>
      <c r="Q33" s="427"/>
      <c r="R33" s="105">
        <v>4</v>
      </c>
      <c r="S33" s="106"/>
      <c r="T33" s="107" t="str">
        <f t="shared" si="49"/>
        <v/>
      </c>
      <c r="U33" s="114"/>
      <c r="V33" s="114"/>
      <c r="W33" s="115" t="str">
        <f t="shared" si="45"/>
        <v/>
      </c>
      <c r="X33" s="114"/>
      <c r="Y33" s="114"/>
      <c r="Z33" s="114"/>
      <c r="AA33" s="108" t="str">
        <f t="shared" ref="AA33:AA35" si="52">IFERROR(IF(AND(T32="Probabilidad",T33="Probabilidad"),(AC32-(+AC32*W33)),IF(AND(T32="Impacto",T33="Probabilidad"),(AC31-(+AC31*W33)),IF(T33="Impacto",AC32,""))),"")</f>
        <v/>
      </c>
      <c r="AB33" s="116" t="str">
        <f t="shared" si="46"/>
        <v/>
      </c>
      <c r="AC33" s="117" t="str">
        <f t="shared" si="50"/>
        <v/>
      </c>
      <c r="AD33" s="116" t="str">
        <f t="shared" si="47"/>
        <v/>
      </c>
      <c r="AE33" s="117" t="str">
        <f t="shared" si="51"/>
        <v/>
      </c>
      <c r="AF33" s="118" t="str">
        <f t="shared" si="48"/>
        <v/>
      </c>
      <c r="AG33" s="119"/>
      <c r="AH33" s="109"/>
      <c r="AI33" s="110"/>
      <c r="AJ33" s="111"/>
      <c r="AK33" s="111"/>
      <c r="AL33" s="110"/>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389"/>
      <c r="B34" s="457"/>
      <c r="C34" s="457"/>
      <c r="D34" s="416"/>
      <c r="E34" s="138"/>
      <c r="F34" s="418"/>
      <c r="G34" s="139"/>
      <c r="H34" s="139"/>
      <c r="I34" s="448"/>
      <c r="J34" s="451"/>
      <c r="K34" s="423"/>
      <c r="L34" s="420"/>
      <c r="M34" s="454"/>
      <c r="N34" s="420">
        <f>IF(NOT(ISERROR(MATCH(M34,_xlfn.ANCHORARRAY(F45),0))),L47&amp;"Por favor no seleccionar los criterios de impacto",M34)</f>
        <v>0</v>
      </c>
      <c r="O34" s="423"/>
      <c r="P34" s="420"/>
      <c r="Q34" s="427"/>
      <c r="R34" s="105">
        <v>5</v>
      </c>
      <c r="S34" s="106"/>
      <c r="T34" s="107" t="str">
        <f t="shared" si="49"/>
        <v/>
      </c>
      <c r="U34" s="114"/>
      <c r="V34" s="114"/>
      <c r="W34" s="115" t="str">
        <f t="shared" si="45"/>
        <v/>
      </c>
      <c r="X34" s="114"/>
      <c r="Y34" s="114"/>
      <c r="Z34" s="114"/>
      <c r="AA34" s="108" t="str">
        <f t="shared" si="52"/>
        <v/>
      </c>
      <c r="AB34" s="116" t="str">
        <f t="shared" si="46"/>
        <v/>
      </c>
      <c r="AC34" s="117" t="str">
        <f t="shared" si="50"/>
        <v/>
      </c>
      <c r="AD34" s="116" t="str">
        <f t="shared" si="47"/>
        <v/>
      </c>
      <c r="AE34" s="117" t="str">
        <f t="shared" si="51"/>
        <v/>
      </c>
      <c r="AF34" s="118" t="str">
        <f t="shared" si="48"/>
        <v/>
      </c>
      <c r="AG34" s="119"/>
      <c r="AH34" s="109"/>
      <c r="AI34" s="110"/>
      <c r="AJ34" s="111"/>
      <c r="AK34" s="111"/>
      <c r="AL34" s="110"/>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390"/>
      <c r="B35" s="458"/>
      <c r="C35" s="458"/>
      <c r="D35" s="417"/>
      <c r="E35" s="138"/>
      <c r="F35" s="418"/>
      <c r="G35" s="139"/>
      <c r="H35" s="139"/>
      <c r="I35" s="449"/>
      <c r="J35" s="452"/>
      <c r="K35" s="424"/>
      <c r="L35" s="421"/>
      <c r="M35" s="455"/>
      <c r="N35" s="421">
        <f>IF(NOT(ISERROR(MATCH(M35,_xlfn.ANCHORARRAY(F46),0))),L48&amp;"Por favor no seleccionar los criterios de impacto",M35)</f>
        <v>0</v>
      </c>
      <c r="O35" s="424"/>
      <c r="P35" s="421"/>
      <c r="Q35" s="428"/>
      <c r="R35" s="105">
        <v>6</v>
      </c>
      <c r="S35" s="106"/>
      <c r="T35" s="107" t="str">
        <f t="shared" si="49"/>
        <v/>
      </c>
      <c r="U35" s="114"/>
      <c r="V35" s="114"/>
      <c r="W35" s="115" t="str">
        <f t="shared" si="45"/>
        <v/>
      </c>
      <c r="X35" s="114"/>
      <c r="Y35" s="114"/>
      <c r="Z35" s="114"/>
      <c r="AA35" s="108" t="str">
        <f t="shared" si="52"/>
        <v/>
      </c>
      <c r="AB35" s="116" t="str">
        <f t="shared" si="46"/>
        <v/>
      </c>
      <c r="AC35" s="117" t="str">
        <f t="shared" si="50"/>
        <v/>
      </c>
      <c r="AD35" s="116" t="str">
        <f t="shared" si="47"/>
        <v/>
      </c>
      <c r="AE35" s="117" t="str">
        <f t="shared" si="51"/>
        <v/>
      </c>
      <c r="AF35" s="118" t="str">
        <f t="shared" si="48"/>
        <v/>
      </c>
      <c r="AG35" s="119"/>
      <c r="AH35" s="109"/>
      <c r="AI35" s="110"/>
      <c r="AJ35" s="111"/>
      <c r="AK35" s="111"/>
      <c r="AL35" s="110"/>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388">
        <v>6</v>
      </c>
      <c r="B36" s="456"/>
      <c r="C36" s="456"/>
      <c r="D36" s="415"/>
      <c r="E36" s="138"/>
      <c r="F36" s="418"/>
      <c r="G36" s="139"/>
      <c r="H36" s="139"/>
      <c r="I36" s="447"/>
      <c r="J36" s="450"/>
      <c r="K36" s="422" t="str">
        <f t="shared" ref="K36" si="53">IF(J36&lt;=0,"",IF(J36&lt;=2,"Muy Baja",IF(J36&lt;=24,"Baja",IF(J36&lt;=500,"Media",IF(J36&lt;=5000,"Alta","Muy Alta")))))</f>
        <v/>
      </c>
      <c r="L36" s="419" t="str">
        <f t="shared" ref="L36" si="54">IF(K36="","",IF(K36="Muy Baja",0.2,IF(K36="Baja",0.4,IF(K36="Media",0.6,IF(K36="Alta",0.8,IF(K36="Muy Alta",1,))))))</f>
        <v/>
      </c>
      <c r="M36" s="453"/>
      <c r="N36" s="419">
        <f>IF(NOT(ISERROR(MATCH(M36,'Tabla Impacto'!$B$221:$B$223,0))),'Tabla Impacto'!$F$223&amp;"Por favor no seleccionar los criterios de impacto(Afectación Económica o presupuestal y Pérdida Reputacional)",M36)</f>
        <v>0</v>
      </c>
      <c r="O36" s="422" t="str">
        <f>IF(OR(N36='Tabla Impacto'!$C$11,N36='Tabla Impacto'!$D$11),"Leve",IF(OR(N36='Tabla Impacto'!$C$12,N36='Tabla Impacto'!$D$12),"Menor",IF(OR(N36='Tabla Impacto'!$C$13,N36='Tabla Impacto'!$D$13),"Moderado",IF(OR(N36='Tabla Impacto'!$C$14,N36='Tabla Impacto'!$D$14),"Mayor",IF(OR(N36='Tabla Impacto'!$C$15,N36='Tabla Impacto'!$D$15),"Catastrófico","")))))</f>
        <v/>
      </c>
      <c r="P36" s="419" t="str">
        <f t="shared" ref="P36" si="55">IF(O36="","",IF(O36="Leve",0.2,IF(O36="Menor",0.4,IF(O36="Moderado",0.6,IF(O36="Mayor",0.8,IF(O36="Catastrófico",1,))))))</f>
        <v/>
      </c>
      <c r="Q36" s="426" t="str">
        <f t="shared" ref="Q36" si="56">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
      </c>
      <c r="R36" s="105">
        <v>1</v>
      </c>
      <c r="S36" s="106"/>
      <c r="T36" s="107" t="str">
        <f>IF(OR(U36="Preventivo",U36="Detectivo"),"Probabilidad",IF(U36="Correctivo","Impacto",""))</f>
        <v/>
      </c>
      <c r="U36" s="114"/>
      <c r="V36" s="114"/>
      <c r="W36" s="115" t="str">
        <f>IF(AND(U36="Preventivo",V36="Automático"),"50%",IF(AND(U36="Preventivo",V36="Manual"),"40%",IF(AND(U36="Detectivo",V36="Automático"),"40%",IF(AND(U36="Detectivo",V36="Manual"),"30%",IF(AND(U36="Correctivo",V36="Automático"),"35%",IF(AND(U36="Correctivo",V36="Manual"),"25%",""))))))</f>
        <v/>
      </c>
      <c r="X36" s="114"/>
      <c r="Y36" s="114"/>
      <c r="Z36" s="114"/>
      <c r="AA36" s="108" t="str">
        <f>IFERROR(IF(T36="Probabilidad",(L36-(+L36*W36)),IF(T36="Impacto",L36,"")),"")</f>
        <v/>
      </c>
      <c r="AB36" s="116" t="str">
        <f>IFERROR(IF(AA36="","",IF(AA36&lt;=0.2,"Muy Baja",IF(AA36&lt;=0.4,"Baja",IF(AA36&lt;=0.6,"Media",IF(AA36&lt;=0.8,"Alta","Muy Alta"))))),"")</f>
        <v/>
      </c>
      <c r="AC36" s="117" t="str">
        <f>+AA36</f>
        <v/>
      </c>
      <c r="AD36" s="116" t="str">
        <f>IFERROR(IF(AE36="","",IF(AE36&lt;=0.2,"Leve",IF(AE36&lt;=0.4,"Menor",IF(AE36&lt;=0.6,"Moderado",IF(AE36&lt;=0.8,"Mayor","Catastrófico"))))),"")</f>
        <v/>
      </c>
      <c r="AE36" s="117" t="str">
        <f>IFERROR(IF(T36="Impacto",(P36-(+P36*W36)),IF(T36="Probabilidad",P36,"")),"")</f>
        <v/>
      </c>
      <c r="AF36" s="118"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19"/>
      <c r="AH36" s="109"/>
      <c r="AI36" s="110"/>
      <c r="AJ36" s="111"/>
      <c r="AK36" s="111"/>
      <c r="AL36" s="110"/>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389"/>
      <c r="B37" s="457"/>
      <c r="C37" s="457"/>
      <c r="D37" s="416"/>
      <c r="E37" s="138"/>
      <c r="F37" s="418"/>
      <c r="G37" s="139"/>
      <c r="H37" s="139"/>
      <c r="I37" s="448"/>
      <c r="J37" s="451"/>
      <c r="K37" s="423"/>
      <c r="L37" s="420"/>
      <c r="M37" s="454"/>
      <c r="N37" s="420">
        <f>IF(NOT(ISERROR(MATCH(M37,_xlfn.ANCHORARRAY(F48),0))),L50&amp;"Por favor no seleccionar los criterios de impacto",M37)</f>
        <v>0</v>
      </c>
      <c r="O37" s="423"/>
      <c r="P37" s="420"/>
      <c r="Q37" s="427"/>
      <c r="R37" s="105">
        <v>2</v>
      </c>
      <c r="S37" s="106"/>
      <c r="T37" s="107" t="str">
        <f>IF(OR(U37="Preventivo",U37="Detectivo"),"Probabilidad",IF(U37="Correctivo","Impacto",""))</f>
        <v/>
      </c>
      <c r="U37" s="114"/>
      <c r="V37" s="114"/>
      <c r="W37" s="115" t="str">
        <f t="shared" ref="W37:W41" si="57">IF(AND(U37="Preventivo",V37="Automático"),"50%",IF(AND(U37="Preventivo",V37="Manual"),"40%",IF(AND(U37="Detectivo",V37="Automático"),"40%",IF(AND(U37="Detectivo",V37="Manual"),"30%",IF(AND(U37="Correctivo",V37="Automático"),"35%",IF(AND(U37="Correctivo",V37="Manual"),"25%",""))))))</f>
        <v/>
      </c>
      <c r="X37" s="114"/>
      <c r="Y37" s="114"/>
      <c r="Z37" s="114"/>
      <c r="AA37" s="108" t="str">
        <f>IFERROR(IF(AND(T36="Probabilidad",T37="Probabilidad"),(AC36-(+AC36*W37)),IF(AND(T36="Impacto",T37="Probabilidad"),(L36-(+L36*W37)),IF(T37="Impacto",AC36,""))),"")</f>
        <v/>
      </c>
      <c r="AB37" s="116" t="str">
        <f t="shared" ref="AB37:AB41" si="58">IFERROR(IF(AA37="","",IF(AA37&lt;=0.2,"Muy Baja",IF(AA37&lt;=0.4,"Baja",IF(AA37&lt;=0.6,"Media",IF(AA37&lt;=0.8,"Alta","Muy Alta"))))),"")</f>
        <v/>
      </c>
      <c r="AC37" s="117" t="str">
        <f>+AA37</f>
        <v/>
      </c>
      <c r="AD37" s="116" t="str">
        <f t="shared" ref="AD37:AD41" si="59">IFERROR(IF(AE37="","",IF(AE37&lt;=0.2,"Leve",IF(AE37&lt;=0.4,"Menor",IF(AE37&lt;=0.6,"Moderado",IF(AE37&lt;=0.8,"Mayor","Catastrófico"))))),"")</f>
        <v/>
      </c>
      <c r="AE37" s="117" t="str">
        <f>IFERROR(IF(AND(T36="Impacto",T37="Impacto"),(AE36-(+AE36*W37)),IF(AND(T36="Probabilidad",T37="Impacto"),(P36-(+P36*W37)),IF(T37="Probabilidad",AE36,""))),"")</f>
        <v/>
      </c>
      <c r="AF37" s="118" t="str">
        <f t="shared" ref="AF37:AF41" si="60">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119"/>
      <c r="AH37" s="109"/>
      <c r="AI37" s="110"/>
      <c r="AJ37" s="111"/>
      <c r="AK37" s="111"/>
      <c r="AL37" s="110"/>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389"/>
      <c r="B38" s="457"/>
      <c r="C38" s="457"/>
      <c r="D38" s="416"/>
      <c r="E38" s="138"/>
      <c r="F38" s="418"/>
      <c r="G38" s="139"/>
      <c r="H38" s="139"/>
      <c r="I38" s="448"/>
      <c r="J38" s="451"/>
      <c r="K38" s="423"/>
      <c r="L38" s="420"/>
      <c r="M38" s="454"/>
      <c r="N38" s="420">
        <f>IF(NOT(ISERROR(MATCH(M38,_xlfn.ANCHORARRAY(F49),0))),L51&amp;"Por favor no seleccionar los criterios de impacto",M38)</f>
        <v>0</v>
      </c>
      <c r="O38" s="423"/>
      <c r="P38" s="420"/>
      <c r="Q38" s="427"/>
      <c r="R38" s="105">
        <v>3</v>
      </c>
      <c r="S38" s="112"/>
      <c r="T38" s="107" t="str">
        <f t="shared" ref="T38:T41" si="61">IF(OR(U38="Preventivo",U38="Detectivo"),"Probabilidad",IF(U38="Correctivo","Impacto",""))</f>
        <v/>
      </c>
      <c r="U38" s="114"/>
      <c r="V38" s="114"/>
      <c r="W38" s="115" t="str">
        <f t="shared" si="57"/>
        <v/>
      </c>
      <c r="X38" s="114"/>
      <c r="Y38" s="114"/>
      <c r="Z38" s="114"/>
      <c r="AA38" s="108" t="str">
        <f>IFERROR(IF(AND(T37="Probabilidad",T38="Probabilidad"),(AC37-(+AC37*W38)),IF(AND(T37="Impacto",T38="Probabilidad"),(AC36-(+AC36*W38)),IF(T38="Impacto",AC37,""))),"")</f>
        <v/>
      </c>
      <c r="AB38" s="116" t="str">
        <f t="shared" si="58"/>
        <v/>
      </c>
      <c r="AC38" s="117" t="str">
        <f t="shared" ref="AC38:AC41" si="62">+AA38</f>
        <v/>
      </c>
      <c r="AD38" s="116" t="str">
        <f t="shared" si="59"/>
        <v/>
      </c>
      <c r="AE38" s="117" t="str">
        <f t="shared" ref="AE38:AE41" si="63">IFERROR(IF(AND(T37="Impacto",T38="Impacto"),(AE37-(+AE37*W38)),IF(AND(T37="Probabilidad",T38="Impacto"),(AE36-(+AE36*W38)),IF(T38="Probabilidad",AE37,""))),"")</f>
        <v/>
      </c>
      <c r="AF38" s="118" t="str">
        <f t="shared" si="60"/>
        <v/>
      </c>
      <c r="AG38" s="119"/>
      <c r="AH38" s="109"/>
      <c r="AI38" s="110"/>
      <c r="AJ38" s="111"/>
      <c r="AK38" s="111"/>
      <c r="AL38" s="110"/>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389"/>
      <c r="B39" s="457"/>
      <c r="C39" s="457"/>
      <c r="D39" s="416"/>
      <c r="E39" s="138"/>
      <c r="F39" s="418"/>
      <c r="G39" s="139"/>
      <c r="H39" s="139"/>
      <c r="I39" s="448"/>
      <c r="J39" s="451"/>
      <c r="K39" s="423"/>
      <c r="L39" s="420"/>
      <c r="M39" s="454"/>
      <c r="N39" s="420">
        <f>IF(NOT(ISERROR(MATCH(M39,_xlfn.ANCHORARRAY(F50),0))),L52&amp;"Por favor no seleccionar los criterios de impacto",M39)</f>
        <v>0</v>
      </c>
      <c r="O39" s="423"/>
      <c r="P39" s="420"/>
      <c r="Q39" s="427"/>
      <c r="R39" s="105">
        <v>4</v>
      </c>
      <c r="S39" s="106"/>
      <c r="T39" s="107" t="str">
        <f t="shared" si="61"/>
        <v/>
      </c>
      <c r="U39" s="114"/>
      <c r="V39" s="114"/>
      <c r="W39" s="115" t="str">
        <f t="shared" si="57"/>
        <v/>
      </c>
      <c r="X39" s="114"/>
      <c r="Y39" s="114"/>
      <c r="Z39" s="114"/>
      <c r="AA39" s="108" t="str">
        <f t="shared" ref="AA39:AA41" si="64">IFERROR(IF(AND(T38="Probabilidad",T39="Probabilidad"),(AC38-(+AC38*W39)),IF(AND(T38="Impacto",T39="Probabilidad"),(AC37-(+AC37*W39)),IF(T39="Impacto",AC38,""))),"")</f>
        <v/>
      </c>
      <c r="AB39" s="116" t="str">
        <f t="shared" si="58"/>
        <v/>
      </c>
      <c r="AC39" s="117" t="str">
        <f t="shared" si="62"/>
        <v/>
      </c>
      <c r="AD39" s="116" t="str">
        <f t="shared" si="59"/>
        <v/>
      </c>
      <c r="AE39" s="117" t="str">
        <f t="shared" si="63"/>
        <v/>
      </c>
      <c r="AF39" s="118" t="str">
        <f t="shared" si="60"/>
        <v/>
      </c>
      <c r="AG39" s="119"/>
      <c r="AH39" s="109"/>
      <c r="AI39" s="110"/>
      <c r="AJ39" s="111"/>
      <c r="AK39" s="111"/>
      <c r="AL39" s="110"/>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389"/>
      <c r="B40" s="457"/>
      <c r="C40" s="457"/>
      <c r="D40" s="416"/>
      <c r="E40" s="138"/>
      <c r="F40" s="418"/>
      <c r="G40" s="139"/>
      <c r="H40" s="139"/>
      <c r="I40" s="448"/>
      <c r="J40" s="451"/>
      <c r="K40" s="423"/>
      <c r="L40" s="420"/>
      <c r="M40" s="454"/>
      <c r="N40" s="420">
        <f>IF(NOT(ISERROR(MATCH(M40,_xlfn.ANCHORARRAY(F51),0))),L53&amp;"Por favor no seleccionar los criterios de impacto",M40)</f>
        <v>0</v>
      </c>
      <c r="O40" s="423"/>
      <c r="P40" s="420"/>
      <c r="Q40" s="427"/>
      <c r="R40" s="105">
        <v>5</v>
      </c>
      <c r="S40" s="106"/>
      <c r="T40" s="107" t="str">
        <f t="shared" si="61"/>
        <v/>
      </c>
      <c r="U40" s="114"/>
      <c r="V40" s="114"/>
      <c r="W40" s="115" t="str">
        <f t="shared" si="57"/>
        <v/>
      </c>
      <c r="X40" s="114"/>
      <c r="Y40" s="114"/>
      <c r="Z40" s="114"/>
      <c r="AA40" s="108" t="str">
        <f t="shared" si="64"/>
        <v/>
      </c>
      <c r="AB40" s="116" t="str">
        <f t="shared" si="58"/>
        <v/>
      </c>
      <c r="AC40" s="117" t="str">
        <f t="shared" si="62"/>
        <v/>
      </c>
      <c r="AD40" s="116" t="str">
        <f t="shared" si="59"/>
        <v/>
      </c>
      <c r="AE40" s="117" t="str">
        <f t="shared" si="63"/>
        <v/>
      </c>
      <c r="AF40" s="118" t="str">
        <f t="shared" si="60"/>
        <v/>
      </c>
      <c r="AG40" s="119"/>
      <c r="AH40" s="109"/>
      <c r="AI40" s="110"/>
      <c r="AJ40" s="111"/>
      <c r="AK40" s="111"/>
      <c r="AL40" s="110"/>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390"/>
      <c r="B41" s="458"/>
      <c r="C41" s="458"/>
      <c r="D41" s="417"/>
      <c r="E41" s="138"/>
      <c r="F41" s="418"/>
      <c r="G41" s="139"/>
      <c r="H41" s="139"/>
      <c r="I41" s="449"/>
      <c r="J41" s="452"/>
      <c r="K41" s="424"/>
      <c r="L41" s="421"/>
      <c r="M41" s="455"/>
      <c r="N41" s="421">
        <f>IF(NOT(ISERROR(MATCH(M41,_xlfn.ANCHORARRAY(F52),0))),L54&amp;"Por favor no seleccionar los criterios de impacto",M41)</f>
        <v>0</v>
      </c>
      <c r="O41" s="424"/>
      <c r="P41" s="421"/>
      <c r="Q41" s="428"/>
      <c r="R41" s="105">
        <v>6</v>
      </c>
      <c r="S41" s="106"/>
      <c r="T41" s="107" t="str">
        <f t="shared" si="61"/>
        <v/>
      </c>
      <c r="U41" s="114"/>
      <c r="V41" s="114"/>
      <c r="W41" s="115" t="str">
        <f t="shared" si="57"/>
        <v/>
      </c>
      <c r="X41" s="114"/>
      <c r="Y41" s="114"/>
      <c r="Z41" s="114"/>
      <c r="AA41" s="108" t="str">
        <f t="shared" si="64"/>
        <v/>
      </c>
      <c r="AB41" s="116" t="str">
        <f t="shared" si="58"/>
        <v/>
      </c>
      <c r="AC41" s="117" t="str">
        <f t="shared" si="62"/>
        <v/>
      </c>
      <c r="AD41" s="116" t="str">
        <f t="shared" si="59"/>
        <v/>
      </c>
      <c r="AE41" s="117" t="str">
        <f t="shared" si="63"/>
        <v/>
      </c>
      <c r="AF41" s="118" t="str">
        <f t="shared" si="60"/>
        <v/>
      </c>
      <c r="AG41" s="119"/>
      <c r="AH41" s="109"/>
      <c r="AI41" s="110"/>
      <c r="AJ41" s="111"/>
      <c r="AK41" s="111"/>
      <c r="AL41" s="110"/>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388">
        <v>7</v>
      </c>
      <c r="B42" s="456"/>
      <c r="C42" s="456"/>
      <c r="D42" s="456"/>
      <c r="E42" s="121"/>
      <c r="F42" s="460"/>
      <c r="G42" s="124"/>
      <c r="H42" s="124"/>
      <c r="I42" s="456"/>
      <c r="J42" s="450"/>
      <c r="K42" s="422" t="str">
        <f t="shared" ref="K42" si="65">IF(J42&lt;=0,"",IF(J42&lt;=2,"Muy Baja",IF(J42&lt;=24,"Baja",IF(J42&lt;=500,"Media",IF(J42&lt;=5000,"Alta","Muy Alta")))))</f>
        <v/>
      </c>
      <c r="L42" s="419" t="str">
        <f t="shared" ref="L42" si="66">IF(K42="","",IF(K42="Muy Baja",0.2,IF(K42="Baja",0.4,IF(K42="Media",0.6,IF(K42="Alta",0.8,IF(K42="Muy Alta",1,))))))</f>
        <v/>
      </c>
      <c r="M42" s="453"/>
      <c r="N42" s="419">
        <f>IF(NOT(ISERROR(MATCH(M42,'Tabla Impacto'!$B$221:$B$223,0))),'Tabla Impacto'!$F$223&amp;"Por favor no seleccionar los criterios de impacto(Afectación Económica o presupuestal y Pérdida Reputacional)",M42)</f>
        <v>0</v>
      </c>
      <c r="O42" s="422" t="str">
        <f>IF(OR(N42='Tabla Impacto'!$C$11,N42='Tabla Impacto'!$D$11),"Leve",IF(OR(N42='Tabla Impacto'!$C$12,N42='Tabla Impacto'!$D$12),"Menor",IF(OR(N42='Tabla Impacto'!$C$13,N42='Tabla Impacto'!$D$13),"Moderado",IF(OR(N42='Tabla Impacto'!$C$14,N42='Tabla Impacto'!$D$14),"Mayor",IF(OR(N42='Tabla Impacto'!$C$15,N42='Tabla Impacto'!$D$15),"Catastrófico","")))))</f>
        <v/>
      </c>
      <c r="P42" s="419" t="str">
        <f t="shared" ref="P42" si="67">IF(O42="","",IF(O42="Leve",0.2,IF(O42="Menor",0.4,IF(O42="Moderado",0.6,IF(O42="Mayor",0.8,IF(O42="Catastrófico",1,))))))</f>
        <v/>
      </c>
      <c r="Q42" s="426" t="str">
        <f t="shared" ref="Q42" si="68">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
      </c>
      <c r="R42" s="105">
        <v>1</v>
      </c>
      <c r="S42" s="106"/>
      <c r="T42" s="107" t="str">
        <f>IF(OR(U42="Preventivo",U42="Detectivo"),"Probabilidad",IF(U42="Correctivo","Impacto",""))</f>
        <v/>
      </c>
      <c r="U42" s="114"/>
      <c r="V42" s="114"/>
      <c r="W42" s="115" t="str">
        <f>IF(AND(U42="Preventivo",V42="Automático"),"50%",IF(AND(U42="Preventivo",V42="Manual"),"40%",IF(AND(U42="Detectivo",V42="Automático"),"40%",IF(AND(U42="Detectivo",V42="Manual"),"30%",IF(AND(U42="Correctivo",V42="Automático"),"35%",IF(AND(U42="Correctivo",V42="Manual"),"25%",""))))))</f>
        <v/>
      </c>
      <c r="X42" s="114"/>
      <c r="Y42" s="114"/>
      <c r="Z42" s="114"/>
      <c r="AA42" s="108" t="str">
        <f>IFERROR(IF(T42="Probabilidad",(L42-(+L42*W42)),IF(T42="Impacto",L42,"")),"")</f>
        <v/>
      </c>
      <c r="AB42" s="116" t="str">
        <f>IFERROR(IF(AA42="","",IF(AA42&lt;=0.2,"Muy Baja",IF(AA42&lt;=0.4,"Baja",IF(AA42&lt;=0.6,"Media",IF(AA42&lt;=0.8,"Alta","Muy Alta"))))),"")</f>
        <v/>
      </c>
      <c r="AC42" s="117" t="str">
        <f>+AA42</f>
        <v/>
      </c>
      <c r="AD42" s="116" t="str">
        <f>IFERROR(IF(AE42="","",IF(AE42&lt;=0.2,"Leve",IF(AE42&lt;=0.4,"Menor",IF(AE42&lt;=0.6,"Moderado",IF(AE42&lt;=0.8,"Mayor","Catastrófico"))))),"")</f>
        <v/>
      </c>
      <c r="AE42" s="117" t="str">
        <f>IFERROR(IF(T42="Impacto",(P42-(+P42*W42)),IF(T42="Probabilidad",P42,"")),"")</f>
        <v/>
      </c>
      <c r="AF42" s="118"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19"/>
      <c r="AH42" s="109"/>
      <c r="AI42" s="110"/>
      <c r="AJ42" s="111"/>
      <c r="AK42" s="111"/>
      <c r="AL42" s="110"/>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389"/>
      <c r="B43" s="457"/>
      <c r="C43" s="457"/>
      <c r="D43" s="457"/>
      <c r="E43" s="121"/>
      <c r="F43" s="460"/>
      <c r="G43" s="124"/>
      <c r="H43" s="124"/>
      <c r="I43" s="457"/>
      <c r="J43" s="451"/>
      <c r="K43" s="423"/>
      <c r="L43" s="420"/>
      <c r="M43" s="454"/>
      <c r="N43" s="420">
        <f>IF(NOT(ISERROR(MATCH(M43,_xlfn.ANCHORARRAY(F54),0))),L56&amp;"Por favor no seleccionar los criterios de impacto",M43)</f>
        <v>0</v>
      </c>
      <c r="O43" s="423"/>
      <c r="P43" s="420"/>
      <c r="Q43" s="427"/>
      <c r="R43" s="105">
        <v>2</v>
      </c>
      <c r="S43" s="106"/>
      <c r="T43" s="107" t="str">
        <f>IF(OR(U43="Preventivo",U43="Detectivo"),"Probabilidad",IF(U43="Correctivo","Impacto",""))</f>
        <v/>
      </c>
      <c r="U43" s="114"/>
      <c r="V43" s="114"/>
      <c r="W43" s="115" t="str">
        <f t="shared" ref="W43:W47" si="69">IF(AND(U43="Preventivo",V43="Automático"),"50%",IF(AND(U43="Preventivo",V43="Manual"),"40%",IF(AND(U43="Detectivo",V43="Automático"),"40%",IF(AND(U43="Detectivo",V43="Manual"),"30%",IF(AND(U43="Correctivo",V43="Automático"),"35%",IF(AND(U43="Correctivo",V43="Manual"),"25%",""))))))</f>
        <v/>
      </c>
      <c r="X43" s="114"/>
      <c r="Y43" s="114"/>
      <c r="Z43" s="114"/>
      <c r="AA43" s="108" t="str">
        <f>IFERROR(IF(AND(T42="Probabilidad",T43="Probabilidad"),(AC42-(+AC42*W43)),IF(AND(T42="Impacto",T43="Probabilidad"),(L42-(+L42*W43)),IF(T43="Impacto",AC42,""))),"")</f>
        <v/>
      </c>
      <c r="AB43" s="116" t="str">
        <f t="shared" ref="AB43:AB47" si="70">IFERROR(IF(AA43="","",IF(AA43&lt;=0.2,"Muy Baja",IF(AA43&lt;=0.4,"Baja",IF(AA43&lt;=0.6,"Media",IF(AA43&lt;=0.8,"Alta","Muy Alta"))))),"")</f>
        <v/>
      </c>
      <c r="AC43" s="117" t="str">
        <f>+AA43</f>
        <v/>
      </c>
      <c r="AD43" s="116" t="str">
        <f t="shared" ref="AD43:AD47" si="71">IFERROR(IF(AE43="","",IF(AE43&lt;=0.2,"Leve",IF(AE43&lt;=0.4,"Menor",IF(AE43&lt;=0.6,"Moderado",IF(AE43&lt;=0.8,"Mayor","Catastrófico"))))),"")</f>
        <v/>
      </c>
      <c r="AE43" s="117" t="str">
        <f>IFERROR(IF(AND(T42="Impacto",T43="Impacto"),(AE42-(+AE42*W43)),IF(AND(T42="Probabilidad",T43="Impacto"),(P42-(+P42*W43)),IF(T43="Probabilidad",AE42,""))),"")</f>
        <v/>
      </c>
      <c r="AF43" s="118" t="str">
        <f t="shared" ref="AF43:AF47" si="72">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19"/>
      <c r="AH43" s="109"/>
      <c r="AI43" s="110"/>
      <c r="AJ43" s="111"/>
      <c r="AK43" s="111"/>
      <c r="AL43" s="110"/>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389"/>
      <c r="B44" s="457"/>
      <c r="C44" s="457"/>
      <c r="D44" s="457"/>
      <c r="E44" s="121"/>
      <c r="F44" s="460"/>
      <c r="G44" s="124"/>
      <c r="H44" s="124"/>
      <c r="I44" s="457"/>
      <c r="J44" s="451"/>
      <c r="K44" s="423"/>
      <c r="L44" s="420"/>
      <c r="M44" s="454"/>
      <c r="N44" s="420">
        <f>IF(NOT(ISERROR(MATCH(M44,_xlfn.ANCHORARRAY(F55),0))),L57&amp;"Por favor no seleccionar los criterios de impacto",M44)</f>
        <v>0</v>
      </c>
      <c r="O44" s="423"/>
      <c r="P44" s="420"/>
      <c r="Q44" s="427"/>
      <c r="R44" s="105">
        <v>3</v>
      </c>
      <c r="S44" s="112"/>
      <c r="T44" s="107" t="str">
        <f t="shared" ref="T44:T47" si="73">IF(OR(U44="Preventivo",U44="Detectivo"),"Probabilidad",IF(U44="Correctivo","Impacto",""))</f>
        <v/>
      </c>
      <c r="U44" s="114"/>
      <c r="V44" s="114"/>
      <c r="W44" s="115" t="str">
        <f t="shared" si="69"/>
        <v/>
      </c>
      <c r="X44" s="114"/>
      <c r="Y44" s="114"/>
      <c r="Z44" s="114"/>
      <c r="AA44" s="108" t="str">
        <f>IFERROR(IF(AND(T43="Probabilidad",T44="Probabilidad"),(AC43-(+AC43*W44)),IF(AND(T43="Impacto",T44="Probabilidad"),(AC42-(+AC42*W44)),IF(T44="Impacto",AC43,""))),"")</f>
        <v/>
      </c>
      <c r="AB44" s="116" t="str">
        <f t="shared" si="70"/>
        <v/>
      </c>
      <c r="AC44" s="117" t="str">
        <f t="shared" ref="AC44:AC47" si="74">+AA44</f>
        <v/>
      </c>
      <c r="AD44" s="116" t="str">
        <f t="shared" si="71"/>
        <v/>
      </c>
      <c r="AE44" s="117" t="str">
        <f t="shared" ref="AE44:AE47" si="75">IFERROR(IF(AND(T43="Impacto",T44="Impacto"),(AE43-(+AE43*W44)),IF(AND(T43="Probabilidad",T44="Impacto"),(AE42-(+AE42*W44)),IF(T44="Probabilidad",AE43,""))),"")</f>
        <v/>
      </c>
      <c r="AF44" s="118" t="str">
        <f t="shared" si="72"/>
        <v/>
      </c>
      <c r="AG44" s="119"/>
      <c r="AH44" s="109"/>
      <c r="AI44" s="110"/>
      <c r="AJ44" s="111"/>
      <c r="AK44" s="111"/>
      <c r="AL44" s="110"/>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389"/>
      <c r="B45" s="457"/>
      <c r="C45" s="457"/>
      <c r="D45" s="457"/>
      <c r="E45" s="121"/>
      <c r="F45" s="460"/>
      <c r="G45" s="124"/>
      <c r="H45" s="124"/>
      <c r="I45" s="457"/>
      <c r="J45" s="451"/>
      <c r="K45" s="423"/>
      <c r="L45" s="420"/>
      <c r="M45" s="454"/>
      <c r="N45" s="420">
        <f>IF(NOT(ISERROR(MATCH(M45,_xlfn.ANCHORARRAY(F56),0))),L58&amp;"Por favor no seleccionar los criterios de impacto",M45)</f>
        <v>0</v>
      </c>
      <c r="O45" s="423"/>
      <c r="P45" s="420"/>
      <c r="Q45" s="427"/>
      <c r="R45" s="105">
        <v>4</v>
      </c>
      <c r="S45" s="106"/>
      <c r="T45" s="107" t="str">
        <f t="shared" si="73"/>
        <v/>
      </c>
      <c r="U45" s="114"/>
      <c r="V45" s="114"/>
      <c r="W45" s="115" t="str">
        <f t="shared" si="69"/>
        <v/>
      </c>
      <c r="X45" s="114"/>
      <c r="Y45" s="114"/>
      <c r="Z45" s="114"/>
      <c r="AA45" s="108" t="str">
        <f t="shared" ref="AA45:AA47" si="76">IFERROR(IF(AND(T44="Probabilidad",T45="Probabilidad"),(AC44-(+AC44*W45)),IF(AND(T44="Impacto",T45="Probabilidad"),(AC43-(+AC43*W45)),IF(T45="Impacto",AC44,""))),"")</f>
        <v/>
      </c>
      <c r="AB45" s="116" t="str">
        <f t="shared" si="70"/>
        <v/>
      </c>
      <c r="AC45" s="117" t="str">
        <f t="shared" si="74"/>
        <v/>
      </c>
      <c r="AD45" s="116" t="str">
        <f t="shared" si="71"/>
        <v/>
      </c>
      <c r="AE45" s="117" t="str">
        <f t="shared" si="75"/>
        <v/>
      </c>
      <c r="AF45" s="118" t="str">
        <f t="shared" si="72"/>
        <v/>
      </c>
      <c r="AG45" s="119"/>
      <c r="AH45" s="109"/>
      <c r="AI45" s="110"/>
      <c r="AJ45" s="111"/>
      <c r="AK45" s="111"/>
      <c r="AL45" s="110"/>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389"/>
      <c r="B46" s="457"/>
      <c r="C46" s="457"/>
      <c r="D46" s="457"/>
      <c r="E46" s="121"/>
      <c r="F46" s="460"/>
      <c r="G46" s="124"/>
      <c r="H46" s="124"/>
      <c r="I46" s="457"/>
      <c r="J46" s="451"/>
      <c r="K46" s="423"/>
      <c r="L46" s="420"/>
      <c r="M46" s="454"/>
      <c r="N46" s="420">
        <f>IF(NOT(ISERROR(MATCH(M46,_xlfn.ANCHORARRAY(F57),0))),L59&amp;"Por favor no seleccionar los criterios de impacto",M46)</f>
        <v>0</v>
      </c>
      <c r="O46" s="423"/>
      <c r="P46" s="420"/>
      <c r="Q46" s="427"/>
      <c r="R46" s="105">
        <v>5</v>
      </c>
      <c r="S46" s="106"/>
      <c r="T46" s="107" t="str">
        <f t="shared" si="73"/>
        <v/>
      </c>
      <c r="U46" s="114"/>
      <c r="V46" s="114"/>
      <c r="W46" s="115" t="str">
        <f t="shared" si="69"/>
        <v/>
      </c>
      <c r="X46" s="114"/>
      <c r="Y46" s="114"/>
      <c r="Z46" s="114"/>
      <c r="AA46" s="108" t="str">
        <f t="shared" si="76"/>
        <v/>
      </c>
      <c r="AB46" s="116" t="str">
        <f t="shared" si="70"/>
        <v/>
      </c>
      <c r="AC46" s="117" t="str">
        <f t="shared" si="74"/>
        <v/>
      </c>
      <c r="AD46" s="116" t="str">
        <f t="shared" si="71"/>
        <v/>
      </c>
      <c r="AE46" s="117" t="str">
        <f t="shared" si="75"/>
        <v/>
      </c>
      <c r="AF46" s="118" t="str">
        <f t="shared" si="72"/>
        <v/>
      </c>
      <c r="AG46" s="119"/>
      <c r="AH46" s="109"/>
      <c r="AI46" s="110"/>
      <c r="AJ46" s="111"/>
      <c r="AK46" s="111"/>
      <c r="AL46" s="110"/>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390"/>
      <c r="B47" s="458"/>
      <c r="C47" s="458"/>
      <c r="D47" s="458"/>
      <c r="E47" s="122"/>
      <c r="F47" s="461"/>
      <c r="G47" s="125"/>
      <c r="H47" s="125"/>
      <c r="I47" s="458"/>
      <c r="J47" s="452"/>
      <c r="K47" s="424"/>
      <c r="L47" s="421"/>
      <c r="M47" s="455"/>
      <c r="N47" s="421">
        <f>IF(NOT(ISERROR(MATCH(M47,_xlfn.ANCHORARRAY(F58),0))),L60&amp;"Por favor no seleccionar los criterios de impacto",M47)</f>
        <v>0</v>
      </c>
      <c r="O47" s="424"/>
      <c r="P47" s="421"/>
      <c r="Q47" s="428"/>
      <c r="R47" s="105">
        <v>6</v>
      </c>
      <c r="S47" s="106"/>
      <c r="T47" s="107" t="str">
        <f t="shared" si="73"/>
        <v/>
      </c>
      <c r="U47" s="114"/>
      <c r="V47" s="114"/>
      <c r="W47" s="115" t="str">
        <f t="shared" si="69"/>
        <v/>
      </c>
      <c r="X47" s="114"/>
      <c r="Y47" s="114"/>
      <c r="Z47" s="114"/>
      <c r="AA47" s="108" t="str">
        <f t="shared" si="76"/>
        <v/>
      </c>
      <c r="AB47" s="116" t="str">
        <f t="shared" si="70"/>
        <v/>
      </c>
      <c r="AC47" s="117" t="str">
        <f t="shared" si="74"/>
        <v/>
      </c>
      <c r="AD47" s="116" t="str">
        <f t="shared" si="71"/>
        <v/>
      </c>
      <c r="AE47" s="117" t="str">
        <f t="shared" si="75"/>
        <v/>
      </c>
      <c r="AF47" s="118" t="str">
        <f t="shared" si="72"/>
        <v/>
      </c>
      <c r="AG47" s="119"/>
      <c r="AH47" s="109"/>
      <c r="AI47" s="110"/>
      <c r="AJ47" s="111"/>
      <c r="AK47" s="111"/>
      <c r="AL47" s="110"/>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388">
        <v>8</v>
      </c>
      <c r="B48" s="456"/>
      <c r="C48" s="456"/>
      <c r="D48" s="456"/>
      <c r="E48" s="120"/>
      <c r="F48" s="459"/>
      <c r="G48" s="123"/>
      <c r="H48" s="123"/>
      <c r="I48" s="456"/>
      <c r="J48" s="450"/>
      <c r="K48" s="422" t="str">
        <f t="shared" ref="K48" si="77">IF(J48&lt;=0,"",IF(J48&lt;=2,"Muy Baja",IF(J48&lt;=24,"Baja",IF(J48&lt;=500,"Media",IF(J48&lt;=5000,"Alta","Muy Alta")))))</f>
        <v/>
      </c>
      <c r="L48" s="419" t="str">
        <f t="shared" ref="L48" si="78">IF(K48="","",IF(K48="Muy Baja",0.2,IF(K48="Baja",0.4,IF(K48="Media",0.6,IF(K48="Alta",0.8,IF(K48="Muy Alta",1,))))))</f>
        <v/>
      </c>
      <c r="M48" s="453"/>
      <c r="N48" s="419">
        <f>IF(NOT(ISERROR(MATCH(M48,'Tabla Impacto'!$B$221:$B$223,0))),'Tabla Impacto'!$F$223&amp;"Por favor no seleccionar los criterios de impacto(Afectación Económica o presupuestal y Pérdida Reputacional)",M48)</f>
        <v>0</v>
      </c>
      <c r="O48" s="422" t="str">
        <f>IF(OR(N48='Tabla Impacto'!$C$11,N48='Tabla Impacto'!$D$11),"Leve",IF(OR(N48='Tabla Impacto'!$C$12,N48='Tabla Impacto'!$D$12),"Menor",IF(OR(N48='Tabla Impacto'!$C$13,N48='Tabla Impacto'!$D$13),"Moderado",IF(OR(N48='Tabla Impacto'!$C$14,N48='Tabla Impacto'!$D$14),"Mayor",IF(OR(N48='Tabla Impacto'!$C$15,N48='Tabla Impacto'!$D$15),"Catastrófico","")))))</f>
        <v/>
      </c>
      <c r="P48" s="419" t="str">
        <f t="shared" ref="P48" si="79">IF(O48="","",IF(O48="Leve",0.2,IF(O48="Menor",0.4,IF(O48="Moderado",0.6,IF(O48="Mayor",0.8,IF(O48="Catastrófico",1,))))))</f>
        <v/>
      </c>
      <c r="Q48" s="426" t="str">
        <f t="shared" ref="Q48" si="80">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105">
        <v>1</v>
      </c>
      <c r="S48" s="106"/>
      <c r="T48" s="107" t="str">
        <f>IF(OR(U48="Preventivo",U48="Detectivo"),"Probabilidad",IF(U48="Correctivo","Impacto",""))</f>
        <v/>
      </c>
      <c r="U48" s="114"/>
      <c r="V48" s="114"/>
      <c r="W48" s="115" t="str">
        <f>IF(AND(U48="Preventivo",V48="Automático"),"50%",IF(AND(U48="Preventivo",V48="Manual"),"40%",IF(AND(U48="Detectivo",V48="Automático"),"40%",IF(AND(U48="Detectivo",V48="Manual"),"30%",IF(AND(U48="Correctivo",V48="Automático"),"35%",IF(AND(U48="Correctivo",V48="Manual"),"25%",""))))))</f>
        <v/>
      </c>
      <c r="X48" s="114"/>
      <c r="Y48" s="114"/>
      <c r="Z48" s="114"/>
      <c r="AA48" s="108" t="str">
        <f>IFERROR(IF(T48="Probabilidad",(L48-(+L48*W48)),IF(T48="Impacto",L48,"")),"")</f>
        <v/>
      </c>
      <c r="AB48" s="116" t="str">
        <f>IFERROR(IF(AA48="","",IF(AA48&lt;=0.2,"Muy Baja",IF(AA48&lt;=0.4,"Baja",IF(AA48&lt;=0.6,"Media",IF(AA48&lt;=0.8,"Alta","Muy Alta"))))),"")</f>
        <v/>
      </c>
      <c r="AC48" s="117" t="str">
        <f>+AA48</f>
        <v/>
      </c>
      <c r="AD48" s="116" t="str">
        <f>IFERROR(IF(AE48="","",IF(AE48&lt;=0.2,"Leve",IF(AE48&lt;=0.4,"Menor",IF(AE48&lt;=0.6,"Moderado",IF(AE48&lt;=0.8,"Mayor","Catastrófico"))))),"")</f>
        <v/>
      </c>
      <c r="AE48" s="117" t="str">
        <f>IFERROR(IF(T48="Impacto",(P48-(+P48*W48)),IF(T48="Probabilidad",P48,"")),"")</f>
        <v/>
      </c>
      <c r="AF48" s="118"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19"/>
      <c r="AH48" s="109"/>
      <c r="AI48" s="110"/>
      <c r="AJ48" s="111"/>
      <c r="AK48" s="111"/>
      <c r="AL48" s="110"/>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389"/>
      <c r="B49" s="457"/>
      <c r="C49" s="457"/>
      <c r="D49" s="457"/>
      <c r="E49" s="121"/>
      <c r="F49" s="460"/>
      <c r="G49" s="124"/>
      <c r="H49" s="124"/>
      <c r="I49" s="457"/>
      <c r="J49" s="451"/>
      <c r="K49" s="423"/>
      <c r="L49" s="420"/>
      <c r="M49" s="454"/>
      <c r="N49" s="420">
        <f>IF(NOT(ISERROR(MATCH(M49,_xlfn.ANCHORARRAY(F60),0))),L62&amp;"Por favor no seleccionar los criterios de impacto",M49)</f>
        <v>0</v>
      </c>
      <c r="O49" s="423"/>
      <c r="P49" s="420"/>
      <c r="Q49" s="427"/>
      <c r="R49" s="105">
        <v>2</v>
      </c>
      <c r="S49" s="106"/>
      <c r="T49" s="107" t="str">
        <f>IF(OR(U49="Preventivo",U49="Detectivo"),"Probabilidad",IF(U49="Correctivo","Impacto",""))</f>
        <v/>
      </c>
      <c r="U49" s="114"/>
      <c r="V49" s="114"/>
      <c r="W49" s="115" t="str">
        <f t="shared" ref="W49:W53" si="81">IF(AND(U49="Preventivo",V49="Automático"),"50%",IF(AND(U49="Preventivo",V49="Manual"),"40%",IF(AND(U49="Detectivo",V49="Automático"),"40%",IF(AND(U49="Detectivo",V49="Manual"),"30%",IF(AND(U49="Correctivo",V49="Automático"),"35%",IF(AND(U49="Correctivo",V49="Manual"),"25%",""))))))</f>
        <v/>
      </c>
      <c r="X49" s="114"/>
      <c r="Y49" s="114"/>
      <c r="Z49" s="114"/>
      <c r="AA49" s="108" t="str">
        <f>IFERROR(IF(AND(T48="Probabilidad",T49="Probabilidad"),(AC48-(+AC48*W49)),IF(AND(T48="Impacto",T49="Probabilidad"),(L48-(+L48*W49)),IF(T49="Impacto",AC48,""))),"")</f>
        <v/>
      </c>
      <c r="AB49" s="116" t="str">
        <f t="shared" ref="AB49:AB53" si="82">IFERROR(IF(AA49="","",IF(AA49&lt;=0.2,"Muy Baja",IF(AA49&lt;=0.4,"Baja",IF(AA49&lt;=0.6,"Media",IF(AA49&lt;=0.8,"Alta","Muy Alta"))))),"")</f>
        <v/>
      </c>
      <c r="AC49" s="117" t="str">
        <f>+AA49</f>
        <v/>
      </c>
      <c r="AD49" s="116" t="str">
        <f t="shared" ref="AD49:AD53" si="83">IFERROR(IF(AE49="","",IF(AE49&lt;=0.2,"Leve",IF(AE49&lt;=0.4,"Menor",IF(AE49&lt;=0.6,"Moderado",IF(AE49&lt;=0.8,"Mayor","Catastrófico"))))),"")</f>
        <v/>
      </c>
      <c r="AE49" s="117" t="str">
        <f>IFERROR(IF(AND(T48="Impacto",T49="Impacto"),(AE48-(+AE48*W49)),IF(AND(T48="Probabilidad",T49="Impacto"),(P48-(+P48*W49)),IF(T49="Probabilidad",AE48,""))),"")</f>
        <v/>
      </c>
      <c r="AF49" s="118" t="str">
        <f t="shared" ref="AF49:AF53" si="84">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19"/>
      <c r="AH49" s="109"/>
      <c r="AI49" s="110"/>
      <c r="AJ49" s="111"/>
      <c r="AK49" s="111"/>
      <c r="AL49" s="110"/>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389"/>
      <c r="B50" s="457"/>
      <c r="C50" s="457"/>
      <c r="D50" s="457"/>
      <c r="E50" s="121"/>
      <c r="F50" s="460"/>
      <c r="G50" s="124"/>
      <c r="H50" s="124"/>
      <c r="I50" s="457"/>
      <c r="J50" s="451"/>
      <c r="K50" s="423"/>
      <c r="L50" s="420"/>
      <c r="M50" s="454"/>
      <c r="N50" s="420">
        <f>IF(NOT(ISERROR(MATCH(M50,_xlfn.ANCHORARRAY(F61),0))),L63&amp;"Por favor no seleccionar los criterios de impacto",M50)</f>
        <v>0</v>
      </c>
      <c r="O50" s="423"/>
      <c r="P50" s="420"/>
      <c r="Q50" s="427"/>
      <c r="R50" s="105">
        <v>3</v>
      </c>
      <c r="S50" s="112"/>
      <c r="T50" s="107" t="str">
        <f t="shared" ref="T50:T53" si="85">IF(OR(U50="Preventivo",U50="Detectivo"),"Probabilidad",IF(U50="Correctivo","Impacto",""))</f>
        <v/>
      </c>
      <c r="U50" s="114"/>
      <c r="V50" s="114"/>
      <c r="W50" s="115" t="str">
        <f t="shared" si="81"/>
        <v/>
      </c>
      <c r="X50" s="114"/>
      <c r="Y50" s="114"/>
      <c r="Z50" s="114"/>
      <c r="AA50" s="108" t="str">
        <f>IFERROR(IF(AND(T49="Probabilidad",T50="Probabilidad"),(AC49-(+AC49*W50)),IF(AND(T49="Impacto",T50="Probabilidad"),(AC48-(+AC48*W50)),IF(T50="Impacto",AC49,""))),"")</f>
        <v/>
      </c>
      <c r="AB50" s="116" t="str">
        <f t="shared" si="82"/>
        <v/>
      </c>
      <c r="AC50" s="117" t="str">
        <f t="shared" ref="AC50:AC53" si="86">+AA50</f>
        <v/>
      </c>
      <c r="AD50" s="116" t="str">
        <f t="shared" si="83"/>
        <v/>
      </c>
      <c r="AE50" s="117" t="str">
        <f t="shared" ref="AE50:AE53" si="87">IFERROR(IF(AND(T49="Impacto",T50="Impacto"),(AE49-(+AE49*W50)),IF(AND(T49="Probabilidad",T50="Impacto"),(AE48-(+AE48*W50)),IF(T50="Probabilidad",AE49,""))),"")</f>
        <v/>
      </c>
      <c r="AF50" s="118" t="str">
        <f t="shared" si="84"/>
        <v/>
      </c>
      <c r="AG50" s="119"/>
      <c r="AH50" s="109"/>
      <c r="AI50" s="110"/>
      <c r="AJ50" s="111"/>
      <c r="AK50" s="111"/>
      <c r="AL50" s="110"/>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389"/>
      <c r="B51" s="457"/>
      <c r="C51" s="457"/>
      <c r="D51" s="457"/>
      <c r="E51" s="121"/>
      <c r="F51" s="460"/>
      <c r="G51" s="124"/>
      <c r="H51" s="124"/>
      <c r="I51" s="457"/>
      <c r="J51" s="451"/>
      <c r="K51" s="423"/>
      <c r="L51" s="420"/>
      <c r="M51" s="454"/>
      <c r="N51" s="420">
        <f>IF(NOT(ISERROR(MATCH(M51,_xlfn.ANCHORARRAY(F62),0))),L64&amp;"Por favor no seleccionar los criterios de impacto",M51)</f>
        <v>0</v>
      </c>
      <c r="O51" s="423"/>
      <c r="P51" s="420"/>
      <c r="Q51" s="427"/>
      <c r="R51" s="105">
        <v>4</v>
      </c>
      <c r="S51" s="106"/>
      <c r="T51" s="107" t="str">
        <f t="shared" si="85"/>
        <v/>
      </c>
      <c r="U51" s="114"/>
      <c r="V51" s="114"/>
      <c r="W51" s="115" t="str">
        <f t="shared" si="81"/>
        <v/>
      </c>
      <c r="X51" s="114"/>
      <c r="Y51" s="114"/>
      <c r="Z51" s="114"/>
      <c r="AA51" s="108" t="str">
        <f t="shared" ref="AA51:AA53" si="88">IFERROR(IF(AND(T50="Probabilidad",T51="Probabilidad"),(AC50-(+AC50*W51)),IF(AND(T50="Impacto",T51="Probabilidad"),(AC49-(+AC49*W51)),IF(T51="Impacto",AC50,""))),"")</f>
        <v/>
      </c>
      <c r="AB51" s="116" t="str">
        <f t="shared" si="82"/>
        <v/>
      </c>
      <c r="AC51" s="117" t="str">
        <f t="shared" si="86"/>
        <v/>
      </c>
      <c r="AD51" s="116" t="str">
        <f t="shared" si="83"/>
        <v/>
      </c>
      <c r="AE51" s="117" t="str">
        <f t="shared" si="87"/>
        <v/>
      </c>
      <c r="AF51" s="118" t="str">
        <f t="shared" si="84"/>
        <v/>
      </c>
      <c r="AG51" s="119"/>
      <c r="AH51" s="109"/>
      <c r="AI51" s="110"/>
      <c r="AJ51" s="111"/>
      <c r="AK51" s="111"/>
      <c r="AL51" s="110"/>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389"/>
      <c r="B52" s="457"/>
      <c r="C52" s="457"/>
      <c r="D52" s="457"/>
      <c r="E52" s="121"/>
      <c r="F52" s="460"/>
      <c r="G52" s="124"/>
      <c r="H52" s="124"/>
      <c r="I52" s="457"/>
      <c r="J52" s="451"/>
      <c r="K52" s="423"/>
      <c r="L52" s="420"/>
      <c r="M52" s="454"/>
      <c r="N52" s="420">
        <f>IF(NOT(ISERROR(MATCH(M52,_xlfn.ANCHORARRAY(F63),0))),L65&amp;"Por favor no seleccionar los criterios de impacto",M52)</f>
        <v>0</v>
      </c>
      <c r="O52" s="423"/>
      <c r="P52" s="420"/>
      <c r="Q52" s="427"/>
      <c r="R52" s="105">
        <v>5</v>
      </c>
      <c r="S52" s="106"/>
      <c r="T52" s="107" t="str">
        <f t="shared" si="85"/>
        <v/>
      </c>
      <c r="U52" s="114"/>
      <c r="V52" s="114"/>
      <c r="W52" s="115" t="str">
        <f t="shared" si="81"/>
        <v/>
      </c>
      <c r="X52" s="114"/>
      <c r="Y52" s="114"/>
      <c r="Z52" s="114"/>
      <c r="AA52" s="108" t="str">
        <f t="shared" si="88"/>
        <v/>
      </c>
      <c r="AB52" s="116" t="str">
        <f t="shared" si="82"/>
        <v/>
      </c>
      <c r="AC52" s="117" t="str">
        <f t="shared" si="86"/>
        <v/>
      </c>
      <c r="AD52" s="116" t="str">
        <f t="shared" si="83"/>
        <v/>
      </c>
      <c r="AE52" s="117" t="str">
        <f t="shared" si="87"/>
        <v/>
      </c>
      <c r="AF52" s="118" t="str">
        <f t="shared" si="84"/>
        <v/>
      </c>
      <c r="AG52" s="119"/>
      <c r="AH52" s="109"/>
      <c r="AI52" s="110"/>
      <c r="AJ52" s="111"/>
      <c r="AK52" s="111"/>
      <c r="AL52" s="110"/>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390"/>
      <c r="B53" s="458"/>
      <c r="C53" s="458"/>
      <c r="D53" s="458"/>
      <c r="E53" s="122"/>
      <c r="F53" s="461"/>
      <c r="G53" s="125"/>
      <c r="H53" s="125"/>
      <c r="I53" s="458"/>
      <c r="J53" s="452"/>
      <c r="K53" s="424"/>
      <c r="L53" s="421"/>
      <c r="M53" s="455"/>
      <c r="N53" s="421">
        <f>IF(NOT(ISERROR(MATCH(M53,_xlfn.ANCHORARRAY(F64),0))),L66&amp;"Por favor no seleccionar los criterios de impacto",M53)</f>
        <v>0</v>
      </c>
      <c r="O53" s="424"/>
      <c r="P53" s="421"/>
      <c r="Q53" s="428"/>
      <c r="R53" s="105">
        <v>6</v>
      </c>
      <c r="S53" s="106"/>
      <c r="T53" s="107" t="str">
        <f t="shared" si="85"/>
        <v/>
      </c>
      <c r="U53" s="114"/>
      <c r="V53" s="114"/>
      <c r="W53" s="115" t="str">
        <f t="shared" si="81"/>
        <v/>
      </c>
      <c r="X53" s="114"/>
      <c r="Y53" s="114"/>
      <c r="Z53" s="114"/>
      <c r="AA53" s="108" t="str">
        <f t="shared" si="88"/>
        <v/>
      </c>
      <c r="AB53" s="116" t="str">
        <f t="shared" si="82"/>
        <v/>
      </c>
      <c r="AC53" s="117" t="str">
        <f t="shared" si="86"/>
        <v/>
      </c>
      <c r="AD53" s="116" t="str">
        <f t="shared" si="83"/>
        <v/>
      </c>
      <c r="AE53" s="117" t="str">
        <f t="shared" si="87"/>
        <v/>
      </c>
      <c r="AF53" s="118" t="str">
        <f t="shared" si="84"/>
        <v/>
      </c>
      <c r="AG53" s="119"/>
      <c r="AH53" s="109"/>
      <c r="AI53" s="110"/>
      <c r="AJ53" s="111"/>
      <c r="AK53" s="111"/>
      <c r="AL53" s="110"/>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388">
        <v>9</v>
      </c>
      <c r="B54" s="456"/>
      <c r="C54" s="456"/>
      <c r="D54" s="456"/>
      <c r="E54" s="120"/>
      <c r="F54" s="459"/>
      <c r="G54" s="123"/>
      <c r="H54" s="123"/>
      <c r="I54" s="456"/>
      <c r="J54" s="450"/>
      <c r="K54" s="422" t="str">
        <f t="shared" ref="K54" si="89">IF(J54&lt;=0,"",IF(J54&lt;=2,"Muy Baja",IF(J54&lt;=24,"Baja",IF(J54&lt;=500,"Media",IF(J54&lt;=5000,"Alta","Muy Alta")))))</f>
        <v/>
      </c>
      <c r="L54" s="419" t="str">
        <f t="shared" ref="L54" si="90">IF(K54="","",IF(K54="Muy Baja",0.2,IF(K54="Baja",0.4,IF(K54="Media",0.6,IF(K54="Alta",0.8,IF(K54="Muy Alta",1,))))))</f>
        <v/>
      </c>
      <c r="M54" s="453"/>
      <c r="N54" s="419">
        <f>IF(NOT(ISERROR(MATCH(M54,'Tabla Impacto'!$B$221:$B$223,0))),'Tabla Impacto'!$F$223&amp;"Por favor no seleccionar los criterios de impacto(Afectación Económica o presupuestal y Pérdida Reputacional)",M54)</f>
        <v>0</v>
      </c>
      <c r="O54" s="422" t="str">
        <f>IF(OR(N54='Tabla Impacto'!$C$11,N54='Tabla Impacto'!$D$11),"Leve",IF(OR(N54='Tabla Impacto'!$C$12,N54='Tabla Impacto'!$D$12),"Menor",IF(OR(N54='Tabla Impacto'!$C$13,N54='Tabla Impacto'!$D$13),"Moderado",IF(OR(N54='Tabla Impacto'!$C$14,N54='Tabla Impacto'!$D$14),"Mayor",IF(OR(N54='Tabla Impacto'!$C$15,N54='Tabla Impacto'!$D$15),"Catastrófico","")))))</f>
        <v/>
      </c>
      <c r="P54" s="419" t="str">
        <f t="shared" ref="P54" si="91">IF(O54="","",IF(O54="Leve",0.2,IF(O54="Menor",0.4,IF(O54="Moderado",0.6,IF(O54="Mayor",0.8,IF(O54="Catastrófico",1,))))))</f>
        <v/>
      </c>
      <c r="Q54" s="426" t="str">
        <f t="shared" ref="Q54" si="92">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
      </c>
      <c r="R54" s="105">
        <v>1</v>
      </c>
      <c r="S54" s="106"/>
      <c r="T54" s="107" t="str">
        <f>IF(OR(U54="Preventivo",U54="Detectivo"),"Probabilidad",IF(U54="Correctivo","Impacto",""))</f>
        <v/>
      </c>
      <c r="U54" s="114"/>
      <c r="V54" s="114"/>
      <c r="W54" s="115" t="str">
        <f>IF(AND(U54="Preventivo",V54="Automático"),"50%",IF(AND(U54="Preventivo",V54="Manual"),"40%",IF(AND(U54="Detectivo",V54="Automático"),"40%",IF(AND(U54="Detectivo",V54="Manual"),"30%",IF(AND(U54="Correctivo",V54="Automático"),"35%",IF(AND(U54="Correctivo",V54="Manual"),"25%",""))))))</f>
        <v/>
      </c>
      <c r="X54" s="114"/>
      <c r="Y54" s="114"/>
      <c r="Z54" s="114"/>
      <c r="AA54" s="108" t="str">
        <f>IFERROR(IF(T54="Probabilidad",(L54-(+L54*W54)),IF(T54="Impacto",L54,"")),"")</f>
        <v/>
      </c>
      <c r="AB54" s="116" t="str">
        <f>IFERROR(IF(AA54="","",IF(AA54&lt;=0.2,"Muy Baja",IF(AA54&lt;=0.4,"Baja",IF(AA54&lt;=0.6,"Media",IF(AA54&lt;=0.8,"Alta","Muy Alta"))))),"")</f>
        <v/>
      </c>
      <c r="AC54" s="117" t="str">
        <f>+AA54</f>
        <v/>
      </c>
      <c r="AD54" s="116" t="str">
        <f>IFERROR(IF(AE54="","",IF(AE54&lt;=0.2,"Leve",IF(AE54&lt;=0.4,"Menor",IF(AE54&lt;=0.6,"Moderado",IF(AE54&lt;=0.8,"Mayor","Catastrófico"))))),"")</f>
        <v/>
      </c>
      <c r="AE54" s="117" t="str">
        <f>IFERROR(IF(T54="Impacto",(P54-(+P54*W54)),IF(T54="Probabilidad",P54,"")),"")</f>
        <v/>
      </c>
      <c r="AF54" s="118"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19"/>
      <c r="AH54" s="109"/>
      <c r="AI54" s="110"/>
      <c r="AJ54" s="111"/>
      <c r="AK54" s="111"/>
      <c r="AL54" s="110"/>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389"/>
      <c r="B55" s="457"/>
      <c r="C55" s="457"/>
      <c r="D55" s="457"/>
      <c r="E55" s="121"/>
      <c r="F55" s="460"/>
      <c r="G55" s="124"/>
      <c r="H55" s="124"/>
      <c r="I55" s="457"/>
      <c r="J55" s="451"/>
      <c r="K55" s="423"/>
      <c r="L55" s="420"/>
      <c r="M55" s="454"/>
      <c r="N55" s="420">
        <f>IF(NOT(ISERROR(MATCH(M55,_xlfn.ANCHORARRAY(F66),0))),L68&amp;"Por favor no seleccionar los criterios de impacto",M55)</f>
        <v>0</v>
      </c>
      <c r="O55" s="423"/>
      <c r="P55" s="420"/>
      <c r="Q55" s="427"/>
      <c r="R55" s="105">
        <v>2</v>
      </c>
      <c r="S55" s="106"/>
      <c r="T55" s="107" t="str">
        <f>IF(OR(U55="Preventivo",U55="Detectivo"),"Probabilidad",IF(U55="Correctivo","Impacto",""))</f>
        <v/>
      </c>
      <c r="U55" s="114"/>
      <c r="V55" s="114"/>
      <c r="W55" s="115" t="str">
        <f t="shared" ref="W55:W59" si="93">IF(AND(U55="Preventivo",V55="Automático"),"50%",IF(AND(U55="Preventivo",V55="Manual"),"40%",IF(AND(U55="Detectivo",V55="Automático"),"40%",IF(AND(U55="Detectivo",V55="Manual"),"30%",IF(AND(U55="Correctivo",V55="Automático"),"35%",IF(AND(U55="Correctivo",V55="Manual"),"25%",""))))))</f>
        <v/>
      </c>
      <c r="X55" s="114"/>
      <c r="Y55" s="114"/>
      <c r="Z55" s="114"/>
      <c r="AA55" s="108" t="str">
        <f>IFERROR(IF(AND(T54="Probabilidad",T55="Probabilidad"),(AC54-(+AC54*W55)),IF(AND(T54="Impacto",T55="Probabilidad"),(L54-(+L54*W55)),IF(T55="Impacto",AC54,""))),"")</f>
        <v/>
      </c>
      <c r="AB55" s="116" t="str">
        <f t="shared" ref="AB55:AB59" si="94">IFERROR(IF(AA55="","",IF(AA55&lt;=0.2,"Muy Baja",IF(AA55&lt;=0.4,"Baja",IF(AA55&lt;=0.6,"Media",IF(AA55&lt;=0.8,"Alta","Muy Alta"))))),"")</f>
        <v/>
      </c>
      <c r="AC55" s="117" t="str">
        <f>+AA55</f>
        <v/>
      </c>
      <c r="AD55" s="116" t="str">
        <f t="shared" ref="AD55:AD59" si="95">IFERROR(IF(AE55="","",IF(AE55&lt;=0.2,"Leve",IF(AE55&lt;=0.4,"Menor",IF(AE55&lt;=0.6,"Moderado",IF(AE55&lt;=0.8,"Mayor","Catastrófico"))))),"")</f>
        <v/>
      </c>
      <c r="AE55" s="117" t="str">
        <f>IFERROR(IF(AND(T54="Impacto",T55="Impacto"),(AE54-(+AE54*W55)),IF(AND(T54="Probabilidad",T55="Impacto"),(P54-(+P54*W55)),IF(T55="Probabilidad",AE54,""))),"")</f>
        <v/>
      </c>
      <c r="AF55" s="118" t="str">
        <f t="shared" ref="AF55:AF59" si="96">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19"/>
      <c r="AH55" s="109"/>
      <c r="AI55" s="110"/>
      <c r="AJ55" s="111"/>
      <c r="AK55" s="111"/>
      <c r="AL55" s="110"/>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389"/>
      <c r="B56" s="457"/>
      <c r="C56" s="457"/>
      <c r="D56" s="457"/>
      <c r="E56" s="121"/>
      <c r="F56" s="460"/>
      <c r="G56" s="124"/>
      <c r="H56" s="124"/>
      <c r="I56" s="457"/>
      <c r="J56" s="451"/>
      <c r="K56" s="423"/>
      <c r="L56" s="420"/>
      <c r="M56" s="454"/>
      <c r="N56" s="420">
        <f>IF(NOT(ISERROR(MATCH(M56,_xlfn.ANCHORARRAY(F67),0))),L69&amp;"Por favor no seleccionar los criterios de impacto",M56)</f>
        <v>0</v>
      </c>
      <c r="O56" s="423"/>
      <c r="P56" s="420"/>
      <c r="Q56" s="427"/>
      <c r="R56" s="105">
        <v>3</v>
      </c>
      <c r="S56" s="112"/>
      <c r="T56" s="107" t="str">
        <f t="shared" ref="T56:T59" si="97">IF(OR(U56="Preventivo",U56="Detectivo"),"Probabilidad",IF(U56="Correctivo","Impacto",""))</f>
        <v/>
      </c>
      <c r="U56" s="114"/>
      <c r="V56" s="114"/>
      <c r="W56" s="115" t="str">
        <f t="shared" si="93"/>
        <v/>
      </c>
      <c r="X56" s="114"/>
      <c r="Y56" s="114"/>
      <c r="Z56" s="114"/>
      <c r="AA56" s="108" t="str">
        <f>IFERROR(IF(AND(T55="Probabilidad",T56="Probabilidad"),(AC55-(+AC55*W56)),IF(AND(T55="Impacto",T56="Probabilidad"),(AC54-(+AC54*W56)),IF(T56="Impacto",AC55,""))),"")</f>
        <v/>
      </c>
      <c r="AB56" s="116" t="str">
        <f t="shared" si="94"/>
        <v/>
      </c>
      <c r="AC56" s="117" t="str">
        <f t="shared" ref="AC56:AC59" si="98">+AA56</f>
        <v/>
      </c>
      <c r="AD56" s="116" t="str">
        <f t="shared" si="95"/>
        <v/>
      </c>
      <c r="AE56" s="117" t="str">
        <f t="shared" ref="AE56:AE59" si="99">IFERROR(IF(AND(T55="Impacto",T56="Impacto"),(AE55-(+AE55*W56)),IF(AND(T55="Probabilidad",T56="Impacto"),(AE54-(+AE54*W56)),IF(T56="Probabilidad",AE55,""))),"")</f>
        <v/>
      </c>
      <c r="AF56" s="118" t="str">
        <f t="shared" si="96"/>
        <v/>
      </c>
      <c r="AG56" s="119"/>
      <c r="AH56" s="109"/>
      <c r="AI56" s="110"/>
      <c r="AJ56" s="111"/>
      <c r="AK56" s="111"/>
      <c r="AL56" s="110"/>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389"/>
      <c r="B57" s="457"/>
      <c r="C57" s="457"/>
      <c r="D57" s="457"/>
      <c r="E57" s="121"/>
      <c r="F57" s="460"/>
      <c r="G57" s="124"/>
      <c r="H57" s="124"/>
      <c r="I57" s="457"/>
      <c r="J57" s="451"/>
      <c r="K57" s="423"/>
      <c r="L57" s="420"/>
      <c r="M57" s="454"/>
      <c r="N57" s="420">
        <f>IF(NOT(ISERROR(MATCH(M57,_xlfn.ANCHORARRAY(F68),0))),L70&amp;"Por favor no seleccionar los criterios de impacto",M57)</f>
        <v>0</v>
      </c>
      <c r="O57" s="423"/>
      <c r="P57" s="420"/>
      <c r="Q57" s="427"/>
      <c r="R57" s="105">
        <v>4</v>
      </c>
      <c r="S57" s="106"/>
      <c r="T57" s="107" t="str">
        <f t="shared" si="97"/>
        <v/>
      </c>
      <c r="U57" s="114"/>
      <c r="V57" s="114"/>
      <c r="W57" s="115" t="str">
        <f t="shared" si="93"/>
        <v/>
      </c>
      <c r="X57" s="114"/>
      <c r="Y57" s="114"/>
      <c r="Z57" s="114"/>
      <c r="AA57" s="108" t="str">
        <f t="shared" ref="AA57:AA59" si="100">IFERROR(IF(AND(T56="Probabilidad",T57="Probabilidad"),(AC56-(+AC56*W57)),IF(AND(T56="Impacto",T57="Probabilidad"),(AC55-(+AC55*W57)),IF(T57="Impacto",AC56,""))),"")</f>
        <v/>
      </c>
      <c r="AB57" s="116" t="str">
        <f t="shared" si="94"/>
        <v/>
      </c>
      <c r="AC57" s="117" t="str">
        <f t="shared" si="98"/>
        <v/>
      </c>
      <c r="AD57" s="116" t="str">
        <f t="shared" si="95"/>
        <v/>
      </c>
      <c r="AE57" s="117" t="str">
        <f t="shared" si="99"/>
        <v/>
      </c>
      <c r="AF57" s="118" t="str">
        <f t="shared" si="96"/>
        <v/>
      </c>
      <c r="AG57" s="119"/>
      <c r="AH57" s="109"/>
      <c r="AI57" s="110"/>
      <c r="AJ57" s="111"/>
      <c r="AK57" s="111"/>
      <c r="AL57" s="11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389"/>
      <c r="B58" s="457"/>
      <c r="C58" s="457"/>
      <c r="D58" s="457"/>
      <c r="E58" s="121"/>
      <c r="F58" s="460"/>
      <c r="G58" s="124"/>
      <c r="H58" s="124"/>
      <c r="I58" s="457"/>
      <c r="J58" s="451"/>
      <c r="K58" s="423"/>
      <c r="L58" s="420"/>
      <c r="M58" s="454"/>
      <c r="N58" s="420">
        <f>IF(NOT(ISERROR(MATCH(M58,_xlfn.ANCHORARRAY(F69),0))),L71&amp;"Por favor no seleccionar los criterios de impacto",M58)</f>
        <v>0</v>
      </c>
      <c r="O58" s="423"/>
      <c r="P58" s="420"/>
      <c r="Q58" s="427"/>
      <c r="R58" s="105">
        <v>5</v>
      </c>
      <c r="S58" s="106"/>
      <c r="T58" s="107" t="str">
        <f t="shared" si="97"/>
        <v/>
      </c>
      <c r="U58" s="114"/>
      <c r="V58" s="114"/>
      <c r="W58" s="115" t="str">
        <f t="shared" si="93"/>
        <v/>
      </c>
      <c r="X58" s="114"/>
      <c r="Y58" s="114"/>
      <c r="Z58" s="114"/>
      <c r="AA58" s="108" t="str">
        <f t="shared" si="100"/>
        <v/>
      </c>
      <c r="AB58" s="116" t="str">
        <f t="shared" si="94"/>
        <v/>
      </c>
      <c r="AC58" s="117" t="str">
        <f t="shared" si="98"/>
        <v/>
      </c>
      <c r="AD58" s="116" t="str">
        <f t="shared" si="95"/>
        <v/>
      </c>
      <c r="AE58" s="117" t="str">
        <f t="shared" si="99"/>
        <v/>
      </c>
      <c r="AF58" s="118" t="str">
        <f t="shared" si="96"/>
        <v/>
      </c>
      <c r="AG58" s="119"/>
      <c r="AH58" s="109"/>
      <c r="AI58" s="110"/>
      <c r="AJ58" s="111"/>
      <c r="AK58" s="111"/>
      <c r="AL58" s="110"/>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25">
      <c r="A59" s="390"/>
      <c r="B59" s="458"/>
      <c r="C59" s="458"/>
      <c r="D59" s="458"/>
      <c r="E59" s="122"/>
      <c r="F59" s="461"/>
      <c r="G59" s="125"/>
      <c r="H59" s="125"/>
      <c r="I59" s="458"/>
      <c r="J59" s="452"/>
      <c r="K59" s="424"/>
      <c r="L59" s="421"/>
      <c r="M59" s="455"/>
      <c r="N59" s="421">
        <f>IF(NOT(ISERROR(MATCH(M59,_xlfn.ANCHORARRAY(F70),0))),L72&amp;"Por favor no seleccionar los criterios de impacto",M59)</f>
        <v>0</v>
      </c>
      <c r="O59" s="424"/>
      <c r="P59" s="421"/>
      <c r="Q59" s="428"/>
      <c r="R59" s="105">
        <v>6</v>
      </c>
      <c r="S59" s="106"/>
      <c r="T59" s="107" t="str">
        <f t="shared" si="97"/>
        <v/>
      </c>
      <c r="U59" s="114"/>
      <c r="V59" s="114"/>
      <c r="W59" s="115" t="str">
        <f t="shared" si="93"/>
        <v/>
      </c>
      <c r="X59" s="114"/>
      <c r="Y59" s="114"/>
      <c r="Z59" s="114"/>
      <c r="AA59" s="108" t="str">
        <f t="shared" si="100"/>
        <v/>
      </c>
      <c r="AB59" s="116" t="str">
        <f t="shared" si="94"/>
        <v/>
      </c>
      <c r="AC59" s="117" t="str">
        <f t="shared" si="98"/>
        <v/>
      </c>
      <c r="AD59" s="116" t="str">
        <f t="shared" si="95"/>
        <v/>
      </c>
      <c r="AE59" s="117" t="str">
        <f t="shared" si="99"/>
        <v/>
      </c>
      <c r="AF59" s="118" t="str">
        <f t="shared" si="96"/>
        <v/>
      </c>
      <c r="AG59" s="119"/>
      <c r="AH59" s="109"/>
      <c r="AI59" s="110"/>
      <c r="AJ59" s="111"/>
      <c r="AK59" s="111"/>
      <c r="AL59" s="110"/>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25">
      <c r="A60" s="388">
        <v>10</v>
      </c>
      <c r="B60" s="456"/>
      <c r="C60" s="456"/>
      <c r="D60" s="456"/>
      <c r="E60" s="120"/>
      <c r="F60" s="459"/>
      <c r="G60" s="123"/>
      <c r="H60" s="123"/>
      <c r="I60" s="456"/>
      <c r="J60" s="450"/>
      <c r="K60" s="422" t="str">
        <f t="shared" ref="K60" si="101">IF(J60&lt;=0,"",IF(J60&lt;=2,"Muy Baja",IF(J60&lt;=24,"Baja",IF(J60&lt;=500,"Media",IF(J60&lt;=5000,"Alta","Muy Alta")))))</f>
        <v/>
      </c>
      <c r="L60" s="419" t="str">
        <f t="shared" ref="L60" si="102">IF(K60="","",IF(K60="Muy Baja",0.2,IF(K60="Baja",0.4,IF(K60="Media",0.6,IF(K60="Alta",0.8,IF(K60="Muy Alta",1,))))))</f>
        <v/>
      </c>
      <c r="M60" s="453"/>
      <c r="N60" s="419">
        <f>IF(NOT(ISERROR(MATCH(M60,'Tabla Impacto'!$B$221:$B$223,0))),'Tabla Impacto'!$F$223&amp;"Por favor no seleccionar los criterios de impacto(Afectación Económica o presupuestal y Pérdida Reputacional)",M60)</f>
        <v>0</v>
      </c>
      <c r="O60" s="422" t="str">
        <f>IF(OR(N60='Tabla Impacto'!$C$11,N60='Tabla Impacto'!$D$11),"Leve",IF(OR(N60='Tabla Impacto'!$C$12,N60='Tabla Impacto'!$D$12),"Menor",IF(OR(N60='Tabla Impacto'!$C$13,N60='Tabla Impacto'!$D$13),"Moderado",IF(OR(N60='Tabla Impacto'!$C$14,N60='Tabla Impacto'!$D$14),"Mayor",IF(OR(N60='Tabla Impacto'!$C$15,N60='Tabla Impacto'!$D$15),"Catastrófico","")))))</f>
        <v/>
      </c>
      <c r="P60" s="419" t="str">
        <f t="shared" ref="P60" si="103">IF(O60="","",IF(O60="Leve",0.2,IF(O60="Menor",0.4,IF(O60="Moderado",0.6,IF(O60="Mayor",0.8,IF(O60="Catastrófico",1,))))))</f>
        <v/>
      </c>
      <c r="Q60" s="426" t="str">
        <f t="shared" ref="Q60" si="104">IF(OR(AND(K60="Muy Baja",O60="Leve"),AND(K60="Muy Baja",O60="Menor"),AND(K60="Baja",O60="Leve")),"Bajo",IF(OR(AND(K60="Muy baja",O60="Moderado"),AND(K60="Baja",O60="Menor"),AND(K60="Baja",O60="Moderado"),AND(K60="Media",O60="Leve"),AND(K60="Media",O60="Menor"),AND(K60="Media",O60="Moderado"),AND(K60="Alta",O60="Leve"),AND(K60="Alta",O60="Menor")),"Moderado",IF(OR(AND(K60="Muy Baja",O60="Mayor"),AND(K60="Baja",O60="Mayor"),AND(K60="Media",O60="Mayor"),AND(K60="Alta",O60="Moderado"),AND(K60="Alta",O60="Mayor"),AND(K60="Muy Alta",O60="Leve"),AND(K60="Muy Alta",O60="Menor"),AND(K60="Muy Alta",O60="Moderado"),AND(K60="Muy Alta",O60="Mayor")),"Alto",IF(OR(AND(K60="Muy Baja",O60="Catastrófico"),AND(K60="Baja",O60="Catastrófico"),AND(K60="Media",O60="Catastrófico"),AND(K60="Alta",O60="Catastrófico"),AND(K60="Muy Alta",O60="Catastrófico")),"Extremo",""))))</f>
        <v/>
      </c>
      <c r="R60" s="105">
        <v>1</v>
      </c>
      <c r="S60" s="106"/>
      <c r="T60" s="107" t="str">
        <f>IF(OR(U60="Preventivo",U60="Detectivo"),"Probabilidad",IF(U60="Correctivo","Impacto",""))</f>
        <v/>
      </c>
      <c r="U60" s="114"/>
      <c r="V60" s="114"/>
      <c r="W60" s="115" t="str">
        <f>IF(AND(U60="Preventivo",V60="Automático"),"50%",IF(AND(U60="Preventivo",V60="Manual"),"40%",IF(AND(U60="Detectivo",V60="Automático"),"40%",IF(AND(U60="Detectivo",V60="Manual"),"30%",IF(AND(U60="Correctivo",V60="Automático"),"35%",IF(AND(U60="Correctivo",V60="Manual"),"25%",""))))))</f>
        <v/>
      </c>
      <c r="X60" s="114"/>
      <c r="Y60" s="114"/>
      <c r="Z60" s="114"/>
      <c r="AA60" s="108" t="str">
        <f>IFERROR(IF(T60="Probabilidad",(L60-(+L60*W60)),IF(T60="Impacto",L60,"")),"")</f>
        <v/>
      </c>
      <c r="AB60" s="116" t="str">
        <f>IFERROR(IF(AA60="","",IF(AA60&lt;=0.2,"Muy Baja",IF(AA60&lt;=0.4,"Baja",IF(AA60&lt;=0.6,"Media",IF(AA60&lt;=0.8,"Alta","Muy Alta"))))),"")</f>
        <v/>
      </c>
      <c r="AC60" s="117" t="str">
        <f>+AA60</f>
        <v/>
      </c>
      <c r="AD60" s="116" t="str">
        <f>IFERROR(IF(AE60="","",IF(AE60&lt;=0.2,"Leve",IF(AE60&lt;=0.4,"Menor",IF(AE60&lt;=0.6,"Moderado",IF(AE60&lt;=0.8,"Mayor","Catastrófico"))))),"")</f>
        <v/>
      </c>
      <c r="AE60" s="117" t="str">
        <f>IFERROR(IF(T60="Impacto",(P60-(+P60*W60)),IF(T60="Probabilidad",P60,"")),"")</f>
        <v/>
      </c>
      <c r="AF60" s="118" t="str">
        <f>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19"/>
      <c r="AH60" s="109"/>
      <c r="AI60" s="110"/>
      <c r="AJ60" s="111"/>
      <c r="AK60" s="111"/>
      <c r="AL60" s="110"/>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9.5" customHeight="1" x14ac:dyDescent="0.25">
      <c r="A61" s="389"/>
      <c r="B61" s="457"/>
      <c r="C61" s="457"/>
      <c r="D61" s="457"/>
      <c r="E61" s="121"/>
      <c r="F61" s="460"/>
      <c r="G61" s="124"/>
      <c r="H61" s="124"/>
      <c r="I61" s="457"/>
      <c r="J61" s="451"/>
      <c r="K61" s="423"/>
      <c r="L61" s="420"/>
      <c r="M61" s="454"/>
      <c r="N61" s="420">
        <f>IF(NOT(ISERROR(MATCH(M61,_xlfn.ANCHORARRAY(F72),0))),L74&amp;"Por favor no seleccionar los criterios de impacto",M61)</f>
        <v>0</v>
      </c>
      <c r="O61" s="423"/>
      <c r="P61" s="420"/>
      <c r="Q61" s="427"/>
      <c r="R61" s="105">
        <v>2</v>
      </c>
      <c r="S61" s="106"/>
      <c r="T61" s="107" t="str">
        <f>IF(OR(U61="Preventivo",U61="Detectivo"),"Probabilidad",IF(U61="Correctivo","Impacto",""))</f>
        <v/>
      </c>
      <c r="U61" s="114"/>
      <c r="V61" s="114"/>
      <c r="W61" s="115" t="str">
        <f t="shared" ref="W61:W65" si="105">IF(AND(U61="Preventivo",V61="Automático"),"50%",IF(AND(U61="Preventivo",V61="Manual"),"40%",IF(AND(U61="Detectivo",V61="Automático"),"40%",IF(AND(U61="Detectivo",V61="Manual"),"30%",IF(AND(U61="Correctivo",V61="Automático"),"35%",IF(AND(U61="Correctivo",V61="Manual"),"25%",""))))))</f>
        <v/>
      </c>
      <c r="X61" s="114"/>
      <c r="Y61" s="114"/>
      <c r="Z61" s="114"/>
      <c r="AA61" s="108" t="str">
        <f>IFERROR(IF(AND(T60="Probabilidad",T61="Probabilidad"),(AC60-(+AC60*W61)),IF(AND(T60="Impacto",T61="Probabilidad"),(L60-(+L60*W61)),IF(T61="Impacto",AC60,""))),"")</f>
        <v/>
      </c>
      <c r="AB61" s="116" t="str">
        <f t="shared" ref="AB61:AB65" si="106">IFERROR(IF(AA61="","",IF(AA61&lt;=0.2,"Muy Baja",IF(AA61&lt;=0.4,"Baja",IF(AA61&lt;=0.6,"Media",IF(AA61&lt;=0.8,"Alta","Muy Alta"))))),"")</f>
        <v/>
      </c>
      <c r="AC61" s="117" t="str">
        <f>+AA61</f>
        <v/>
      </c>
      <c r="AD61" s="116" t="str">
        <f t="shared" ref="AD61:AD65" si="107">IFERROR(IF(AE61="","",IF(AE61&lt;=0.2,"Leve",IF(AE61&lt;=0.4,"Menor",IF(AE61&lt;=0.6,"Moderado",IF(AE61&lt;=0.8,"Mayor","Catastrófico"))))),"")</f>
        <v/>
      </c>
      <c r="AE61" s="117" t="str">
        <f>IFERROR(IF(AND(T60="Impacto",T61="Impacto"),(AE60-(+AE60*W61)),IF(AND(T60="Probabilidad",T61="Impacto"),(P60-(+P60*W61)),IF(T61="Probabilidad",AE60,""))),"")</f>
        <v/>
      </c>
      <c r="AF61" s="118" t="str">
        <f t="shared" ref="AF61:AF65" si="108">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119"/>
      <c r="AH61" s="109"/>
      <c r="AI61" s="110"/>
      <c r="AJ61" s="111"/>
      <c r="AK61" s="111"/>
      <c r="AL61" s="110"/>
    </row>
    <row r="62" spans="1:70" ht="19.5" customHeight="1" x14ac:dyDescent="0.25">
      <c r="A62" s="389"/>
      <c r="B62" s="457"/>
      <c r="C62" s="457"/>
      <c r="D62" s="457"/>
      <c r="E62" s="121"/>
      <c r="F62" s="460"/>
      <c r="G62" s="124"/>
      <c r="H62" s="124"/>
      <c r="I62" s="457"/>
      <c r="J62" s="451"/>
      <c r="K62" s="423"/>
      <c r="L62" s="420"/>
      <c r="M62" s="454"/>
      <c r="N62" s="420">
        <f>IF(NOT(ISERROR(MATCH(M62,_xlfn.ANCHORARRAY(F73),0))),L75&amp;"Por favor no seleccionar los criterios de impacto",M62)</f>
        <v>0</v>
      </c>
      <c r="O62" s="423"/>
      <c r="P62" s="420"/>
      <c r="Q62" s="427"/>
      <c r="R62" s="105">
        <v>3</v>
      </c>
      <c r="S62" s="112"/>
      <c r="T62" s="107" t="str">
        <f t="shared" ref="T62:T65" si="109">IF(OR(U62="Preventivo",U62="Detectivo"),"Probabilidad",IF(U62="Correctivo","Impacto",""))</f>
        <v/>
      </c>
      <c r="U62" s="114"/>
      <c r="V62" s="114"/>
      <c r="W62" s="115" t="str">
        <f t="shared" si="105"/>
        <v/>
      </c>
      <c r="X62" s="114"/>
      <c r="Y62" s="114"/>
      <c r="Z62" s="114"/>
      <c r="AA62" s="108" t="str">
        <f>IFERROR(IF(AND(T61="Probabilidad",T62="Probabilidad"),(AC61-(+AC61*W62)),IF(AND(T61="Impacto",T62="Probabilidad"),(AC60-(+AC60*W62)),IF(T62="Impacto",AC61,""))),"")</f>
        <v/>
      </c>
      <c r="AB62" s="116" t="str">
        <f t="shared" si="106"/>
        <v/>
      </c>
      <c r="AC62" s="117" t="str">
        <f t="shared" ref="AC62:AC65" si="110">+AA62</f>
        <v/>
      </c>
      <c r="AD62" s="116" t="str">
        <f t="shared" si="107"/>
        <v/>
      </c>
      <c r="AE62" s="117" t="str">
        <f t="shared" ref="AE62:AE65" si="111">IFERROR(IF(AND(T61="Impacto",T62="Impacto"),(AE61-(+AE61*W62)),IF(AND(T61="Probabilidad",T62="Impacto"),(AE60-(+AE60*W62)),IF(T62="Probabilidad",AE61,""))),"")</f>
        <v/>
      </c>
      <c r="AF62" s="118" t="str">
        <f t="shared" si="108"/>
        <v/>
      </c>
      <c r="AG62" s="119"/>
      <c r="AH62" s="109"/>
      <c r="AI62" s="110"/>
      <c r="AJ62" s="111"/>
      <c r="AK62" s="111"/>
      <c r="AL62" s="110"/>
    </row>
    <row r="63" spans="1:70" ht="19.5" customHeight="1" x14ac:dyDescent="0.25">
      <c r="A63" s="389"/>
      <c r="B63" s="457"/>
      <c r="C63" s="457"/>
      <c r="D63" s="457"/>
      <c r="E63" s="121"/>
      <c r="F63" s="460"/>
      <c r="G63" s="124"/>
      <c r="H63" s="124"/>
      <c r="I63" s="457"/>
      <c r="J63" s="451"/>
      <c r="K63" s="423"/>
      <c r="L63" s="420"/>
      <c r="M63" s="454"/>
      <c r="N63" s="420">
        <f>IF(NOT(ISERROR(MATCH(M63,_xlfn.ANCHORARRAY(F74),0))),L76&amp;"Por favor no seleccionar los criterios de impacto",M63)</f>
        <v>0</v>
      </c>
      <c r="O63" s="423"/>
      <c r="P63" s="420"/>
      <c r="Q63" s="427"/>
      <c r="R63" s="105">
        <v>4</v>
      </c>
      <c r="S63" s="106"/>
      <c r="T63" s="107" t="str">
        <f t="shared" si="109"/>
        <v/>
      </c>
      <c r="U63" s="114"/>
      <c r="V63" s="114"/>
      <c r="W63" s="115" t="str">
        <f t="shared" si="105"/>
        <v/>
      </c>
      <c r="X63" s="114"/>
      <c r="Y63" s="114"/>
      <c r="Z63" s="114"/>
      <c r="AA63" s="108" t="str">
        <f t="shared" ref="AA63:AA65" si="112">IFERROR(IF(AND(T62="Probabilidad",T63="Probabilidad"),(AC62-(+AC62*W63)),IF(AND(T62="Impacto",T63="Probabilidad"),(AC61-(+AC61*W63)),IF(T63="Impacto",AC62,""))),"")</f>
        <v/>
      </c>
      <c r="AB63" s="116" t="str">
        <f t="shared" si="106"/>
        <v/>
      </c>
      <c r="AC63" s="117" t="str">
        <f t="shared" si="110"/>
        <v/>
      </c>
      <c r="AD63" s="116" t="str">
        <f t="shared" si="107"/>
        <v/>
      </c>
      <c r="AE63" s="117" t="str">
        <f t="shared" si="111"/>
        <v/>
      </c>
      <c r="AF63" s="118" t="str">
        <f t="shared" si="108"/>
        <v/>
      </c>
      <c r="AG63" s="119"/>
      <c r="AH63" s="109"/>
      <c r="AI63" s="110"/>
      <c r="AJ63" s="111"/>
      <c r="AK63" s="111"/>
      <c r="AL63" s="110"/>
    </row>
    <row r="64" spans="1:70" ht="19.5" customHeight="1" x14ac:dyDescent="0.25">
      <c r="A64" s="389"/>
      <c r="B64" s="457"/>
      <c r="C64" s="457"/>
      <c r="D64" s="457"/>
      <c r="E64" s="121"/>
      <c r="F64" s="460"/>
      <c r="G64" s="124"/>
      <c r="H64" s="124"/>
      <c r="I64" s="457"/>
      <c r="J64" s="451"/>
      <c r="K64" s="423"/>
      <c r="L64" s="420"/>
      <c r="M64" s="454"/>
      <c r="N64" s="420">
        <f>IF(NOT(ISERROR(MATCH(M64,_xlfn.ANCHORARRAY(F75),0))),L77&amp;"Por favor no seleccionar los criterios de impacto",M64)</f>
        <v>0</v>
      </c>
      <c r="O64" s="423"/>
      <c r="P64" s="420"/>
      <c r="Q64" s="427"/>
      <c r="R64" s="105">
        <v>5</v>
      </c>
      <c r="S64" s="106"/>
      <c r="T64" s="107" t="str">
        <f t="shared" si="109"/>
        <v/>
      </c>
      <c r="U64" s="114"/>
      <c r="V64" s="114"/>
      <c r="W64" s="115" t="str">
        <f t="shared" si="105"/>
        <v/>
      </c>
      <c r="X64" s="114"/>
      <c r="Y64" s="114"/>
      <c r="Z64" s="114"/>
      <c r="AA64" s="108" t="str">
        <f t="shared" si="112"/>
        <v/>
      </c>
      <c r="AB64" s="116" t="str">
        <f t="shared" si="106"/>
        <v/>
      </c>
      <c r="AC64" s="117" t="str">
        <f t="shared" si="110"/>
        <v/>
      </c>
      <c r="AD64" s="116" t="str">
        <f t="shared" si="107"/>
        <v/>
      </c>
      <c r="AE64" s="117" t="str">
        <f t="shared" si="111"/>
        <v/>
      </c>
      <c r="AF64" s="118" t="str">
        <f t="shared" si="108"/>
        <v/>
      </c>
      <c r="AG64" s="119"/>
      <c r="AH64" s="109"/>
      <c r="AI64" s="110"/>
      <c r="AJ64" s="111"/>
      <c r="AK64" s="111"/>
      <c r="AL64" s="110"/>
    </row>
    <row r="65" spans="1:38" ht="19.5" customHeight="1" x14ac:dyDescent="0.25">
      <c r="A65" s="390"/>
      <c r="B65" s="458"/>
      <c r="C65" s="458"/>
      <c r="D65" s="458"/>
      <c r="E65" s="122"/>
      <c r="F65" s="461"/>
      <c r="G65" s="125"/>
      <c r="H65" s="125"/>
      <c r="I65" s="458"/>
      <c r="J65" s="452"/>
      <c r="K65" s="424"/>
      <c r="L65" s="421"/>
      <c r="M65" s="455"/>
      <c r="N65" s="421">
        <f>IF(NOT(ISERROR(MATCH(M65,_xlfn.ANCHORARRAY(F76),0))),L78&amp;"Por favor no seleccionar los criterios de impacto",M65)</f>
        <v>0</v>
      </c>
      <c r="O65" s="424"/>
      <c r="P65" s="421"/>
      <c r="Q65" s="428"/>
      <c r="R65" s="105">
        <v>6</v>
      </c>
      <c r="S65" s="106"/>
      <c r="T65" s="107" t="str">
        <f t="shared" si="109"/>
        <v/>
      </c>
      <c r="U65" s="114"/>
      <c r="V65" s="114"/>
      <c r="W65" s="115" t="str">
        <f t="shared" si="105"/>
        <v/>
      </c>
      <c r="X65" s="114"/>
      <c r="Y65" s="114"/>
      <c r="Z65" s="114"/>
      <c r="AA65" s="108" t="str">
        <f t="shared" si="112"/>
        <v/>
      </c>
      <c r="AB65" s="116" t="str">
        <f t="shared" si="106"/>
        <v/>
      </c>
      <c r="AC65" s="117" t="str">
        <f t="shared" si="110"/>
        <v/>
      </c>
      <c r="AD65" s="116" t="str">
        <f t="shared" si="107"/>
        <v/>
      </c>
      <c r="AE65" s="117" t="str">
        <f t="shared" si="111"/>
        <v/>
      </c>
      <c r="AF65" s="118" t="str">
        <f t="shared" si="108"/>
        <v/>
      </c>
      <c r="AG65" s="119"/>
      <c r="AH65" s="109"/>
      <c r="AI65" s="110"/>
      <c r="AJ65" s="111"/>
      <c r="AK65" s="111"/>
      <c r="AL65" s="110"/>
    </row>
    <row r="66" spans="1:38" ht="49.5" customHeight="1" x14ac:dyDescent="0.25">
      <c r="A66" s="6"/>
      <c r="B66" s="462" t="s">
        <v>125</v>
      </c>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4"/>
    </row>
    <row r="68" spans="1:38" x14ac:dyDescent="0.25">
      <c r="A68" s="1"/>
      <c r="B68" s="24" t="s">
        <v>137</v>
      </c>
      <c r="C68" s="1"/>
      <c r="D68" s="1"/>
      <c r="E68" s="1"/>
      <c r="I68" s="1"/>
    </row>
  </sheetData>
  <dataConsolidate/>
  <mergeCells count="191">
    <mergeCell ref="A1:AL2"/>
    <mergeCell ref="A7:J7"/>
    <mergeCell ref="K7:Q7"/>
    <mergeCell ref="R7:Z7"/>
    <mergeCell ref="AA7:AG7"/>
    <mergeCell ref="AH7:AL7"/>
    <mergeCell ref="AC8:AC9"/>
    <mergeCell ref="J8:J9"/>
    <mergeCell ref="K8:K9"/>
    <mergeCell ref="L8:L9"/>
    <mergeCell ref="O8:O9"/>
    <mergeCell ref="P8:P9"/>
    <mergeCell ref="B8:B9"/>
    <mergeCell ref="Q8:Q9"/>
    <mergeCell ref="M8:M9"/>
    <mergeCell ref="N8:N9"/>
    <mergeCell ref="T8:T9"/>
    <mergeCell ref="U8:Z8"/>
    <mergeCell ref="A4:B4"/>
    <mergeCell ref="A5:B5"/>
    <mergeCell ref="A6:B6"/>
    <mergeCell ref="A8:A9"/>
    <mergeCell ref="I8:I9"/>
    <mergeCell ref="F8:F9"/>
    <mergeCell ref="B66:AL66"/>
    <mergeCell ref="P54:P59"/>
    <mergeCell ref="Q54:Q59"/>
    <mergeCell ref="A60:A65"/>
    <mergeCell ref="B60:B65"/>
    <mergeCell ref="C60:C65"/>
    <mergeCell ref="D60:D65"/>
    <mergeCell ref="F60:F65"/>
    <mergeCell ref="I60:I65"/>
    <mergeCell ref="J60:J65"/>
    <mergeCell ref="K60:K65"/>
    <mergeCell ref="L60:L65"/>
    <mergeCell ref="M60:M65"/>
    <mergeCell ref="N60:N65"/>
    <mergeCell ref="O60:O65"/>
    <mergeCell ref="P60:P65"/>
    <mergeCell ref="Q60:Q65"/>
    <mergeCell ref="M54:M59"/>
    <mergeCell ref="N54:N59"/>
    <mergeCell ref="O54:O59"/>
    <mergeCell ref="A54:A59"/>
    <mergeCell ref="B54:B59"/>
    <mergeCell ref="C54:C59"/>
    <mergeCell ref="D54:D59"/>
    <mergeCell ref="F54:F59"/>
    <mergeCell ref="I54:I59"/>
    <mergeCell ref="J54:J59"/>
    <mergeCell ref="K54:K59"/>
    <mergeCell ref="L54:L59"/>
    <mergeCell ref="P42:P47"/>
    <mergeCell ref="Q42:Q47"/>
    <mergeCell ref="I48:I53"/>
    <mergeCell ref="J48:J53"/>
    <mergeCell ref="K48:K53"/>
    <mergeCell ref="L48:L53"/>
    <mergeCell ref="M48:M53"/>
    <mergeCell ref="I42:I47"/>
    <mergeCell ref="J42:J47"/>
    <mergeCell ref="K42:K47"/>
    <mergeCell ref="L42:L47"/>
    <mergeCell ref="N48:N53"/>
    <mergeCell ref="O48:O53"/>
    <mergeCell ref="P48:P53"/>
    <mergeCell ref="Q48:Q53"/>
    <mergeCell ref="M42:M47"/>
    <mergeCell ref="N42:N47"/>
    <mergeCell ref="O42:O47"/>
    <mergeCell ref="L36:L41"/>
    <mergeCell ref="N30:N35"/>
    <mergeCell ref="O30:O35"/>
    <mergeCell ref="A30:A35"/>
    <mergeCell ref="B30:B35"/>
    <mergeCell ref="C30:C35"/>
    <mergeCell ref="A36:A41"/>
    <mergeCell ref="B36:B41"/>
    <mergeCell ref="C36:C41"/>
    <mergeCell ref="D36:D41"/>
    <mergeCell ref="F36:F41"/>
    <mergeCell ref="I36:I41"/>
    <mergeCell ref="D30:D35"/>
    <mergeCell ref="F30:F35"/>
    <mergeCell ref="P30:P35"/>
    <mergeCell ref="Q30:Q35"/>
    <mergeCell ref="P36:P41"/>
    <mergeCell ref="Q36:Q41"/>
    <mergeCell ref="A48:A53"/>
    <mergeCell ref="B48:B53"/>
    <mergeCell ref="C48:C53"/>
    <mergeCell ref="D48:D53"/>
    <mergeCell ref="F48:F53"/>
    <mergeCell ref="A42:A47"/>
    <mergeCell ref="B42:B47"/>
    <mergeCell ref="C42:C47"/>
    <mergeCell ref="D42:D47"/>
    <mergeCell ref="F42:F47"/>
    <mergeCell ref="M36:M41"/>
    <mergeCell ref="N36:N41"/>
    <mergeCell ref="O36:O41"/>
    <mergeCell ref="I30:I35"/>
    <mergeCell ref="J30:J35"/>
    <mergeCell ref="K30:K35"/>
    <mergeCell ref="L30:L35"/>
    <mergeCell ref="M30:M35"/>
    <mergeCell ref="J36:J41"/>
    <mergeCell ref="K36:K41"/>
    <mergeCell ref="J18:J23"/>
    <mergeCell ref="K18:K23"/>
    <mergeCell ref="L18:L23"/>
    <mergeCell ref="P18:P23"/>
    <mergeCell ref="Q18:Q23"/>
    <mergeCell ref="A24:A29"/>
    <mergeCell ref="B24:B29"/>
    <mergeCell ref="C24:C29"/>
    <mergeCell ref="D24:D29"/>
    <mergeCell ref="F24:F29"/>
    <mergeCell ref="I24:I29"/>
    <mergeCell ref="J24:J29"/>
    <mergeCell ref="K24:K29"/>
    <mergeCell ref="L24:L29"/>
    <mergeCell ref="M18:M23"/>
    <mergeCell ref="N18:N23"/>
    <mergeCell ref="O18:O23"/>
    <mergeCell ref="M24:M29"/>
    <mergeCell ref="N24:N29"/>
    <mergeCell ref="O24:O29"/>
    <mergeCell ref="P24:P29"/>
    <mergeCell ref="Q24:Q29"/>
    <mergeCell ref="A16:A17"/>
    <mergeCell ref="B16:B17"/>
    <mergeCell ref="C16:C17"/>
    <mergeCell ref="A18:A23"/>
    <mergeCell ref="B18:B23"/>
    <mergeCell ref="C18:C23"/>
    <mergeCell ref="D18:D23"/>
    <mergeCell ref="F18:F23"/>
    <mergeCell ref="I18:I23"/>
    <mergeCell ref="R8:R9"/>
    <mergeCell ref="AF8:AF9"/>
    <mergeCell ref="AE8:AE9"/>
    <mergeCell ref="AA8:AA9"/>
    <mergeCell ref="S8:S9"/>
    <mergeCell ref="AD8:AD9"/>
    <mergeCell ref="AB8:AB9"/>
    <mergeCell ref="E8:E9"/>
    <mergeCell ref="I16:I17"/>
    <mergeCell ref="J16:J17"/>
    <mergeCell ref="K16:K17"/>
    <mergeCell ref="L16:L17"/>
    <mergeCell ref="M16:M17"/>
    <mergeCell ref="C4:AL4"/>
    <mergeCell ref="C5:AL5"/>
    <mergeCell ref="C6:AL6"/>
    <mergeCell ref="D16:D17"/>
    <mergeCell ref="F16:F17"/>
    <mergeCell ref="N16:N17"/>
    <mergeCell ref="O16:O17"/>
    <mergeCell ref="P16:P17"/>
    <mergeCell ref="AH8:AH9"/>
    <mergeCell ref="AL8:AL9"/>
    <mergeCell ref="AK8:AK9"/>
    <mergeCell ref="AJ8:AJ9"/>
    <mergeCell ref="AI8:AI9"/>
    <mergeCell ref="Q16:Q17"/>
    <mergeCell ref="I10:I15"/>
    <mergeCell ref="AG10:AG12"/>
    <mergeCell ref="AH10:AH11"/>
    <mergeCell ref="AI10:AI11"/>
    <mergeCell ref="AJ10:AJ11"/>
    <mergeCell ref="AK10:AK11"/>
    <mergeCell ref="H16:H17"/>
    <mergeCell ref="D8:D9"/>
    <mergeCell ref="C8:C9"/>
    <mergeCell ref="AG8:AG9"/>
    <mergeCell ref="A10:A15"/>
    <mergeCell ref="B10:B15"/>
    <mergeCell ref="C10:C15"/>
    <mergeCell ref="D10:D15"/>
    <mergeCell ref="F10:F15"/>
    <mergeCell ref="Q10:Q15"/>
    <mergeCell ref="L10:L15"/>
    <mergeCell ref="M10:M15"/>
    <mergeCell ref="N10:N15"/>
    <mergeCell ref="O10:O15"/>
    <mergeCell ref="P10:P15"/>
    <mergeCell ref="H10:H15"/>
    <mergeCell ref="J10:J15"/>
    <mergeCell ref="K10:K15"/>
  </mergeCells>
  <conditionalFormatting sqref="K10 K16 K18 K24 K30 K36 K42 K48 K54 K60 AB10:AB65">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65">
    <cfRule type="containsText" dxfId="13" priority="323" operator="containsText" text="❌">
      <formula>NOT(ISERROR(SEARCH("❌",N10)))</formula>
    </cfRule>
  </conditionalFormatting>
  <conditionalFormatting sqref="O10 O16 O18 O24 O30 O36 O42 O48 O54 O60 AD10:AD65">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65">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6 Q18 Q24 Q30 Q36 Q42 Q48 Q54 Q60">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AL10:AL11 AL13:AL14 AL63:AL64 AL18:AL19 AL21:AL22 AL24:AL25 AL27:AL28 AL30:AL31 AL33:AL34 AL36:AL37 AL39:AL40 AL42:AL43 AL45:AL46 AL48:AL49 AL51:AL52 AL54:AL55 AL57:AL58 AL60:AL61 AL16:AL17</xm:sqref>
        </x14:dataValidation>
        <x14:dataValidation type="list" allowBlank="1" showInputMessage="1" showErrorMessage="1" xr:uid="{00000000-0002-0000-0100-000008000000}">
          <x14:formula1>
            <xm:f>'Opciones Tratamiento'!$B$2:$B$5</xm:f>
          </x14:formula1>
          <xm:sqref>AG10 AG62:AG65 AG20:AG24 AG26:AG30 AG32:AG36 AG38:AG42 AG44:AG48 AG50:AG54 AG56:AG60 AG13:AG16 AG18</xm:sqref>
        </x14:dataValidation>
        <x14:dataValidation type="custom" allowBlank="1" showInputMessage="1" showErrorMessage="1" error="Recuerde que las acciones se generan bajo la medida de mitigar el riesgo" xr:uid="{00000000-0002-0000-0100-00000A000000}">
          <x14:formula1>
            <xm:f>IF(OR(AG10='Opciones Tratamiento'!$B$2,AG10='Opciones Tratamiento'!$B$3,AG10='Opciones Tratamiento'!$B$4),ISBLANK(AG10),ISTEXT(AG10))</xm:f>
          </x14:formula1>
          <xm:sqref>AH10 AH12:AH65</xm:sqref>
        </x14:dataValidation>
        <x14:dataValidation type="custom" allowBlank="1" showInputMessage="1" showErrorMessage="1" error="Recuerde que las acciones se generan bajo la medida de mitigar el riesgo" xr:uid="{00000000-0002-0000-0100-00000B000000}">
          <x14:formula1>
            <xm:f>IF(OR(AG10='Opciones Tratamiento'!$B$2,AG10='Opciones Tratamiento'!$B$3,AG10='Opciones Tratamiento'!$B$4),ISBLANK(AG10),ISTEXT(AG10))</xm:f>
          </x14:formula1>
          <xm:sqref>AI10 AI12:AI65</xm:sqref>
        </x14:dataValidation>
        <x14:dataValidation type="custom" allowBlank="1" showInputMessage="1" showErrorMessage="1" error="Recuerde que las acciones se generan bajo la medida de mitigar el riesgo" xr:uid="{00000000-0002-0000-0100-00000C000000}">
          <x14:formula1>
            <xm:f>IF(OR(AG10='Opciones Tratamiento'!$B$2,AG10='Opciones Tratamiento'!$B$3,AG10='Opciones Tratamiento'!$B$4),ISBLANK(AG10),ISTEXT(AG10))</xm:f>
          </x14:formula1>
          <xm:sqref>AJ10 AJ12:AJ65</xm:sqref>
        </x14:dataValidation>
        <x14:dataValidation type="custom" allowBlank="1" showInputMessage="1" showErrorMessage="1" error="Recuerde que las acciones se generan bajo la medida de mitigar el riesgo" xr:uid="{00000000-0002-0000-0100-00000D000000}">
          <x14:formula1>
            <xm:f>IF(OR(AG10='Opciones Tratamiento'!$B$2,AG10='Opciones Tratamiento'!$B$3,AG10='Opciones Tratamiento'!$B$4),ISBLANK(AG10),ISTEXT(AG10))</xm:f>
          </x14:formula1>
          <xm:sqref>AK10 AK12:AK65</xm:sqref>
        </x14:dataValidation>
        <x14:dataValidation type="list" allowBlank="1" showInputMessage="1" showErrorMessage="1" xr:uid="{00000000-0002-0000-0100-00000E000000}">
          <x14:formula1>
            <xm:f>'C:\Users\HOME\Downloads\[Formato Matriz de Riesgos 2021 (1).xlsx]Opciones Tratamiento'!#REF!</xm:f>
          </x14:formula1>
          <xm:sqref>AG61 AG17 AG19 AG25 AG31 AG37 AG43 AG49 AG55</xm:sqref>
        </x14:dataValidation>
        <x14:dataValidation type="list" allowBlank="1" showInputMessage="1" showErrorMessage="1" xr:uid="{00000000-0002-0000-0100-000000000000}">
          <x14:formula1>
            <xm:f>'Tabla Valoración controles'!$D$4:$D$6</xm:f>
          </x14:formula1>
          <xm:sqref>U10:U65</xm:sqref>
        </x14:dataValidation>
        <x14:dataValidation type="list" allowBlank="1" showInputMessage="1" showErrorMessage="1" xr:uid="{00000000-0002-0000-0100-000001000000}">
          <x14:formula1>
            <xm:f>'Tabla Valoración controles'!$D$7:$D$8</xm:f>
          </x14:formula1>
          <xm:sqref>V10:V65</xm:sqref>
        </x14:dataValidation>
        <x14:dataValidation type="list" allowBlank="1" showInputMessage="1" showErrorMessage="1" xr:uid="{00000000-0002-0000-0100-000002000000}">
          <x14:formula1>
            <xm:f>'Tabla Valoración controles'!$D$9:$D$10</xm:f>
          </x14:formula1>
          <xm:sqref>X10:X65</xm:sqref>
        </x14:dataValidation>
        <x14:dataValidation type="list" allowBlank="1" showInputMessage="1" showErrorMessage="1" xr:uid="{00000000-0002-0000-0100-000003000000}">
          <x14:formula1>
            <xm:f>'Tabla Valoración controles'!$D$11:$D$12</xm:f>
          </x14:formula1>
          <xm:sqref>Y10:Y65</xm:sqref>
        </x14:dataValidation>
        <x14:dataValidation type="list" allowBlank="1" showInputMessage="1" showErrorMessage="1" xr:uid="{00000000-0002-0000-0100-000005000000}">
          <x14:formula1>
            <xm:f>'Tabla Valoración controles'!$D$13:$D$14</xm:f>
          </x14:formula1>
          <xm:sqref>Z10:Z65</xm:sqref>
        </x14:dataValidation>
        <x14:dataValidation type="list" allowBlank="1" showInputMessage="1" showErrorMessage="1" xr:uid="{00000000-0002-0000-0100-000006000000}">
          <x14:formula1>
            <xm:f>'Opciones Tratamiento'!$B$13:$B$19</xm:f>
          </x14:formula1>
          <xm:sqref>I10:I65</xm:sqref>
        </x14:dataValidation>
        <x14:dataValidation type="list" allowBlank="1" showInputMessage="1" showErrorMessage="1" xr:uid="{00000000-0002-0000-0100-000007000000}">
          <x14:formula1>
            <xm:f>'Opciones Tratamiento'!$E$2:$E$4</xm:f>
          </x14:formula1>
          <xm:sqref>B10:B65</xm:sqref>
        </x14:dataValidation>
        <x14:dataValidation type="list" allowBlank="1" showInputMessage="1" showErrorMessage="1" xr:uid="{00000000-0002-0000-0100-000009000000}">
          <x14:formula1>
            <xm:f>'Tabla Impacto'!$F$210:$F$221</xm:f>
          </x14:formula1>
          <xm:sqref>M10:M65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6" zoomScale="40" zoomScaleNormal="40" workbookViewId="0"/>
  </sheetViews>
  <sheetFormatPr baseColWidth="10" defaultRowHeight="14.4" x14ac:dyDescent="0.3"/>
  <cols>
    <col min="2" max="39" width="5.5546875" customWidth="1"/>
    <col min="41" max="46" width="5.554687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485" t="s">
        <v>149</v>
      </c>
      <c r="C2" s="485"/>
      <c r="D2" s="485"/>
      <c r="E2" s="485"/>
      <c r="F2" s="485"/>
      <c r="G2" s="485"/>
      <c r="H2" s="485"/>
      <c r="I2" s="485"/>
      <c r="J2" s="522" t="s">
        <v>2</v>
      </c>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485"/>
      <c r="C3" s="485"/>
      <c r="D3" s="485"/>
      <c r="E3" s="485"/>
      <c r="F3" s="485"/>
      <c r="G3" s="485"/>
      <c r="H3" s="485"/>
      <c r="I3" s="485"/>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485"/>
      <c r="C4" s="485"/>
      <c r="D4" s="485"/>
      <c r="E4" s="485"/>
      <c r="F4" s="485"/>
      <c r="G4" s="485"/>
      <c r="H4" s="485"/>
      <c r="I4" s="485"/>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2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33" t="s">
        <v>4</v>
      </c>
      <c r="C6" s="533"/>
      <c r="D6" s="534"/>
      <c r="E6" s="523" t="s">
        <v>110</v>
      </c>
      <c r="F6" s="524"/>
      <c r="G6" s="524"/>
      <c r="H6" s="524"/>
      <c r="I6" s="525"/>
      <c r="J6" s="519" t="str">
        <f>IF(AND('Mapa final'!$K$10="Muy Alta",'Mapa final'!$O$10="Leve"),CONCATENATE("R",'Mapa final'!$A$10),"")</f>
        <v/>
      </c>
      <c r="K6" s="520"/>
      <c r="L6" s="520" t="str">
        <f>IF(AND('Mapa final'!$K$16="Muy Alta",'Mapa final'!$O$16="Leve"),CONCATENATE("R",'Mapa final'!$A$16),"")</f>
        <v/>
      </c>
      <c r="M6" s="520"/>
      <c r="N6" s="520" t="str">
        <f>IF(AND('Mapa final'!$K$18="Muy Alta",'Mapa final'!$O$18="Leve"),CONCATENATE("R",'Mapa final'!$A$18),"")</f>
        <v/>
      </c>
      <c r="O6" s="521"/>
      <c r="P6" s="519" t="str">
        <f>IF(AND('Mapa final'!$K$10="Muy Alta",'Mapa final'!$O$10="Menor"),CONCATENATE("R",'Mapa final'!$A$10),"")</f>
        <v/>
      </c>
      <c r="Q6" s="520"/>
      <c r="R6" s="520" t="str">
        <f>IF(AND('Mapa final'!$K$16="Muy Alta",'Mapa final'!$O$16="Menor"),CONCATENATE("R",'Mapa final'!$A$16),"")</f>
        <v/>
      </c>
      <c r="S6" s="520"/>
      <c r="T6" s="520" t="str">
        <f>IF(AND('Mapa final'!$K$18="Muy Alta",'Mapa final'!$O$18="Menor"),CONCATENATE("R",'Mapa final'!$A$18),"")</f>
        <v/>
      </c>
      <c r="U6" s="521"/>
      <c r="V6" s="519" t="str">
        <f>IF(AND('Mapa final'!$K$10="Muy Alta",'Mapa final'!$O$10="Moderado"),CONCATENATE("R",'Mapa final'!$A$10),"")</f>
        <v>R1</v>
      </c>
      <c r="W6" s="520"/>
      <c r="X6" s="520" t="str">
        <f>IF(AND('Mapa final'!$K$16="Muy Alta",'Mapa final'!$O$16="Moderado"),CONCATENATE("R",'Mapa final'!$A$16),"")</f>
        <v/>
      </c>
      <c r="Y6" s="520"/>
      <c r="Z6" s="520" t="str">
        <f>IF(AND('Mapa final'!$K$18="Muy Alta",'Mapa final'!$O$18="Moderado"),CONCATENATE("R",'Mapa final'!$A$18),"")</f>
        <v/>
      </c>
      <c r="AA6" s="521"/>
      <c r="AB6" s="519" t="str">
        <f>IF(AND('Mapa final'!$K$10="Muy Alta",'Mapa final'!$O$10="Mayor"),CONCATENATE("R",'Mapa final'!$A$10),"")</f>
        <v/>
      </c>
      <c r="AC6" s="520"/>
      <c r="AD6" s="520" t="str">
        <f>IF(AND('Mapa final'!$K$16="Muy Alta",'Mapa final'!$O$16="Mayor"),CONCATENATE("R",'Mapa final'!$A$16),"")</f>
        <v/>
      </c>
      <c r="AE6" s="520"/>
      <c r="AF6" s="520" t="str">
        <f>IF(AND('Mapa final'!$K$18="Muy Alta",'Mapa final'!$O$18="Mayor"),CONCATENATE("R",'Mapa final'!$A$18),"")</f>
        <v/>
      </c>
      <c r="AG6" s="521"/>
      <c r="AH6" s="510" t="str">
        <f>IF(AND('Mapa final'!$K$10="Muy Alta",'Mapa final'!$O$10="Catastrófico"),CONCATENATE("R",'Mapa final'!$A$10),"")</f>
        <v/>
      </c>
      <c r="AI6" s="511"/>
      <c r="AJ6" s="511" t="str">
        <f>IF(AND('Mapa final'!$K$16="Muy Alta",'Mapa final'!$O$16="Catastrófico"),CONCATENATE("R",'Mapa final'!$A$16),"")</f>
        <v/>
      </c>
      <c r="AK6" s="511"/>
      <c r="AL6" s="511" t="str">
        <f>IF(AND('Mapa final'!$K$18="Muy Alta",'Mapa final'!$O$18="Catastrófico"),CONCATENATE("R",'Mapa final'!$A$18),"")</f>
        <v/>
      </c>
      <c r="AM6" s="512"/>
      <c r="AO6" s="535" t="s">
        <v>77</v>
      </c>
      <c r="AP6" s="536"/>
      <c r="AQ6" s="536"/>
      <c r="AR6" s="536"/>
      <c r="AS6" s="536"/>
      <c r="AT6" s="53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33"/>
      <c r="C7" s="533"/>
      <c r="D7" s="534"/>
      <c r="E7" s="526"/>
      <c r="F7" s="527"/>
      <c r="G7" s="527"/>
      <c r="H7" s="527"/>
      <c r="I7" s="528"/>
      <c r="J7" s="513"/>
      <c r="K7" s="514"/>
      <c r="L7" s="514"/>
      <c r="M7" s="514"/>
      <c r="N7" s="514"/>
      <c r="O7" s="515"/>
      <c r="P7" s="513"/>
      <c r="Q7" s="514"/>
      <c r="R7" s="514"/>
      <c r="S7" s="514"/>
      <c r="T7" s="514"/>
      <c r="U7" s="515"/>
      <c r="V7" s="513"/>
      <c r="W7" s="514"/>
      <c r="X7" s="514"/>
      <c r="Y7" s="514"/>
      <c r="Z7" s="514"/>
      <c r="AA7" s="515"/>
      <c r="AB7" s="513"/>
      <c r="AC7" s="514"/>
      <c r="AD7" s="514"/>
      <c r="AE7" s="514"/>
      <c r="AF7" s="514"/>
      <c r="AG7" s="515"/>
      <c r="AH7" s="504"/>
      <c r="AI7" s="505"/>
      <c r="AJ7" s="505"/>
      <c r="AK7" s="505"/>
      <c r="AL7" s="505"/>
      <c r="AM7" s="506"/>
      <c r="AN7" s="67"/>
      <c r="AO7" s="538"/>
      <c r="AP7" s="539"/>
      <c r="AQ7" s="539"/>
      <c r="AR7" s="539"/>
      <c r="AS7" s="539"/>
      <c r="AT7" s="54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33"/>
      <c r="C8" s="533"/>
      <c r="D8" s="534"/>
      <c r="E8" s="526"/>
      <c r="F8" s="527"/>
      <c r="G8" s="527"/>
      <c r="H8" s="527"/>
      <c r="I8" s="528"/>
      <c r="J8" s="513" t="str">
        <f>IF(AND('Mapa final'!$K$24="Muy Alta",'Mapa final'!$O$24="Leve"),CONCATENATE("R",'Mapa final'!$A$24),"")</f>
        <v/>
      </c>
      <c r="K8" s="514"/>
      <c r="L8" s="514" t="str">
        <f>IF(AND('Mapa final'!$K$30="Muy Alta",'Mapa final'!$O$30="Leve"),CONCATENATE("R",'Mapa final'!$A$30),"")</f>
        <v/>
      </c>
      <c r="M8" s="514"/>
      <c r="N8" s="514" t="str">
        <f>IF(AND('Mapa final'!$K$36="Muy Alta",'Mapa final'!$O$36="Leve"),CONCATENATE("R",'Mapa final'!$A$36),"")</f>
        <v/>
      </c>
      <c r="O8" s="515"/>
      <c r="P8" s="513" t="str">
        <f>IF(AND('Mapa final'!$K$24="Muy Alta",'Mapa final'!$O$24="Menor"),CONCATENATE("R",'Mapa final'!$A$24),"")</f>
        <v/>
      </c>
      <c r="Q8" s="514"/>
      <c r="R8" s="514" t="str">
        <f>IF(AND('Mapa final'!$K$30="Muy Alta",'Mapa final'!$O$30="Menor"),CONCATENATE("R",'Mapa final'!$A$30),"")</f>
        <v/>
      </c>
      <c r="S8" s="514"/>
      <c r="T8" s="514" t="str">
        <f>IF(AND('Mapa final'!$K$36="Muy Alta",'Mapa final'!$O$36="Menor"),CONCATENATE("R",'Mapa final'!$A$36),"")</f>
        <v/>
      </c>
      <c r="U8" s="515"/>
      <c r="V8" s="513" t="str">
        <f>IF(AND('Mapa final'!$K$24="Muy Alta",'Mapa final'!$O$24="Moderado"),CONCATENATE("R",'Mapa final'!$A$24),"")</f>
        <v/>
      </c>
      <c r="W8" s="514"/>
      <c r="X8" s="514" t="str">
        <f>IF(AND('Mapa final'!$K$30="Muy Alta",'Mapa final'!$O$30="Moderado"),CONCATENATE("R",'Mapa final'!$A$30),"")</f>
        <v/>
      </c>
      <c r="Y8" s="514"/>
      <c r="Z8" s="514" t="str">
        <f>IF(AND('Mapa final'!$K$36="Muy Alta",'Mapa final'!$O$36="Moderado"),CONCATENATE("R",'Mapa final'!$A$36),"")</f>
        <v/>
      </c>
      <c r="AA8" s="515"/>
      <c r="AB8" s="513" t="str">
        <f>IF(AND('Mapa final'!$K$24="Muy Alta",'Mapa final'!$O$24="Mayor"),CONCATENATE("R",'Mapa final'!$A$24),"")</f>
        <v/>
      </c>
      <c r="AC8" s="514"/>
      <c r="AD8" s="514" t="str">
        <f>IF(AND('Mapa final'!$K$30="Muy Alta",'Mapa final'!$O$30="Mayor"),CONCATENATE("R",'Mapa final'!$A$30),"")</f>
        <v/>
      </c>
      <c r="AE8" s="514"/>
      <c r="AF8" s="514" t="str">
        <f>IF(AND('Mapa final'!$K$36="Muy Alta",'Mapa final'!$O$36="Mayor"),CONCATENATE("R",'Mapa final'!$A$36),"")</f>
        <v/>
      </c>
      <c r="AG8" s="515"/>
      <c r="AH8" s="504" t="str">
        <f>IF(AND('Mapa final'!$K$24="Muy Alta",'Mapa final'!$O$24="Catastrófico"),CONCATENATE("R",'Mapa final'!$A$24),"")</f>
        <v/>
      </c>
      <c r="AI8" s="505"/>
      <c r="AJ8" s="505" t="str">
        <f>IF(AND('Mapa final'!$K$30="Muy Alta",'Mapa final'!$O$30="Catastrófico"),CONCATENATE("R",'Mapa final'!$A$30),"")</f>
        <v/>
      </c>
      <c r="AK8" s="505"/>
      <c r="AL8" s="505" t="str">
        <f>IF(AND('Mapa final'!$K$36="Muy Alta",'Mapa final'!$O$36="Catastrófico"),CONCATENATE("R",'Mapa final'!$A$36),"")</f>
        <v/>
      </c>
      <c r="AM8" s="506"/>
      <c r="AN8" s="67"/>
      <c r="AO8" s="538"/>
      <c r="AP8" s="539"/>
      <c r="AQ8" s="539"/>
      <c r="AR8" s="539"/>
      <c r="AS8" s="539"/>
      <c r="AT8" s="54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33"/>
      <c r="C9" s="533"/>
      <c r="D9" s="534"/>
      <c r="E9" s="526"/>
      <c r="F9" s="527"/>
      <c r="G9" s="527"/>
      <c r="H9" s="527"/>
      <c r="I9" s="528"/>
      <c r="J9" s="513"/>
      <c r="K9" s="514"/>
      <c r="L9" s="514"/>
      <c r="M9" s="514"/>
      <c r="N9" s="514"/>
      <c r="O9" s="515"/>
      <c r="P9" s="513"/>
      <c r="Q9" s="514"/>
      <c r="R9" s="514"/>
      <c r="S9" s="514"/>
      <c r="T9" s="514"/>
      <c r="U9" s="515"/>
      <c r="V9" s="513"/>
      <c r="W9" s="514"/>
      <c r="X9" s="514"/>
      <c r="Y9" s="514"/>
      <c r="Z9" s="514"/>
      <c r="AA9" s="515"/>
      <c r="AB9" s="513"/>
      <c r="AC9" s="514"/>
      <c r="AD9" s="514"/>
      <c r="AE9" s="514"/>
      <c r="AF9" s="514"/>
      <c r="AG9" s="515"/>
      <c r="AH9" s="504"/>
      <c r="AI9" s="505"/>
      <c r="AJ9" s="505"/>
      <c r="AK9" s="505"/>
      <c r="AL9" s="505"/>
      <c r="AM9" s="506"/>
      <c r="AN9" s="67"/>
      <c r="AO9" s="538"/>
      <c r="AP9" s="539"/>
      <c r="AQ9" s="539"/>
      <c r="AR9" s="539"/>
      <c r="AS9" s="539"/>
      <c r="AT9" s="54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33"/>
      <c r="C10" s="533"/>
      <c r="D10" s="534"/>
      <c r="E10" s="526"/>
      <c r="F10" s="527"/>
      <c r="G10" s="527"/>
      <c r="H10" s="527"/>
      <c r="I10" s="528"/>
      <c r="J10" s="513" t="str">
        <f>IF(AND('Mapa final'!$K$42="Muy Alta",'Mapa final'!$O$42="Leve"),CONCATENATE("R",'Mapa final'!$A$42),"")</f>
        <v/>
      </c>
      <c r="K10" s="514"/>
      <c r="L10" s="514" t="str">
        <f>IF(AND('Mapa final'!$K$48="Muy Alta",'Mapa final'!$O$48="Leve"),CONCATENATE("R",'Mapa final'!$A$48),"")</f>
        <v/>
      </c>
      <c r="M10" s="514"/>
      <c r="N10" s="514" t="str">
        <f>IF(AND('Mapa final'!$K$54="Muy Alta",'Mapa final'!$O$54="Leve"),CONCATENATE("R",'Mapa final'!$A$54),"")</f>
        <v/>
      </c>
      <c r="O10" s="515"/>
      <c r="P10" s="513" t="str">
        <f>IF(AND('Mapa final'!$K$42="Muy Alta",'Mapa final'!$O$42="Menor"),CONCATENATE("R",'Mapa final'!$A$42),"")</f>
        <v/>
      </c>
      <c r="Q10" s="514"/>
      <c r="R10" s="514" t="str">
        <f>IF(AND('Mapa final'!$K$48="Muy Alta",'Mapa final'!$O$48="Menor"),CONCATENATE("R",'Mapa final'!$A$48),"")</f>
        <v/>
      </c>
      <c r="S10" s="514"/>
      <c r="T10" s="514" t="str">
        <f>IF(AND('Mapa final'!$K$54="Muy Alta",'Mapa final'!$O$54="Menor"),CONCATENATE("R",'Mapa final'!$A$54),"")</f>
        <v/>
      </c>
      <c r="U10" s="515"/>
      <c r="V10" s="513" t="str">
        <f>IF(AND('Mapa final'!$K$42="Muy Alta",'Mapa final'!$O$42="Moderado"),CONCATENATE("R",'Mapa final'!$A$42),"")</f>
        <v/>
      </c>
      <c r="W10" s="514"/>
      <c r="X10" s="514" t="str">
        <f>IF(AND('Mapa final'!$K$48="Muy Alta",'Mapa final'!$O$48="Moderado"),CONCATENATE("R",'Mapa final'!$A$48),"")</f>
        <v/>
      </c>
      <c r="Y10" s="514"/>
      <c r="Z10" s="514" t="str">
        <f>IF(AND('Mapa final'!$K$54="Muy Alta",'Mapa final'!$O$54="Moderado"),CONCATENATE("R",'Mapa final'!$A$54),"")</f>
        <v/>
      </c>
      <c r="AA10" s="515"/>
      <c r="AB10" s="513" t="str">
        <f>IF(AND('Mapa final'!$K$42="Muy Alta",'Mapa final'!$O$42="Mayor"),CONCATENATE("R",'Mapa final'!$A$42),"")</f>
        <v/>
      </c>
      <c r="AC10" s="514"/>
      <c r="AD10" s="514" t="str">
        <f>IF(AND('Mapa final'!$K$48="Muy Alta",'Mapa final'!$O$48="Mayor"),CONCATENATE("R",'Mapa final'!$A$48),"")</f>
        <v/>
      </c>
      <c r="AE10" s="514"/>
      <c r="AF10" s="514" t="str">
        <f>IF(AND('Mapa final'!$K$54="Muy Alta",'Mapa final'!$O$54="Mayor"),CONCATENATE("R",'Mapa final'!$A$54),"")</f>
        <v/>
      </c>
      <c r="AG10" s="515"/>
      <c r="AH10" s="504" t="str">
        <f>IF(AND('Mapa final'!$K$42="Muy Alta",'Mapa final'!$O$42="Catastrófico"),CONCATENATE("R",'Mapa final'!$A$42),"")</f>
        <v/>
      </c>
      <c r="AI10" s="505"/>
      <c r="AJ10" s="505" t="str">
        <f>IF(AND('Mapa final'!$K$48="Muy Alta",'Mapa final'!$O$48="Catastrófico"),CONCATENATE("R",'Mapa final'!$A$48),"")</f>
        <v/>
      </c>
      <c r="AK10" s="505"/>
      <c r="AL10" s="505" t="str">
        <f>IF(AND('Mapa final'!$K$54="Muy Alta",'Mapa final'!$O$54="Catastrófico"),CONCATENATE("R",'Mapa final'!$A$54),"")</f>
        <v/>
      </c>
      <c r="AM10" s="506"/>
      <c r="AN10" s="67"/>
      <c r="AO10" s="538"/>
      <c r="AP10" s="539"/>
      <c r="AQ10" s="539"/>
      <c r="AR10" s="539"/>
      <c r="AS10" s="539"/>
      <c r="AT10" s="54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33"/>
      <c r="C11" s="533"/>
      <c r="D11" s="534"/>
      <c r="E11" s="526"/>
      <c r="F11" s="527"/>
      <c r="G11" s="527"/>
      <c r="H11" s="527"/>
      <c r="I11" s="528"/>
      <c r="J11" s="513"/>
      <c r="K11" s="514"/>
      <c r="L11" s="514"/>
      <c r="M11" s="514"/>
      <c r="N11" s="514"/>
      <c r="O11" s="515"/>
      <c r="P11" s="513"/>
      <c r="Q11" s="514"/>
      <c r="R11" s="514"/>
      <c r="S11" s="514"/>
      <c r="T11" s="514"/>
      <c r="U11" s="515"/>
      <c r="V11" s="513"/>
      <c r="W11" s="514"/>
      <c r="X11" s="514"/>
      <c r="Y11" s="514"/>
      <c r="Z11" s="514"/>
      <c r="AA11" s="515"/>
      <c r="AB11" s="513"/>
      <c r="AC11" s="514"/>
      <c r="AD11" s="514"/>
      <c r="AE11" s="514"/>
      <c r="AF11" s="514"/>
      <c r="AG11" s="515"/>
      <c r="AH11" s="504"/>
      <c r="AI11" s="505"/>
      <c r="AJ11" s="505"/>
      <c r="AK11" s="505"/>
      <c r="AL11" s="505"/>
      <c r="AM11" s="506"/>
      <c r="AN11" s="67"/>
      <c r="AO11" s="538"/>
      <c r="AP11" s="539"/>
      <c r="AQ11" s="539"/>
      <c r="AR11" s="539"/>
      <c r="AS11" s="539"/>
      <c r="AT11" s="54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33"/>
      <c r="C12" s="533"/>
      <c r="D12" s="534"/>
      <c r="E12" s="526"/>
      <c r="F12" s="527"/>
      <c r="G12" s="527"/>
      <c r="H12" s="527"/>
      <c r="I12" s="528"/>
      <c r="J12" s="513" t="str">
        <f>IF(AND('Mapa final'!$K$60="Muy Alta",'Mapa final'!$O$60="Leve"),CONCATENATE("R",'Mapa final'!$A$60),"")</f>
        <v/>
      </c>
      <c r="K12" s="514"/>
      <c r="L12" s="514" t="str">
        <f>IF(AND('Mapa final'!$K$66="Muy Alta",'Mapa final'!$O$66="Leve"),CONCATENATE("R",'Mapa final'!$A$66),"")</f>
        <v/>
      </c>
      <c r="M12" s="514"/>
      <c r="N12" s="514" t="str">
        <f>IF(AND('Mapa final'!$K$72="Muy Alta",'Mapa final'!$O$72="Leve"),CONCATENATE("R",'Mapa final'!$A$72),"")</f>
        <v/>
      </c>
      <c r="O12" s="515"/>
      <c r="P12" s="513" t="str">
        <f>IF(AND('Mapa final'!$K$60="Muy Alta",'Mapa final'!$O$60="Menor"),CONCATENATE("R",'Mapa final'!$A$60),"")</f>
        <v/>
      </c>
      <c r="Q12" s="514"/>
      <c r="R12" s="514" t="str">
        <f>IF(AND('Mapa final'!$K$66="Muy Alta",'Mapa final'!$O$66="Menor"),CONCATENATE("R",'Mapa final'!$A$66),"")</f>
        <v/>
      </c>
      <c r="S12" s="514"/>
      <c r="T12" s="514" t="str">
        <f>IF(AND('Mapa final'!$K$72="Muy Alta",'Mapa final'!$O$72="Menor"),CONCATENATE("R",'Mapa final'!$A$72),"")</f>
        <v/>
      </c>
      <c r="U12" s="515"/>
      <c r="V12" s="513" t="str">
        <f>IF(AND('Mapa final'!$K$60="Muy Alta",'Mapa final'!$O$60="Moderado"),CONCATENATE("R",'Mapa final'!$A$60),"")</f>
        <v/>
      </c>
      <c r="W12" s="514"/>
      <c r="X12" s="514" t="str">
        <f>IF(AND('Mapa final'!$K$66="Muy Alta",'Mapa final'!$O$66="Moderado"),CONCATENATE("R",'Mapa final'!$A$66),"")</f>
        <v/>
      </c>
      <c r="Y12" s="514"/>
      <c r="Z12" s="514" t="str">
        <f>IF(AND('Mapa final'!$K$72="Muy Alta",'Mapa final'!$O$72="Moderado"),CONCATENATE("R",'Mapa final'!$A$72),"")</f>
        <v/>
      </c>
      <c r="AA12" s="515"/>
      <c r="AB12" s="513" t="str">
        <f>IF(AND('Mapa final'!$K$60="Muy Alta",'Mapa final'!$O$60="Mayor"),CONCATENATE("R",'Mapa final'!$A$60),"")</f>
        <v/>
      </c>
      <c r="AC12" s="514"/>
      <c r="AD12" s="514" t="str">
        <f>IF(AND('Mapa final'!$K$66="Muy Alta",'Mapa final'!$O$66="Mayor"),CONCATENATE("R",'Mapa final'!$A$66),"")</f>
        <v/>
      </c>
      <c r="AE12" s="514"/>
      <c r="AF12" s="514" t="str">
        <f>IF(AND('Mapa final'!$K$72="Muy Alta",'Mapa final'!$O$72="Mayor"),CONCATENATE("R",'Mapa final'!$A$72),"")</f>
        <v/>
      </c>
      <c r="AG12" s="515"/>
      <c r="AH12" s="504" t="str">
        <f>IF(AND('Mapa final'!$K$60="Muy Alta",'Mapa final'!$O$60="Catastrófico"),CONCATENATE("R",'Mapa final'!$A$60),"")</f>
        <v/>
      </c>
      <c r="AI12" s="505"/>
      <c r="AJ12" s="505" t="str">
        <f>IF(AND('Mapa final'!$K$66="Muy Alta",'Mapa final'!$O$66="Catastrófico"),CONCATENATE("R",'Mapa final'!$A$66),"")</f>
        <v/>
      </c>
      <c r="AK12" s="505"/>
      <c r="AL12" s="505" t="str">
        <f>IF(AND('Mapa final'!$K$72="Muy Alta",'Mapa final'!$O$72="Catastrófico"),CONCATENATE("R",'Mapa final'!$A$72),"")</f>
        <v/>
      </c>
      <c r="AM12" s="506"/>
      <c r="AN12" s="67"/>
      <c r="AO12" s="538"/>
      <c r="AP12" s="539"/>
      <c r="AQ12" s="539"/>
      <c r="AR12" s="539"/>
      <c r="AS12" s="539"/>
      <c r="AT12" s="54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33"/>
      <c r="C13" s="533"/>
      <c r="D13" s="534"/>
      <c r="E13" s="529"/>
      <c r="F13" s="530"/>
      <c r="G13" s="530"/>
      <c r="H13" s="530"/>
      <c r="I13" s="531"/>
      <c r="J13" s="513"/>
      <c r="K13" s="514"/>
      <c r="L13" s="514"/>
      <c r="M13" s="514"/>
      <c r="N13" s="514"/>
      <c r="O13" s="515"/>
      <c r="P13" s="513"/>
      <c r="Q13" s="514"/>
      <c r="R13" s="514"/>
      <c r="S13" s="514"/>
      <c r="T13" s="514"/>
      <c r="U13" s="515"/>
      <c r="V13" s="513"/>
      <c r="W13" s="514"/>
      <c r="X13" s="514"/>
      <c r="Y13" s="514"/>
      <c r="Z13" s="514"/>
      <c r="AA13" s="515"/>
      <c r="AB13" s="513"/>
      <c r="AC13" s="514"/>
      <c r="AD13" s="514"/>
      <c r="AE13" s="514"/>
      <c r="AF13" s="514"/>
      <c r="AG13" s="515"/>
      <c r="AH13" s="507"/>
      <c r="AI13" s="508"/>
      <c r="AJ13" s="508"/>
      <c r="AK13" s="508"/>
      <c r="AL13" s="508"/>
      <c r="AM13" s="509"/>
      <c r="AN13" s="67"/>
      <c r="AO13" s="541"/>
      <c r="AP13" s="542"/>
      <c r="AQ13" s="542"/>
      <c r="AR13" s="542"/>
      <c r="AS13" s="542"/>
      <c r="AT13" s="54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33"/>
      <c r="C14" s="533"/>
      <c r="D14" s="534"/>
      <c r="E14" s="523" t="s">
        <v>109</v>
      </c>
      <c r="F14" s="524"/>
      <c r="G14" s="524"/>
      <c r="H14" s="524"/>
      <c r="I14" s="524"/>
      <c r="J14" s="501" t="str">
        <f>IF(AND('Mapa final'!$K$10="Alta",'Mapa final'!$O$10="Leve"),CONCATENATE("R",'Mapa final'!$A$10),"")</f>
        <v/>
      </c>
      <c r="K14" s="502"/>
      <c r="L14" s="502" t="str">
        <f>IF(AND('Mapa final'!$K$16="Alta",'Mapa final'!$O$16="Leve"),CONCATENATE("R",'Mapa final'!$A$16),"")</f>
        <v/>
      </c>
      <c r="M14" s="502"/>
      <c r="N14" s="502" t="str">
        <f>IF(AND('Mapa final'!$K$18="Alta",'Mapa final'!$O$18="Leve"),CONCATENATE("R",'Mapa final'!$A$18),"")</f>
        <v/>
      </c>
      <c r="O14" s="503"/>
      <c r="P14" s="501" t="str">
        <f>IF(AND('Mapa final'!$K$10="Alta",'Mapa final'!$O$10="Menor"),CONCATENATE("R",'Mapa final'!$A$10),"")</f>
        <v/>
      </c>
      <c r="Q14" s="502"/>
      <c r="R14" s="502" t="str">
        <f>IF(AND('Mapa final'!$K$16="Alta",'Mapa final'!$O$16="Menor"),CONCATENATE("R",'Mapa final'!$A$16),"")</f>
        <v/>
      </c>
      <c r="S14" s="502"/>
      <c r="T14" s="502" t="str">
        <f>IF(AND('Mapa final'!$K$18="Alta",'Mapa final'!$O$18="Menor"),CONCATENATE("R",'Mapa final'!$A$18),"")</f>
        <v/>
      </c>
      <c r="U14" s="503"/>
      <c r="V14" s="519" t="str">
        <f>IF(AND('Mapa final'!$K$10="Alta",'Mapa final'!$O$10="Moderado"),CONCATENATE("R",'Mapa final'!$A$10),"")</f>
        <v/>
      </c>
      <c r="W14" s="520"/>
      <c r="X14" s="520" t="str">
        <f>IF(AND('Mapa final'!$K$16="Alta",'Mapa final'!$O$16="Moderado"),CONCATENATE("R",'Mapa final'!$A$16),"")</f>
        <v/>
      </c>
      <c r="Y14" s="520"/>
      <c r="Z14" s="520" t="str">
        <f>IF(AND('Mapa final'!$K$18="Alta",'Mapa final'!$O$18="Moderado"),CONCATENATE("R",'Mapa final'!$A$18),"")</f>
        <v/>
      </c>
      <c r="AA14" s="521"/>
      <c r="AB14" s="519" t="str">
        <f>IF(AND('Mapa final'!$K$10="Alta",'Mapa final'!$O$10="Mayor"),CONCATENATE("R",'Mapa final'!$A$10),"")</f>
        <v/>
      </c>
      <c r="AC14" s="520"/>
      <c r="AD14" s="520" t="str">
        <f>IF(AND('Mapa final'!$K$16="Alta",'Mapa final'!$O$16="Mayor"),CONCATENATE("R",'Mapa final'!$A$16),"")</f>
        <v/>
      </c>
      <c r="AE14" s="520"/>
      <c r="AF14" s="520" t="str">
        <f>IF(AND('Mapa final'!$K$18="Alta",'Mapa final'!$O$18="Mayor"),CONCATENATE("R",'Mapa final'!$A$18),"")</f>
        <v/>
      </c>
      <c r="AG14" s="521"/>
      <c r="AH14" s="510" t="str">
        <f>IF(AND('Mapa final'!$K$10="Alta",'Mapa final'!$O$10="Catastrófico"),CONCATENATE("R",'Mapa final'!$A$10),"")</f>
        <v/>
      </c>
      <c r="AI14" s="511"/>
      <c r="AJ14" s="511" t="str">
        <f>IF(AND('Mapa final'!$K$16="Alta",'Mapa final'!$O$16="Catastrófico"),CONCATENATE("R",'Mapa final'!$A$16),"")</f>
        <v/>
      </c>
      <c r="AK14" s="511"/>
      <c r="AL14" s="511" t="str">
        <f>IF(AND('Mapa final'!$K$18="Alta",'Mapa final'!$O$18="Catastrófico"),CONCATENATE("R",'Mapa final'!$A$18),"")</f>
        <v/>
      </c>
      <c r="AM14" s="512"/>
      <c r="AN14" s="67"/>
      <c r="AO14" s="544" t="s">
        <v>78</v>
      </c>
      <c r="AP14" s="545"/>
      <c r="AQ14" s="545"/>
      <c r="AR14" s="545"/>
      <c r="AS14" s="545"/>
      <c r="AT14" s="54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33"/>
      <c r="C15" s="533"/>
      <c r="D15" s="534"/>
      <c r="E15" s="526"/>
      <c r="F15" s="527"/>
      <c r="G15" s="527"/>
      <c r="H15" s="527"/>
      <c r="I15" s="527"/>
      <c r="J15" s="495"/>
      <c r="K15" s="496"/>
      <c r="L15" s="496"/>
      <c r="M15" s="496"/>
      <c r="N15" s="496"/>
      <c r="O15" s="497"/>
      <c r="P15" s="495"/>
      <c r="Q15" s="496"/>
      <c r="R15" s="496"/>
      <c r="S15" s="496"/>
      <c r="T15" s="496"/>
      <c r="U15" s="497"/>
      <c r="V15" s="513"/>
      <c r="W15" s="514"/>
      <c r="X15" s="514"/>
      <c r="Y15" s="514"/>
      <c r="Z15" s="514"/>
      <c r="AA15" s="515"/>
      <c r="AB15" s="513"/>
      <c r="AC15" s="514"/>
      <c r="AD15" s="514"/>
      <c r="AE15" s="514"/>
      <c r="AF15" s="514"/>
      <c r="AG15" s="515"/>
      <c r="AH15" s="504"/>
      <c r="AI15" s="505"/>
      <c r="AJ15" s="505"/>
      <c r="AK15" s="505"/>
      <c r="AL15" s="505"/>
      <c r="AM15" s="506"/>
      <c r="AN15" s="67"/>
      <c r="AO15" s="547"/>
      <c r="AP15" s="548"/>
      <c r="AQ15" s="548"/>
      <c r="AR15" s="548"/>
      <c r="AS15" s="548"/>
      <c r="AT15" s="54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33"/>
      <c r="C16" s="533"/>
      <c r="D16" s="534"/>
      <c r="E16" s="526"/>
      <c r="F16" s="527"/>
      <c r="G16" s="527"/>
      <c r="H16" s="527"/>
      <c r="I16" s="527"/>
      <c r="J16" s="495" t="str">
        <f>IF(AND('Mapa final'!$K$24="Alta",'Mapa final'!$O$24="Leve"),CONCATENATE("R",'Mapa final'!$A$24),"")</f>
        <v/>
      </c>
      <c r="K16" s="496"/>
      <c r="L16" s="496" t="str">
        <f>IF(AND('Mapa final'!$K$30="Alta",'Mapa final'!$O$30="Leve"),CONCATENATE("R",'Mapa final'!$A$30),"")</f>
        <v/>
      </c>
      <c r="M16" s="496"/>
      <c r="N16" s="496" t="str">
        <f>IF(AND('Mapa final'!$K$36="Alta",'Mapa final'!$O$36="Leve"),CONCATENATE("R",'Mapa final'!$A$36),"")</f>
        <v/>
      </c>
      <c r="O16" s="497"/>
      <c r="P16" s="495" t="str">
        <f>IF(AND('Mapa final'!$K$24="Alta",'Mapa final'!$O$24="Menor"),CONCATENATE("R",'Mapa final'!$A$24),"")</f>
        <v/>
      </c>
      <c r="Q16" s="496"/>
      <c r="R16" s="496" t="str">
        <f>IF(AND('Mapa final'!$K$30="Alta",'Mapa final'!$O$30="Menor"),CONCATENATE("R",'Mapa final'!$A$30),"")</f>
        <v/>
      </c>
      <c r="S16" s="496"/>
      <c r="T16" s="496" t="str">
        <f>IF(AND('Mapa final'!$K$36="Alta",'Mapa final'!$O$36="Menor"),CONCATENATE("R",'Mapa final'!$A$36),"")</f>
        <v/>
      </c>
      <c r="U16" s="497"/>
      <c r="V16" s="513" t="str">
        <f>IF(AND('Mapa final'!$K$24="Alta",'Mapa final'!$O$24="Moderado"),CONCATENATE("R",'Mapa final'!$A$24),"")</f>
        <v/>
      </c>
      <c r="W16" s="514"/>
      <c r="X16" s="514" t="str">
        <f>IF(AND('Mapa final'!$K$30="Alta",'Mapa final'!$O$30="Moderado"),CONCATENATE("R",'Mapa final'!$A$30),"")</f>
        <v/>
      </c>
      <c r="Y16" s="514"/>
      <c r="Z16" s="514" t="str">
        <f>IF(AND('Mapa final'!$K$36="Alta",'Mapa final'!$O$36="Moderado"),CONCATENATE("R",'Mapa final'!$A$36),"")</f>
        <v/>
      </c>
      <c r="AA16" s="515"/>
      <c r="AB16" s="513" t="str">
        <f>IF(AND('Mapa final'!$K$24="Alta",'Mapa final'!$O$24="Mayor"),CONCATENATE("R",'Mapa final'!$A$24),"")</f>
        <v/>
      </c>
      <c r="AC16" s="514"/>
      <c r="AD16" s="514" t="str">
        <f>IF(AND('Mapa final'!$K$30="Alta",'Mapa final'!$O$30="Mayor"),CONCATENATE("R",'Mapa final'!$A$30),"")</f>
        <v/>
      </c>
      <c r="AE16" s="514"/>
      <c r="AF16" s="514" t="str">
        <f>IF(AND('Mapa final'!$K$36="Alta",'Mapa final'!$O$36="Mayor"),CONCATENATE("R",'Mapa final'!$A$36),"")</f>
        <v/>
      </c>
      <c r="AG16" s="515"/>
      <c r="AH16" s="504" t="str">
        <f>IF(AND('Mapa final'!$K$24="Alta",'Mapa final'!$O$24="Catastrófico"),CONCATENATE("R",'Mapa final'!$A$24),"")</f>
        <v/>
      </c>
      <c r="AI16" s="505"/>
      <c r="AJ16" s="505" t="str">
        <f>IF(AND('Mapa final'!$K$30="Alta",'Mapa final'!$O$30="Catastrófico"),CONCATENATE("R",'Mapa final'!$A$30),"")</f>
        <v/>
      </c>
      <c r="AK16" s="505"/>
      <c r="AL16" s="505" t="str">
        <f>IF(AND('Mapa final'!$K$36="Alta",'Mapa final'!$O$36="Catastrófico"),CONCATENATE("R",'Mapa final'!$A$36),"")</f>
        <v/>
      </c>
      <c r="AM16" s="506"/>
      <c r="AN16" s="67"/>
      <c r="AO16" s="547"/>
      <c r="AP16" s="548"/>
      <c r="AQ16" s="548"/>
      <c r="AR16" s="548"/>
      <c r="AS16" s="548"/>
      <c r="AT16" s="54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33"/>
      <c r="C17" s="533"/>
      <c r="D17" s="534"/>
      <c r="E17" s="526"/>
      <c r="F17" s="527"/>
      <c r="G17" s="527"/>
      <c r="H17" s="527"/>
      <c r="I17" s="527"/>
      <c r="J17" s="495"/>
      <c r="K17" s="496"/>
      <c r="L17" s="496"/>
      <c r="M17" s="496"/>
      <c r="N17" s="496"/>
      <c r="O17" s="497"/>
      <c r="P17" s="495"/>
      <c r="Q17" s="496"/>
      <c r="R17" s="496"/>
      <c r="S17" s="496"/>
      <c r="T17" s="496"/>
      <c r="U17" s="497"/>
      <c r="V17" s="513"/>
      <c r="W17" s="514"/>
      <c r="X17" s="514"/>
      <c r="Y17" s="514"/>
      <c r="Z17" s="514"/>
      <c r="AA17" s="515"/>
      <c r="AB17" s="513"/>
      <c r="AC17" s="514"/>
      <c r="AD17" s="514"/>
      <c r="AE17" s="514"/>
      <c r="AF17" s="514"/>
      <c r="AG17" s="515"/>
      <c r="AH17" s="504"/>
      <c r="AI17" s="505"/>
      <c r="AJ17" s="505"/>
      <c r="AK17" s="505"/>
      <c r="AL17" s="505"/>
      <c r="AM17" s="506"/>
      <c r="AN17" s="67"/>
      <c r="AO17" s="547"/>
      <c r="AP17" s="548"/>
      <c r="AQ17" s="548"/>
      <c r="AR17" s="548"/>
      <c r="AS17" s="548"/>
      <c r="AT17" s="54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33"/>
      <c r="C18" s="533"/>
      <c r="D18" s="534"/>
      <c r="E18" s="526"/>
      <c r="F18" s="527"/>
      <c r="G18" s="527"/>
      <c r="H18" s="527"/>
      <c r="I18" s="527"/>
      <c r="J18" s="495" t="str">
        <f>IF(AND('Mapa final'!$K$42="Alta",'Mapa final'!$O$42="Leve"),CONCATENATE("R",'Mapa final'!$A$42),"")</f>
        <v/>
      </c>
      <c r="K18" s="496"/>
      <c r="L18" s="496" t="str">
        <f>IF(AND('Mapa final'!$K$48="Alta",'Mapa final'!$O$48="Leve"),CONCATENATE("R",'Mapa final'!$A$48),"")</f>
        <v/>
      </c>
      <c r="M18" s="496"/>
      <c r="N18" s="496" t="str">
        <f>IF(AND('Mapa final'!$K$54="Alta",'Mapa final'!$O$54="Leve"),CONCATENATE("R",'Mapa final'!$A$54),"")</f>
        <v/>
      </c>
      <c r="O18" s="497"/>
      <c r="P18" s="495" t="str">
        <f>IF(AND('Mapa final'!$K$42="Alta",'Mapa final'!$O$42="Menor"),CONCATENATE("R",'Mapa final'!$A$42),"")</f>
        <v/>
      </c>
      <c r="Q18" s="496"/>
      <c r="R18" s="496" t="str">
        <f>IF(AND('Mapa final'!$K$48="Alta",'Mapa final'!$O$48="Menor"),CONCATENATE("R",'Mapa final'!$A$48),"")</f>
        <v/>
      </c>
      <c r="S18" s="496"/>
      <c r="T18" s="496" t="str">
        <f>IF(AND('Mapa final'!$K$54="Alta",'Mapa final'!$O$54="Menor"),CONCATENATE("R",'Mapa final'!$A$54),"")</f>
        <v/>
      </c>
      <c r="U18" s="497"/>
      <c r="V18" s="513" t="str">
        <f>IF(AND('Mapa final'!$K$42="Alta",'Mapa final'!$O$42="Moderado"),CONCATENATE("R",'Mapa final'!$A$42),"")</f>
        <v/>
      </c>
      <c r="W18" s="514"/>
      <c r="X18" s="514" t="str">
        <f>IF(AND('Mapa final'!$K$48="Alta",'Mapa final'!$O$48="Moderado"),CONCATENATE("R",'Mapa final'!$A$48),"")</f>
        <v/>
      </c>
      <c r="Y18" s="514"/>
      <c r="Z18" s="514" t="str">
        <f>IF(AND('Mapa final'!$K$54="Alta",'Mapa final'!$O$54="Moderado"),CONCATENATE("R",'Mapa final'!$A$54),"")</f>
        <v/>
      </c>
      <c r="AA18" s="515"/>
      <c r="AB18" s="513" t="str">
        <f>IF(AND('Mapa final'!$K$42="Alta",'Mapa final'!$O$42="Mayor"),CONCATENATE("R",'Mapa final'!$A$42),"")</f>
        <v/>
      </c>
      <c r="AC18" s="514"/>
      <c r="AD18" s="514" t="str">
        <f>IF(AND('Mapa final'!$K$48="Alta",'Mapa final'!$O$48="Mayor"),CONCATENATE("R",'Mapa final'!$A$48),"")</f>
        <v/>
      </c>
      <c r="AE18" s="514"/>
      <c r="AF18" s="514" t="str">
        <f>IF(AND('Mapa final'!$K$54="Alta",'Mapa final'!$O$54="Mayor"),CONCATENATE("R",'Mapa final'!$A$54),"")</f>
        <v/>
      </c>
      <c r="AG18" s="515"/>
      <c r="AH18" s="504" t="str">
        <f>IF(AND('Mapa final'!$K$42="Alta",'Mapa final'!$O$42="Catastrófico"),CONCATENATE("R",'Mapa final'!$A$42),"")</f>
        <v/>
      </c>
      <c r="AI18" s="505"/>
      <c r="AJ18" s="505" t="str">
        <f>IF(AND('Mapa final'!$K$48="Alta",'Mapa final'!$O$48="Catastrófico"),CONCATENATE("R",'Mapa final'!$A$48),"")</f>
        <v/>
      </c>
      <c r="AK18" s="505"/>
      <c r="AL18" s="505" t="str">
        <f>IF(AND('Mapa final'!$K$54="Alta",'Mapa final'!$O$54="Catastrófico"),CONCATENATE("R",'Mapa final'!$A$54),"")</f>
        <v/>
      </c>
      <c r="AM18" s="506"/>
      <c r="AN18" s="67"/>
      <c r="AO18" s="547"/>
      <c r="AP18" s="548"/>
      <c r="AQ18" s="548"/>
      <c r="AR18" s="548"/>
      <c r="AS18" s="548"/>
      <c r="AT18" s="54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33"/>
      <c r="C19" s="533"/>
      <c r="D19" s="534"/>
      <c r="E19" s="526"/>
      <c r="F19" s="527"/>
      <c r="G19" s="527"/>
      <c r="H19" s="527"/>
      <c r="I19" s="527"/>
      <c r="J19" s="495"/>
      <c r="K19" s="496"/>
      <c r="L19" s="496"/>
      <c r="M19" s="496"/>
      <c r="N19" s="496"/>
      <c r="O19" s="497"/>
      <c r="P19" s="495"/>
      <c r="Q19" s="496"/>
      <c r="R19" s="496"/>
      <c r="S19" s="496"/>
      <c r="T19" s="496"/>
      <c r="U19" s="497"/>
      <c r="V19" s="513"/>
      <c r="W19" s="514"/>
      <c r="X19" s="514"/>
      <c r="Y19" s="514"/>
      <c r="Z19" s="514"/>
      <c r="AA19" s="515"/>
      <c r="AB19" s="513"/>
      <c r="AC19" s="514"/>
      <c r="AD19" s="514"/>
      <c r="AE19" s="514"/>
      <c r="AF19" s="514"/>
      <c r="AG19" s="515"/>
      <c r="AH19" s="504"/>
      <c r="AI19" s="505"/>
      <c r="AJ19" s="505"/>
      <c r="AK19" s="505"/>
      <c r="AL19" s="505"/>
      <c r="AM19" s="506"/>
      <c r="AN19" s="67"/>
      <c r="AO19" s="547"/>
      <c r="AP19" s="548"/>
      <c r="AQ19" s="548"/>
      <c r="AR19" s="548"/>
      <c r="AS19" s="548"/>
      <c r="AT19" s="54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33"/>
      <c r="C20" s="533"/>
      <c r="D20" s="534"/>
      <c r="E20" s="526"/>
      <c r="F20" s="527"/>
      <c r="G20" s="527"/>
      <c r="H20" s="527"/>
      <c r="I20" s="527"/>
      <c r="J20" s="495" t="str">
        <f>IF(AND('Mapa final'!$K$60="Alta",'Mapa final'!$O$60="Leve"),CONCATENATE("R",'Mapa final'!$A$60),"")</f>
        <v/>
      </c>
      <c r="K20" s="496"/>
      <c r="L20" s="496" t="str">
        <f>IF(AND('Mapa final'!$K$66="Alta",'Mapa final'!$O$66="Leve"),CONCATENATE("R",'Mapa final'!$A$66),"")</f>
        <v/>
      </c>
      <c r="M20" s="496"/>
      <c r="N20" s="496" t="str">
        <f>IF(AND('Mapa final'!$K$72="Alta",'Mapa final'!$O$72="Leve"),CONCATENATE("R",'Mapa final'!$A$72),"")</f>
        <v/>
      </c>
      <c r="O20" s="497"/>
      <c r="P20" s="495" t="str">
        <f>IF(AND('Mapa final'!$K$60="Alta",'Mapa final'!$O$60="Menor"),CONCATENATE("R",'Mapa final'!$A$60),"")</f>
        <v/>
      </c>
      <c r="Q20" s="496"/>
      <c r="R20" s="496" t="str">
        <f>IF(AND('Mapa final'!$K$66="Alta",'Mapa final'!$O$66="Menor"),CONCATENATE("R",'Mapa final'!$A$66),"")</f>
        <v/>
      </c>
      <c r="S20" s="496"/>
      <c r="T20" s="496" t="str">
        <f>IF(AND('Mapa final'!$K$72="Alta",'Mapa final'!$O$72="Menor"),CONCATENATE("R",'Mapa final'!$A$72),"")</f>
        <v/>
      </c>
      <c r="U20" s="497"/>
      <c r="V20" s="513" t="str">
        <f>IF(AND('Mapa final'!$K$60="Alta",'Mapa final'!$O$60="Moderado"),CONCATENATE("R",'Mapa final'!$A$60),"")</f>
        <v/>
      </c>
      <c r="W20" s="514"/>
      <c r="X20" s="514" t="str">
        <f>IF(AND('Mapa final'!$K$66="Alta",'Mapa final'!$O$66="Moderado"),CONCATENATE("R",'Mapa final'!$A$66),"")</f>
        <v/>
      </c>
      <c r="Y20" s="514"/>
      <c r="Z20" s="514" t="str">
        <f>IF(AND('Mapa final'!$K$72="Alta",'Mapa final'!$O$72="Moderado"),CONCATENATE("R",'Mapa final'!$A$72),"")</f>
        <v/>
      </c>
      <c r="AA20" s="515"/>
      <c r="AB20" s="513" t="str">
        <f>IF(AND('Mapa final'!$K$60="Alta",'Mapa final'!$O$60="Mayor"),CONCATENATE("R",'Mapa final'!$A$60),"")</f>
        <v/>
      </c>
      <c r="AC20" s="514"/>
      <c r="AD20" s="514" t="str">
        <f>IF(AND('Mapa final'!$K$66="Alta",'Mapa final'!$O$66="Mayor"),CONCATENATE("R",'Mapa final'!$A$66),"")</f>
        <v/>
      </c>
      <c r="AE20" s="514"/>
      <c r="AF20" s="514" t="str">
        <f>IF(AND('Mapa final'!$K$72="Alta",'Mapa final'!$O$72="Mayor"),CONCATENATE("R",'Mapa final'!$A$72),"")</f>
        <v/>
      </c>
      <c r="AG20" s="515"/>
      <c r="AH20" s="504" t="str">
        <f>IF(AND('Mapa final'!$K$60="Alta",'Mapa final'!$O$60="Catastrófico"),CONCATENATE("R",'Mapa final'!$A$60),"")</f>
        <v/>
      </c>
      <c r="AI20" s="505"/>
      <c r="AJ20" s="505" t="str">
        <f>IF(AND('Mapa final'!$K$66="Alta",'Mapa final'!$O$66="Catastrófico"),CONCATENATE("R",'Mapa final'!$A$66),"")</f>
        <v/>
      </c>
      <c r="AK20" s="505"/>
      <c r="AL20" s="505" t="str">
        <f>IF(AND('Mapa final'!$K$72="Alta",'Mapa final'!$O$72="Catastrófico"),CONCATENATE("R",'Mapa final'!$A$72),"")</f>
        <v/>
      </c>
      <c r="AM20" s="506"/>
      <c r="AN20" s="67"/>
      <c r="AO20" s="547"/>
      <c r="AP20" s="548"/>
      <c r="AQ20" s="548"/>
      <c r="AR20" s="548"/>
      <c r="AS20" s="548"/>
      <c r="AT20" s="54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33"/>
      <c r="C21" s="533"/>
      <c r="D21" s="534"/>
      <c r="E21" s="529"/>
      <c r="F21" s="530"/>
      <c r="G21" s="530"/>
      <c r="H21" s="530"/>
      <c r="I21" s="530"/>
      <c r="J21" s="498"/>
      <c r="K21" s="499"/>
      <c r="L21" s="499"/>
      <c r="M21" s="499"/>
      <c r="N21" s="499"/>
      <c r="O21" s="500"/>
      <c r="P21" s="498"/>
      <c r="Q21" s="499"/>
      <c r="R21" s="499"/>
      <c r="S21" s="499"/>
      <c r="T21" s="499"/>
      <c r="U21" s="500"/>
      <c r="V21" s="516"/>
      <c r="W21" s="517"/>
      <c r="X21" s="517"/>
      <c r="Y21" s="517"/>
      <c r="Z21" s="517"/>
      <c r="AA21" s="518"/>
      <c r="AB21" s="516"/>
      <c r="AC21" s="517"/>
      <c r="AD21" s="517"/>
      <c r="AE21" s="517"/>
      <c r="AF21" s="517"/>
      <c r="AG21" s="518"/>
      <c r="AH21" s="507"/>
      <c r="AI21" s="508"/>
      <c r="AJ21" s="508"/>
      <c r="AK21" s="508"/>
      <c r="AL21" s="508"/>
      <c r="AM21" s="509"/>
      <c r="AN21" s="67"/>
      <c r="AO21" s="550"/>
      <c r="AP21" s="551"/>
      <c r="AQ21" s="551"/>
      <c r="AR21" s="551"/>
      <c r="AS21" s="551"/>
      <c r="AT21" s="55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33"/>
      <c r="C22" s="533"/>
      <c r="D22" s="534"/>
      <c r="E22" s="523" t="s">
        <v>111</v>
      </c>
      <c r="F22" s="524"/>
      <c r="G22" s="524"/>
      <c r="H22" s="524"/>
      <c r="I22" s="525"/>
      <c r="J22" s="501" t="str">
        <f>IF(AND('Mapa final'!$K$10="Media",'Mapa final'!$O$10="Leve"),CONCATENATE("R",'Mapa final'!$A$10),"")</f>
        <v/>
      </c>
      <c r="K22" s="502"/>
      <c r="L22" s="502" t="str">
        <f>IF(AND('Mapa final'!$K$16="Media",'Mapa final'!$O$16="Leve"),CONCATENATE("R",'Mapa final'!$A$16),"")</f>
        <v/>
      </c>
      <c r="M22" s="502"/>
      <c r="N22" s="502" t="str">
        <f>IF(AND('Mapa final'!$K$18="Media",'Mapa final'!$O$18="Leve"),CONCATENATE("R",'Mapa final'!$A$18),"")</f>
        <v/>
      </c>
      <c r="O22" s="503"/>
      <c r="P22" s="501" t="str">
        <f>IF(AND('Mapa final'!$K$10="Media",'Mapa final'!$O$10="Menor"),CONCATENATE("R",'Mapa final'!$A$10),"")</f>
        <v/>
      </c>
      <c r="Q22" s="502"/>
      <c r="R22" s="502" t="str">
        <f>IF(AND('Mapa final'!$K$16="Media",'Mapa final'!$O$16="Menor"),CONCATENATE("R",'Mapa final'!$A$16),"")</f>
        <v/>
      </c>
      <c r="S22" s="502"/>
      <c r="T22" s="502" t="str">
        <f>IF(AND('Mapa final'!$K$18="Media",'Mapa final'!$O$18="Menor"),CONCATENATE("R",'Mapa final'!$A$18),"")</f>
        <v/>
      </c>
      <c r="U22" s="503"/>
      <c r="V22" s="501" t="str">
        <f>IF(AND('Mapa final'!$K$10="Media",'Mapa final'!$O$10="Moderado"),CONCATENATE("R",'Mapa final'!$A$10),"")</f>
        <v/>
      </c>
      <c r="W22" s="502"/>
      <c r="X22" s="502" t="str">
        <f>IF(AND('Mapa final'!$K$16="Media",'Mapa final'!$O$16="Moderado"),CONCATENATE("R",'Mapa final'!$A$16),"")</f>
        <v>R2</v>
      </c>
      <c r="Y22" s="502"/>
      <c r="Z22" s="502" t="str">
        <f>IF(AND('Mapa final'!$K$18="Media",'Mapa final'!$O$18="Moderado"),CONCATENATE("R",'Mapa final'!$A$18),"")</f>
        <v/>
      </c>
      <c r="AA22" s="503"/>
      <c r="AB22" s="519" t="str">
        <f>IF(AND('Mapa final'!$K$10="Media",'Mapa final'!$O$10="Mayor"),CONCATENATE("R",'Mapa final'!$A$10),"")</f>
        <v/>
      </c>
      <c r="AC22" s="520"/>
      <c r="AD22" s="520" t="str">
        <f>IF(AND('Mapa final'!$K$16="Media",'Mapa final'!$O$16="Mayor"),CONCATENATE("R",'Mapa final'!$A$16),"")</f>
        <v/>
      </c>
      <c r="AE22" s="520"/>
      <c r="AF22" s="520" t="str">
        <f>IF(AND('Mapa final'!$K$18="Media",'Mapa final'!$O$18="Mayor"),CONCATENATE("R",'Mapa final'!$A$18),"")</f>
        <v/>
      </c>
      <c r="AG22" s="521"/>
      <c r="AH22" s="510" t="str">
        <f>IF(AND('Mapa final'!$K$10="Media",'Mapa final'!$O$10="Catastrófico"),CONCATENATE("R",'Mapa final'!$A$10),"")</f>
        <v/>
      </c>
      <c r="AI22" s="511"/>
      <c r="AJ22" s="511" t="str">
        <f>IF(AND('Mapa final'!$K$16="Media",'Mapa final'!$O$16="Catastrófico"),CONCATENATE("R",'Mapa final'!$A$16),"")</f>
        <v/>
      </c>
      <c r="AK22" s="511"/>
      <c r="AL22" s="511" t="str">
        <f>IF(AND('Mapa final'!$K$18="Media",'Mapa final'!$O$18="Catastrófico"),CONCATENATE("R",'Mapa final'!$A$18),"")</f>
        <v/>
      </c>
      <c r="AM22" s="512"/>
      <c r="AN22" s="67"/>
      <c r="AO22" s="553" t="s">
        <v>79</v>
      </c>
      <c r="AP22" s="554"/>
      <c r="AQ22" s="554"/>
      <c r="AR22" s="554"/>
      <c r="AS22" s="554"/>
      <c r="AT22" s="55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33"/>
      <c r="C23" s="533"/>
      <c r="D23" s="534"/>
      <c r="E23" s="526"/>
      <c r="F23" s="527"/>
      <c r="G23" s="527"/>
      <c r="H23" s="527"/>
      <c r="I23" s="528"/>
      <c r="J23" s="495"/>
      <c r="K23" s="496"/>
      <c r="L23" s="496"/>
      <c r="M23" s="496"/>
      <c r="N23" s="496"/>
      <c r="O23" s="497"/>
      <c r="P23" s="495"/>
      <c r="Q23" s="496"/>
      <c r="R23" s="496"/>
      <c r="S23" s="496"/>
      <c r="T23" s="496"/>
      <c r="U23" s="497"/>
      <c r="V23" s="495"/>
      <c r="W23" s="496"/>
      <c r="X23" s="496"/>
      <c r="Y23" s="496"/>
      <c r="Z23" s="496"/>
      <c r="AA23" s="497"/>
      <c r="AB23" s="513"/>
      <c r="AC23" s="514"/>
      <c r="AD23" s="514"/>
      <c r="AE23" s="514"/>
      <c r="AF23" s="514"/>
      <c r="AG23" s="515"/>
      <c r="AH23" s="504"/>
      <c r="AI23" s="505"/>
      <c r="AJ23" s="505"/>
      <c r="AK23" s="505"/>
      <c r="AL23" s="505"/>
      <c r="AM23" s="506"/>
      <c r="AN23" s="67"/>
      <c r="AO23" s="556"/>
      <c r="AP23" s="557"/>
      <c r="AQ23" s="557"/>
      <c r="AR23" s="557"/>
      <c r="AS23" s="557"/>
      <c r="AT23" s="55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33"/>
      <c r="C24" s="533"/>
      <c r="D24" s="534"/>
      <c r="E24" s="526"/>
      <c r="F24" s="527"/>
      <c r="G24" s="527"/>
      <c r="H24" s="527"/>
      <c r="I24" s="528"/>
      <c r="J24" s="495" t="str">
        <f>IF(AND('Mapa final'!$K$24="Media",'Mapa final'!$O$24="Leve"),CONCATENATE("R",'Mapa final'!$A$24),"")</f>
        <v/>
      </c>
      <c r="K24" s="496"/>
      <c r="L24" s="496" t="str">
        <f>IF(AND('Mapa final'!$K$30="Media",'Mapa final'!$O$30="Leve"),CONCATENATE("R",'Mapa final'!$A$30),"")</f>
        <v/>
      </c>
      <c r="M24" s="496"/>
      <c r="N24" s="496" t="str">
        <f>IF(AND('Mapa final'!$K$36="Media",'Mapa final'!$O$36="Leve"),CONCATENATE("R",'Mapa final'!$A$36),"")</f>
        <v/>
      </c>
      <c r="O24" s="497"/>
      <c r="P24" s="495" t="str">
        <f>IF(AND('Mapa final'!$K$24="Media",'Mapa final'!$O$24="Menor"),CONCATENATE("R",'Mapa final'!$A$24),"")</f>
        <v/>
      </c>
      <c r="Q24" s="496"/>
      <c r="R24" s="496" t="str">
        <f>IF(AND('Mapa final'!$K$30="Media",'Mapa final'!$O$30="Menor"),CONCATENATE("R",'Mapa final'!$A$30),"")</f>
        <v/>
      </c>
      <c r="S24" s="496"/>
      <c r="T24" s="496" t="str">
        <f>IF(AND('Mapa final'!$K$36="Media",'Mapa final'!$O$36="Menor"),CONCATENATE("R",'Mapa final'!$A$36),"")</f>
        <v/>
      </c>
      <c r="U24" s="497"/>
      <c r="V24" s="495" t="str">
        <f>IF(AND('Mapa final'!$K$24="Media",'Mapa final'!$O$24="Moderado"),CONCATENATE("R",'Mapa final'!$A$24),"")</f>
        <v/>
      </c>
      <c r="W24" s="496"/>
      <c r="X24" s="496" t="str">
        <f>IF(AND('Mapa final'!$K$30="Media",'Mapa final'!$O$30="Moderado"),CONCATENATE("R",'Mapa final'!$A$30),"")</f>
        <v/>
      </c>
      <c r="Y24" s="496"/>
      <c r="Z24" s="496" t="str">
        <f>IF(AND('Mapa final'!$K$36="Media",'Mapa final'!$O$36="Moderado"),CONCATENATE("R",'Mapa final'!$A$36),"")</f>
        <v/>
      </c>
      <c r="AA24" s="497"/>
      <c r="AB24" s="513" t="str">
        <f>IF(AND('Mapa final'!$K$24="Media",'Mapa final'!$O$24="Mayor"),CONCATENATE("R",'Mapa final'!$A$24),"")</f>
        <v/>
      </c>
      <c r="AC24" s="514"/>
      <c r="AD24" s="514" t="str">
        <f>IF(AND('Mapa final'!$K$30="Media",'Mapa final'!$O$30="Mayor"),CONCATENATE("R",'Mapa final'!$A$30),"")</f>
        <v/>
      </c>
      <c r="AE24" s="514"/>
      <c r="AF24" s="514" t="str">
        <f>IF(AND('Mapa final'!$K$36="Media",'Mapa final'!$O$36="Mayor"),CONCATENATE("R",'Mapa final'!$A$36),"")</f>
        <v/>
      </c>
      <c r="AG24" s="515"/>
      <c r="AH24" s="504" t="str">
        <f>IF(AND('Mapa final'!$K$24="Media",'Mapa final'!$O$24="Catastrófico"),CONCATENATE("R",'Mapa final'!$A$24),"")</f>
        <v/>
      </c>
      <c r="AI24" s="505"/>
      <c r="AJ24" s="505" t="str">
        <f>IF(AND('Mapa final'!$K$30="Media",'Mapa final'!$O$30="Catastrófico"),CONCATENATE("R",'Mapa final'!$A$30),"")</f>
        <v/>
      </c>
      <c r="AK24" s="505"/>
      <c r="AL24" s="505" t="str">
        <f>IF(AND('Mapa final'!$K$36="Media",'Mapa final'!$O$36="Catastrófico"),CONCATENATE("R",'Mapa final'!$A$36),"")</f>
        <v/>
      </c>
      <c r="AM24" s="506"/>
      <c r="AN24" s="67"/>
      <c r="AO24" s="556"/>
      <c r="AP24" s="557"/>
      <c r="AQ24" s="557"/>
      <c r="AR24" s="557"/>
      <c r="AS24" s="557"/>
      <c r="AT24" s="55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33"/>
      <c r="C25" s="533"/>
      <c r="D25" s="534"/>
      <c r="E25" s="526"/>
      <c r="F25" s="527"/>
      <c r="G25" s="527"/>
      <c r="H25" s="527"/>
      <c r="I25" s="528"/>
      <c r="J25" s="495"/>
      <c r="K25" s="496"/>
      <c r="L25" s="496"/>
      <c r="M25" s="496"/>
      <c r="N25" s="496"/>
      <c r="O25" s="497"/>
      <c r="P25" s="495"/>
      <c r="Q25" s="496"/>
      <c r="R25" s="496"/>
      <c r="S25" s="496"/>
      <c r="T25" s="496"/>
      <c r="U25" s="497"/>
      <c r="V25" s="495"/>
      <c r="W25" s="496"/>
      <c r="X25" s="496"/>
      <c r="Y25" s="496"/>
      <c r="Z25" s="496"/>
      <c r="AA25" s="497"/>
      <c r="AB25" s="513"/>
      <c r="AC25" s="514"/>
      <c r="AD25" s="514"/>
      <c r="AE25" s="514"/>
      <c r="AF25" s="514"/>
      <c r="AG25" s="515"/>
      <c r="AH25" s="504"/>
      <c r="AI25" s="505"/>
      <c r="AJ25" s="505"/>
      <c r="AK25" s="505"/>
      <c r="AL25" s="505"/>
      <c r="AM25" s="506"/>
      <c r="AN25" s="67"/>
      <c r="AO25" s="556"/>
      <c r="AP25" s="557"/>
      <c r="AQ25" s="557"/>
      <c r="AR25" s="557"/>
      <c r="AS25" s="557"/>
      <c r="AT25" s="55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33"/>
      <c r="C26" s="533"/>
      <c r="D26" s="534"/>
      <c r="E26" s="526"/>
      <c r="F26" s="527"/>
      <c r="G26" s="527"/>
      <c r="H26" s="527"/>
      <c r="I26" s="528"/>
      <c r="J26" s="495" t="str">
        <f>IF(AND('Mapa final'!$K$42="Media",'Mapa final'!$O$42="Leve"),CONCATENATE("R",'Mapa final'!$A$42),"")</f>
        <v/>
      </c>
      <c r="K26" s="496"/>
      <c r="L26" s="496" t="str">
        <f>IF(AND('Mapa final'!$K$48="Media",'Mapa final'!$O$48="Leve"),CONCATENATE("R",'Mapa final'!$A$48),"")</f>
        <v/>
      </c>
      <c r="M26" s="496"/>
      <c r="N26" s="496" t="str">
        <f>IF(AND('Mapa final'!$K$54="Media",'Mapa final'!$O$54="Leve"),CONCATENATE("R",'Mapa final'!$A$54),"")</f>
        <v/>
      </c>
      <c r="O26" s="497"/>
      <c r="P26" s="495" t="str">
        <f>IF(AND('Mapa final'!$K$42="Media",'Mapa final'!$O$42="Menor"),CONCATENATE("R",'Mapa final'!$A$42),"")</f>
        <v/>
      </c>
      <c r="Q26" s="496"/>
      <c r="R26" s="496" t="str">
        <f>IF(AND('Mapa final'!$K$48="Media",'Mapa final'!$O$48="Menor"),CONCATENATE("R",'Mapa final'!$A$48),"")</f>
        <v/>
      </c>
      <c r="S26" s="496"/>
      <c r="T26" s="496" t="str">
        <f>IF(AND('Mapa final'!$K$54="Media",'Mapa final'!$O$54="Menor"),CONCATENATE("R",'Mapa final'!$A$54),"")</f>
        <v/>
      </c>
      <c r="U26" s="497"/>
      <c r="V26" s="495" t="str">
        <f>IF(AND('Mapa final'!$K$42="Media",'Mapa final'!$O$42="Moderado"),CONCATENATE("R",'Mapa final'!$A$42),"")</f>
        <v/>
      </c>
      <c r="W26" s="496"/>
      <c r="X26" s="496" t="str">
        <f>IF(AND('Mapa final'!$K$48="Media",'Mapa final'!$O$48="Moderado"),CONCATENATE("R",'Mapa final'!$A$48),"")</f>
        <v/>
      </c>
      <c r="Y26" s="496"/>
      <c r="Z26" s="496" t="str">
        <f>IF(AND('Mapa final'!$K$54="Media",'Mapa final'!$O$54="Moderado"),CONCATENATE("R",'Mapa final'!$A$54),"")</f>
        <v/>
      </c>
      <c r="AA26" s="497"/>
      <c r="AB26" s="513" t="str">
        <f>IF(AND('Mapa final'!$K$42="Media",'Mapa final'!$O$42="Mayor"),CONCATENATE("R",'Mapa final'!$A$42),"")</f>
        <v/>
      </c>
      <c r="AC26" s="514"/>
      <c r="AD26" s="514" t="str">
        <f>IF(AND('Mapa final'!$K$48="Media",'Mapa final'!$O$48="Mayor"),CONCATENATE("R",'Mapa final'!$A$48),"")</f>
        <v/>
      </c>
      <c r="AE26" s="514"/>
      <c r="AF26" s="514" t="str">
        <f>IF(AND('Mapa final'!$K$54="Media",'Mapa final'!$O$54="Mayor"),CONCATENATE("R",'Mapa final'!$A$54),"")</f>
        <v/>
      </c>
      <c r="AG26" s="515"/>
      <c r="AH26" s="504" t="str">
        <f>IF(AND('Mapa final'!$K$42="Media",'Mapa final'!$O$42="Catastrófico"),CONCATENATE("R",'Mapa final'!$A$42),"")</f>
        <v/>
      </c>
      <c r="AI26" s="505"/>
      <c r="AJ26" s="505" t="str">
        <f>IF(AND('Mapa final'!$K$48="Media",'Mapa final'!$O$48="Catastrófico"),CONCATENATE("R",'Mapa final'!$A$48),"")</f>
        <v/>
      </c>
      <c r="AK26" s="505"/>
      <c r="AL26" s="505" t="str">
        <f>IF(AND('Mapa final'!$K$54="Media",'Mapa final'!$O$54="Catastrófico"),CONCATENATE("R",'Mapa final'!$A$54),"")</f>
        <v/>
      </c>
      <c r="AM26" s="506"/>
      <c r="AN26" s="67"/>
      <c r="AO26" s="556"/>
      <c r="AP26" s="557"/>
      <c r="AQ26" s="557"/>
      <c r="AR26" s="557"/>
      <c r="AS26" s="557"/>
      <c r="AT26" s="55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33"/>
      <c r="C27" s="533"/>
      <c r="D27" s="534"/>
      <c r="E27" s="526"/>
      <c r="F27" s="527"/>
      <c r="G27" s="527"/>
      <c r="H27" s="527"/>
      <c r="I27" s="528"/>
      <c r="J27" s="495"/>
      <c r="K27" s="496"/>
      <c r="L27" s="496"/>
      <c r="M27" s="496"/>
      <c r="N27" s="496"/>
      <c r="O27" s="497"/>
      <c r="P27" s="495"/>
      <c r="Q27" s="496"/>
      <c r="R27" s="496"/>
      <c r="S27" s="496"/>
      <c r="T27" s="496"/>
      <c r="U27" s="497"/>
      <c r="V27" s="495"/>
      <c r="W27" s="496"/>
      <c r="X27" s="496"/>
      <c r="Y27" s="496"/>
      <c r="Z27" s="496"/>
      <c r="AA27" s="497"/>
      <c r="AB27" s="513"/>
      <c r="AC27" s="514"/>
      <c r="AD27" s="514"/>
      <c r="AE27" s="514"/>
      <c r="AF27" s="514"/>
      <c r="AG27" s="515"/>
      <c r="AH27" s="504"/>
      <c r="AI27" s="505"/>
      <c r="AJ27" s="505"/>
      <c r="AK27" s="505"/>
      <c r="AL27" s="505"/>
      <c r="AM27" s="506"/>
      <c r="AN27" s="67"/>
      <c r="AO27" s="556"/>
      <c r="AP27" s="557"/>
      <c r="AQ27" s="557"/>
      <c r="AR27" s="557"/>
      <c r="AS27" s="557"/>
      <c r="AT27" s="55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33"/>
      <c r="C28" s="533"/>
      <c r="D28" s="534"/>
      <c r="E28" s="526"/>
      <c r="F28" s="527"/>
      <c r="G28" s="527"/>
      <c r="H28" s="527"/>
      <c r="I28" s="528"/>
      <c r="J28" s="495" t="str">
        <f>IF(AND('Mapa final'!$K$60="Media",'Mapa final'!$O$60="Leve"),CONCATENATE("R",'Mapa final'!$A$60),"")</f>
        <v/>
      </c>
      <c r="K28" s="496"/>
      <c r="L28" s="496" t="str">
        <f>IF(AND('Mapa final'!$K$66="Media",'Mapa final'!$O$66="Leve"),CONCATENATE("R",'Mapa final'!$A$66),"")</f>
        <v/>
      </c>
      <c r="M28" s="496"/>
      <c r="N28" s="496" t="str">
        <f>IF(AND('Mapa final'!$K$72="Media",'Mapa final'!$O$72="Leve"),CONCATENATE("R",'Mapa final'!$A$72),"")</f>
        <v/>
      </c>
      <c r="O28" s="497"/>
      <c r="P28" s="495" t="str">
        <f>IF(AND('Mapa final'!$K$60="Media",'Mapa final'!$O$60="Menor"),CONCATENATE("R",'Mapa final'!$A$60),"")</f>
        <v/>
      </c>
      <c r="Q28" s="496"/>
      <c r="R28" s="496" t="str">
        <f>IF(AND('Mapa final'!$K$66="Media",'Mapa final'!$O$66="Menor"),CONCATENATE("R",'Mapa final'!$A$66),"")</f>
        <v/>
      </c>
      <c r="S28" s="496"/>
      <c r="T28" s="496" t="str">
        <f>IF(AND('Mapa final'!$K$72="Media",'Mapa final'!$O$72="Menor"),CONCATENATE("R",'Mapa final'!$A$72),"")</f>
        <v/>
      </c>
      <c r="U28" s="497"/>
      <c r="V28" s="495" t="str">
        <f>IF(AND('Mapa final'!$K$60="Media",'Mapa final'!$O$60="Moderado"),CONCATENATE("R",'Mapa final'!$A$60),"")</f>
        <v/>
      </c>
      <c r="W28" s="496"/>
      <c r="X28" s="496" t="str">
        <f>IF(AND('Mapa final'!$K$66="Media",'Mapa final'!$O$66="Moderado"),CONCATENATE("R",'Mapa final'!$A$66),"")</f>
        <v/>
      </c>
      <c r="Y28" s="496"/>
      <c r="Z28" s="496" t="str">
        <f>IF(AND('Mapa final'!$K$72="Media",'Mapa final'!$O$72="Moderado"),CONCATENATE("R",'Mapa final'!$A$72),"")</f>
        <v/>
      </c>
      <c r="AA28" s="497"/>
      <c r="AB28" s="513" t="str">
        <f>IF(AND('Mapa final'!$K$60="Media",'Mapa final'!$O$60="Mayor"),CONCATENATE("R",'Mapa final'!$A$60),"")</f>
        <v/>
      </c>
      <c r="AC28" s="514"/>
      <c r="AD28" s="514" t="str">
        <f>IF(AND('Mapa final'!$K$66="Media",'Mapa final'!$O$66="Mayor"),CONCATENATE("R",'Mapa final'!$A$66),"")</f>
        <v/>
      </c>
      <c r="AE28" s="514"/>
      <c r="AF28" s="514" t="str">
        <f>IF(AND('Mapa final'!$K$72="Media",'Mapa final'!$O$72="Mayor"),CONCATENATE("R",'Mapa final'!$A$72),"")</f>
        <v/>
      </c>
      <c r="AG28" s="515"/>
      <c r="AH28" s="504" t="str">
        <f>IF(AND('Mapa final'!$K$60="Media",'Mapa final'!$O$60="Catastrófico"),CONCATENATE("R",'Mapa final'!$A$60),"")</f>
        <v/>
      </c>
      <c r="AI28" s="505"/>
      <c r="AJ28" s="505" t="str">
        <f>IF(AND('Mapa final'!$K$66="Media",'Mapa final'!$O$66="Catastrófico"),CONCATENATE("R",'Mapa final'!$A$66),"")</f>
        <v/>
      </c>
      <c r="AK28" s="505"/>
      <c r="AL28" s="505" t="str">
        <f>IF(AND('Mapa final'!$K$72="Media",'Mapa final'!$O$72="Catastrófico"),CONCATENATE("R",'Mapa final'!$A$72),"")</f>
        <v/>
      </c>
      <c r="AM28" s="506"/>
      <c r="AN28" s="67"/>
      <c r="AO28" s="556"/>
      <c r="AP28" s="557"/>
      <c r="AQ28" s="557"/>
      <c r="AR28" s="557"/>
      <c r="AS28" s="557"/>
      <c r="AT28" s="55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33"/>
      <c r="C29" s="533"/>
      <c r="D29" s="534"/>
      <c r="E29" s="529"/>
      <c r="F29" s="530"/>
      <c r="G29" s="530"/>
      <c r="H29" s="530"/>
      <c r="I29" s="531"/>
      <c r="J29" s="495"/>
      <c r="K29" s="496"/>
      <c r="L29" s="496"/>
      <c r="M29" s="496"/>
      <c r="N29" s="496"/>
      <c r="O29" s="497"/>
      <c r="P29" s="498"/>
      <c r="Q29" s="499"/>
      <c r="R29" s="499"/>
      <c r="S29" s="499"/>
      <c r="T29" s="499"/>
      <c r="U29" s="500"/>
      <c r="V29" s="498"/>
      <c r="W29" s="499"/>
      <c r="X29" s="499"/>
      <c r="Y29" s="499"/>
      <c r="Z29" s="499"/>
      <c r="AA29" s="500"/>
      <c r="AB29" s="516"/>
      <c r="AC29" s="517"/>
      <c r="AD29" s="517"/>
      <c r="AE29" s="517"/>
      <c r="AF29" s="517"/>
      <c r="AG29" s="518"/>
      <c r="AH29" s="507"/>
      <c r="AI29" s="508"/>
      <c r="AJ29" s="508"/>
      <c r="AK29" s="508"/>
      <c r="AL29" s="508"/>
      <c r="AM29" s="509"/>
      <c r="AN29" s="67"/>
      <c r="AO29" s="559"/>
      <c r="AP29" s="560"/>
      <c r="AQ29" s="560"/>
      <c r="AR29" s="560"/>
      <c r="AS29" s="560"/>
      <c r="AT29" s="56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33"/>
      <c r="C30" s="533"/>
      <c r="D30" s="534"/>
      <c r="E30" s="523" t="s">
        <v>108</v>
      </c>
      <c r="F30" s="524"/>
      <c r="G30" s="524"/>
      <c r="H30" s="524"/>
      <c r="I30" s="524"/>
      <c r="J30" s="492" t="str">
        <f>IF(AND('Mapa final'!$K$10="Baja",'Mapa final'!$O$10="Leve"),CONCATENATE("R",'Mapa final'!$A$10),"")</f>
        <v/>
      </c>
      <c r="K30" s="493"/>
      <c r="L30" s="493" t="str">
        <f>IF(AND('Mapa final'!$K$16="Baja",'Mapa final'!$O$16="Leve"),CONCATENATE("R",'Mapa final'!$A$16),"")</f>
        <v/>
      </c>
      <c r="M30" s="493"/>
      <c r="N30" s="493" t="str">
        <f>IF(AND('Mapa final'!$K$18="Baja",'Mapa final'!$O$18="Leve"),CONCATENATE("R",'Mapa final'!$A$18),"")</f>
        <v/>
      </c>
      <c r="O30" s="494"/>
      <c r="P30" s="502" t="str">
        <f>IF(AND('Mapa final'!$K$10="Baja",'Mapa final'!$O$10="Menor"),CONCATENATE("R",'Mapa final'!$A$10),"")</f>
        <v/>
      </c>
      <c r="Q30" s="502"/>
      <c r="R30" s="502" t="str">
        <f>IF(AND('Mapa final'!$K$16="Baja",'Mapa final'!$O$16="Menor"),CONCATENATE("R",'Mapa final'!$A$16),"")</f>
        <v/>
      </c>
      <c r="S30" s="502"/>
      <c r="T30" s="502" t="str">
        <f>IF(AND('Mapa final'!$K$18="Baja",'Mapa final'!$O$18="Menor"),CONCATENATE("R",'Mapa final'!$A$18),"")</f>
        <v/>
      </c>
      <c r="U30" s="503"/>
      <c r="V30" s="501" t="str">
        <f>IF(AND('Mapa final'!$K$10="Baja",'Mapa final'!$O$10="Moderado"),CONCATENATE("R",'Mapa final'!$A$10),"")</f>
        <v/>
      </c>
      <c r="W30" s="502"/>
      <c r="X30" s="502" t="str">
        <f>IF(AND('Mapa final'!$K$16="Baja",'Mapa final'!$O$16="Moderado"),CONCATENATE("R",'Mapa final'!$A$16),"")</f>
        <v/>
      </c>
      <c r="Y30" s="502"/>
      <c r="Z30" s="502" t="str">
        <f>IF(AND('Mapa final'!$K$18="Baja",'Mapa final'!$O$18="Moderado"),CONCATENATE("R",'Mapa final'!$A$18),"")</f>
        <v/>
      </c>
      <c r="AA30" s="503"/>
      <c r="AB30" s="519" t="str">
        <f>IF(AND('Mapa final'!$K$10="Baja",'Mapa final'!$O$10="Mayor"),CONCATENATE("R",'Mapa final'!$A$10),"")</f>
        <v/>
      </c>
      <c r="AC30" s="520"/>
      <c r="AD30" s="520" t="str">
        <f>IF(AND('Mapa final'!$K$16="Baja",'Mapa final'!$O$16="Mayor"),CONCATENATE("R",'Mapa final'!$A$16),"")</f>
        <v/>
      </c>
      <c r="AE30" s="520"/>
      <c r="AF30" s="520" t="str">
        <f>IF(AND('Mapa final'!$K$18="Baja",'Mapa final'!$O$18="Mayor"),CONCATENATE("R",'Mapa final'!$A$18),"")</f>
        <v/>
      </c>
      <c r="AG30" s="521"/>
      <c r="AH30" s="510" t="str">
        <f>IF(AND('Mapa final'!$K$10="Baja",'Mapa final'!$O$10="Catastrófico"),CONCATENATE("R",'Mapa final'!$A$10),"")</f>
        <v/>
      </c>
      <c r="AI30" s="511"/>
      <c r="AJ30" s="511" t="str">
        <f>IF(AND('Mapa final'!$K$16="Baja",'Mapa final'!$O$16="Catastrófico"),CONCATENATE("R",'Mapa final'!$A$16),"")</f>
        <v/>
      </c>
      <c r="AK30" s="511"/>
      <c r="AL30" s="511" t="str">
        <f>IF(AND('Mapa final'!$K$18="Baja",'Mapa final'!$O$18="Catastrófico"),CONCATENATE("R",'Mapa final'!$A$18),"")</f>
        <v/>
      </c>
      <c r="AM30" s="512"/>
      <c r="AN30" s="67"/>
      <c r="AO30" s="562" t="s">
        <v>80</v>
      </c>
      <c r="AP30" s="563"/>
      <c r="AQ30" s="563"/>
      <c r="AR30" s="563"/>
      <c r="AS30" s="563"/>
      <c r="AT30" s="56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33"/>
      <c r="C31" s="533"/>
      <c r="D31" s="534"/>
      <c r="E31" s="526"/>
      <c r="F31" s="527"/>
      <c r="G31" s="527"/>
      <c r="H31" s="527"/>
      <c r="I31" s="527"/>
      <c r="J31" s="486"/>
      <c r="K31" s="487"/>
      <c r="L31" s="487"/>
      <c r="M31" s="487"/>
      <c r="N31" s="487"/>
      <c r="O31" s="488"/>
      <c r="P31" s="496"/>
      <c r="Q31" s="496"/>
      <c r="R31" s="496"/>
      <c r="S31" s="496"/>
      <c r="T31" s="496"/>
      <c r="U31" s="497"/>
      <c r="V31" s="495"/>
      <c r="W31" s="496"/>
      <c r="X31" s="496"/>
      <c r="Y31" s="496"/>
      <c r="Z31" s="496"/>
      <c r="AA31" s="497"/>
      <c r="AB31" s="513"/>
      <c r="AC31" s="514"/>
      <c r="AD31" s="514"/>
      <c r="AE31" s="514"/>
      <c r="AF31" s="514"/>
      <c r="AG31" s="515"/>
      <c r="AH31" s="504"/>
      <c r="AI31" s="505"/>
      <c r="AJ31" s="505"/>
      <c r="AK31" s="505"/>
      <c r="AL31" s="505"/>
      <c r="AM31" s="506"/>
      <c r="AN31" s="67"/>
      <c r="AO31" s="565"/>
      <c r="AP31" s="566"/>
      <c r="AQ31" s="566"/>
      <c r="AR31" s="566"/>
      <c r="AS31" s="566"/>
      <c r="AT31" s="5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33"/>
      <c r="C32" s="533"/>
      <c r="D32" s="534"/>
      <c r="E32" s="526"/>
      <c r="F32" s="527"/>
      <c r="G32" s="527"/>
      <c r="H32" s="527"/>
      <c r="I32" s="527"/>
      <c r="J32" s="486" t="str">
        <f>IF(AND('Mapa final'!$K$24="Baja",'Mapa final'!$O$24="Leve"),CONCATENATE("R",'Mapa final'!$A$24),"")</f>
        <v/>
      </c>
      <c r="K32" s="487"/>
      <c r="L32" s="487" t="str">
        <f>IF(AND('Mapa final'!$K$30="Baja",'Mapa final'!$O$30="Leve"),CONCATENATE("R",'Mapa final'!$A$30),"")</f>
        <v/>
      </c>
      <c r="M32" s="487"/>
      <c r="N32" s="487" t="str">
        <f>IF(AND('Mapa final'!$K$36="Baja",'Mapa final'!$O$36="Leve"),CONCATENATE("R",'Mapa final'!$A$36),"")</f>
        <v/>
      </c>
      <c r="O32" s="488"/>
      <c r="P32" s="496" t="str">
        <f>IF(AND('Mapa final'!$K$24="Baja",'Mapa final'!$O$24="Menor"),CONCATENATE("R",'Mapa final'!$A$24),"")</f>
        <v/>
      </c>
      <c r="Q32" s="496"/>
      <c r="R32" s="496" t="str">
        <f>IF(AND('Mapa final'!$K$30="Baja",'Mapa final'!$O$30="Menor"),CONCATENATE("R",'Mapa final'!$A$30),"")</f>
        <v/>
      </c>
      <c r="S32" s="496"/>
      <c r="T32" s="496" t="str">
        <f>IF(AND('Mapa final'!$K$36="Baja",'Mapa final'!$O$36="Menor"),CONCATENATE("R",'Mapa final'!$A$36),"")</f>
        <v/>
      </c>
      <c r="U32" s="497"/>
      <c r="V32" s="495" t="str">
        <f>IF(AND('Mapa final'!$K$24="Baja",'Mapa final'!$O$24="Moderado"),CONCATENATE("R",'Mapa final'!$A$24),"")</f>
        <v/>
      </c>
      <c r="W32" s="496"/>
      <c r="X32" s="496" t="str">
        <f>IF(AND('Mapa final'!$K$30="Baja",'Mapa final'!$O$30="Moderado"),CONCATENATE("R",'Mapa final'!$A$30),"")</f>
        <v/>
      </c>
      <c r="Y32" s="496"/>
      <c r="Z32" s="496" t="str">
        <f>IF(AND('Mapa final'!$K$36="Baja",'Mapa final'!$O$36="Moderado"),CONCATENATE("R",'Mapa final'!$A$36),"")</f>
        <v/>
      </c>
      <c r="AA32" s="497"/>
      <c r="AB32" s="513" t="str">
        <f>IF(AND('Mapa final'!$K$24="Baja",'Mapa final'!$O$24="Mayor"),CONCATENATE("R",'Mapa final'!$A$24),"")</f>
        <v/>
      </c>
      <c r="AC32" s="514"/>
      <c r="AD32" s="514" t="str">
        <f>IF(AND('Mapa final'!$K$30="Baja",'Mapa final'!$O$30="Mayor"),CONCATENATE("R",'Mapa final'!$A$30),"")</f>
        <v/>
      </c>
      <c r="AE32" s="514"/>
      <c r="AF32" s="514" t="str">
        <f>IF(AND('Mapa final'!$K$36="Baja",'Mapa final'!$O$36="Mayor"),CONCATENATE("R",'Mapa final'!$A$36),"")</f>
        <v/>
      </c>
      <c r="AG32" s="515"/>
      <c r="AH32" s="504" t="str">
        <f>IF(AND('Mapa final'!$K$24="Baja",'Mapa final'!$O$24="Catastrófico"),CONCATENATE("R",'Mapa final'!$A$24),"")</f>
        <v/>
      </c>
      <c r="AI32" s="505"/>
      <c r="AJ32" s="505" t="str">
        <f>IF(AND('Mapa final'!$K$30="Baja",'Mapa final'!$O$30="Catastrófico"),CONCATENATE("R",'Mapa final'!$A$30),"")</f>
        <v/>
      </c>
      <c r="AK32" s="505"/>
      <c r="AL32" s="505" t="str">
        <f>IF(AND('Mapa final'!$K$36="Baja",'Mapa final'!$O$36="Catastrófico"),CONCATENATE("R",'Mapa final'!$A$36),"")</f>
        <v/>
      </c>
      <c r="AM32" s="506"/>
      <c r="AN32" s="67"/>
      <c r="AO32" s="565"/>
      <c r="AP32" s="566"/>
      <c r="AQ32" s="566"/>
      <c r="AR32" s="566"/>
      <c r="AS32" s="566"/>
      <c r="AT32" s="5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33"/>
      <c r="C33" s="533"/>
      <c r="D33" s="534"/>
      <c r="E33" s="526"/>
      <c r="F33" s="527"/>
      <c r="G33" s="527"/>
      <c r="H33" s="527"/>
      <c r="I33" s="527"/>
      <c r="J33" s="486"/>
      <c r="K33" s="487"/>
      <c r="L33" s="487"/>
      <c r="M33" s="487"/>
      <c r="N33" s="487"/>
      <c r="O33" s="488"/>
      <c r="P33" s="496"/>
      <c r="Q33" s="496"/>
      <c r="R33" s="496"/>
      <c r="S33" s="496"/>
      <c r="T33" s="496"/>
      <c r="U33" s="497"/>
      <c r="V33" s="495"/>
      <c r="W33" s="496"/>
      <c r="X33" s="496"/>
      <c r="Y33" s="496"/>
      <c r="Z33" s="496"/>
      <c r="AA33" s="497"/>
      <c r="AB33" s="513"/>
      <c r="AC33" s="514"/>
      <c r="AD33" s="514"/>
      <c r="AE33" s="514"/>
      <c r="AF33" s="514"/>
      <c r="AG33" s="515"/>
      <c r="AH33" s="504"/>
      <c r="AI33" s="505"/>
      <c r="AJ33" s="505"/>
      <c r="AK33" s="505"/>
      <c r="AL33" s="505"/>
      <c r="AM33" s="506"/>
      <c r="AN33" s="67"/>
      <c r="AO33" s="565"/>
      <c r="AP33" s="566"/>
      <c r="AQ33" s="566"/>
      <c r="AR33" s="566"/>
      <c r="AS33" s="566"/>
      <c r="AT33" s="5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33"/>
      <c r="C34" s="533"/>
      <c r="D34" s="534"/>
      <c r="E34" s="526"/>
      <c r="F34" s="527"/>
      <c r="G34" s="527"/>
      <c r="H34" s="527"/>
      <c r="I34" s="527"/>
      <c r="J34" s="486" t="str">
        <f>IF(AND('Mapa final'!$K$42="Baja",'Mapa final'!$O$42="Leve"),CONCATENATE("R",'Mapa final'!$A$42),"")</f>
        <v/>
      </c>
      <c r="K34" s="487"/>
      <c r="L34" s="487" t="str">
        <f>IF(AND('Mapa final'!$K$48="Baja",'Mapa final'!$O$48="Leve"),CONCATENATE("R",'Mapa final'!$A$48),"")</f>
        <v/>
      </c>
      <c r="M34" s="487"/>
      <c r="N34" s="487" t="str">
        <f>IF(AND('Mapa final'!$K$54="Baja",'Mapa final'!$O$54="Leve"),CONCATENATE("R",'Mapa final'!$A$54),"")</f>
        <v/>
      </c>
      <c r="O34" s="488"/>
      <c r="P34" s="496" t="str">
        <f>IF(AND('Mapa final'!$K$42="Baja",'Mapa final'!$O$42="Menor"),CONCATENATE("R",'Mapa final'!$A$42),"")</f>
        <v/>
      </c>
      <c r="Q34" s="496"/>
      <c r="R34" s="496" t="str">
        <f>IF(AND('Mapa final'!$K$48="Baja",'Mapa final'!$O$48="Menor"),CONCATENATE("R",'Mapa final'!$A$48),"")</f>
        <v/>
      </c>
      <c r="S34" s="496"/>
      <c r="T34" s="496" t="str">
        <f>IF(AND('Mapa final'!$K$54="Baja",'Mapa final'!$O$54="Menor"),CONCATENATE("R",'Mapa final'!$A$54),"")</f>
        <v/>
      </c>
      <c r="U34" s="497"/>
      <c r="V34" s="495" t="str">
        <f>IF(AND('Mapa final'!$K$42="Baja",'Mapa final'!$O$42="Moderado"),CONCATENATE("R",'Mapa final'!$A$42),"")</f>
        <v/>
      </c>
      <c r="W34" s="496"/>
      <c r="X34" s="496" t="str">
        <f>IF(AND('Mapa final'!$K$48="Baja",'Mapa final'!$O$48="Moderado"),CONCATENATE("R",'Mapa final'!$A$48),"")</f>
        <v/>
      </c>
      <c r="Y34" s="496"/>
      <c r="Z34" s="496" t="str">
        <f>IF(AND('Mapa final'!$K$54="Baja",'Mapa final'!$O$54="Moderado"),CONCATENATE("R",'Mapa final'!$A$54),"")</f>
        <v/>
      </c>
      <c r="AA34" s="497"/>
      <c r="AB34" s="513" t="str">
        <f>IF(AND('Mapa final'!$K$42="Baja",'Mapa final'!$O$42="Mayor"),CONCATENATE("R",'Mapa final'!$A$42),"")</f>
        <v/>
      </c>
      <c r="AC34" s="514"/>
      <c r="AD34" s="514" t="str">
        <f>IF(AND('Mapa final'!$K$48="Baja",'Mapa final'!$O$48="Mayor"),CONCATENATE("R",'Mapa final'!$A$48),"")</f>
        <v/>
      </c>
      <c r="AE34" s="514"/>
      <c r="AF34" s="514" t="str">
        <f>IF(AND('Mapa final'!$K$54="Baja",'Mapa final'!$O$54="Mayor"),CONCATENATE("R",'Mapa final'!$A$54),"")</f>
        <v/>
      </c>
      <c r="AG34" s="515"/>
      <c r="AH34" s="504" t="str">
        <f>IF(AND('Mapa final'!$K$42="Baja",'Mapa final'!$O$42="Catastrófico"),CONCATENATE("R",'Mapa final'!$A$42),"")</f>
        <v/>
      </c>
      <c r="AI34" s="505"/>
      <c r="AJ34" s="505" t="str">
        <f>IF(AND('Mapa final'!$K$48="Baja",'Mapa final'!$O$48="Catastrófico"),CONCATENATE("R",'Mapa final'!$A$48),"")</f>
        <v/>
      </c>
      <c r="AK34" s="505"/>
      <c r="AL34" s="505" t="str">
        <f>IF(AND('Mapa final'!$K$54="Baja",'Mapa final'!$O$54="Catastrófico"),CONCATENATE("R",'Mapa final'!$A$54),"")</f>
        <v/>
      </c>
      <c r="AM34" s="506"/>
      <c r="AN34" s="67"/>
      <c r="AO34" s="565"/>
      <c r="AP34" s="566"/>
      <c r="AQ34" s="566"/>
      <c r="AR34" s="566"/>
      <c r="AS34" s="566"/>
      <c r="AT34" s="5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33"/>
      <c r="C35" s="533"/>
      <c r="D35" s="534"/>
      <c r="E35" s="526"/>
      <c r="F35" s="527"/>
      <c r="G35" s="527"/>
      <c r="H35" s="527"/>
      <c r="I35" s="527"/>
      <c r="J35" s="486"/>
      <c r="K35" s="487"/>
      <c r="L35" s="487"/>
      <c r="M35" s="487"/>
      <c r="N35" s="487"/>
      <c r="O35" s="488"/>
      <c r="P35" s="496"/>
      <c r="Q35" s="496"/>
      <c r="R35" s="496"/>
      <c r="S35" s="496"/>
      <c r="T35" s="496"/>
      <c r="U35" s="497"/>
      <c r="V35" s="495"/>
      <c r="W35" s="496"/>
      <c r="X35" s="496"/>
      <c r="Y35" s="496"/>
      <c r="Z35" s="496"/>
      <c r="AA35" s="497"/>
      <c r="AB35" s="513"/>
      <c r="AC35" s="514"/>
      <c r="AD35" s="514"/>
      <c r="AE35" s="514"/>
      <c r="AF35" s="514"/>
      <c r="AG35" s="515"/>
      <c r="AH35" s="504"/>
      <c r="AI35" s="505"/>
      <c r="AJ35" s="505"/>
      <c r="AK35" s="505"/>
      <c r="AL35" s="505"/>
      <c r="AM35" s="506"/>
      <c r="AN35" s="67"/>
      <c r="AO35" s="565"/>
      <c r="AP35" s="566"/>
      <c r="AQ35" s="566"/>
      <c r="AR35" s="566"/>
      <c r="AS35" s="566"/>
      <c r="AT35" s="5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33"/>
      <c r="C36" s="533"/>
      <c r="D36" s="534"/>
      <c r="E36" s="526"/>
      <c r="F36" s="527"/>
      <c r="G36" s="527"/>
      <c r="H36" s="527"/>
      <c r="I36" s="527"/>
      <c r="J36" s="486" t="str">
        <f>IF(AND('Mapa final'!$K$60="Baja",'Mapa final'!$O$60="Leve"),CONCATENATE("R",'Mapa final'!$A$60),"")</f>
        <v/>
      </c>
      <c r="K36" s="487"/>
      <c r="L36" s="487" t="str">
        <f>IF(AND('Mapa final'!$K$66="Baja",'Mapa final'!$O$66="Leve"),CONCATENATE("R",'Mapa final'!$A$66),"")</f>
        <v/>
      </c>
      <c r="M36" s="487"/>
      <c r="N36" s="487" t="str">
        <f>IF(AND('Mapa final'!$K$72="Baja",'Mapa final'!$O$72="Leve"),CONCATENATE("R",'Mapa final'!$A$72),"")</f>
        <v/>
      </c>
      <c r="O36" s="488"/>
      <c r="P36" s="496" t="str">
        <f>IF(AND('Mapa final'!$K$60="Baja",'Mapa final'!$O$60="Menor"),CONCATENATE("R",'Mapa final'!$A$60),"")</f>
        <v/>
      </c>
      <c r="Q36" s="496"/>
      <c r="R36" s="496" t="str">
        <f>IF(AND('Mapa final'!$K$66="Baja",'Mapa final'!$O$66="Menor"),CONCATENATE("R",'Mapa final'!$A$66),"")</f>
        <v/>
      </c>
      <c r="S36" s="496"/>
      <c r="T36" s="496" t="str">
        <f>IF(AND('Mapa final'!$K$72="Baja",'Mapa final'!$O$72="Menor"),CONCATENATE("R",'Mapa final'!$A$72),"")</f>
        <v/>
      </c>
      <c r="U36" s="497"/>
      <c r="V36" s="495" t="str">
        <f>IF(AND('Mapa final'!$K$60="Baja",'Mapa final'!$O$60="Moderado"),CONCATENATE("R",'Mapa final'!$A$60),"")</f>
        <v/>
      </c>
      <c r="W36" s="496"/>
      <c r="X36" s="496" t="str">
        <f>IF(AND('Mapa final'!$K$66="Baja",'Mapa final'!$O$66="Moderado"),CONCATENATE("R",'Mapa final'!$A$66),"")</f>
        <v/>
      </c>
      <c r="Y36" s="496"/>
      <c r="Z36" s="496" t="str">
        <f>IF(AND('Mapa final'!$K$72="Baja",'Mapa final'!$O$72="Moderado"),CONCATENATE("R",'Mapa final'!$A$72),"")</f>
        <v/>
      </c>
      <c r="AA36" s="497"/>
      <c r="AB36" s="513" t="str">
        <f>IF(AND('Mapa final'!$K$60="Baja",'Mapa final'!$O$60="Mayor"),CONCATENATE("R",'Mapa final'!$A$60),"")</f>
        <v/>
      </c>
      <c r="AC36" s="514"/>
      <c r="AD36" s="514" t="str">
        <f>IF(AND('Mapa final'!$K$66="Baja",'Mapa final'!$O$66="Mayor"),CONCATENATE("R",'Mapa final'!$A$66),"")</f>
        <v/>
      </c>
      <c r="AE36" s="514"/>
      <c r="AF36" s="514" t="str">
        <f>IF(AND('Mapa final'!$K$72="Baja",'Mapa final'!$O$72="Mayor"),CONCATENATE("R",'Mapa final'!$A$72),"")</f>
        <v/>
      </c>
      <c r="AG36" s="515"/>
      <c r="AH36" s="504" t="str">
        <f>IF(AND('Mapa final'!$K$60="Baja",'Mapa final'!$O$60="Catastrófico"),CONCATENATE("R",'Mapa final'!$A$60),"")</f>
        <v/>
      </c>
      <c r="AI36" s="505"/>
      <c r="AJ36" s="505" t="str">
        <f>IF(AND('Mapa final'!$K$66="Baja",'Mapa final'!$O$66="Catastrófico"),CONCATENATE("R",'Mapa final'!$A$66),"")</f>
        <v/>
      </c>
      <c r="AK36" s="505"/>
      <c r="AL36" s="505" t="str">
        <f>IF(AND('Mapa final'!$K$72="Baja",'Mapa final'!$O$72="Catastrófico"),CONCATENATE("R",'Mapa final'!$A$72),"")</f>
        <v/>
      </c>
      <c r="AM36" s="506"/>
      <c r="AN36" s="67"/>
      <c r="AO36" s="565"/>
      <c r="AP36" s="566"/>
      <c r="AQ36" s="566"/>
      <c r="AR36" s="566"/>
      <c r="AS36" s="566"/>
      <c r="AT36" s="5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33"/>
      <c r="C37" s="533"/>
      <c r="D37" s="534"/>
      <c r="E37" s="529"/>
      <c r="F37" s="530"/>
      <c r="G37" s="530"/>
      <c r="H37" s="530"/>
      <c r="I37" s="530"/>
      <c r="J37" s="489"/>
      <c r="K37" s="490"/>
      <c r="L37" s="490"/>
      <c r="M37" s="490"/>
      <c r="N37" s="490"/>
      <c r="O37" s="491"/>
      <c r="P37" s="499"/>
      <c r="Q37" s="499"/>
      <c r="R37" s="499"/>
      <c r="S37" s="499"/>
      <c r="T37" s="499"/>
      <c r="U37" s="500"/>
      <c r="V37" s="498"/>
      <c r="W37" s="499"/>
      <c r="X37" s="499"/>
      <c r="Y37" s="499"/>
      <c r="Z37" s="499"/>
      <c r="AA37" s="500"/>
      <c r="AB37" s="516"/>
      <c r="AC37" s="517"/>
      <c r="AD37" s="517"/>
      <c r="AE37" s="517"/>
      <c r="AF37" s="517"/>
      <c r="AG37" s="518"/>
      <c r="AH37" s="507"/>
      <c r="AI37" s="508"/>
      <c r="AJ37" s="508"/>
      <c r="AK37" s="508"/>
      <c r="AL37" s="508"/>
      <c r="AM37" s="509"/>
      <c r="AN37" s="67"/>
      <c r="AO37" s="568"/>
      <c r="AP37" s="569"/>
      <c r="AQ37" s="569"/>
      <c r="AR37" s="569"/>
      <c r="AS37" s="569"/>
      <c r="AT37" s="57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33"/>
      <c r="C38" s="533"/>
      <c r="D38" s="534"/>
      <c r="E38" s="523" t="s">
        <v>107</v>
      </c>
      <c r="F38" s="524"/>
      <c r="G38" s="524"/>
      <c r="H38" s="524"/>
      <c r="I38" s="525"/>
      <c r="J38" s="492" t="str">
        <f>IF(AND('Mapa final'!$K$10="Muy Baja",'Mapa final'!$O$10="Leve"),CONCATENATE("R",'Mapa final'!$A$10),"")</f>
        <v/>
      </c>
      <c r="K38" s="493"/>
      <c r="L38" s="493" t="str">
        <f>IF(AND('Mapa final'!$K$16="Muy Baja",'Mapa final'!$O$16="Leve"),CONCATENATE("R",'Mapa final'!$A$16),"")</f>
        <v/>
      </c>
      <c r="M38" s="493"/>
      <c r="N38" s="493" t="str">
        <f>IF(AND('Mapa final'!$K$18="Muy Baja",'Mapa final'!$O$18="Leve"),CONCATENATE("R",'Mapa final'!$A$18),"")</f>
        <v/>
      </c>
      <c r="O38" s="494"/>
      <c r="P38" s="492" t="str">
        <f>IF(AND('Mapa final'!$K$10="Muy Baja",'Mapa final'!$O$10="Menor"),CONCATENATE("R",'Mapa final'!$A$10),"")</f>
        <v/>
      </c>
      <c r="Q38" s="493"/>
      <c r="R38" s="493" t="str">
        <f>IF(AND('Mapa final'!$K$16="Muy Baja",'Mapa final'!$O$16="Menor"),CONCATENATE("R",'Mapa final'!$A$16),"")</f>
        <v/>
      </c>
      <c r="S38" s="493"/>
      <c r="T38" s="493" t="str">
        <f>IF(AND('Mapa final'!$K$18="Muy Baja",'Mapa final'!$O$18="Menor"),CONCATENATE("R",'Mapa final'!$A$18),"")</f>
        <v/>
      </c>
      <c r="U38" s="494"/>
      <c r="V38" s="501" t="str">
        <f>IF(AND('Mapa final'!$K$10="Muy Baja",'Mapa final'!$O$10="Moderado"),CONCATENATE("R",'Mapa final'!$A$10),"")</f>
        <v/>
      </c>
      <c r="W38" s="502"/>
      <c r="X38" s="502" t="str">
        <f>IF(AND('Mapa final'!$K$16="Muy Baja",'Mapa final'!$O$16="Moderado"),CONCATENATE("R",'Mapa final'!$A$16),"")</f>
        <v/>
      </c>
      <c r="Y38" s="502"/>
      <c r="Z38" s="502" t="str">
        <f>IF(AND('Mapa final'!$K$18="Muy Baja",'Mapa final'!$O$18="Moderado"),CONCATENATE("R",'Mapa final'!$A$18),"")</f>
        <v/>
      </c>
      <c r="AA38" s="503"/>
      <c r="AB38" s="519" t="str">
        <f>IF(AND('Mapa final'!$K$10="Muy Baja",'Mapa final'!$O$10="Mayor"),CONCATENATE("R",'Mapa final'!$A$10),"")</f>
        <v/>
      </c>
      <c r="AC38" s="520"/>
      <c r="AD38" s="520" t="str">
        <f>IF(AND('Mapa final'!$K$16="Muy Baja",'Mapa final'!$O$16="Mayor"),CONCATENATE("R",'Mapa final'!$A$16),"")</f>
        <v/>
      </c>
      <c r="AE38" s="520"/>
      <c r="AF38" s="520" t="str">
        <f>IF(AND('Mapa final'!$K$18="Muy Baja",'Mapa final'!$O$18="Mayor"),CONCATENATE("R",'Mapa final'!$A$18),"")</f>
        <v/>
      </c>
      <c r="AG38" s="521"/>
      <c r="AH38" s="510" t="str">
        <f>IF(AND('Mapa final'!$K$10="Muy Baja",'Mapa final'!$O$10="Catastrófico"),CONCATENATE("R",'Mapa final'!$A$10),"")</f>
        <v/>
      </c>
      <c r="AI38" s="511"/>
      <c r="AJ38" s="511" t="str">
        <f>IF(AND('Mapa final'!$K$16="Muy Baja",'Mapa final'!$O$16="Catastrófico"),CONCATENATE("R",'Mapa final'!$A$16),"")</f>
        <v/>
      </c>
      <c r="AK38" s="511"/>
      <c r="AL38" s="511" t="str">
        <f>IF(AND('Mapa final'!$K$18="Muy Baja",'Mapa final'!$O$18="Catastrófico"),CONCATENATE("R",'Mapa final'!$A$18),"")</f>
        <v/>
      </c>
      <c r="AM38" s="512"/>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33"/>
      <c r="C39" s="533"/>
      <c r="D39" s="534"/>
      <c r="E39" s="526"/>
      <c r="F39" s="527"/>
      <c r="G39" s="527"/>
      <c r="H39" s="527"/>
      <c r="I39" s="528"/>
      <c r="J39" s="486"/>
      <c r="K39" s="487"/>
      <c r="L39" s="487"/>
      <c r="M39" s="487"/>
      <c r="N39" s="487"/>
      <c r="O39" s="488"/>
      <c r="P39" s="486"/>
      <c r="Q39" s="487"/>
      <c r="R39" s="487"/>
      <c r="S39" s="487"/>
      <c r="T39" s="487"/>
      <c r="U39" s="488"/>
      <c r="V39" s="495"/>
      <c r="W39" s="496"/>
      <c r="X39" s="496"/>
      <c r="Y39" s="496"/>
      <c r="Z39" s="496"/>
      <c r="AA39" s="497"/>
      <c r="AB39" s="513"/>
      <c r="AC39" s="514"/>
      <c r="AD39" s="514"/>
      <c r="AE39" s="514"/>
      <c r="AF39" s="514"/>
      <c r="AG39" s="515"/>
      <c r="AH39" s="504"/>
      <c r="AI39" s="505"/>
      <c r="AJ39" s="505"/>
      <c r="AK39" s="505"/>
      <c r="AL39" s="505"/>
      <c r="AM39" s="506"/>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33"/>
      <c r="C40" s="533"/>
      <c r="D40" s="534"/>
      <c r="E40" s="526"/>
      <c r="F40" s="527"/>
      <c r="G40" s="527"/>
      <c r="H40" s="527"/>
      <c r="I40" s="528"/>
      <c r="J40" s="486" t="str">
        <f>IF(AND('Mapa final'!$K$24="Muy Baja",'Mapa final'!$O$24="Leve"),CONCATENATE("R",'Mapa final'!$A$24),"")</f>
        <v/>
      </c>
      <c r="K40" s="487"/>
      <c r="L40" s="487" t="str">
        <f>IF(AND('Mapa final'!$K$30="Muy Baja",'Mapa final'!$O$30="Leve"),CONCATENATE("R",'Mapa final'!$A$30),"")</f>
        <v/>
      </c>
      <c r="M40" s="487"/>
      <c r="N40" s="487" t="str">
        <f>IF(AND('Mapa final'!$K$36="Muy Baja",'Mapa final'!$O$36="Leve"),CONCATENATE("R",'Mapa final'!$A$36),"")</f>
        <v/>
      </c>
      <c r="O40" s="488"/>
      <c r="P40" s="486" t="str">
        <f>IF(AND('Mapa final'!$K$24="Muy Baja",'Mapa final'!$O$24="Menor"),CONCATENATE("R",'Mapa final'!$A$24),"")</f>
        <v/>
      </c>
      <c r="Q40" s="487"/>
      <c r="R40" s="487" t="str">
        <f>IF(AND('Mapa final'!$K$30="Muy Baja",'Mapa final'!$O$30="Menor"),CONCATENATE("R",'Mapa final'!$A$30),"")</f>
        <v/>
      </c>
      <c r="S40" s="487"/>
      <c r="T40" s="487" t="str">
        <f>IF(AND('Mapa final'!$K$36="Muy Baja",'Mapa final'!$O$36="Menor"),CONCATENATE("R",'Mapa final'!$A$36),"")</f>
        <v/>
      </c>
      <c r="U40" s="488"/>
      <c r="V40" s="495" t="str">
        <f>IF(AND('Mapa final'!$K$24="Muy Baja",'Mapa final'!$O$24="Moderado"),CONCATENATE("R",'Mapa final'!$A$24),"")</f>
        <v/>
      </c>
      <c r="W40" s="496"/>
      <c r="X40" s="496" t="str">
        <f>IF(AND('Mapa final'!$K$30="Muy Baja",'Mapa final'!$O$30="Moderado"),CONCATENATE("R",'Mapa final'!$A$30),"")</f>
        <v/>
      </c>
      <c r="Y40" s="496"/>
      <c r="Z40" s="496" t="str">
        <f>IF(AND('Mapa final'!$K$36="Muy Baja",'Mapa final'!$O$36="Moderado"),CONCATENATE("R",'Mapa final'!$A$36),"")</f>
        <v/>
      </c>
      <c r="AA40" s="497"/>
      <c r="AB40" s="513" t="str">
        <f>IF(AND('Mapa final'!$K$24="Muy Baja",'Mapa final'!$O$24="Mayor"),CONCATENATE("R",'Mapa final'!$A$24),"")</f>
        <v/>
      </c>
      <c r="AC40" s="514"/>
      <c r="AD40" s="514" t="str">
        <f>IF(AND('Mapa final'!$K$30="Muy Baja",'Mapa final'!$O$30="Mayor"),CONCATENATE("R",'Mapa final'!$A$30),"")</f>
        <v/>
      </c>
      <c r="AE40" s="514"/>
      <c r="AF40" s="514" t="str">
        <f>IF(AND('Mapa final'!$K$36="Muy Baja",'Mapa final'!$O$36="Mayor"),CONCATENATE("R",'Mapa final'!$A$36),"")</f>
        <v/>
      </c>
      <c r="AG40" s="515"/>
      <c r="AH40" s="504" t="str">
        <f>IF(AND('Mapa final'!$K$24="Muy Baja",'Mapa final'!$O$24="Catastrófico"),CONCATENATE("R",'Mapa final'!$A$24),"")</f>
        <v/>
      </c>
      <c r="AI40" s="505"/>
      <c r="AJ40" s="505" t="str">
        <f>IF(AND('Mapa final'!$K$30="Muy Baja",'Mapa final'!$O$30="Catastrófico"),CONCATENATE("R",'Mapa final'!$A$30),"")</f>
        <v/>
      </c>
      <c r="AK40" s="505"/>
      <c r="AL40" s="505" t="str">
        <f>IF(AND('Mapa final'!$K$36="Muy Baja",'Mapa final'!$O$36="Catastrófico"),CONCATENATE("R",'Mapa final'!$A$36),"")</f>
        <v/>
      </c>
      <c r="AM40" s="506"/>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33"/>
      <c r="C41" s="533"/>
      <c r="D41" s="534"/>
      <c r="E41" s="526"/>
      <c r="F41" s="527"/>
      <c r="G41" s="527"/>
      <c r="H41" s="527"/>
      <c r="I41" s="528"/>
      <c r="J41" s="486"/>
      <c r="K41" s="487"/>
      <c r="L41" s="487"/>
      <c r="M41" s="487"/>
      <c r="N41" s="487"/>
      <c r="O41" s="488"/>
      <c r="P41" s="486"/>
      <c r="Q41" s="487"/>
      <c r="R41" s="487"/>
      <c r="S41" s="487"/>
      <c r="T41" s="487"/>
      <c r="U41" s="488"/>
      <c r="V41" s="495"/>
      <c r="W41" s="496"/>
      <c r="X41" s="496"/>
      <c r="Y41" s="496"/>
      <c r="Z41" s="496"/>
      <c r="AA41" s="497"/>
      <c r="AB41" s="513"/>
      <c r="AC41" s="514"/>
      <c r="AD41" s="514"/>
      <c r="AE41" s="514"/>
      <c r="AF41" s="514"/>
      <c r="AG41" s="515"/>
      <c r="AH41" s="504"/>
      <c r="AI41" s="505"/>
      <c r="AJ41" s="505"/>
      <c r="AK41" s="505"/>
      <c r="AL41" s="505"/>
      <c r="AM41" s="506"/>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33"/>
      <c r="C42" s="533"/>
      <c r="D42" s="534"/>
      <c r="E42" s="526"/>
      <c r="F42" s="527"/>
      <c r="G42" s="527"/>
      <c r="H42" s="527"/>
      <c r="I42" s="528"/>
      <c r="J42" s="486" t="str">
        <f>IF(AND('Mapa final'!$K$42="Muy Baja",'Mapa final'!$O$42="Leve"),CONCATENATE("R",'Mapa final'!$A$42),"")</f>
        <v/>
      </c>
      <c r="K42" s="487"/>
      <c r="L42" s="487" t="str">
        <f>IF(AND('Mapa final'!$K$48="Muy Baja",'Mapa final'!$O$48="Leve"),CONCATENATE("R",'Mapa final'!$A$48),"")</f>
        <v/>
      </c>
      <c r="M42" s="487"/>
      <c r="N42" s="487" t="str">
        <f>IF(AND('Mapa final'!$K$54="Muy Baja",'Mapa final'!$O$54="Leve"),CONCATENATE("R",'Mapa final'!$A$54),"")</f>
        <v/>
      </c>
      <c r="O42" s="488"/>
      <c r="P42" s="486" t="str">
        <f>IF(AND('Mapa final'!$K$42="Muy Baja",'Mapa final'!$O$42="Menor"),CONCATENATE("R",'Mapa final'!$A$42),"")</f>
        <v/>
      </c>
      <c r="Q42" s="487"/>
      <c r="R42" s="487" t="str">
        <f>IF(AND('Mapa final'!$K$48="Muy Baja",'Mapa final'!$O$48="Menor"),CONCATENATE("R",'Mapa final'!$A$48),"")</f>
        <v/>
      </c>
      <c r="S42" s="487"/>
      <c r="T42" s="487" t="str">
        <f>IF(AND('Mapa final'!$K$54="Muy Baja",'Mapa final'!$O$54="Menor"),CONCATENATE("R",'Mapa final'!$A$54),"")</f>
        <v/>
      </c>
      <c r="U42" s="488"/>
      <c r="V42" s="495" t="str">
        <f>IF(AND('Mapa final'!$K$42="Muy Baja",'Mapa final'!$O$42="Moderado"),CONCATENATE("R",'Mapa final'!$A$42),"")</f>
        <v/>
      </c>
      <c r="W42" s="496"/>
      <c r="X42" s="496" t="str">
        <f>IF(AND('Mapa final'!$K$48="Muy Baja",'Mapa final'!$O$48="Moderado"),CONCATENATE("R",'Mapa final'!$A$48),"")</f>
        <v/>
      </c>
      <c r="Y42" s="496"/>
      <c r="Z42" s="496" t="str">
        <f>IF(AND('Mapa final'!$K$54="Muy Baja",'Mapa final'!$O$54="Moderado"),CONCATENATE("R",'Mapa final'!$A$54),"")</f>
        <v/>
      </c>
      <c r="AA42" s="497"/>
      <c r="AB42" s="513" t="str">
        <f>IF(AND('Mapa final'!$K$42="Muy Baja",'Mapa final'!$O$42="Mayor"),CONCATENATE("R",'Mapa final'!$A$42),"")</f>
        <v/>
      </c>
      <c r="AC42" s="514"/>
      <c r="AD42" s="514" t="str">
        <f>IF(AND('Mapa final'!$K$48="Muy Baja",'Mapa final'!$O$48="Mayor"),CONCATENATE("R",'Mapa final'!$A$48),"")</f>
        <v/>
      </c>
      <c r="AE42" s="514"/>
      <c r="AF42" s="514" t="str">
        <f>IF(AND('Mapa final'!$K$54="Muy Baja",'Mapa final'!$O$54="Mayor"),CONCATENATE("R",'Mapa final'!$A$54),"")</f>
        <v/>
      </c>
      <c r="AG42" s="515"/>
      <c r="AH42" s="504" t="str">
        <f>IF(AND('Mapa final'!$K$42="Muy Baja",'Mapa final'!$O$42="Catastrófico"),CONCATENATE("R",'Mapa final'!$A$42),"")</f>
        <v/>
      </c>
      <c r="AI42" s="505"/>
      <c r="AJ42" s="505" t="str">
        <f>IF(AND('Mapa final'!$K$48="Muy Baja",'Mapa final'!$O$48="Catastrófico"),CONCATENATE("R",'Mapa final'!$A$48),"")</f>
        <v/>
      </c>
      <c r="AK42" s="505"/>
      <c r="AL42" s="505" t="str">
        <f>IF(AND('Mapa final'!$K$54="Muy Baja",'Mapa final'!$O$54="Catastrófico"),CONCATENATE("R",'Mapa final'!$A$54),"")</f>
        <v/>
      </c>
      <c r="AM42" s="506"/>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33"/>
      <c r="C43" s="533"/>
      <c r="D43" s="534"/>
      <c r="E43" s="526"/>
      <c r="F43" s="527"/>
      <c r="G43" s="527"/>
      <c r="H43" s="527"/>
      <c r="I43" s="528"/>
      <c r="J43" s="486"/>
      <c r="K43" s="487"/>
      <c r="L43" s="487"/>
      <c r="M43" s="487"/>
      <c r="N43" s="487"/>
      <c r="O43" s="488"/>
      <c r="P43" s="486"/>
      <c r="Q43" s="487"/>
      <c r="R43" s="487"/>
      <c r="S43" s="487"/>
      <c r="T43" s="487"/>
      <c r="U43" s="488"/>
      <c r="V43" s="495"/>
      <c r="W43" s="496"/>
      <c r="X43" s="496"/>
      <c r="Y43" s="496"/>
      <c r="Z43" s="496"/>
      <c r="AA43" s="497"/>
      <c r="AB43" s="513"/>
      <c r="AC43" s="514"/>
      <c r="AD43" s="514"/>
      <c r="AE43" s="514"/>
      <c r="AF43" s="514"/>
      <c r="AG43" s="515"/>
      <c r="AH43" s="504"/>
      <c r="AI43" s="505"/>
      <c r="AJ43" s="505"/>
      <c r="AK43" s="505"/>
      <c r="AL43" s="505"/>
      <c r="AM43" s="506"/>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33"/>
      <c r="C44" s="533"/>
      <c r="D44" s="534"/>
      <c r="E44" s="526"/>
      <c r="F44" s="527"/>
      <c r="G44" s="527"/>
      <c r="H44" s="527"/>
      <c r="I44" s="528"/>
      <c r="J44" s="486" t="str">
        <f>IF(AND('Mapa final'!$K$60="Muy Baja",'Mapa final'!$O$60="Leve"),CONCATENATE("R",'Mapa final'!$A$60),"")</f>
        <v/>
      </c>
      <c r="K44" s="487"/>
      <c r="L44" s="487" t="str">
        <f>IF(AND('Mapa final'!$K$66="Muy Baja",'Mapa final'!$O$66="Leve"),CONCATENATE("R",'Mapa final'!$A$66),"")</f>
        <v/>
      </c>
      <c r="M44" s="487"/>
      <c r="N44" s="487" t="str">
        <f>IF(AND('Mapa final'!$K$72="Muy Baja",'Mapa final'!$O$72="Leve"),CONCATENATE("R",'Mapa final'!$A$72),"")</f>
        <v/>
      </c>
      <c r="O44" s="488"/>
      <c r="P44" s="486" t="str">
        <f>IF(AND('Mapa final'!$K$60="Muy Baja",'Mapa final'!$O$60="Menor"),CONCATENATE("R",'Mapa final'!$A$60),"")</f>
        <v/>
      </c>
      <c r="Q44" s="487"/>
      <c r="R44" s="487" t="str">
        <f>IF(AND('Mapa final'!$K$66="Muy Baja",'Mapa final'!$O$66="Menor"),CONCATENATE("R",'Mapa final'!$A$66),"")</f>
        <v/>
      </c>
      <c r="S44" s="487"/>
      <c r="T44" s="487" t="str">
        <f>IF(AND('Mapa final'!$K$72="Muy Baja",'Mapa final'!$O$72="Menor"),CONCATENATE("R",'Mapa final'!$A$72),"")</f>
        <v/>
      </c>
      <c r="U44" s="488"/>
      <c r="V44" s="495" t="str">
        <f>IF(AND('Mapa final'!$K$60="Muy Baja",'Mapa final'!$O$60="Moderado"),CONCATENATE("R",'Mapa final'!$A$60),"")</f>
        <v/>
      </c>
      <c r="W44" s="496"/>
      <c r="X44" s="496" t="str">
        <f>IF(AND('Mapa final'!$K$66="Muy Baja",'Mapa final'!$O$66="Moderado"),CONCATENATE("R",'Mapa final'!$A$66),"")</f>
        <v/>
      </c>
      <c r="Y44" s="496"/>
      <c r="Z44" s="496" t="str">
        <f>IF(AND('Mapa final'!$K$72="Muy Baja",'Mapa final'!$O$72="Moderado"),CONCATENATE("R",'Mapa final'!$A$72),"")</f>
        <v/>
      </c>
      <c r="AA44" s="497"/>
      <c r="AB44" s="513" t="str">
        <f>IF(AND('Mapa final'!$K$60="Muy Baja",'Mapa final'!$O$60="Mayor"),CONCATENATE("R",'Mapa final'!$A$60),"")</f>
        <v/>
      </c>
      <c r="AC44" s="514"/>
      <c r="AD44" s="514" t="str">
        <f>IF(AND('Mapa final'!$K$66="Muy Baja",'Mapa final'!$O$66="Mayor"),CONCATENATE("R",'Mapa final'!$A$66),"")</f>
        <v/>
      </c>
      <c r="AE44" s="514"/>
      <c r="AF44" s="514" t="str">
        <f>IF(AND('Mapa final'!$K$72="Muy Baja",'Mapa final'!$O$72="Mayor"),CONCATENATE("R",'Mapa final'!$A$72),"")</f>
        <v/>
      </c>
      <c r="AG44" s="515"/>
      <c r="AH44" s="504" t="str">
        <f>IF(AND('Mapa final'!$K$60="Muy Baja",'Mapa final'!$O$60="Catastrófico"),CONCATENATE("R",'Mapa final'!$A$60),"")</f>
        <v/>
      </c>
      <c r="AI44" s="505"/>
      <c r="AJ44" s="505" t="str">
        <f>IF(AND('Mapa final'!$K$66="Muy Baja",'Mapa final'!$O$66="Catastrófico"),CONCATENATE("R",'Mapa final'!$A$66),"")</f>
        <v/>
      </c>
      <c r="AK44" s="505"/>
      <c r="AL44" s="505" t="str">
        <f>IF(AND('Mapa final'!$K$72="Muy Baja",'Mapa final'!$O$72="Catastrófico"),CONCATENATE("R",'Mapa final'!$A$72),"")</f>
        <v/>
      </c>
      <c r="AM44" s="506"/>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33"/>
      <c r="C45" s="533"/>
      <c r="D45" s="534"/>
      <c r="E45" s="529"/>
      <c r="F45" s="530"/>
      <c r="G45" s="530"/>
      <c r="H45" s="530"/>
      <c r="I45" s="531"/>
      <c r="J45" s="489"/>
      <c r="K45" s="490"/>
      <c r="L45" s="490"/>
      <c r="M45" s="490"/>
      <c r="N45" s="490"/>
      <c r="O45" s="491"/>
      <c r="P45" s="489"/>
      <c r="Q45" s="490"/>
      <c r="R45" s="490"/>
      <c r="S45" s="490"/>
      <c r="T45" s="490"/>
      <c r="U45" s="491"/>
      <c r="V45" s="498"/>
      <c r="W45" s="499"/>
      <c r="X45" s="499"/>
      <c r="Y45" s="499"/>
      <c r="Z45" s="499"/>
      <c r="AA45" s="500"/>
      <c r="AB45" s="516"/>
      <c r="AC45" s="517"/>
      <c r="AD45" s="517"/>
      <c r="AE45" s="517"/>
      <c r="AF45" s="517"/>
      <c r="AG45" s="518"/>
      <c r="AH45" s="507"/>
      <c r="AI45" s="508"/>
      <c r="AJ45" s="508"/>
      <c r="AK45" s="508"/>
      <c r="AL45" s="508"/>
      <c r="AM45" s="509"/>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23" t="s">
        <v>106</v>
      </c>
      <c r="K46" s="524"/>
      <c r="L46" s="524"/>
      <c r="M46" s="524"/>
      <c r="N46" s="524"/>
      <c r="O46" s="525"/>
      <c r="P46" s="523" t="s">
        <v>105</v>
      </c>
      <c r="Q46" s="524"/>
      <c r="R46" s="524"/>
      <c r="S46" s="524"/>
      <c r="T46" s="524"/>
      <c r="U46" s="525"/>
      <c r="V46" s="523" t="s">
        <v>104</v>
      </c>
      <c r="W46" s="524"/>
      <c r="X46" s="524"/>
      <c r="Y46" s="524"/>
      <c r="Z46" s="524"/>
      <c r="AA46" s="525"/>
      <c r="AB46" s="523" t="s">
        <v>103</v>
      </c>
      <c r="AC46" s="532"/>
      <c r="AD46" s="524"/>
      <c r="AE46" s="524"/>
      <c r="AF46" s="524"/>
      <c r="AG46" s="525"/>
      <c r="AH46" s="523" t="s">
        <v>102</v>
      </c>
      <c r="AI46" s="524"/>
      <c r="AJ46" s="524"/>
      <c r="AK46" s="524"/>
      <c r="AL46" s="524"/>
      <c r="AM46" s="525"/>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26"/>
      <c r="K47" s="527"/>
      <c r="L47" s="527"/>
      <c r="M47" s="527"/>
      <c r="N47" s="527"/>
      <c r="O47" s="528"/>
      <c r="P47" s="526"/>
      <c r="Q47" s="527"/>
      <c r="R47" s="527"/>
      <c r="S47" s="527"/>
      <c r="T47" s="527"/>
      <c r="U47" s="528"/>
      <c r="V47" s="526"/>
      <c r="W47" s="527"/>
      <c r="X47" s="527"/>
      <c r="Y47" s="527"/>
      <c r="Z47" s="527"/>
      <c r="AA47" s="528"/>
      <c r="AB47" s="526"/>
      <c r="AC47" s="527"/>
      <c r="AD47" s="527"/>
      <c r="AE47" s="527"/>
      <c r="AF47" s="527"/>
      <c r="AG47" s="528"/>
      <c r="AH47" s="526"/>
      <c r="AI47" s="527"/>
      <c r="AJ47" s="527"/>
      <c r="AK47" s="527"/>
      <c r="AL47" s="527"/>
      <c r="AM47" s="528"/>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26"/>
      <c r="K48" s="527"/>
      <c r="L48" s="527"/>
      <c r="M48" s="527"/>
      <c r="N48" s="527"/>
      <c r="O48" s="528"/>
      <c r="P48" s="526"/>
      <c r="Q48" s="527"/>
      <c r="R48" s="527"/>
      <c r="S48" s="527"/>
      <c r="T48" s="527"/>
      <c r="U48" s="528"/>
      <c r="V48" s="526"/>
      <c r="W48" s="527"/>
      <c r="X48" s="527"/>
      <c r="Y48" s="527"/>
      <c r="Z48" s="527"/>
      <c r="AA48" s="528"/>
      <c r="AB48" s="526"/>
      <c r="AC48" s="527"/>
      <c r="AD48" s="527"/>
      <c r="AE48" s="527"/>
      <c r="AF48" s="527"/>
      <c r="AG48" s="528"/>
      <c r="AH48" s="526"/>
      <c r="AI48" s="527"/>
      <c r="AJ48" s="527"/>
      <c r="AK48" s="527"/>
      <c r="AL48" s="527"/>
      <c r="AM48" s="528"/>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26"/>
      <c r="K49" s="527"/>
      <c r="L49" s="527"/>
      <c r="M49" s="527"/>
      <c r="N49" s="527"/>
      <c r="O49" s="528"/>
      <c r="P49" s="526"/>
      <c r="Q49" s="527"/>
      <c r="R49" s="527"/>
      <c r="S49" s="527"/>
      <c r="T49" s="527"/>
      <c r="U49" s="528"/>
      <c r="V49" s="526"/>
      <c r="W49" s="527"/>
      <c r="X49" s="527"/>
      <c r="Y49" s="527"/>
      <c r="Z49" s="527"/>
      <c r="AA49" s="528"/>
      <c r="AB49" s="526"/>
      <c r="AC49" s="527"/>
      <c r="AD49" s="527"/>
      <c r="AE49" s="527"/>
      <c r="AF49" s="527"/>
      <c r="AG49" s="528"/>
      <c r="AH49" s="526"/>
      <c r="AI49" s="527"/>
      <c r="AJ49" s="527"/>
      <c r="AK49" s="527"/>
      <c r="AL49" s="527"/>
      <c r="AM49" s="528"/>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26"/>
      <c r="K50" s="527"/>
      <c r="L50" s="527"/>
      <c r="M50" s="527"/>
      <c r="N50" s="527"/>
      <c r="O50" s="528"/>
      <c r="P50" s="526"/>
      <c r="Q50" s="527"/>
      <c r="R50" s="527"/>
      <c r="S50" s="527"/>
      <c r="T50" s="527"/>
      <c r="U50" s="528"/>
      <c r="V50" s="526"/>
      <c r="W50" s="527"/>
      <c r="X50" s="527"/>
      <c r="Y50" s="527"/>
      <c r="Z50" s="527"/>
      <c r="AA50" s="528"/>
      <c r="AB50" s="526"/>
      <c r="AC50" s="527"/>
      <c r="AD50" s="527"/>
      <c r="AE50" s="527"/>
      <c r="AF50" s="527"/>
      <c r="AG50" s="528"/>
      <c r="AH50" s="526"/>
      <c r="AI50" s="527"/>
      <c r="AJ50" s="527"/>
      <c r="AK50" s="527"/>
      <c r="AL50" s="527"/>
      <c r="AM50" s="528"/>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29"/>
      <c r="K51" s="530"/>
      <c r="L51" s="530"/>
      <c r="M51" s="530"/>
      <c r="N51" s="530"/>
      <c r="O51" s="531"/>
      <c r="P51" s="529"/>
      <c r="Q51" s="530"/>
      <c r="R51" s="530"/>
      <c r="S51" s="530"/>
      <c r="T51" s="530"/>
      <c r="U51" s="531"/>
      <c r="V51" s="529"/>
      <c r="W51" s="530"/>
      <c r="X51" s="530"/>
      <c r="Y51" s="530"/>
      <c r="Z51" s="530"/>
      <c r="AA51" s="531"/>
      <c r="AB51" s="529"/>
      <c r="AC51" s="530"/>
      <c r="AD51" s="530"/>
      <c r="AE51" s="530"/>
      <c r="AF51" s="530"/>
      <c r="AG51" s="531"/>
      <c r="AH51" s="529"/>
      <c r="AI51" s="530"/>
      <c r="AJ51" s="530"/>
      <c r="AK51" s="530"/>
      <c r="AL51" s="530"/>
      <c r="AM51" s="531"/>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AW46" sqref="AW46"/>
    </sheetView>
  </sheetViews>
  <sheetFormatPr baseColWidth="10" defaultRowHeight="14.4" x14ac:dyDescent="0.3"/>
  <cols>
    <col min="2" max="18" width="5.5546875" customWidth="1"/>
    <col min="19" max="19" width="8.44140625" customWidth="1"/>
    <col min="20" max="23" width="5.5546875" customWidth="1"/>
    <col min="24" max="24" width="8.5546875" customWidth="1"/>
    <col min="25" max="26" width="5.5546875" customWidth="1"/>
    <col min="27" max="27" width="10.5546875" customWidth="1"/>
    <col min="28" max="28" width="5.5546875" customWidth="1"/>
    <col min="29" max="29" width="7.44140625" customWidth="1"/>
    <col min="30" max="33" width="5.5546875" customWidth="1"/>
    <col min="34" max="34" width="8.5546875" customWidth="1"/>
    <col min="35" max="39" width="5.5546875" customWidth="1"/>
    <col min="41" max="46" width="5.554687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00" t="s">
        <v>148</v>
      </c>
      <c r="C2" s="601"/>
      <c r="D2" s="601"/>
      <c r="E2" s="601"/>
      <c r="F2" s="601"/>
      <c r="G2" s="601"/>
      <c r="H2" s="601"/>
      <c r="I2" s="601"/>
      <c r="J2" s="522" t="s">
        <v>2</v>
      </c>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01"/>
      <c r="C3" s="601"/>
      <c r="D3" s="601"/>
      <c r="E3" s="601"/>
      <c r="F3" s="601"/>
      <c r="G3" s="601"/>
      <c r="H3" s="601"/>
      <c r="I3" s="601"/>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01"/>
      <c r="C4" s="601"/>
      <c r="D4" s="601"/>
      <c r="E4" s="601"/>
      <c r="F4" s="601"/>
      <c r="G4" s="601"/>
      <c r="H4" s="601"/>
      <c r="I4" s="601"/>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2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33" t="s">
        <v>4</v>
      </c>
      <c r="C6" s="533"/>
      <c r="D6" s="534"/>
      <c r="E6" s="571" t="s">
        <v>110</v>
      </c>
      <c r="F6" s="572"/>
      <c r="G6" s="572"/>
      <c r="H6" s="572"/>
      <c r="I6" s="573"/>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91" t="s">
        <v>77</v>
      </c>
      <c r="AP6" s="592"/>
      <c r="AQ6" s="592"/>
      <c r="AR6" s="592"/>
      <c r="AS6" s="592"/>
      <c r="AT6" s="59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33"/>
      <c r="C7" s="533"/>
      <c r="D7" s="534"/>
      <c r="E7" s="574"/>
      <c r="F7" s="575"/>
      <c r="G7" s="575"/>
      <c r="H7" s="575"/>
      <c r="I7" s="576"/>
      <c r="J7" s="36" t="str">
        <f>IF(AND('Mapa final'!$AB$16="Muy Alta",'Mapa final'!$AD$16="Leve"),CONCATENATE("R2C",'Mapa final'!$R$16),"")</f>
        <v/>
      </c>
      <c r="K7" s="37" t="str">
        <f>IF(AND('Mapa final'!$AB$17="Muy Alta",'Mapa final'!$AD$17="Leve"),CONCATENATE("R2C",'Mapa final'!$R$17),"")</f>
        <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final'!$AB$16="Muy Alta",'Mapa final'!$AD$16="Menor"),CONCATENATE("R2C",'Mapa final'!$R$16),"")</f>
        <v/>
      </c>
      <c r="Q7" s="37" t="str">
        <f>IF(AND('Mapa final'!$AB$17="Muy Alta",'Mapa final'!$AD$17="Menor"),CONCATENATE("R2C",'Mapa final'!$R$17),"")</f>
        <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final'!$AB$16="Muy Alta",'Mapa final'!$AD$16="Moderado"),CONCATENATE("R2C",'Mapa final'!$R$16),"")</f>
        <v/>
      </c>
      <c r="W7" s="37" t="str">
        <f>IF(AND('Mapa final'!$AB$17="Muy Alta",'Mapa final'!$AD$17="Moderado"),CONCATENATE("R2C",'Mapa final'!$R$17),"")</f>
        <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final'!$AB$16="Muy Alta",'Mapa final'!$AD$16="Mayor"),CONCATENATE("R2C",'Mapa final'!$R$16),"")</f>
        <v/>
      </c>
      <c r="AC7" s="37" t="str">
        <f>IF(AND('Mapa final'!$AB$17="Muy Alta",'Mapa final'!$AD$17="Mayor"),CONCATENATE("R2C",'Mapa final'!$R$17),"")</f>
        <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final'!$AB$16="Muy Alta",'Mapa final'!$AD$16="Catastrófico"),CONCATENATE("R2C",'Mapa final'!$R$16),"")</f>
        <v/>
      </c>
      <c r="AI7" s="40" t="str">
        <f>IF(AND('Mapa final'!$AB$17="Muy Alta",'Mapa final'!$AD$17="Catastrófico"),CONCATENATE("R2C",'Mapa final'!$R$17),"")</f>
        <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594"/>
      <c r="AP7" s="595"/>
      <c r="AQ7" s="595"/>
      <c r="AR7" s="595"/>
      <c r="AS7" s="595"/>
      <c r="AT7" s="59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33"/>
      <c r="C8" s="533"/>
      <c r="D8" s="534"/>
      <c r="E8" s="574"/>
      <c r="F8" s="575"/>
      <c r="G8" s="575"/>
      <c r="H8" s="575"/>
      <c r="I8" s="576"/>
      <c r="J8" s="36" t="str">
        <f>IF(AND('Mapa final'!$AB$18="Muy Alta",'Mapa final'!$AD$18="Leve"),CONCATENATE("R3C",'Mapa final'!$R$18),"")</f>
        <v/>
      </c>
      <c r="K8" s="37" t="str">
        <f>IF(AND('Mapa final'!$AB$19="Muy Alta",'Mapa final'!$AD$19="Leve"),CONCATENATE("R3C",'Mapa final'!$R$19),"")</f>
        <v/>
      </c>
      <c r="L8" s="37" t="str">
        <f>IF(AND('Mapa final'!$AB$20="Muy Alta",'Mapa final'!$AD$20="Leve"),CONCATENATE("R3C",'Mapa final'!$R$20),"")</f>
        <v/>
      </c>
      <c r="M8" s="37" t="str">
        <f>IF(AND('Mapa final'!$AB$21="Muy Alta",'Mapa final'!$AD$21="Leve"),CONCATENATE("R3C",'Mapa final'!$R$21),"")</f>
        <v/>
      </c>
      <c r="N8" s="37" t="str">
        <f>IF(AND('Mapa final'!$AB$22="Muy Alta",'Mapa final'!$AD$22="Leve"),CONCATENATE("R3C",'Mapa final'!$R$22),"")</f>
        <v/>
      </c>
      <c r="O8" s="38" t="str">
        <f>IF(AND('Mapa final'!$AB$23="Muy Alta",'Mapa final'!$AD$23="Leve"),CONCATENATE("R3C",'Mapa final'!$R$23),"")</f>
        <v/>
      </c>
      <c r="P8" s="36" t="str">
        <f>IF(AND('Mapa final'!$AB$18="Muy Alta",'Mapa final'!$AD$18="Menor"),CONCATENATE("R3C",'Mapa final'!$R$18),"")</f>
        <v/>
      </c>
      <c r="Q8" s="37" t="str">
        <f>IF(AND('Mapa final'!$AB$19="Muy Alta",'Mapa final'!$AD$19="Menor"),CONCATENATE("R3C",'Mapa final'!$R$19),"")</f>
        <v/>
      </c>
      <c r="R8" s="37" t="str">
        <f>IF(AND('Mapa final'!$AB$20="Muy Alta",'Mapa final'!$AD$20="Menor"),CONCATENATE("R3C",'Mapa final'!$R$20),"")</f>
        <v/>
      </c>
      <c r="S8" s="37" t="str">
        <f>IF(AND('Mapa final'!$AB$21="Muy Alta",'Mapa final'!$AD$21="Menor"),CONCATENATE("R3C",'Mapa final'!$R$21),"")</f>
        <v/>
      </c>
      <c r="T8" s="37" t="str">
        <f>IF(AND('Mapa final'!$AB$22="Muy Alta",'Mapa final'!$AD$22="Menor"),CONCATENATE("R3C",'Mapa final'!$R$22),"")</f>
        <v/>
      </c>
      <c r="U8" s="38" t="str">
        <f>IF(AND('Mapa final'!$AB$23="Muy Alta",'Mapa final'!$AD$23="Menor"),CONCATENATE("R3C",'Mapa final'!$R$23),"")</f>
        <v/>
      </c>
      <c r="V8" s="36" t="str">
        <f>IF(AND('Mapa final'!$AB$18="Muy Alta",'Mapa final'!$AD$18="Moderado"),CONCATENATE("R3C",'Mapa final'!$R$18),"")</f>
        <v/>
      </c>
      <c r="W8" s="37" t="str">
        <f>IF(AND('Mapa final'!$AB$19="Muy Alta",'Mapa final'!$AD$19="Moderado"),CONCATENATE("R3C",'Mapa final'!$R$19),"")</f>
        <v/>
      </c>
      <c r="X8" s="37" t="str">
        <f>IF(AND('Mapa final'!$AB$20="Muy Alta",'Mapa final'!$AD$20="Moderado"),CONCATENATE("R3C",'Mapa final'!$R$20),"")</f>
        <v/>
      </c>
      <c r="Y8" s="37" t="str">
        <f>IF(AND('Mapa final'!$AB$21="Muy Alta",'Mapa final'!$AD$21="Moderado"),CONCATENATE("R3C",'Mapa final'!$R$21),"")</f>
        <v/>
      </c>
      <c r="Z8" s="37" t="str">
        <f>IF(AND('Mapa final'!$AB$22="Muy Alta",'Mapa final'!$AD$22="Moderado"),CONCATENATE("R3C",'Mapa final'!$R$22),"")</f>
        <v/>
      </c>
      <c r="AA8" s="38" t="str">
        <f>IF(AND('Mapa final'!$AB$23="Muy Alta",'Mapa final'!$AD$23="Moderado"),CONCATENATE("R3C",'Mapa final'!$R$23),"")</f>
        <v/>
      </c>
      <c r="AB8" s="36" t="str">
        <f>IF(AND('Mapa final'!$AB$18="Muy Alta",'Mapa final'!$AD$18="Mayor"),CONCATENATE("R3C",'Mapa final'!$R$18),"")</f>
        <v/>
      </c>
      <c r="AC8" s="37" t="str">
        <f>IF(AND('Mapa final'!$AB$19="Muy Alta",'Mapa final'!$AD$19="Mayor"),CONCATENATE("R3C",'Mapa final'!$R$19),"")</f>
        <v/>
      </c>
      <c r="AD8" s="37" t="str">
        <f>IF(AND('Mapa final'!$AB$20="Muy Alta",'Mapa final'!$AD$20="Mayor"),CONCATENATE("R3C",'Mapa final'!$R$20),"")</f>
        <v/>
      </c>
      <c r="AE8" s="37" t="str">
        <f>IF(AND('Mapa final'!$AB$21="Muy Alta",'Mapa final'!$AD$21="Mayor"),CONCATENATE("R3C",'Mapa final'!$R$21),"")</f>
        <v/>
      </c>
      <c r="AF8" s="37" t="str">
        <f>IF(AND('Mapa final'!$AB$22="Muy Alta",'Mapa final'!$AD$22="Mayor"),CONCATENATE("R3C",'Mapa final'!$R$22),"")</f>
        <v/>
      </c>
      <c r="AG8" s="38" t="str">
        <f>IF(AND('Mapa final'!$AB$23="Muy Alta",'Mapa final'!$AD$23="Mayor"),CONCATENATE("R3C",'Mapa final'!$R$23),"")</f>
        <v/>
      </c>
      <c r="AH8" s="39" t="str">
        <f>IF(AND('Mapa final'!$AB$18="Muy Alta",'Mapa final'!$AD$18="Catastrófico"),CONCATENATE("R3C",'Mapa final'!$R$18),"")</f>
        <v/>
      </c>
      <c r="AI8" s="40" t="str">
        <f>IF(AND('Mapa final'!$AB$19="Muy Alta",'Mapa final'!$AD$19="Catastrófico"),CONCATENATE("R3C",'Mapa final'!$R$19),"")</f>
        <v/>
      </c>
      <c r="AJ8" s="40" t="str">
        <f>IF(AND('Mapa final'!$AB$20="Muy Alta",'Mapa final'!$AD$20="Catastrófico"),CONCATENATE("R3C",'Mapa final'!$R$20),"")</f>
        <v/>
      </c>
      <c r="AK8" s="40" t="str">
        <f>IF(AND('Mapa final'!$AB$21="Muy Alta",'Mapa final'!$AD$21="Catastrófico"),CONCATENATE("R3C",'Mapa final'!$R$21),"")</f>
        <v/>
      </c>
      <c r="AL8" s="40" t="str">
        <f>IF(AND('Mapa final'!$AB$22="Muy Alta",'Mapa final'!$AD$22="Catastrófico"),CONCATENATE("R3C",'Mapa final'!$R$22),"")</f>
        <v/>
      </c>
      <c r="AM8" s="41" t="str">
        <f>IF(AND('Mapa final'!$AB$23="Muy Alta",'Mapa final'!$AD$23="Catastrófico"),CONCATENATE("R3C",'Mapa final'!$R$23),"")</f>
        <v/>
      </c>
      <c r="AN8" s="67"/>
      <c r="AO8" s="594"/>
      <c r="AP8" s="595"/>
      <c r="AQ8" s="595"/>
      <c r="AR8" s="595"/>
      <c r="AS8" s="595"/>
      <c r="AT8" s="59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33"/>
      <c r="C9" s="533"/>
      <c r="D9" s="534"/>
      <c r="E9" s="574"/>
      <c r="F9" s="575"/>
      <c r="G9" s="575"/>
      <c r="H9" s="575"/>
      <c r="I9" s="576"/>
      <c r="J9" s="36" t="str">
        <f>IF(AND('Mapa final'!$AB$24="Muy Alta",'Mapa final'!$AD$24="Leve"),CONCATENATE("R4C",'Mapa final'!$R$24),"")</f>
        <v/>
      </c>
      <c r="K9" s="37" t="str">
        <f>IF(AND('Mapa final'!$AB$25="Muy Alta",'Mapa final'!$AD$25="Leve"),CONCATENATE("R4C",'Mapa final'!$R$25),"")</f>
        <v/>
      </c>
      <c r="L9" s="37" t="str">
        <f>IF(AND('Mapa final'!$AB$26="Muy Alta",'Mapa final'!$AD$26="Leve"),CONCATENATE("R4C",'Mapa final'!$R$26),"")</f>
        <v/>
      </c>
      <c r="M9" s="37" t="str">
        <f>IF(AND('Mapa final'!$AB$27="Muy Alta",'Mapa final'!$AD$27="Leve"),CONCATENATE("R4C",'Mapa final'!$R$27),"")</f>
        <v/>
      </c>
      <c r="N9" s="37" t="str">
        <f>IF(AND('Mapa final'!$AB$28="Muy Alta",'Mapa final'!$AD$28="Leve"),CONCATENATE("R4C",'Mapa final'!$R$28),"")</f>
        <v/>
      </c>
      <c r="O9" s="38" t="str">
        <f>IF(AND('Mapa final'!$AB$29="Muy Alta",'Mapa final'!$AD$29="Leve"),CONCATENATE("R4C",'Mapa final'!$R$29),"")</f>
        <v/>
      </c>
      <c r="P9" s="36" t="str">
        <f>IF(AND('Mapa final'!$AB$24="Muy Alta",'Mapa final'!$AD$24="Menor"),CONCATENATE("R4C",'Mapa final'!$R$24),"")</f>
        <v/>
      </c>
      <c r="Q9" s="37" t="str">
        <f>IF(AND('Mapa final'!$AB$25="Muy Alta",'Mapa final'!$AD$25="Menor"),CONCATENATE("R4C",'Mapa final'!$R$25),"")</f>
        <v/>
      </c>
      <c r="R9" s="37" t="str">
        <f>IF(AND('Mapa final'!$AB$26="Muy Alta",'Mapa final'!$AD$26="Menor"),CONCATENATE("R4C",'Mapa final'!$R$26),"")</f>
        <v/>
      </c>
      <c r="S9" s="37" t="str">
        <f>IF(AND('Mapa final'!$AB$27="Muy Alta",'Mapa final'!$AD$27="Menor"),CONCATENATE("R4C",'Mapa final'!$R$27),"")</f>
        <v/>
      </c>
      <c r="T9" s="37" t="str">
        <f>IF(AND('Mapa final'!$AB$28="Muy Alta",'Mapa final'!$AD$28="Menor"),CONCATENATE("R4C",'Mapa final'!$R$28),"")</f>
        <v/>
      </c>
      <c r="U9" s="38" t="str">
        <f>IF(AND('Mapa final'!$AB$29="Muy Alta",'Mapa final'!$AD$29="Menor"),CONCATENATE("R4C",'Mapa final'!$R$29),"")</f>
        <v/>
      </c>
      <c r="V9" s="36" t="str">
        <f>IF(AND('Mapa final'!$AB$24="Muy Alta",'Mapa final'!$AD$24="Moderado"),CONCATENATE("R4C",'Mapa final'!$R$24),"")</f>
        <v/>
      </c>
      <c r="W9" s="37" t="str">
        <f>IF(AND('Mapa final'!$AB$25="Muy Alta",'Mapa final'!$AD$25="Moderado"),CONCATENATE("R4C",'Mapa final'!$R$25),"")</f>
        <v/>
      </c>
      <c r="X9" s="37" t="str">
        <f>IF(AND('Mapa final'!$AB$26="Muy Alta",'Mapa final'!$AD$26="Moderado"),CONCATENATE("R4C",'Mapa final'!$R$26),"")</f>
        <v/>
      </c>
      <c r="Y9" s="37" t="str">
        <f>IF(AND('Mapa final'!$AB$27="Muy Alta",'Mapa final'!$AD$27="Moderado"),CONCATENATE("R4C",'Mapa final'!$R$27),"")</f>
        <v/>
      </c>
      <c r="Z9" s="37" t="str">
        <f>IF(AND('Mapa final'!$AB$28="Muy Alta",'Mapa final'!$AD$28="Moderado"),CONCATENATE("R4C",'Mapa final'!$R$28),"")</f>
        <v/>
      </c>
      <c r="AA9" s="38" t="str">
        <f>IF(AND('Mapa final'!$AB$29="Muy Alta",'Mapa final'!$AD$29="Moderado"),CONCATENATE("R4C",'Mapa final'!$R$29),"")</f>
        <v/>
      </c>
      <c r="AB9" s="36" t="str">
        <f>IF(AND('Mapa final'!$AB$24="Muy Alta",'Mapa final'!$AD$24="Mayor"),CONCATENATE("R4C",'Mapa final'!$R$24),"")</f>
        <v/>
      </c>
      <c r="AC9" s="37" t="str">
        <f>IF(AND('Mapa final'!$AB$25="Muy Alta",'Mapa final'!$AD$25="Mayor"),CONCATENATE("R4C",'Mapa final'!$R$25),"")</f>
        <v/>
      </c>
      <c r="AD9" s="37" t="str">
        <f>IF(AND('Mapa final'!$AB$26="Muy Alta",'Mapa final'!$AD$26="Mayor"),CONCATENATE("R4C",'Mapa final'!$R$26),"")</f>
        <v/>
      </c>
      <c r="AE9" s="37" t="str">
        <f>IF(AND('Mapa final'!$AB$27="Muy Alta",'Mapa final'!$AD$27="Mayor"),CONCATENATE("R4C",'Mapa final'!$R$27),"")</f>
        <v/>
      </c>
      <c r="AF9" s="37" t="str">
        <f>IF(AND('Mapa final'!$AB$28="Muy Alta",'Mapa final'!$AD$28="Mayor"),CONCATENATE("R4C",'Mapa final'!$R$28),"")</f>
        <v/>
      </c>
      <c r="AG9" s="38" t="str">
        <f>IF(AND('Mapa final'!$AB$29="Muy Alta",'Mapa final'!$AD$29="Mayor"),CONCATENATE("R4C",'Mapa final'!$R$29),"")</f>
        <v/>
      </c>
      <c r="AH9" s="39" t="str">
        <f>IF(AND('Mapa final'!$AB$24="Muy Alta",'Mapa final'!$AD$24="Catastrófico"),CONCATENATE("R4C",'Mapa final'!$R$24),"")</f>
        <v/>
      </c>
      <c r="AI9" s="40" t="str">
        <f>IF(AND('Mapa final'!$AB$25="Muy Alta",'Mapa final'!$AD$25="Catastrófico"),CONCATENATE("R4C",'Mapa final'!$R$25),"")</f>
        <v/>
      </c>
      <c r="AJ9" s="40" t="str">
        <f>IF(AND('Mapa final'!$AB$26="Muy Alta",'Mapa final'!$AD$26="Catastrófico"),CONCATENATE("R4C",'Mapa final'!$R$26),"")</f>
        <v/>
      </c>
      <c r="AK9" s="40" t="str">
        <f>IF(AND('Mapa final'!$AB$27="Muy Alta",'Mapa final'!$AD$27="Catastrófico"),CONCATENATE("R4C",'Mapa final'!$R$27),"")</f>
        <v/>
      </c>
      <c r="AL9" s="40" t="str">
        <f>IF(AND('Mapa final'!$AB$28="Muy Alta",'Mapa final'!$AD$28="Catastrófico"),CONCATENATE("R4C",'Mapa final'!$R$28),"")</f>
        <v/>
      </c>
      <c r="AM9" s="41" t="str">
        <f>IF(AND('Mapa final'!$AB$29="Muy Alta",'Mapa final'!$AD$29="Catastrófico"),CONCATENATE("R4C",'Mapa final'!$R$29),"")</f>
        <v/>
      </c>
      <c r="AN9" s="67"/>
      <c r="AO9" s="594"/>
      <c r="AP9" s="595"/>
      <c r="AQ9" s="595"/>
      <c r="AR9" s="595"/>
      <c r="AS9" s="595"/>
      <c r="AT9" s="59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33"/>
      <c r="C10" s="533"/>
      <c r="D10" s="534"/>
      <c r="E10" s="574"/>
      <c r="F10" s="575"/>
      <c r="G10" s="575"/>
      <c r="H10" s="575"/>
      <c r="I10" s="576"/>
      <c r="J10" s="36" t="str">
        <f>IF(AND('Mapa final'!$AB$30="Muy Alta",'Mapa final'!$AD$30="Leve"),CONCATENATE("R5C",'Mapa final'!$R$30),"")</f>
        <v/>
      </c>
      <c r="K10" s="37" t="str">
        <f>IF(AND('Mapa final'!$AB$31="Muy Alta",'Mapa final'!$AD$31="Leve"),CONCATENATE("R5C",'Mapa final'!$R$31),"")</f>
        <v/>
      </c>
      <c r="L10" s="37" t="str">
        <f>IF(AND('Mapa final'!$AB$32="Muy Alta",'Mapa final'!$AD$32="Leve"),CONCATENATE("R5C",'Mapa final'!$R$32),"")</f>
        <v/>
      </c>
      <c r="M10" s="37" t="str">
        <f>IF(AND('Mapa final'!$AB$33="Muy Alta",'Mapa final'!$AD$33="Leve"),CONCATENATE("R5C",'Mapa final'!$R$33),"")</f>
        <v/>
      </c>
      <c r="N10" s="37" t="str">
        <f>IF(AND('Mapa final'!$AB$34="Muy Alta",'Mapa final'!$AD$34="Leve"),CONCATENATE("R5C",'Mapa final'!$R$34),"")</f>
        <v/>
      </c>
      <c r="O10" s="38" t="str">
        <f>IF(AND('Mapa final'!$AB$35="Muy Alta",'Mapa final'!$AD$35="Leve"),CONCATENATE("R5C",'Mapa final'!$R$35),"")</f>
        <v/>
      </c>
      <c r="P10" s="36" t="str">
        <f>IF(AND('Mapa final'!$AB$30="Muy Alta",'Mapa final'!$AD$30="Menor"),CONCATENATE("R5C",'Mapa final'!$R$30),"")</f>
        <v/>
      </c>
      <c r="Q10" s="37" t="str">
        <f>IF(AND('Mapa final'!$AB$31="Muy Alta",'Mapa final'!$AD$31="Menor"),CONCATENATE("R5C",'Mapa final'!$R$31),"")</f>
        <v/>
      </c>
      <c r="R10" s="37" t="str">
        <f>IF(AND('Mapa final'!$AB$32="Muy Alta",'Mapa final'!$AD$32="Menor"),CONCATENATE("R5C",'Mapa final'!$R$32),"")</f>
        <v/>
      </c>
      <c r="S10" s="37" t="str">
        <f>IF(AND('Mapa final'!$AB$33="Muy Alta",'Mapa final'!$AD$33="Menor"),CONCATENATE("R5C",'Mapa final'!$R$33),"")</f>
        <v/>
      </c>
      <c r="T10" s="37" t="str">
        <f>IF(AND('Mapa final'!$AB$34="Muy Alta",'Mapa final'!$AD$34="Menor"),CONCATENATE("R5C",'Mapa final'!$R$34),"")</f>
        <v/>
      </c>
      <c r="U10" s="38" t="str">
        <f>IF(AND('Mapa final'!$AB$35="Muy Alta",'Mapa final'!$AD$35="Menor"),CONCATENATE("R5C",'Mapa final'!$R$35),"")</f>
        <v/>
      </c>
      <c r="V10" s="36" t="str">
        <f>IF(AND('Mapa final'!$AB$30="Muy Alta",'Mapa final'!$AD$30="Moderado"),CONCATENATE("R5C",'Mapa final'!$R$30),"")</f>
        <v/>
      </c>
      <c r="W10" s="37" t="str">
        <f>IF(AND('Mapa final'!$AB$31="Muy Alta",'Mapa final'!$AD$31="Moderado"),CONCATENATE("R5C",'Mapa final'!$R$31),"")</f>
        <v/>
      </c>
      <c r="X10" s="37" t="str">
        <f>IF(AND('Mapa final'!$AB$32="Muy Alta",'Mapa final'!$AD$32="Moderado"),CONCATENATE("R5C",'Mapa final'!$R$32),"")</f>
        <v/>
      </c>
      <c r="Y10" s="37" t="str">
        <f>IF(AND('Mapa final'!$AB$33="Muy Alta",'Mapa final'!$AD$33="Moderado"),CONCATENATE("R5C",'Mapa final'!$R$33),"")</f>
        <v/>
      </c>
      <c r="Z10" s="37" t="str">
        <f>IF(AND('Mapa final'!$AB$34="Muy Alta",'Mapa final'!$AD$34="Moderado"),CONCATENATE("R5C",'Mapa final'!$R$34),"")</f>
        <v/>
      </c>
      <c r="AA10" s="38" t="str">
        <f>IF(AND('Mapa final'!$AB$35="Muy Alta",'Mapa final'!$AD$35="Moderado"),CONCATENATE("R5C",'Mapa final'!$R$35),"")</f>
        <v/>
      </c>
      <c r="AB10" s="36" t="str">
        <f>IF(AND('Mapa final'!$AB$30="Muy Alta",'Mapa final'!$AD$30="Mayor"),CONCATENATE("R5C",'Mapa final'!$R$30),"")</f>
        <v/>
      </c>
      <c r="AC10" s="37" t="str">
        <f>IF(AND('Mapa final'!$AB$31="Muy Alta",'Mapa final'!$AD$31="Mayor"),CONCATENATE("R5C",'Mapa final'!$R$31),"")</f>
        <v/>
      </c>
      <c r="AD10" s="37" t="str">
        <f>IF(AND('Mapa final'!$AB$32="Muy Alta",'Mapa final'!$AD$32="Mayor"),CONCATENATE("R5C",'Mapa final'!$R$32),"")</f>
        <v/>
      </c>
      <c r="AE10" s="37" t="str">
        <f>IF(AND('Mapa final'!$AB$33="Muy Alta",'Mapa final'!$AD$33="Mayor"),CONCATENATE("R5C",'Mapa final'!$R$33),"")</f>
        <v/>
      </c>
      <c r="AF10" s="37" t="str">
        <f>IF(AND('Mapa final'!$AB$34="Muy Alta",'Mapa final'!$AD$34="Mayor"),CONCATENATE("R5C",'Mapa final'!$R$34),"")</f>
        <v/>
      </c>
      <c r="AG10" s="38" t="str">
        <f>IF(AND('Mapa final'!$AB$35="Muy Alta",'Mapa final'!$AD$35="Mayor"),CONCATENATE("R5C",'Mapa final'!$R$35),"")</f>
        <v/>
      </c>
      <c r="AH10" s="39" t="str">
        <f>IF(AND('Mapa final'!$AB$30="Muy Alta",'Mapa final'!$AD$30="Catastrófico"),CONCATENATE("R5C",'Mapa final'!$R$30),"")</f>
        <v/>
      </c>
      <c r="AI10" s="40" t="str">
        <f>IF(AND('Mapa final'!$AB$31="Muy Alta",'Mapa final'!$AD$31="Catastrófico"),CONCATENATE("R5C",'Mapa final'!$R$31),"")</f>
        <v/>
      </c>
      <c r="AJ10" s="40" t="str">
        <f>IF(AND('Mapa final'!$AB$32="Muy Alta",'Mapa final'!$AD$32="Catastrófico"),CONCATENATE("R5C",'Mapa final'!$R$32),"")</f>
        <v/>
      </c>
      <c r="AK10" s="40" t="str">
        <f>IF(AND('Mapa final'!$AB$33="Muy Alta",'Mapa final'!$AD$33="Catastrófico"),CONCATENATE("R5C",'Mapa final'!$R$33),"")</f>
        <v/>
      </c>
      <c r="AL10" s="40" t="str">
        <f>IF(AND('Mapa final'!$AB$34="Muy Alta",'Mapa final'!$AD$34="Catastrófico"),CONCATENATE("R5C",'Mapa final'!$R$34),"")</f>
        <v/>
      </c>
      <c r="AM10" s="41" t="str">
        <f>IF(AND('Mapa final'!$AB$35="Muy Alta",'Mapa final'!$AD$35="Catastrófico"),CONCATENATE("R5C",'Mapa final'!$R$35),"")</f>
        <v/>
      </c>
      <c r="AN10" s="67"/>
      <c r="AO10" s="594"/>
      <c r="AP10" s="595"/>
      <c r="AQ10" s="595"/>
      <c r="AR10" s="595"/>
      <c r="AS10" s="595"/>
      <c r="AT10" s="59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33"/>
      <c r="C11" s="533"/>
      <c r="D11" s="534"/>
      <c r="E11" s="574"/>
      <c r="F11" s="575"/>
      <c r="G11" s="575"/>
      <c r="H11" s="575"/>
      <c r="I11" s="576"/>
      <c r="J11" s="36" t="str">
        <f>IF(AND('Mapa final'!$AB$36="Muy Alta",'Mapa final'!$AD$36="Leve"),CONCATENATE("R6C",'Mapa final'!$R$36),"")</f>
        <v/>
      </c>
      <c r="K11" s="37" t="str">
        <f>IF(AND('Mapa final'!$AB$37="Muy Alta",'Mapa final'!$AD$37="Leve"),CONCATENATE("R6C",'Mapa final'!$R$37),"")</f>
        <v/>
      </c>
      <c r="L11" s="37" t="str">
        <f>IF(AND('Mapa final'!$AB$38="Muy Alta",'Mapa final'!$AD$38="Leve"),CONCATENATE("R6C",'Mapa final'!$R$38),"")</f>
        <v/>
      </c>
      <c r="M11" s="37" t="str">
        <f>IF(AND('Mapa final'!$AB$39="Muy Alta",'Mapa final'!$AD$39="Leve"),CONCATENATE("R6C",'Mapa final'!$R$39),"")</f>
        <v/>
      </c>
      <c r="N11" s="37" t="str">
        <f>IF(AND('Mapa final'!$AB$40="Muy Alta",'Mapa final'!$AD$40="Leve"),CONCATENATE("R6C",'Mapa final'!$R$40),"")</f>
        <v/>
      </c>
      <c r="O11" s="38" t="str">
        <f>IF(AND('Mapa final'!$AB$41="Muy Alta",'Mapa final'!$AD$41="Leve"),CONCATENATE("R6C",'Mapa final'!$R$41),"")</f>
        <v/>
      </c>
      <c r="P11" s="36" t="str">
        <f>IF(AND('Mapa final'!$AB$36="Muy Alta",'Mapa final'!$AD$36="Menor"),CONCATENATE("R6C",'Mapa final'!$R$36),"")</f>
        <v/>
      </c>
      <c r="Q11" s="37" t="str">
        <f>IF(AND('Mapa final'!$AB$37="Muy Alta",'Mapa final'!$AD$37="Menor"),CONCATENATE("R6C",'Mapa final'!$R$37),"")</f>
        <v/>
      </c>
      <c r="R11" s="37" t="str">
        <f>IF(AND('Mapa final'!$AB$38="Muy Alta",'Mapa final'!$AD$38="Menor"),CONCATENATE("R6C",'Mapa final'!$R$38),"")</f>
        <v/>
      </c>
      <c r="S11" s="37" t="str">
        <f>IF(AND('Mapa final'!$AB$39="Muy Alta",'Mapa final'!$AD$39="Menor"),CONCATENATE("R6C",'Mapa final'!$R$39),"")</f>
        <v/>
      </c>
      <c r="T11" s="37" t="str">
        <f>IF(AND('Mapa final'!$AB$40="Muy Alta",'Mapa final'!$AD$40="Menor"),CONCATENATE("R6C",'Mapa final'!$R$40),"")</f>
        <v/>
      </c>
      <c r="U11" s="38" t="str">
        <f>IF(AND('Mapa final'!$AB$41="Muy Alta",'Mapa final'!$AD$41="Menor"),CONCATENATE("R6C",'Mapa final'!$R$41),"")</f>
        <v/>
      </c>
      <c r="V11" s="36" t="str">
        <f>IF(AND('Mapa final'!$AB$36="Muy Alta",'Mapa final'!$AD$36="Moderado"),CONCATENATE("R6C",'Mapa final'!$R$36),"")</f>
        <v/>
      </c>
      <c r="W11" s="37" t="str">
        <f>IF(AND('Mapa final'!$AB$37="Muy Alta",'Mapa final'!$AD$37="Moderado"),CONCATENATE("R6C",'Mapa final'!$R$37),"")</f>
        <v/>
      </c>
      <c r="X11" s="37" t="str">
        <f>IF(AND('Mapa final'!$AB$38="Muy Alta",'Mapa final'!$AD$38="Moderado"),CONCATENATE("R6C",'Mapa final'!$R$38),"")</f>
        <v/>
      </c>
      <c r="Y11" s="37" t="str">
        <f>IF(AND('Mapa final'!$AB$39="Muy Alta",'Mapa final'!$AD$39="Moderado"),CONCATENATE("R6C",'Mapa final'!$R$39),"")</f>
        <v/>
      </c>
      <c r="Z11" s="37" t="str">
        <f>IF(AND('Mapa final'!$AB$40="Muy Alta",'Mapa final'!$AD$40="Moderado"),CONCATENATE("R6C",'Mapa final'!$R$40),"")</f>
        <v/>
      </c>
      <c r="AA11" s="38" t="str">
        <f>IF(AND('Mapa final'!$AB$41="Muy Alta",'Mapa final'!$AD$41="Moderado"),CONCATENATE("R6C",'Mapa final'!$R$41),"")</f>
        <v/>
      </c>
      <c r="AB11" s="36" t="str">
        <f>IF(AND('Mapa final'!$AB$36="Muy Alta",'Mapa final'!$AD$36="Mayor"),CONCATENATE("R6C",'Mapa final'!$R$36),"")</f>
        <v/>
      </c>
      <c r="AC11" s="37" t="str">
        <f>IF(AND('Mapa final'!$AB$37="Muy Alta",'Mapa final'!$AD$37="Mayor"),CONCATENATE("R6C",'Mapa final'!$R$37),"")</f>
        <v/>
      </c>
      <c r="AD11" s="37" t="str">
        <f>IF(AND('Mapa final'!$AB$38="Muy Alta",'Mapa final'!$AD$38="Mayor"),CONCATENATE("R6C",'Mapa final'!$R$38),"")</f>
        <v/>
      </c>
      <c r="AE11" s="37" t="str">
        <f>IF(AND('Mapa final'!$AB$39="Muy Alta",'Mapa final'!$AD$39="Mayor"),CONCATENATE("R6C",'Mapa final'!$R$39),"")</f>
        <v/>
      </c>
      <c r="AF11" s="37" t="str">
        <f>IF(AND('Mapa final'!$AB$40="Muy Alta",'Mapa final'!$AD$40="Mayor"),CONCATENATE("R6C",'Mapa final'!$R$40),"")</f>
        <v/>
      </c>
      <c r="AG11" s="38" t="str">
        <f>IF(AND('Mapa final'!$AB$41="Muy Alta",'Mapa final'!$AD$41="Mayor"),CONCATENATE("R6C",'Mapa final'!$R$41),"")</f>
        <v/>
      </c>
      <c r="AH11" s="39" t="str">
        <f>IF(AND('Mapa final'!$AB$36="Muy Alta",'Mapa final'!$AD$36="Catastrófico"),CONCATENATE("R6C",'Mapa final'!$R$36),"")</f>
        <v/>
      </c>
      <c r="AI11" s="40" t="str">
        <f>IF(AND('Mapa final'!$AB$37="Muy Alta",'Mapa final'!$AD$37="Catastrófico"),CONCATENATE("R6C",'Mapa final'!$R$37),"")</f>
        <v/>
      </c>
      <c r="AJ11" s="40" t="str">
        <f>IF(AND('Mapa final'!$AB$38="Muy Alta",'Mapa final'!$AD$38="Catastrófico"),CONCATENATE("R6C",'Mapa final'!$R$38),"")</f>
        <v/>
      </c>
      <c r="AK11" s="40" t="str">
        <f>IF(AND('Mapa final'!$AB$39="Muy Alta",'Mapa final'!$AD$39="Catastrófico"),CONCATENATE("R6C",'Mapa final'!$R$39),"")</f>
        <v/>
      </c>
      <c r="AL11" s="40" t="str">
        <f>IF(AND('Mapa final'!$AB$40="Muy Alta",'Mapa final'!$AD$40="Catastrófico"),CONCATENATE("R6C",'Mapa final'!$R$40),"")</f>
        <v/>
      </c>
      <c r="AM11" s="41" t="str">
        <f>IF(AND('Mapa final'!$AB$41="Muy Alta",'Mapa final'!$AD$41="Catastrófico"),CONCATENATE("R6C",'Mapa final'!$R$41),"")</f>
        <v/>
      </c>
      <c r="AN11" s="67"/>
      <c r="AO11" s="594"/>
      <c r="AP11" s="595"/>
      <c r="AQ11" s="595"/>
      <c r="AR11" s="595"/>
      <c r="AS11" s="595"/>
      <c r="AT11" s="59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33"/>
      <c r="C12" s="533"/>
      <c r="D12" s="534"/>
      <c r="E12" s="574"/>
      <c r="F12" s="575"/>
      <c r="G12" s="575"/>
      <c r="H12" s="575"/>
      <c r="I12" s="576"/>
      <c r="J12" s="36" t="str">
        <f>IF(AND('Mapa final'!$AB$42="Muy Alta",'Mapa final'!$AD$42="Leve"),CONCATENATE("R7C",'Mapa final'!$R$42),"")</f>
        <v/>
      </c>
      <c r="K12" s="37" t="str">
        <f>IF(AND('Mapa final'!$AB$43="Muy Alta",'Mapa final'!$AD$43="Leve"),CONCATENATE("R7C",'Mapa final'!$R$43),"")</f>
        <v/>
      </c>
      <c r="L12" s="37" t="str">
        <f>IF(AND('Mapa final'!$AB$44="Muy Alta",'Mapa final'!$AD$44="Leve"),CONCATENATE("R7C",'Mapa final'!$R$44),"")</f>
        <v/>
      </c>
      <c r="M12" s="37" t="str">
        <f>IF(AND('Mapa final'!$AB$45="Muy Alta",'Mapa final'!$AD$45="Leve"),CONCATENATE("R7C",'Mapa final'!$R$45),"")</f>
        <v/>
      </c>
      <c r="N12" s="37" t="str">
        <f>IF(AND('Mapa final'!$AB$46="Muy Alta",'Mapa final'!$AD$46="Leve"),CONCATENATE("R7C",'Mapa final'!$R$46),"")</f>
        <v/>
      </c>
      <c r="O12" s="38" t="str">
        <f>IF(AND('Mapa final'!$AB$47="Muy Alta",'Mapa final'!$AD$47="Leve"),CONCATENATE("R7C",'Mapa final'!$R$47),"")</f>
        <v/>
      </c>
      <c r="P12" s="36" t="str">
        <f>IF(AND('Mapa final'!$AB$42="Muy Alta",'Mapa final'!$AD$42="Menor"),CONCATENATE("R7C",'Mapa final'!$R$42),"")</f>
        <v/>
      </c>
      <c r="Q12" s="37" t="str">
        <f>IF(AND('Mapa final'!$AB$43="Muy Alta",'Mapa final'!$AD$43="Menor"),CONCATENATE("R7C",'Mapa final'!$R$43),"")</f>
        <v/>
      </c>
      <c r="R12" s="37" t="str">
        <f>IF(AND('Mapa final'!$AB$44="Muy Alta",'Mapa final'!$AD$44="Menor"),CONCATENATE("R7C",'Mapa final'!$R$44),"")</f>
        <v/>
      </c>
      <c r="S12" s="37" t="str">
        <f>IF(AND('Mapa final'!$AB$45="Muy Alta",'Mapa final'!$AD$45="Menor"),CONCATENATE("R7C",'Mapa final'!$R$45),"")</f>
        <v/>
      </c>
      <c r="T12" s="37" t="str">
        <f>IF(AND('Mapa final'!$AB$46="Muy Alta",'Mapa final'!$AD$46="Menor"),CONCATENATE("R7C",'Mapa final'!$R$46),"")</f>
        <v/>
      </c>
      <c r="U12" s="38" t="str">
        <f>IF(AND('Mapa final'!$AB$47="Muy Alta",'Mapa final'!$AD$47="Menor"),CONCATENATE("R7C",'Mapa final'!$R$47),"")</f>
        <v/>
      </c>
      <c r="V12" s="36" t="str">
        <f>IF(AND('Mapa final'!$AB$42="Muy Alta",'Mapa final'!$AD$42="Moderado"),CONCATENATE("R7C",'Mapa final'!$R$42),"")</f>
        <v/>
      </c>
      <c r="W12" s="37" t="str">
        <f>IF(AND('Mapa final'!$AB$43="Muy Alta",'Mapa final'!$AD$43="Moderado"),CONCATENATE("R7C",'Mapa final'!$R$43),"")</f>
        <v/>
      </c>
      <c r="X12" s="37" t="str">
        <f>IF(AND('Mapa final'!$AB$44="Muy Alta",'Mapa final'!$AD$44="Moderado"),CONCATENATE("R7C",'Mapa final'!$R$44),"")</f>
        <v/>
      </c>
      <c r="Y12" s="37" t="str">
        <f>IF(AND('Mapa final'!$AB$45="Muy Alta",'Mapa final'!$AD$45="Moderado"),CONCATENATE("R7C",'Mapa final'!$R$45),"")</f>
        <v/>
      </c>
      <c r="Z12" s="37" t="str">
        <f>IF(AND('Mapa final'!$AB$46="Muy Alta",'Mapa final'!$AD$46="Moderado"),CONCATENATE("R7C",'Mapa final'!$R$46),"")</f>
        <v/>
      </c>
      <c r="AA12" s="38" t="str">
        <f>IF(AND('Mapa final'!$AB$47="Muy Alta",'Mapa final'!$AD$47="Moderado"),CONCATENATE("R7C",'Mapa final'!$R$47),"")</f>
        <v/>
      </c>
      <c r="AB12" s="36" t="str">
        <f>IF(AND('Mapa final'!$AB$42="Muy Alta",'Mapa final'!$AD$42="Mayor"),CONCATENATE("R7C",'Mapa final'!$R$42),"")</f>
        <v/>
      </c>
      <c r="AC12" s="37" t="str">
        <f>IF(AND('Mapa final'!$AB$43="Muy Alta",'Mapa final'!$AD$43="Mayor"),CONCATENATE("R7C",'Mapa final'!$R$43),"")</f>
        <v/>
      </c>
      <c r="AD12" s="37" t="str">
        <f>IF(AND('Mapa final'!$AB$44="Muy Alta",'Mapa final'!$AD$44="Mayor"),CONCATENATE("R7C",'Mapa final'!$R$44),"")</f>
        <v/>
      </c>
      <c r="AE12" s="37" t="str">
        <f>IF(AND('Mapa final'!$AB$45="Muy Alta",'Mapa final'!$AD$45="Mayor"),CONCATENATE("R7C",'Mapa final'!$R$45),"")</f>
        <v/>
      </c>
      <c r="AF12" s="37" t="str">
        <f>IF(AND('Mapa final'!$AB$46="Muy Alta",'Mapa final'!$AD$46="Mayor"),CONCATENATE("R7C",'Mapa final'!$R$46),"")</f>
        <v/>
      </c>
      <c r="AG12" s="38" t="str">
        <f>IF(AND('Mapa final'!$AB$47="Muy Alta",'Mapa final'!$AD$47="Mayor"),CONCATENATE("R7C",'Mapa final'!$R$47),"")</f>
        <v/>
      </c>
      <c r="AH12" s="39" t="str">
        <f>IF(AND('Mapa final'!$AB$42="Muy Alta",'Mapa final'!$AD$42="Catastrófico"),CONCATENATE("R7C",'Mapa final'!$R$42),"")</f>
        <v/>
      </c>
      <c r="AI12" s="40" t="str">
        <f>IF(AND('Mapa final'!$AB$43="Muy Alta",'Mapa final'!$AD$43="Catastrófico"),CONCATENATE("R7C",'Mapa final'!$R$43),"")</f>
        <v/>
      </c>
      <c r="AJ12" s="40" t="str">
        <f>IF(AND('Mapa final'!$AB$44="Muy Alta",'Mapa final'!$AD$44="Catastrófico"),CONCATENATE("R7C",'Mapa final'!$R$44),"")</f>
        <v/>
      </c>
      <c r="AK12" s="40" t="str">
        <f>IF(AND('Mapa final'!$AB$45="Muy Alta",'Mapa final'!$AD$45="Catastrófico"),CONCATENATE("R7C",'Mapa final'!$R$45),"")</f>
        <v/>
      </c>
      <c r="AL12" s="40" t="str">
        <f>IF(AND('Mapa final'!$AB$46="Muy Alta",'Mapa final'!$AD$46="Catastrófico"),CONCATENATE("R7C",'Mapa final'!$R$46),"")</f>
        <v/>
      </c>
      <c r="AM12" s="41" t="str">
        <f>IF(AND('Mapa final'!$AB$47="Muy Alta",'Mapa final'!$AD$47="Catastrófico"),CONCATENATE("R7C",'Mapa final'!$R$47),"")</f>
        <v/>
      </c>
      <c r="AN12" s="67"/>
      <c r="AO12" s="594"/>
      <c r="AP12" s="595"/>
      <c r="AQ12" s="595"/>
      <c r="AR12" s="595"/>
      <c r="AS12" s="595"/>
      <c r="AT12" s="59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33"/>
      <c r="C13" s="533"/>
      <c r="D13" s="534"/>
      <c r="E13" s="574"/>
      <c r="F13" s="575"/>
      <c r="G13" s="575"/>
      <c r="H13" s="575"/>
      <c r="I13" s="576"/>
      <c r="J13" s="36" t="str">
        <f>IF(AND('Mapa final'!$AB$48="Muy Alta",'Mapa final'!$AD$48="Leve"),CONCATENATE("R8C",'Mapa final'!$R$48),"")</f>
        <v/>
      </c>
      <c r="K13" s="37" t="str">
        <f>IF(AND('Mapa final'!$AB$49="Muy Alta",'Mapa final'!$AD$49="Leve"),CONCATENATE("R8C",'Mapa final'!$R$49),"")</f>
        <v/>
      </c>
      <c r="L13" s="37" t="str">
        <f>IF(AND('Mapa final'!$AB$50="Muy Alta",'Mapa final'!$AD$50="Leve"),CONCATENATE("R8C",'Mapa final'!$R$50),"")</f>
        <v/>
      </c>
      <c r="M13" s="37" t="str">
        <f>IF(AND('Mapa final'!$AB$51="Muy Alta",'Mapa final'!$AD$51="Leve"),CONCATENATE("R8C",'Mapa final'!$R$51),"")</f>
        <v/>
      </c>
      <c r="N13" s="37" t="str">
        <f>IF(AND('Mapa final'!$AB$52="Muy Alta",'Mapa final'!$AD$52="Leve"),CONCATENATE("R8C",'Mapa final'!$R$52),"")</f>
        <v/>
      </c>
      <c r="O13" s="38" t="str">
        <f>IF(AND('Mapa final'!$AB$53="Muy Alta",'Mapa final'!$AD$53="Leve"),CONCATENATE("R8C",'Mapa final'!$R$53),"")</f>
        <v/>
      </c>
      <c r="P13" s="36" t="str">
        <f>IF(AND('Mapa final'!$AB$48="Muy Alta",'Mapa final'!$AD$48="Menor"),CONCATENATE("R8C",'Mapa final'!$R$48),"")</f>
        <v/>
      </c>
      <c r="Q13" s="37" t="str">
        <f>IF(AND('Mapa final'!$AB$49="Muy Alta",'Mapa final'!$AD$49="Menor"),CONCATENATE("R8C",'Mapa final'!$R$49),"")</f>
        <v/>
      </c>
      <c r="R13" s="37" t="str">
        <f>IF(AND('Mapa final'!$AB$50="Muy Alta",'Mapa final'!$AD$50="Menor"),CONCATENATE("R8C",'Mapa final'!$R$50),"")</f>
        <v/>
      </c>
      <c r="S13" s="37" t="str">
        <f>IF(AND('Mapa final'!$AB$51="Muy Alta",'Mapa final'!$AD$51="Menor"),CONCATENATE("R8C",'Mapa final'!$R$51),"")</f>
        <v/>
      </c>
      <c r="T13" s="37" t="str">
        <f>IF(AND('Mapa final'!$AB$52="Muy Alta",'Mapa final'!$AD$52="Menor"),CONCATENATE("R8C",'Mapa final'!$R$52),"")</f>
        <v/>
      </c>
      <c r="U13" s="38" t="str">
        <f>IF(AND('Mapa final'!$AB$53="Muy Alta",'Mapa final'!$AD$53="Menor"),CONCATENATE("R8C",'Mapa final'!$R$53),"")</f>
        <v/>
      </c>
      <c r="V13" s="36" t="str">
        <f>IF(AND('Mapa final'!$AB$48="Muy Alta",'Mapa final'!$AD$48="Moderado"),CONCATENATE("R8C",'Mapa final'!$R$48),"")</f>
        <v/>
      </c>
      <c r="W13" s="37" t="str">
        <f>IF(AND('Mapa final'!$AB$49="Muy Alta",'Mapa final'!$AD$49="Moderado"),CONCATENATE("R8C",'Mapa final'!$R$49),"")</f>
        <v/>
      </c>
      <c r="X13" s="37" t="str">
        <f>IF(AND('Mapa final'!$AB$50="Muy Alta",'Mapa final'!$AD$50="Moderado"),CONCATENATE("R8C",'Mapa final'!$R$50),"")</f>
        <v/>
      </c>
      <c r="Y13" s="37" t="str">
        <f>IF(AND('Mapa final'!$AB$51="Muy Alta",'Mapa final'!$AD$51="Moderado"),CONCATENATE("R8C",'Mapa final'!$R$51),"")</f>
        <v/>
      </c>
      <c r="Z13" s="37" t="str">
        <f>IF(AND('Mapa final'!$AB$52="Muy Alta",'Mapa final'!$AD$52="Moderado"),CONCATENATE("R8C",'Mapa final'!$R$52),"")</f>
        <v/>
      </c>
      <c r="AA13" s="38" t="str">
        <f>IF(AND('Mapa final'!$AB$53="Muy Alta",'Mapa final'!$AD$53="Moderado"),CONCATENATE("R8C",'Mapa final'!$R$53),"")</f>
        <v/>
      </c>
      <c r="AB13" s="36" t="str">
        <f>IF(AND('Mapa final'!$AB$48="Muy Alta",'Mapa final'!$AD$48="Mayor"),CONCATENATE("R8C",'Mapa final'!$R$48),"")</f>
        <v/>
      </c>
      <c r="AC13" s="37" t="str">
        <f>IF(AND('Mapa final'!$AB$49="Muy Alta",'Mapa final'!$AD$49="Mayor"),CONCATENATE("R8C",'Mapa final'!$R$49),"")</f>
        <v/>
      </c>
      <c r="AD13" s="37" t="str">
        <f>IF(AND('Mapa final'!$AB$50="Muy Alta",'Mapa final'!$AD$50="Mayor"),CONCATENATE("R8C",'Mapa final'!$R$50),"")</f>
        <v/>
      </c>
      <c r="AE13" s="37" t="str">
        <f>IF(AND('Mapa final'!$AB$51="Muy Alta",'Mapa final'!$AD$51="Mayor"),CONCATENATE("R8C",'Mapa final'!$R$51),"")</f>
        <v/>
      </c>
      <c r="AF13" s="37" t="str">
        <f>IF(AND('Mapa final'!$AB$52="Muy Alta",'Mapa final'!$AD$52="Mayor"),CONCATENATE("R8C",'Mapa final'!$R$52),"")</f>
        <v/>
      </c>
      <c r="AG13" s="38" t="str">
        <f>IF(AND('Mapa final'!$AB$53="Muy Alta",'Mapa final'!$AD$53="Mayor"),CONCATENATE("R8C",'Mapa final'!$R$53),"")</f>
        <v/>
      </c>
      <c r="AH13" s="39" t="str">
        <f>IF(AND('Mapa final'!$AB$48="Muy Alta",'Mapa final'!$AD$48="Catastrófico"),CONCATENATE("R8C",'Mapa final'!$R$48),"")</f>
        <v/>
      </c>
      <c r="AI13" s="40" t="str">
        <f>IF(AND('Mapa final'!$AB$49="Muy Alta",'Mapa final'!$AD$49="Catastrófico"),CONCATENATE("R8C",'Mapa final'!$R$49),"")</f>
        <v/>
      </c>
      <c r="AJ13" s="40" t="str">
        <f>IF(AND('Mapa final'!$AB$50="Muy Alta",'Mapa final'!$AD$50="Catastrófico"),CONCATENATE("R8C",'Mapa final'!$R$50),"")</f>
        <v/>
      </c>
      <c r="AK13" s="40" t="str">
        <f>IF(AND('Mapa final'!$AB$51="Muy Alta",'Mapa final'!$AD$51="Catastrófico"),CONCATENATE("R8C",'Mapa final'!$R$51),"")</f>
        <v/>
      </c>
      <c r="AL13" s="40" t="str">
        <f>IF(AND('Mapa final'!$AB$52="Muy Alta",'Mapa final'!$AD$52="Catastrófico"),CONCATENATE("R8C",'Mapa final'!$R$52),"")</f>
        <v/>
      </c>
      <c r="AM13" s="41" t="str">
        <f>IF(AND('Mapa final'!$AB$53="Muy Alta",'Mapa final'!$AD$53="Catastrófico"),CONCATENATE("R8C",'Mapa final'!$R$53),"")</f>
        <v/>
      </c>
      <c r="AN13" s="67"/>
      <c r="AO13" s="594"/>
      <c r="AP13" s="595"/>
      <c r="AQ13" s="595"/>
      <c r="AR13" s="595"/>
      <c r="AS13" s="595"/>
      <c r="AT13" s="59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33"/>
      <c r="C14" s="533"/>
      <c r="D14" s="534"/>
      <c r="E14" s="574"/>
      <c r="F14" s="575"/>
      <c r="G14" s="575"/>
      <c r="H14" s="575"/>
      <c r="I14" s="576"/>
      <c r="J14" s="36" t="str">
        <f>IF(AND('Mapa final'!$AB$54="Muy Alta",'Mapa final'!$AD$54="Leve"),CONCATENATE("R9C",'Mapa final'!$R$54),"")</f>
        <v/>
      </c>
      <c r="K14" s="37" t="str">
        <f>IF(AND('Mapa final'!$AB$55="Muy Alta",'Mapa final'!$AD$55="Leve"),CONCATENATE("R9C",'Mapa final'!$R$55),"")</f>
        <v/>
      </c>
      <c r="L14" s="37" t="str">
        <f>IF(AND('Mapa final'!$AB$56="Muy Alta",'Mapa final'!$AD$56="Leve"),CONCATENATE("R9C",'Mapa final'!$R$56),"")</f>
        <v/>
      </c>
      <c r="M14" s="37" t="str">
        <f>IF(AND('Mapa final'!$AB$57="Muy Alta",'Mapa final'!$AD$57="Leve"),CONCATENATE("R9C",'Mapa final'!$R$57),"")</f>
        <v/>
      </c>
      <c r="N14" s="37" t="str">
        <f>IF(AND('Mapa final'!$AB$58="Muy Alta",'Mapa final'!$AD$58="Leve"),CONCATENATE("R9C",'Mapa final'!$R$58),"")</f>
        <v/>
      </c>
      <c r="O14" s="38" t="str">
        <f>IF(AND('Mapa final'!$AB$59="Muy Alta",'Mapa final'!$AD$59="Leve"),CONCATENATE("R9C",'Mapa final'!$R$59),"")</f>
        <v/>
      </c>
      <c r="P14" s="36" t="str">
        <f>IF(AND('Mapa final'!$AB$54="Muy Alta",'Mapa final'!$AD$54="Menor"),CONCATENATE("R9C",'Mapa final'!$R$54),"")</f>
        <v/>
      </c>
      <c r="Q14" s="37" t="str">
        <f>IF(AND('Mapa final'!$AB$55="Muy Alta",'Mapa final'!$AD$55="Menor"),CONCATENATE("R9C",'Mapa final'!$R$55),"")</f>
        <v/>
      </c>
      <c r="R14" s="37" t="str">
        <f>IF(AND('Mapa final'!$AB$56="Muy Alta",'Mapa final'!$AD$56="Menor"),CONCATENATE("R9C",'Mapa final'!$R$56),"")</f>
        <v/>
      </c>
      <c r="S14" s="37" t="str">
        <f>IF(AND('Mapa final'!$AB$57="Muy Alta",'Mapa final'!$AD$57="Menor"),CONCATENATE("R9C",'Mapa final'!$R$57),"")</f>
        <v/>
      </c>
      <c r="T14" s="37" t="str">
        <f>IF(AND('Mapa final'!$AB$58="Muy Alta",'Mapa final'!$AD$58="Menor"),CONCATENATE("R9C",'Mapa final'!$R$58),"")</f>
        <v/>
      </c>
      <c r="U14" s="38" t="str">
        <f>IF(AND('Mapa final'!$AB$59="Muy Alta",'Mapa final'!$AD$59="Menor"),CONCATENATE("R9C",'Mapa final'!$R$59),"")</f>
        <v/>
      </c>
      <c r="V14" s="36" t="str">
        <f>IF(AND('Mapa final'!$AB$54="Muy Alta",'Mapa final'!$AD$54="Moderado"),CONCATENATE("R9C",'Mapa final'!$R$54),"")</f>
        <v/>
      </c>
      <c r="W14" s="37" t="str">
        <f>IF(AND('Mapa final'!$AB$55="Muy Alta",'Mapa final'!$AD$55="Moderado"),CONCATENATE("R9C",'Mapa final'!$R$55),"")</f>
        <v/>
      </c>
      <c r="X14" s="37" t="str">
        <f>IF(AND('Mapa final'!$AB$56="Muy Alta",'Mapa final'!$AD$56="Moderado"),CONCATENATE("R9C",'Mapa final'!$R$56),"")</f>
        <v/>
      </c>
      <c r="Y14" s="37" t="str">
        <f>IF(AND('Mapa final'!$AB$57="Muy Alta",'Mapa final'!$AD$57="Moderado"),CONCATENATE("R9C",'Mapa final'!$R$57),"")</f>
        <v/>
      </c>
      <c r="Z14" s="37" t="str">
        <f>IF(AND('Mapa final'!$AB$58="Muy Alta",'Mapa final'!$AD$58="Moderado"),CONCATENATE("R9C",'Mapa final'!$R$58),"")</f>
        <v/>
      </c>
      <c r="AA14" s="38" t="str">
        <f>IF(AND('Mapa final'!$AB$59="Muy Alta",'Mapa final'!$AD$59="Moderado"),CONCATENATE("R9C",'Mapa final'!$R$59),"")</f>
        <v/>
      </c>
      <c r="AB14" s="36" t="str">
        <f>IF(AND('Mapa final'!$AB$54="Muy Alta",'Mapa final'!$AD$54="Mayor"),CONCATENATE("R9C",'Mapa final'!$R$54),"")</f>
        <v/>
      </c>
      <c r="AC14" s="37" t="str">
        <f>IF(AND('Mapa final'!$AB$55="Muy Alta",'Mapa final'!$AD$55="Mayor"),CONCATENATE("R9C",'Mapa final'!$R$55),"")</f>
        <v/>
      </c>
      <c r="AD14" s="37" t="str">
        <f>IF(AND('Mapa final'!$AB$56="Muy Alta",'Mapa final'!$AD$56="Mayor"),CONCATENATE("R9C",'Mapa final'!$R$56),"")</f>
        <v/>
      </c>
      <c r="AE14" s="37" t="str">
        <f>IF(AND('Mapa final'!$AB$57="Muy Alta",'Mapa final'!$AD$57="Mayor"),CONCATENATE("R9C",'Mapa final'!$R$57),"")</f>
        <v/>
      </c>
      <c r="AF14" s="37" t="str">
        <f>IF(AND('Mapa final'!$AB$58="Muy Alta",'Mapa final'!$AD$58="Mayor"),CONCATENATE("R9C",'Mapa final'!$R$58),"")</f>
        <v/>
      </c>
      <c r="AG14" s="38" t="str">
        <f>IF(AND('Mapa final'!$AB$59="Muy Alta",'Mapa final'!$AD$59="Mayor"),CONCATENATE("R9C",'Mapa final'!$R$59),"")</f>
        <v/>
      </c>
      <c r="AH14" s="39" t="str">
        <f>IF(AND('Mapa final'!$AB$54="Muy Alta",'Mapa final'!$AD$54="Catastrófico"),CONCATENATE("R9C",'Mapa final'!$R$54),"")</f>
        <v/>
      </c>
      <c r="AI14" s="40" t="str">
        <f>IF(AND('Mapa final'!$AB$55="Muy Alta",'Mapa final'!$AD$55="Catastrófico"),CONCATENATE("R9C",'Mapa final'!$R$55),"")</f>
        <v/>
      </c>
      <c r="AJ14" s="40" t="str">
        <f>IF(AND('Mapa final'!$AB$56="Muy Alta",'Mapa final'!$AD$56="Catastrófico"),CONCATENATE("R9C",'Mapa final'!$R$56),"")</f>
        <v/>
      </c>
      <c r="AK14" s="40" t="str">
        <f>IF(AND('Mapa final'!$AB$57="Muy Alta",'Mapa final'!$AD$57="Catastrófico"),CONCATENATE("R9C",'Mapa final'!$R$57),"")</f>
        <v/>
      </c>
      <c r="AL14" s="40" t="str">
        <f>IF(AND('Mapa final'!$AB$58="Muy Alta",'Mapa final'!$AD$58="Catastrófico"),CONCATENATE("R9C",'Mapa final'!$R$58),"")</f>
        <v/>
      </c>
      <c r="AM14" s="41" t="str">
        <f>IF(AND('Mapa final'!$AB$59="Muy Alta",'Mapa final'!$AD$59="Catastrófico"),CONCATENATE("R9C",'Mapa final'!$R$59),"")</f>
        <v/>
      </c>
      <c r="AN14" s="67"/>
      <c r="AO14" s="594"/>
      <c r="AP14" s="595"/>
      <c r="AQ14" s="595"/>
      <c r="AR14" s="595"/>
      <c r="AS14" s="595"/>
      <c r="AT14" s="59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33"/>
      <c r="C15" s="533"/>
      <c r="D15" s="534"/>
      <c r="E15" s="577"/>
      <c r="F15" s="578"/>
      <c r="G15" s="578"/>
      <c r="H15" s="578"/>
      <c r="I15" s="579"/>
      <c r="J15" s="42" t="str">
        <f>IF(AND('Mapa final'!$AB$60="Muy Alta",'Mapa final'!$AD$60="Leve"),CONCATENATE("R10C",'Mapa final'!$R$60),"")</f>
        <v/>
      </c>
      <c r="K15" s="43" t="str">
        <f>IF(AND('Mapa final'!$AB$61="Muy Alta",'Mapa final'!$AD$61="Leve"),CONCATENATE("R10C",'Mapa final'!$R$61),"")</f>
        <v/>
      </c>
      <c r="L15" s="43" t="str">
        <f>IF(AND('Mapa final'!$AB$62="Muy Alta",'Mapa final'!$AD$62="Leve"),CONCATENATE("R10C",'Mapa final'!$R$62),"")</f>
        <v/>
      </c>
      <c r="M15" s="43" t="str">
        <f>IF(AND('Mapa final'!$AB$63="Muy Alta",'Mapa final'!$AD$63="Leve"),CONCATENATE("R10C",'Mapa final'!$R$63),"")</f>
        <v/>
      </c>
      <c r="N15" s="43" t="str">
        <f>IF(AND('Mapa final'!$AB$64="Muy Alta",'Mapa final'!$AD$64="Leve"),CONCATENATE("R10C",'Mapa final'!$R$64),"")</f>
        <v/>
      </c>
      <c r="O15" s="44" t="str">
        <f>IF(AND('Mapa final'!$AB$65="Muy Alta",'Mapa final'!$AD$65="Leve"),CONCATENATE("R10C",'Mapa final'!$R$65),"")</f>
        <v/>
      </c>
      <c r="P15" s="36" t="str">
        <f>IF(AND('Mapa final'!$AB$60="Muy Alta",'Mapa final'!$AD$60="Menor"),CONCATENATE("R10C",'Mapa final'!$R$60),"")</f>
        <v/>
      </c>
      <c r="Q15" s="37" t="str">
        <f>IF(AND('Mapa final'!$AB$61="Muy Alta",'Mapa final'!$AD$61="Menor"),CONCATENATE("R10C",'Mapa final'!$R$61),"")</f>
        <v/>
      </c>
      <c r="R15" s="37" t="str">
        <f>IF(AND('Mapa final'!$AB$62="Muy Alta",'Mapa final'!$AD$62="Menor"),CONCATENATE("R10C",'Mapa final'!$R$62),"")</f>
        <v/>
      </c>
      <c r="S15" s="37" t="str">
        <f>IF(AND('Mapa final'!$AB$63="Muy Alta",'Mapa final'!$AD$63="Menor"),CONCATENATE("R10C",'Mapa final'!$R$63),"")</f>
        <v/>
      </c>
      <c r="T15" s="37" t="str">
        <f>IF(AND('Mapa final'!$AB$64="Muy Alta",'Mapa final'!$AD$64="Menor"),CONCATENATE("R10C",'Mapa final'!$R$64),"")</f>
        <v/>
      </c>
      <c r="U15" s="38" t="str">
        <f>IF(AND('Mapa final'!$AB$65="Muy Alta",'Mapa final'!$AD$65="Menor"),CONCATENATE("R10C",'Mapa final'!$R$65),"")</f>
        <v/>
      </c>
      <c r="V15" s="42" t="str">
        <f>IF(AND('Mapa final'!$AB$60="Muy Alta",'Mapa final'!$AD$60="Moderado"),CONCATENATE("R10C",'Mapa final'!$R$60),"")</f>
        <v/>
      </c>
      <c r="W15" s="43" t="str">
        <f>IF(AND('Mapa final'!$AB$61="Muy Alta",'Mapa final'!$AD$61="Moderado"),CONCATENATE("R10C",'Mapa final'!$R$61),"")</f>
        <v/>
      </c>
      <c r="X15" s="43" t="str">
        <f>IF(AND('Mapa final'!$AB$62="Muy Alta",'Mapa final'!$AD$62="Moderado"),CONCATENATE("R10C",'Mapa final'!$R$62),"")</f>
        <v/>
      </c>
      <c r="Y15" s="43" t="str">
        <f>IF(AND('Mapa final'!$AB$63="Muy Alta",'Mapa final'!$AD$63="Moderado"),CONCATENATE("R10C",'Mapa final'!$R$63),"")</f>
        <v/>
      </c>
      <c r="Z15" s="43" t="str">
        <f>IF(AND('Mapa final'!$AB$64="Muy Alta",'Mapa final'!$AD$64="Moderado"),CONCATENATE("R10C",'Mapa final'!$R$64),"")</f>
        <v/>
      </c>
      <c r="AA15" s="44" t="str">
        <f>IF(AND('Mapa final'!$AB$65="Muy Alta",'Mapa final'!$AD$65="Moderado"),CONCATENATE("R10C",'Mapa final'!$R$65),"")</f>
        <v/>
      </c>
      <c r="AB15" s="36" t="str">
        <f>IF(AND('Mapa final'!$AB$60="Muy Alta",'Mapa final'!$AD$60="Mayor"),CONCATENATE("R10C",'Mapa final'!$R$60),"")</f>
        <v/>
      </c>
      <c r="AC15" s="37" t="str">
        <f>IF(AND('Mapa final'!$AB$61="Muy Alta",'Mapa final'!$AD$61="Mayor"),CONCATENATE("R10C",'Mapa final'!$R$61),"")</f>
        <v/>
      </c>
      <c r="AD15" s="37" t="str">
        <f>IF(AND('Mapa final'!$AB$62="Muy Alta",'Mapa final'!$AD$62="Mayor"),CONCATENATE("R10C",'Mapa final'!$R$62),"")</f>
        <v/>
      </c>
      <c r="AE15" s="37" t="str">
        <f>IF(AND('Mapa final'!$AB$63="Muy Alta",'Mapa final'!$AD$63="Mayor"),CONCATENATE("R10C",'Mapa final'!$R$63),"")</f>
        <v/>
      </c>
      <c r="AF15" s="37" t="str">
        <f>IF(AND('Mapa final'!$AB$64="Muy Alta",'Mapa final'!$AD$64="Mayor"),CONCATENATE("R10C",'Mapa final'!$R$64),"")</f>
        <v/>
      </c>
      <c r="AG15" s="38" t="str">
        <f>IF(AND('Mapa final'!$AB$65="Muy Alta",'Mapa final'!$AD$65="Mayor"),CONCATENATE("R10C",'Mapa final'!$R$65),"")</f>
        <v/>
      </c>
      <c r="AH15" s="45" t="str">
        <f>IF(AND('Mapa final'!$AB$60="Muy Alta",'Mapa final'!$AD$60="Catastrófico"),CONCATENATE("R10C",'Mapa final'!$R$60),"")</f>
        <v/>
      </c>
      <c r="AI15" s="46" t="str">
        <f>IF(AND('Mapa final'!$AB$61="Muy Alta",'Mapa final'!$AD$61="Catastrófico"),CONCATENATE("R10C",'Mapa final'!$R$61),"")</f>
        <v/>
      </c>
      <c r="AJ15" s="46" t="str">
        <f>IF(AND('Mapa final'!$AB$62="Muy Alta",'Mapa final'!$AD$62="Catastrófico"),CONCATENATE("R10C",'Mapa final'!$R$62),"")</f>
        <v/>
      </c>
      <c r="AK15" s="46" t="str">
        <f>IF(AND('Mapa final'!$AB$63="Muy Alta",'Mapa final'!$AD$63="Catastrófico"),CONCATENATE("R10C",'Mapa final'!$R$63),"")</f>
        <v/>
      </c>
      <c r="AL15" s="46" t="str">
        <f>IF(AND('Mapa final'!$AB$64="Muy Alta",'Mapa final'!$AD$64="Catastrófico"),CONCATENATE("R10C",'Mapa final'!$R$64),"")</f>
        <v/>
      </c>
      <c r="AM15" s="47" t="str">
        <f>IF(AND('Mapa final'!$AB$65="Muy Alta",'Mapa final'!$AD$65="Catastrófico"),CONCATENATE("R10C",'Mapa final'!$R$65),"")</f>
        <v/>
      </c>
      <c r="AN15" s="67"/>
      <c r="AO15" s="597"/>
      <c r="AP15" s="598"/>
      <c r="AQ15" s="598"/>
      <c r="AR15" s="598"/>
      <c r="AS15" s="598"/>
      <c r="AT15" s="59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33"/>
      <c r="C16" s="533"/>
      <c r="D16" s="534"/>
      <c r="E16" s="571" t="s">
        <v>109</v>
      </c>
      <c r="F16" s="572"/>
      <c r="G16" s="572"/>
      <c r="H16" s="572"/>
      <c r="I16" s="572"/>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81" t="s">
        <v>78</v>
      </c>
      <c r="AP16" s="582"/>
      <c r="AQ16" s="582"/>
      <c r="AR16" s="582"/>
      <c r="AS16" s="582"/>
      <c r="AT16" s="58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33"/>
      <c r="C17" s="533"/>
      <c r="D17" s="534"/>
      <c r="E17" s="590"/>
      <c r="F17" s="575"/>
      <c r="G17" s="575"/>
      <c r="H17" s="575"/>
      <c r="I17" s="575"/>
      <c r="J17" s="51" t="str">
        <f>IF(AND('Mapa final'!$AB$16="Alta",'Mapa final'!$AD$16="Leve"),CONCATENATE("R2C",'Mapa final'!$R$16),"")</f>
        <v/>
      </c>
      <c r="K17" s="52" t="str">
        <f>IF(AND('Mapa final'!$AB$17="Alta",'Mapa final'!$AD$17="Leve"),CONCATENATE("R2C",'Mapa final'!$R$17),"")</f>
        <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final'!$AB$16="Alta",'Mapa final'!$AD$16="Menor"),CONCATENATE("R2C",'Mapa final'!$R$16),"")</f>
        <v/>
      </c>
      <c r="Q17" s="52" t="str">
        <f>IF(AND('Mapa final'!$AB$17="Alta",'Mapa final'!$AD$17="Menor"),CONCATENATE("R2C",'Mapa final'!$R$17),"")</f>
        <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final'!$AB$16="Alta",'Mapa final'!$AD$16="Moderado"),CONCATENATE("R2C",'Mapa final'!$R$16),"")</f>
        <v/>
      </c>
      <c r="W17" s="37" t="str">
        <f>IF(AND('Mapa final'!$AB$17="Alta",'Mapa final'!$AD$17="Moderado"),CONCATENATE("R2C",'Mapa final'!$R$17),"")</f>
        <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final'!$AB$16="Alta",'Mapa final'!$AD$16="Mayor"),CONCATENATE("R2C",'Mapa final'!$R$16),"")</f>
        <v/>
      </c>
      <c r="AC17" s="37" t="str">
        <f>IF(AND('Mapa final'!$AB$17="Alta",'Mapa final'!$AD$17="Mayor"),CONCATENATE("R2C",'Mapa final'!$R$17),"")</f>
        <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final'!$AB$16="Alta",'Mapa final'!$AD$16="Catastrófico"),CONCATENATE("R2C",'Mapa final'!$R$16),"")</f>
        <v/>
      </c>
      <c r="AI17" s="40" t="str">
        <f>IF(AND('Mapa final'!$AB$17="Alta",'Mapa final'!$AD$17="Catastrófico"),CONCATENATE("R2C",'Mapa final'!$R$17),"")</f>
        <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84"/>
      <c r="AP17" s="585"/>
      <c r="AQ17" s="585"/>
      <c r="AR17" s="585"/>
      <c r="AS17" s="585"/>
      <c r="AT17" s="58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33"/>
      <c r="C18" s="533"/>
      <c r="D18" s="534"/>
      <c r="E18" s="574"/>
      <c r="F18" s="575"/>
      <c r="G18" s="575"/>
      <c r="H18" s="575"/>
      <c r="I18" s="575"/>
      <c r="J18" s="51" t="str">
        <f>IF(AND('Mapa final'!$AB$18="Alta",'Mapa final'!$AD$18="Leve"),CONCATENATE("R3C",'Mapa final'!$R$18),"")</f>
        <v/>
      </c>
      <c r="K18" s="52" t="str">
        <f>IF(AND('Mapa final'!$AB$19="Alta",'Mapa final'!$AD$19="Leve"),CONCATENATE("R3C",'Mapa final'!$R$19),"")</f>
        <v/>
      </c>
      <c r="L18" s="52" t="str">
        <f>IF(AND('Mapa final'!$AB$20="Alta",'Mapa final'!$AD$20="Leve"),CONCATENATE("R3C",'Mapa final'!$R$20),"")</f>
        <v/>
      </c>
      <c r="M18" s="52" t="str">
        <f>IF(AND('Mapa final'!$AB$21="Alta",'Mapa final'!$AD$21="Leve"),CONCATENATE("R3C",'Mapa final'!$R$21),"")</f>
        <v/>
      </c>
      <c r="N18" s="52" t="str">
        <f>IF(AND('Mapa final'!$AB$22="Alta",'Mapa final'!$AD$22="Leve"),CONCATENATE("R3C",'Mapa final'!$R$22),"")</f>
        <v/>
      </c>
      <c r="O18" s="53" t="str">
        <f>IF(AND('Mapa final'!$AB$23="Alta",'Mapa final'!$AD$23="Leve"),CONCATENATE("R3C",'Mapa final'!$R$23),"")</f>
        <v/>
      </c>
      <c r="P18" s="51" t="str">
        <f>IF(AND('Mapa final'!$AB$18="Alta",'Mapa final'!$AD$18="Menor"),CONCATENATE("R3C",'Mapa final'!$R$18),"")</f>
        <v/>
      </c>
      <c r="Q18" s="52" t="str">
        <f>IF(AND('Mapa final'!$AB$19="Alta",'Mapa final'!$AD$19="Menor"),CONCATENATE("R3C",'Mapa final'!$R$19),"")</f>
        <v/>
      </c>
      <c r="R18" s="52" t="str">
        <f>IF(AND('Mapa final'!$AB$20="Alta",'Mapa final'!$AD$20="Menor"),CONCATENATE("R3C",'Mapa final'!$R$20),"")</f>
        <v/>
      </c>
      <c r="S18" s="52" t="str">
        <f>IF(AND('Mapa final'!$AB$21="Alta",'Mapa final'!$AD$21="Menor"),CONCATENATE("R3C",'Mapa final'!$R$21),"")</f>
        <v/>
      </c>
      <c r="T18" s="52" t="str">
        <f>IF(AND('Mapa final'!$AB$22="Alta",'Mapa final'!$AD$22="Menor"),CONCATENATE("R3C",'Mapa final'!$R$22),"")</f>
        <v/>
      </c>
      <c r="U18" s="53" t="str">
        <f>IF(AND('Mapa final'!$AB$23="Alta",'Mapa final'!$AD$23="Menor"),CONCATENATE("R3C",'Mapa final'!$R$23),"")</f>
        <v/>
      </c>
      <c r="V18" s="36" t="str">
        <f>IF(AND('Mapa final'!$AB$18="Alta",'Mapa final'!$AD$18="Moderado"),CONCATENATE("R3C",'Mapa final'!$R$18),"")</f>
        <v/>
      </c>
      <c r="W18" s="37" t="str">
        <f>IF(AND('Mapa final'!$AB$19="Alta",'Mapa final'!$AD$19="Moderado"),CONCATENATE("R3C",'Mapa final'!$R$19),"")</f>
        <v/>
      </c>
      <c r="X18" s="37" t="str">
        <f>IF(AND('Mapa final'!$AB$20="Alta",'Mapa final'!$AD$20="Moderado"),CONCATENATE("R3C",'Mapa final'!$R$20),"")</f>
        <v/>
      </c>
      <c r="Y18" s="37" t="str">
        <f>IF(AND('Mapa final'!$AB$21="Alta",'Mapa final'!$AD$21="Moderado"),CONCATENATE("R3C",'Mapa final'!$R$21),"")</f>
        <v/>
      </c>
      <c r="Z18" s="37" t="str">
        <f>IF(AND('Mapa final'!$AB$22="Alta",'Mapa final'!$AD$22="Moderado"),CONCATENATE("R3C",'Mapa final'!$R$22),"")</f>
        <v/>
      </c>
      <c r="AA18" s="38" t="str">
        <f>IF(AND('Mapa final'!$AB$23="Alta",'Mapa final'!$AD$23="Moderado"),CONCATENATE("R3C",'Mapa final'!$R$23),"")</f>
        <v/>
      </c>
      <c r="AB18" s="36" t="str">
        <f>IF(AND('Mapa final'!$AB$18="Alta",'Mapa final'!$AD$18="Mayor"),CONCATENATE("R3C",'Mapa final'!$R$18),"")</f>
        <v/>
      </c>
      <c r="AC18" s="37" t="str">
        <f>IF(AND('Mapa final'!$AB$19="Alta",'Mapa final'!$AD$19="Mayor"),CONCATENATE("R3C",'Mapa final'!$R$19),"")</f>
        <v/>
      </c>
      <c r="AD18" s="37" t="str">
        <f>IF(AND('Mapa final'!$AB$20="Alta",'Mapa final'!$AD$20="Mayor"),CONCATENATE("R3C",'Mapa final'!$R$20),"")</f>
        <v/>
      </c>
      <c r="AE18" s="37" t="str">
        <f>IF(AND('Mapa final'!$AB$21="Alta",'Mapa final'!$AD$21="Mayor"),CONCATENATE("R3C",'Mapa final'!$R$21),"")</f>
        <v/>
      </c>
      <c r="AF18" s="37" t="str">
        <f>IF(AND('Mapa final'!$AB$22="Alta",'Mapa final'!$AD$22="Mayor"),CONCATENATE("R3C",'Mapa final'!$R$22),"")</f>
        <v/>
      </c>
      <c r="AG18" s="38" t="str">
        <f>IF(AND('Mapa final'!$AB$23="Alta",'Mapa final'!$AD$23="Mayor"),CONCATENATE("R3C",'Mapa final'!$R$23),"")</f>
        <v/>
      </c>
      <c r="AH18" s="39" t="str">
        <f>IF(AND('Mapa final'!$AB$18="Alta",'Mapa final'!$AD$18="Catastrófico"),CONCATENATE("R3C",'Mapa final'!$R$18),"")</f>
        <v/>
      </c>
      <c r="AI18" s="40" t="str">
        <f>IF(AND('Mapa final'!$AB$19="Alta",'Mapa final'!$AD$19="Catastrófico"),CONCATENATE("R3C",'Mapa final'!$R$19),"")</f>
        <v/>
      </c>
      <c r="AJ18" s="40" t="str">
        <f>IF(AND('Mapa final'!$AB$20="Alta",'Mapa final'!$AD$20="Catastrófico"),CONCATENATE("R3C",'Mapa final'!$R$20),"")</f>
        <v/>
      </c>
      <c r="AK18" s="40" t="str">
        <f>IF(AND('Mapa final'!$AB$21="Alta",'Mapa final'!$AD$21="Catastrófico"),CONCATENATE("R3C",'Mapa final'!$R$21),"")</f>
        <v/>
      </c>
      <c r="AL18" s="40" t="str">
        <f>IF(AND('Mapa final'!$AB$22="Alta",'Mapa final'!$AD$22="Catastrófico"),CONCATENATE("R3C",'Mapa final'!$R$22),"")</f>
        <v/>
      </c>
      <c r="AM18" s="41" t="str">
        <f>IF(AND('Mapa final'!$AB$23="Alta",'Mapa final'!$AD$23="Catastrófico"),CONCATENATE("R3C",'Mapa final'!$R$23),"")</f>
        <v/>
      </c>
      <c r="AN18" s="67"/>
      <c r="AO18" s="584"/>
      <c r="AP18" s="585"/>
      <c r="AQ18" s="585"/>
      <c r="AR18" s="585"/>
      <c r="AS18" s="585"/>
      <c r="AT18" s="58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33"/>
      <c r="C19" s="533"/>
      <c r="D19" s="534"/>
      <c r="E19" s="574"/>
      <c r="F19" s="575"/>
      <c r="G19" s="575"/>
      <c r="H19" s="575"/>
      <c r="I19" s="575"/>
      <c r="J19" s="51" t="str">
        <f>IF(AND('Mapa final'!$AB$24="Alta",'Mapa final'!$AD$24="Leve"),CONCATENATE("R4C",'Mapa final'!$R$24),"")</f>
        <v/>
      </c>
      <c r="K19" s="52" t="str">
        <f>IF(AND('Mapa final'!$AB$25="Alta",'Mapa final'!$AD$25="Leve"),CONCATENATE("R4C",'Mapa final'!$R$25),"")</f>
        <v/>
      </c>
      <c r="L19" s="52" t="str">
        <f>IF(AND('Mapa final'!$AB$26="Alta",'Mapa final'!$AD$26="Leve"),CONCATENATE("R4C",'Mapa final'!$R$26),"")</f>
        <v/>
      </c>
      <c r="M19" s="52" t="str">
        <f>IF(AND('Mapa final'!$AB$27="Alta",'Mapa final'!$AD$27="Leve"),CONCATENATE("R4C",'Mapa final'!$R$27),"")</f>
        <v/>
      </c>
      <c r="N19" s="52" t="str">
        <f>IF(AND('Mapa final'!$AB$28="Alta",'Mapa final'!$AD$28="Leve"),CONCATENATE("R4C",'Mapa final'!$R$28),"")</f>
        <v/>
      </c>
      <c r="O19" s="53" t="str">
        <f>IF(AND('Mapa final'!$AB$29="Alta",'Mapa final'!$AD$29="Leve"),CONCATENATE("R4C",'Mapa final'!$R$29),"")</f>
        <v/>
      </c>
      <c r="P19" s="51" t="str">
        <f>IF(AND('Mapa final'!$AB$24="Alta",'Mapa final'!$AD$24="Menor"),CONCATENATE("R4C",'Mapa final'!$R$24),"")</f>
        <v/>
      </c>
      <c r="Q19" s="52" t="str">
        <f>IF(AND('Mapa final'!$AB$25="Alta",'Mapa final'!$AD$25="Menor"),CONCATENATE("R4C",'Mapa final'!$R$25),"")</f>
        <v/>
      </c>
      <c r="R19" s="52" t="str">
        <f>IF(AND('Mapa final'!$AB$26="Alta",'Mapa final'!$AD$26="Menor"),CONCATENATE("R4C",'Mapa final'!$R$26),"")</f>
        <v/>
      </c>
      <c r="S19" s="52" t="str">
        <f>IF(AND('Mapa final'!$AB$27="Alta",'Mapa final'!$AD$27="Menor"),CONCATENATE("R4C",'Mapa final'!$R$27),"")</f>
        <v/>
      </c>
      <c r="T19" s="52" t="str">
        <f>IF(AND('Mapa final'!$AB$28="Alta",'Mapa final'!$AD$28="Menor"),CONCATENATE("R4C",'Mapa final'!$R$28),"")</f>
        <v/>
      </c>
      <c r="U19" s="53" t="str">
        <f>IF(AND('Mapa final'!$AB$29="Alta",'Mapa final'!$AD$29="Menor"),CONCATENATE("R4C",'Mapa final'!$R$29),"")</f>
        <v/>
      </c>
      <c r="V19" s="36" t="str">
        <f>IF(AND('Mapa final'!$AB$24="Alta",'Mapa final'!$AD$24="Moderado"),CONCATENATE("R4C",'Mapa final'!$R$24),"")</f>
        <v/>
      </c>
      <c r="W19" s="37" t="str">
        <f>IF(AND('Mapa final'!$AB$25="Alta",'Mapa final'!$AD$25="Moderado"),CONCATENATE("R4C",'Mapa final'!$R$25),"")</f>
        <v/>
      </c>
      <c r="X19" s="37" t="str">
        <f>IF(AND('Mapa final'!$AB$26="Alta",'Mapa final'!$AD$26="Moderado"),CONCATENATE("R4C",'Mapa final'!$R$26),"")</f>
        <v/>
      </c>
      <c r="Y19" s="37" t="str">
        <f>IF(AND('Mapa final'!$AB$27="Alta",'Mapa final'!$AD$27="Moderado"),CONCATENATE("R4C",'Mapa final'!$R$27),"")</f>
        <v/>
      </c>
      <c r="Z19" s="37" t="str">
        <f>IF(AND('Mapa final'!$AB$28="Alta",'Mapa final'!$AD$28="Moderado"),CONCATENATE("R4C",'Mapa final'!$R$28),"")</f>
        <v/>
      </c>
      <c r="AA19" s="38" t="str">
        <f>IF(AND('Mapa final'!$AB$29="Alta",'Mapa final'!$AD$29="Moderado"),CONCATENATE("R4C",'Mapa final'!$R$29),"")</f>
        <v/>
      </c>
      <c r="AB19" s="36" t="str">
        <f>IF(AND('Mapa final'!$AB$24="Alta",'Mapa final'!$AD$24="Mayor"),CONCATENATE("R4C",'Mapa final'!$R$24),"")</f>
        <v/>
      </c>
      <c r="AC19" s="37" t="str">
        <f>IF(AND('Mapa final'!$AB$25="Alta",'Mapa final'!$AD$25="Mayor"),CONCATENATE("R4C",'Mapa final'!$R$25),"")</f>
        <v/>
      </c>
      <c r="AD19" s="37" t="str">
        <f>IF(AND('Mapa final'!$AB$26="Alta",'Mapa final'!$AD$26="Mayor"),CONCATENATE("R4C",'Mapa final'!$R$26),"")</f>
        <v/>
      </c>
      <c r="AE19" s="37" t="str">
        <f>IF(AND('Mapa final'!$AB$27="Alta",'Mapa final'!$AD$27="Mayor"),CONCATENATE("R4C",'Mapa final'!$R$27),"")</f>
        <v/>
      </c>
      <c r="AF19" s="37" t="str">
        <f>IF(AND('Mapa final'!$AB$28="Alta",'Mapa final'!$AD$28="Mayor"),CONCATENATE("R4C",'Mapa final'!$R$28),"")</f>
        <v/>
      </c>
      <c r="AG19" s="38" t="str">
        <f>IF(AND('Mapa final'!$AB$29="Alta",'Mapa final'!$AD$29="Mayor"),CONCATENATE("R4C",'Mapa final'!$R$29),"")</f>
        <v/>
      </c>
      <c r="AH19" s="39" t="str">
        <f>IF(AND('Mapa final'!$AB$24="Alta",'Mapa final'!$AD$24="Catastrófico"),CONCATENATE("R4C",'Mapa final'!$R$24),"")</f>
        <v/>
      </c>
      <c r="AI19" s="40" t="str">
        <f>IF(AND('Mapa final'!$AB$25="Alta",'Mapa final'!$AD$25="Catastrófico"),CONCATENATE("R4C",'Mapa final'!$R$25),"")</f>
        <v/>
      </c>
      <c r="AJ19" s="40" t="str">
        <f>IF(AND('Mapa final'!$AB$26="Alta",'Mapa final'!$AD$26="Catastrófico"),CONCATENATE("R4C",'Mapa final'!$R$26),"")</f>
        <v/>
      </c>
      <c r="AK19" s="40" t="str">
        <f>IF(AND('Mapa final'!$AB$27="Alta",'Mapa final'!$AD$27="Catastrófico"),CONCATENATE("R4C",'Mapa final'!$R$27),"")</f>
        <v/>
      </c>
      <c r="AL19" s="40" t="str">
        <f>IF(AND('Mapa final'!$AB$28="Alta",'Mapa final'!$AD$28="Catastrófico"),CONCATENATE("R4C",'Mapa final'!$R$28),"")</f>
        <v/>
      </c>
      <c r="AM19" s="41" t="str">
        <f>IF(AND('Mapa final'!$AB$29="Alta",'Mapa final'!$AD$29="Catastrófico"),CONCATENATE("R4C",'Mapa final'!$R$29),"")</f>
        <v/>
      </c>
      <c r="AN19" s="67"/>
      <c r="AO19" s="584"/>
      <c r="AP19" s="585"/>
      <c r="AQ19" s="585"/>
      <c r="AR19" s="585"/>
      <c r="AS19" s="585"/>
      <c r="AT19" s="58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33"/>
      <c r="C20" s="533"/>
      <c r="D20" s="534"/>
      <c r="E20" s="574"/>
      <c r="F20" s="575"/>
      <c r="G20" s="575"/>
      <c r="H20" s="575"/>
      <c r="I20" s="575"/>
      <c r="J20" s="51" t="str">
        <f>IF(AND('Mapa final'!$AB$30="Alta",'Mapa final'!$AD$30="Leve"),CONCATENATE("R5C",'Mapa final'!$R$30),"")</f>
        <v/>
      </c>
      <c r="K20" s="52" t="str">
        <f>IF(AND('Mapa final'!$AB$31="Alta",'Mapa final'!$AD$31="Leve"),CONCATENATE("R5C",'Mapa final'!$R$31),"")</f>
        <v/>
      </c>
      <c r="L20" s="52" t="str">
        <f>IF(AND('Mapa final'!$AB$32="Alta",'Mapa final'!$AD$32="Leve"),CONCATENATE("R5C",'Mapa final'!$R$32),"")</f>
        <v/>
      </c>
      <c r="M20" s="52" t="str">
        <f>IF(AND('Mapa final'!$AB$33="Alta",'Mapa final'!$AD$33="Leve"),CONCATENATE("R5C",'Mapa final'!$R$33),"")</f>
        <v/>
      </c>
      <c r="N20" s="52" t="str">
        <f>IF(AND('Mapa final'!$AB$34="Alta",'Mapa final'!$AD$34="Leve"),CONCATENATE("R5C",'Mapa final'!$R$34),"")</f>
        <v/>
      </c>
      <c r="O20" s="53" t="str">
        <f>IF(AND('Mapa final'!$AB$35="Alta",'Mapa final'!$AD$35="Leve"),CONCATENATE("R5C",'Mapa final'!$R$35),"")</f>
        <v/>
      </c>
      <c r="P20" s="51" t="str">
        <f>IF(AND('Mapa final'!$AB$30="Alta",'Mapa final'!$AD$30="Menor"),CONCATENATE("R5C",'Mapa final'!$R$30),"")</f>
        <v/>
      </c>
      <c r="Q20" s="52" t="str">
        <f>IF(AND('Mapa final'!$AB$31="Alta",'Mapa final'!$AD$31="Menor"),CONCATENATE("R5C",'Mapa final'!$R$31),"")</f>
        <v/>
      </c>
      <c r="R20" s="52" t="str">
        <f>IF(AND('Mapa final'!$AB$32="Alta",'Mapa final'!$AD$32="Menor"),CONCATENATE("R5C",'Mapa final'!$R$32),"")</f>
        <v/>
      </c>
      <c r="S20" s="52" t="str">
        <f>IF(AND('Mapa final'!$AB$33="Alta",'Mapa final'!$AD$33="Menor"),CONCATENATE("R5C",'Mapa final'!$R$33),"")</f>
        <v/>
      </c>
      <c r="T20" s="52" t="str">
        <f>IF(AND('Mapa final'!$AB$34="Alta",'Mapa final'!$AD$34="Menor"),CONCATENATE("R5C",'Mapa final'!$R$34),"")</f>
        <v/>
      </c>
      <c r="U20" s="53" t="str">
        <f>IF(AND('Mapa final'!$AB$35="Alta",'Mapa final'!$AD$35="Menor"),CONCATENATE("R5C",'Mapa final'!$R$35),"")</f>
        <v/>
      </c>
      <c r="V20" s="36" t="str">
        <f>IF(AND('Mapa final'!$AB$30="Alta",'Mapa final'!$AD$30="Moderado"),CONCATENATE("R5C",'Mapa final'!$R$30),"")</f>
        <v/>
      </c>
      <c r="W20" s="37" t="str">
        <f>IF(AND('Mapa final'!$AB$31="Alta",'Mapa final'!$AD$31="Moderado"),CONCATENATE("R5C",'Mapa final'!$R$31),"")</f>
        <v/>
      </c>
      <c r="X20" s="37" t="str">
        <f>IF(AND('Mapa final'!$AB$32="Alta",'Mapa final'!$AD$32="Moderado"),CONCATENATE("R5C",'Mapa final'!$R$32),"")</f>
        <v/>
      </c>
      <c r="Y20" s="37" t="str">
        <f>IF(AND('Mapa final'!$AB$33="Alta",'Mapa final'!$AD$33="Moderado"),CONCATENATE("R5C",'Mapa final'!$R$33),"")</f>
        <v/>
      </c>
      <c r="Z20" s="37" t="str">
        <f>IF(AND('Mapa final'!$AB$34="Alta",'Mapa final'!$AD$34="Moderado"),CONCATENATE("R5C",'Mapa final'!$R$34),"")</f>
        <v/>
      </c>
      <c r="AA20" s="38" t="str">
        <f>IF(AND('Mapa final'!$AB$35="Alta",'Mapa final'!$AD$35="Moderado"),CONCATENATE("R5C",'Mapa final'!$R$35),"")</f>
        <v/>
      </c>
      <c r="AB20" s="36" t="str">
        <f>IF(AND('Mapa final'!$AB$30="Alta",'Mapa final'!$AD$30="Mayor"),CONCATENATE("R5C",'Mapa final'!$R$30),"")</f>
        <v/>
      </c>
      <c r="AC20" s="37" t="str">
        <f>IF(AND('Mapa final'!$AB$31="Alta",'Mapa final'!$AD$31="Mayor"),CONCATENATE("R5C",'Mapa final'!$R$31),"")</f>
        <v/>
      </c>
      <c r="AD20" s="37" t="str">
        <f>IF(AND('Mapa final'!$AB$32="Alta",'Mapa final'!$AD$32="Mayor"),CONCATENATE("R5C",'Mapa final'!$R$32),"")</f>
        <v/>
      </c>
      <c r="AE20" s="37" t="str">
        <f>IF(AND('Mapa final'!$AB$33="Alta",'Mapa final'!$AD$33="Mayor"),CONCATENATE("R5C",'Mapa final'!$R$33),"")</f>
        <v/>
      </c>
      <c r="AF20" s="37" t="str">
        <f>IF(AND('Mapa final'!$AB$34="Alta",'Mapa final'!$AD$34="Mayor"),CONCATENATE("R5C",'Mapa final'!$R$34),"")</f>
        <v/>
      </c>
      <c r="AG20" s="38" t="str">
        <f>IF(AND('Mapa final'!$AB$35="Alta",'Mapa final'!$AD$35="Mayor"),CONCATENATE("R5C",'Mapa final'!$R$35),"")</f>
        <v/>
      </c>
      <c r="AH20" s="39" t="str">
        <f>IF(AND('Mapa final'!$AB$30="Alta",'Mapa final'!$AD$30="Catastrófico"),CONCATENATE("R5C",'Mapa final'!$R$30),"")</f>
        <v/>
      </c>
      <c r="AI20" s="40" t="str">
        <f>IF(AND('Mapa final'!$AB$31="Alta",'Mapa final'!$AD$31="Catastrófico"),CONCATENATE("R5C",'Mapa final'!$R$31),"")</f>
        <v/>
      </c>
      <c r="AJ20" s="40" t="str">
        <f>IF(AND('Mapa final'!$AB$32="Alta",'Mapa final'!$AD$32="Catastrófico"),CONCATENATE("R5C",'Mapa final'!$R$32),"")</f>
        <v/>
      </c>
      <c r="AK20" s="40" t="str">
        <f>IF(AND('Mapa final'!$AB$33="Alta",'Mapa final'!$AD$33="Catastrófico"),CONCATENATE("R5C",'Mapa final'!$R$33),"")</f>
        <v/>
      </c>
      <c r="AL20" s="40" t="str">
        <f>IF(AND('Mapa final'!$AB$34="Alta",'Mapa final'!$AD$34="Catastrófico"),CONCATENATE("R5C",'Mapa final'!$R$34),"")</f>
        <v/>
      </c>
      <c r="AM20" s="41" t="str">
        <f>IF(AND('Mapa final'!$AB$35="Alta",'Mapa final'!$AD$35="Catastrófico"),CONCATENATE("R5C",'Mapa final'!$R$35),"")</f>
        <v/>
      </c>
      <c r="AN20" s="67"/>
      <c r="AO20" s="584"/>
      <c r="AP20" s="585"/>
      <c r="AQ20" s="585"/>
      <c r="AR20" s="585"/>
      <c r="AS20" s="585"/>
      <c r="AT20" s="58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33"/>
      <c r="C21" s="533"/>
      <c r="D21" s="534"/>
      <c r="E21" s="574"/>
      <c r="F21" s="575"/>
      <c r="G21" s="575"/>
      <c r="H21" s="575"/>
      <c r="I21" s="575"/>
      <c r="J21" s="51" t="str">
        <f>IF(AND('Mapa final'!$AB$36="Alta",'Mapa final'!$AD$36="Leve"),CONCATENATE("R6C",'Mapa final'!$R$36),"")</f>
        <v/>
      </c>
      <c r="K21" s="52" t="str">
        <f>IF(AND('Mapa final'!$AB$37="Alta",'Mapa final'!$AD$37="Leve"),CONCATENATE("R6C",'Mapa final'!$R$37),"")</f>
        <v/>
      </c>
      <c r="L21" s="52" t="str">
        <f>IF(AND('Mapa final'!$AB$38="Alta",'Mapa final'!$AD$38="Leve"),CONCATENATE("R6C",'Mapa final'!$R$38),"")</f>
        <v/>
      </c>
      <c r="M21" s="52" t="str">
        <f>IF(AND('Mapa final'!$AB$39="Alta",'Mapa final'!$AD$39="Leve"),CONCATENATE("R6C",'Mapa final'!$R$39),"")</f>
        <v/>
      </c>
      <c r="N21" s="52" t="str">
        <f>IF(AND('Mapa final'!$AB$40="Alta",'Mapa final'!$AD$40="Leve"),CONCATENATE("R6C",'Mapa final'!$R$40),"")</f>
        <v/>
      </c>
      <c r="O21" s="53" t="str">
        <f>IF(AND('Mapa final'!$AB$41="Alta",'Mapa final'!$AD$41="Leve"),CONCATENATE("R6C",'Mapa final'!$R$41),"")</f>
        <v/>
      </c>
      <c r="P21" s="51" t="str">
        <f>IF(AND('Mapa final'!$AB$36="Alta",'Mapa final'!$AD$36="Menor"),CONCATENATE("R6C",'Mapa final'!$R$36),"")</f>
        <v/>
      </c>
      <c r="Q21" s="52" t="str">
        <f>IF(AND('Mapa final'!$AB$37="Alta",'Mapa final'!$AD$37="Menor"),CONCATENATE("R6C",'Mapa final'!$R$37),"")</f>
        <v/>
      </c>
      <c r="R21" s="52" t="str">
        <f>IF(AND('Mapa final'!$AB$38="Alta",'Mapa final'!$AD$38="Menor"),CONCATENATE("R6C",'Mapa final'!$R$38),"")</f>
        <v/>
      </c>
      <c r="S21" s="52" t="str">
        <f>IF(AND('Mapa final'!$AB$39="Alta",'Mapa final'!$AD$39="Menor"),CONCATENATE("R6C",'Mapa final'!$R$39),"")</f>
        <v/>
      </c>
      <c r="T21" s="52" t="str">
        <f>IF(AND('Mapa final'!$AB$40="Alta",'Mapa final'!$AD$40="Menor"),CONCATENATE("R6C",'Mapa final'!$R$40),"")</f>
        <v/>
      </c>
      <c r="U21" s="53" t="str">
        <f>IF(AND('Mapa final'!$AB$41="Alta",'Mapa final'!$AD$41="Menor"),CONCATENATE("R6C",'Mapa final'!$R$41),"")</f>
        <v/>
      </c>
      <c r="V21" s="36" t="str">
        <f>IF(AND('Mapa final'!$AB$36="Alta",'Mapa final'!$AD$36="Moderado"),CONCATENATE("R6C",'Mapa final'!$R$36),"")</f>
        <v/>
      </c>
      <c r="W21" s="37" t="str">
        <f>IF(AND('Mapa final'!$AB$37="Alta",'Mapa final'!$AD$37="Moderado"),CONCATENATE("R6C",'Mapa final'!$R$37),"")</f>
        <v/>
      </c>
      <c r="X21" s="37" t="str">
        <f>IF(AND('Mapa final'!$AB$38="Alta",'Mapa final'!$AD$38="Moderado"),CONCATENATE("R6C",'Mapa final'!$R$38),"")</f>
        <v/>
      </c>
      <c r="Y21" s="37" t="str">
        <f>IF(AND('Mapa final'!$AB$39="Alta",'Mapa final'!$AD$39="Moderado"),CONCATENATE("R6C",'Mapa final'!$R$39),"")</f>
        <v/>
      </c>
      <c r="Z21" s="37" t="str">
        <f>IF(AND('Mapa final'!$AB$40="Alta",'Mapa final'!$AD$40="Moderado"),CONCATENATE("R6C",'Mapa final'!$R$40),"")</f>
        <v/>
      </c>
      <c r="AA21" s="38" t="str">
        <f>IF(AND('Mapa final'!$AB$41="Alta",'Mapa final'!$AD$41="Moderado"),CONCATENATE("R6C",'Mapa final'!$R$41),"")</f>
        <v/>
      </c>
      <c r="AB21" s="36" t="str">
        <f>IF(AND('Mapa final'!$AB$36="Alta",'Mapa final'!$AD$36="Mayor"),CONCATENATE("R6C",'Mapa final'!$R$36),"")</f>
        <v/>
      </c>
      <c r="AC21" s="37" t="str">
        <f>IF(AND('Mapa final'!$AB$37="Alta",'Mapa final'!$AD$37="Mayor"),CONCATENATE("R6C",'Mapa final'!$R$37),"")</f>
        <v/>
      </c>
      <c r="AD21" s="37" t="str">
        <f>IF(AND('Mapa final'!$AB$38="Alta",'Mapa final'!$AD$38="Mayor"),CONCATENATE("R6C",'Mapa final'!$R$38),"")</f>
        <v/>
      </c>
      <c r="AE21" s="37" t="str">
        <f>IF(AND('Mapa final'!$AB$39="Alta",'Mapa final'!$AD$39="Mayor"),CONCATENATE("R6C",'Mapa final'!$R$39),"")</f>
        <v/>
      </c>
      <c r="AF21" s="37" t="str">
        <f>IF(AND('Mapa final'!$AB$40="Alta",'Mapa final'!$AD$40="Mayor"),CONCATENATE("R6C",'Mapa final'!$R$40),"")</f>
        <v/>
      </c>
      <c r="AG21" s="38" t="str">
        <f>IF(AND('Mapa final'!$AB$41="Alta",'Mapa final'!$AD$41="Mayor"),CONCATENATE("R6C",'Mapa final'!$R$41),"")</f>
        <v/>
      </c>
      <c r="AH21" s="39" t="str">
        <f>IF(AND('Mapa final'!$AB$36="Alta",'Mapa final'!$AD$36="Catastrófico"),CONCATENATE("R6C",'Mapa final'!$R$36),"")</f>
        <v/>
      </c>
      <c r="AI21" s="40" t="str">
        <f>IF(AND('Mapa final'!$AB$37="Alta",'Mapa final'!$AD$37="Catastrófico"),CONCATENATE("R6C",'Mapa final'!$R$37),"")</f>
        <v/>
      </c>
      <c r="AJ21" s="40" t="str">
        <f>IF(AND('Mapa final'!$AB$38="Alta",'Mapa final'!$AD$38="Catastrófico"),CONCATENATE("R6C",'Mapa final'!$R$38),"")</f>
        <v/>
      </c>
      <c r="AK21" s="40" t="str">
        <f>IF(AND('Mapa final'!$AB$39="Alta",'Mapa final'!$AD$39="Catastrófico"),CONCATENATE("R6C",'Mapa final'!$R$39),"")</f>
        <v/>
      </c>
      <c r="AL21" s="40" t="str">
        <f>IF(AND('Mapa final'!$AB$40="Alta",'Mapa final'!$AD$40="Catastrófico"),CONCATENATE("R6C",'Mapa final'!$R$40),"")</f>
        <v/>
      </c>
      <c r="AM21" s="41" t="str">
        <f>IF(AND('Mapa final'!$AB$41="Alta",'Mapa final'!$AD$41="Catastrófico"),CONCATENATE("R6C",'Mapa final'!$R$41),"")</f>
        <v/>
      </c>
      <c r="AN21" s="67"/>
      <c r="AO21" s="584"/>
      <c r="AP21" s="585"/>
      <c r="AQ21" s="585"/>
      <c r="AR21" s="585"/>
      <c r="AS21" s="585"/>
      <c r="AT21" s="58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33"/>
      <c r="C22" s="533"/>
      <c r="D22" s="534"/>
      <c r="E22" s="574"/>
      <c r="F22" s="575"/>
      <c r="G22" s="575"/>
      <c r="H22" s="575"/>
      <c r="I22" s="575"/>
      <c r="J22" s="51" t="str">
        <f>IF(AND('Mapa final'!$AB$42="Alta",'Mapa final'!$AD$42="Leve"),CONCATENATE("R7C",'Mapa final'!$R$42),"")</f>
        <v/>
      </c>
      <c r="K22" s="52" t="str">
        <f>IF(AND('Mapa final'!$AB$43="Alta",'Mapa final'!$AD$43="Leve"),CONCATENATE("R7C",'Mapa final'!$R$43),"")</f>
        <v/>
      </c>
      <c r="L22" s="52" t="str">
        <f>IF(AND('Mapa final'!$AB$44="Alta",'Mapa final'!$AD$44="Leve"),CONCATENATE("R7C",'Mapa final'!$R$44),"")</f>
        <v/>
      </c>
      <c r="M22" s="52" t="str">
        <f>IF(AND('Mapa final'!$AB$45="Alta",'Mapa final'!$AD$45="Leve"),CONCATENATE("R7C",'Mapa final'!$R$45),"")</f>
        <v/>
      </c>
      <c r="N22" s="52" t="str">
        <f>IF(AND('Mapa final'!$AB$46="Alta",'Mapa final'!$AD$46="Leve"),CONCATENATE("R7C",'Mapa final'!$R$46),"")</f>
        <v/>
      </c>
      <c r="O22" s="53" t="str">
        <f>IF(AND('Mapa final'!$AB$47="Alta",'Mapa final'!$AD$47="Leve"),CONCATENATE("R7C",'Mapa final'!$R$47),"")</f>
        <v/>
      </c>
      <c r="P22" s="51" t="str">
        <f>IF(AND('Mapa final'!$AB$42="Alta",'Mapa final'!$AD$42="Menor"),CONCATENATE("R7C",'Mapa final'!$R$42),"")</f>
        <v/>
      </c>
      <c r="Q22" s="52" t="str">
        <f>IF(AND('Mapa final'!$AB$43="Alta",'Mapa final'!$AD$43="Menor"),CONCATENATE("R7C",'Mapa final'!$R$43),"")</f>
        <v/>
      </c>
      <c r="R22" s="52" t="str">
        <f>IF(AND('Mapa final'!$AB$44="Alta",'Mapa final'!$AD$44="Menor"),CONCATENATE("R7C",'Mapa final'!$R$44),"")</f>
        <v/>
      </c>
      <c r="S22" s="52" t="str">
        <f>IF(AND('Mapa final'!$AB$45="Alta",'Mapa final'!$AD$45="Menor"),CONCATENATE("R7C",'Mapa final'!$R$45),"")</f>
        <v/>
      </c>
      <c r="T22" s="52" t="str">
        <f>IF(AND('Mapa final'!$AB$46="Alta",'Mapa final'!$AD$46="Menor"),CONCATENATE("R7C",'Mapa final'!$R$46),"")</f>
        <v/>
      </c>
      <c r="U22" s="53" t="str">
        <f>IF(AND('Mapa final'!$AB$47="Alta",'Mapa final'!$AD$47="Menor"),CONCATENATE("R7C",'Mapa final'!$R$47),"")</f>
        <v/>
      </c>
      <c r="V22" s="36" t="str">
        <f>IF(AND('Mapa final'!$AB$42="Alta",'Mapa final'!$AD$42="Moderado"),CONCATENATE("R7C",'Mapa final'!$R$42),"")</f>
        <v/>
      </c>
      <c r="W22" s="37" t="str">
        <f>IF(AND('Mapa final'!$AB$43="Alta",'Mapa final'!$AD$43="Moderado"),CONCATENATE("R7C",'Mapa final'!$R$43),"")</f>
        <v/>
      </c>
      <c r="X22" s="37" t="str">
        <f>IF(AND('Mapa final'!$AB$44="Alta",'Mapa final'!$AD$44="Moderado"),CONCATENATE("R7C",'Mapa final'!$R$44),"")</f>
        <v/>
      </c>
      <c r="Y22" s="37" t="str">
        <f>IF(AND('Mapa final'!$AB$45="Alta",'Mapa final'!$AD$45="Moderado"),CONCATENATE("R7C",'Mapa final'!$R$45),"")</f>
        <v/>
      </c>
      <c r="Z22" s="37" t="str">
        <f>IF(AND('Mapa final'!$AB$46="Alta",'Mapa final'!$AD$46="Moderado"),CONCATENATE("R7C",'Mapa final'!$R$46),"")</f>
        <v/>
      </c>
      <c r="AA22" s="38" t="str">
        <f>IF(AND('Mapa final'!$AB$47="Alta",'Mapa final'!$AD$47="Moderado"),CONCATENATE("R7C",'Mapa final'!$R$47),"")</f>
        <v/>
      </c>
      <c r="AB22" s="36" t="str">
        <f>IF(AND('Mapa final'!$AB$42="Alta",'Mapa final'!$AD$42="Mayor"),CONCATENATE("R7C",'Mapa final'!$R$42),"")</f>
        <v/>
      </c>
      <c r="AC22" s="37" t="str">
        <f>IF(AND('Mapa final'!$AB$43="Alta",'Mapa final'!$AD$43="Mayor"),CONCATENATE("R7C",'Mapa final'!$R$43),"")</f>
        <v/>
      </c>
      <c r="AD22" s="37" t="str">
        <f>IF(AND('Mapa final'!$AB$44="Alta",'Mapa final'!$AD$44="Mayor"),CONCATENATE("R7C",'Mapa final'!$R$44),"")</f>
        <v/>
      </c>
      <c r="AE22" s="37" t="str">
        <f>IF(AND('Mapa final'!$AB$45="Alta",'Mapa final'!$AD$45="Mayor"),CONCATENATE("R7C",'Mapa final'!$R$45),"")</f>
        <v/>
      </c>
      <c r="AF22" s="37" t="str">
        <f>IF(AND('Mapa final'!$AB$46="Alta",'Mapa final'!$AD$46="Mayor"),CONCATENATE("R7C",'Mapa final'!$R$46),"")</f>
        <v/>
      </c>
      <c r="AG22" s="38" t="str">
        <f>IF(AND('Mapa final'!$AB$47="Alta",'Mapa final'!$AD$47="Mayor"),CONCATENATE("R7C",'Mapa final'!$R$47),"")</f>
        <v/>
      </c>
      <c r="AH22" s="39" t="str">
        <f>IF(AND('Mapa final'!$AB$42="Alta",'Mapa final'!$AD$42="Catastrófico"),CONCATENATE("R7C",'Mapa final'!$R$42),"")</f>
        <v/>
      </c>
      <c r="AI22" s="40" t="str">
        <f>IF(AND('Mapa final'!$AB$43="Alta",'Mapa final'!$AD$43="Catastrófico"),CONCATENATE("R7C",'Mapa final'!$R$43),"")</f>
        <v/>
      </c>
      <c r="AJ22" s="40" t="str">
        <f>IF(AND('Mapa final'!$AB$44="Alta",'Mapa final'!$AD$44="Catastrófico"),CONCATENATE("R7C",'Mapa final'!$R$44),"")</f>
        <v/>
      </c>
      <c r="AK22" s="40" t="str">
        <f>IF(AND('Mapa final'!$AB$45="Alta",'Mapa final'!$AD$45="Catastrófico"),CONCATENATE("R7C",'Mapa final'!$R$45),"")</f>
        <v/>
      </c>
      <c r="AL22" s="40" t="str">
        <f>IF(AND('Mapa final'!$AB$46="Alta",'Mapa final'!$AD$46="Catastrófico"),CONCATENATE("R7C",'Mapa final'!$R$46),"")</f>
        <v/>
      </c>
      <c r="AM22" s="41" t="str">
        <f>IF(AND('Mapa final'!$AB$47="Alta",'Mapa final'!$AD$47="Catastrófico"),CONCATENATE("R7C",'Mapa final'!$R$47),"")</f>
        <v/>
      </c>
      <c r="AN22" s="67"/>
      <c r="AO22" s="584"/>
      <c r="AP22" s="585"/>
      <c r="AQ22" s="585"/>
      <c r="AR22" s="585"/>
      <c r="AS22" s="585"/>
      <c r="AT22" s="586"/>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33"/>
      <c r="C23" s="533"/>
      <c r="D23" s="534"/>
      <c r="E23" s="574"/>
      <c r="F23" s="575"/>
      <c r="G23" s="575"/>
      <c r="H23" s="575"/>
      <c r="I23" s="575"/>
      <c r="J23" s="51" t="str">
        <f>IF(AND('Mapa final'!$AB$48="Alta",'Mapa final'!$AD$48="Leve"),CONCATENATE("R8C",'Mapa final'!$R$48),"")</f>
        <v/>
      </c>
      <c r="K23" s="52" t="str">
        <f>IF(AND('Mapa final'!$AB$49="Alta",'Mapa final'!$AD$49="Leve"),CONCATENATE("R8C",'Mapa final'!$R$49),"")</f>
        <v/>
      </c>
      <c r="L23" s="52" t="str">
        <f>IF(AND('Mapa final'!$AB$50="Alta",'Mapa final'!$AD$50="Leve"),CONCATENATE("R8C",'Mapa final'!$R$50),"")</f>
        <v/>
      </c>
      <c r="M23" s="52" t="str">
        <f>IF(AND('Mapa final'!$AB$51="Alta",'Mapa final'!$AD$51="Leve"),CONCATENATE("R8C",'Mapa final'!$R$51),"")</f>
        <v/>
      </c>
      <c r="N23" s="52" t="str">
        <f>IF(AND('Mapa final'!$AB$52="Alta",'Mapa final'!$AD$52="Leve"),CONCATENATE("R8C",'Mapa final'!$R$52),"")</f>
        <v/>
      </c>
      <c r="O23" s="53" t="str">
        <f>IF(AND('Mapa final'!$AB$53="Alta",'Mapa final'!$AD$53="Leve"),CONCATENATE("R8C",'Mapa final'!$R$53),"")</f>
        <v/>
      </c>
      <c r="P23" s="51" t="str">
        <f>IF(AND('Mapa final'!$AB$48="Alta",'Mapa final'!$AD$48="Menor"),CONCATENATE("R8C",'Mapa final'!$R$48),"")</f>
        <v/>
      </c>
      <c r="Q23" s="52" t="str">
        <f>IF(AND('Mapa final'!$AB$49="Alta",'Mapa final'!$AD$49="Menor"),CONCATENATE("R8C",'Mapa final'!$R$49),"")</f>
        <v/>
      </c>
      <c r="R23" s="52" t="str">
        <f>IF(AND('Mapa final'!$AB$50="Alta",'Mapa final'!$AD$50="Menor"),CONCATENATE("R8C",'Mapa final'!$R$50),"")</f>
        <v/>
      </c>
      <c r="S23" s="52" t="str">
        <f>IF(AND('Mapa final'!$AB$51="Alta",'Mapa final'!$AD$51="Menor"),CONCATENATE("R8C",'Mapa final'!$R$51),"")</f>
        <v/>
      </c>
      <c r="T23" s="52" t="str">
        <f>IF(AND('Mapa final'!$AB$52="Alta",'Mapa final'!$AD$52="Menor"),CONCATENATE("R8C",'Mapa final'!$R$52),"")</f>
        <v/>
      </c>
      <c r="U23" s="53" t="str">
        <f>IF(AND('Mapa final'!$AB$53="Alta",'Mapa final'!$AD$53="Menor"),CONCATENATE("R8C",'Mapa final'!$R$53),"")</f>
        <v/>
      </c>
      <c r="V23" s="36" t="str">
        <f>IF(AND('Mapa final'!$AB$48="Alta",'Mapa final'!$AD$48="Moderado"),CONCATENATE("R8C",'Mapa final'!$R$48),"")</f>
        <v/>
      </c>
      <c r="W23" s="37" t="str">
        <f>IF(AND('Mapa final'!$AB$49="Alta",'Mapa final'!$AD$49="Moderado"),CONCATENATE("R8C",'Mapa final'!$R$49),"")</f>
        <v/>
      </c>
      <c r="X23" s="37" t="str">
        <f>IF(AND('Mapa final'!$AB$50="Alta",'Mapa final'!$AD$50="Moderado"),CONCATENATE("R8C",'Mapa final'!$R$50),"")</f>
        <v/>
      </c>
      <c r="Y23" s="37" t="str">
        <f>IF(AND('Mapa final'!$AB$51="Alta",'Mapa final'!$AD$51="Moderado"),CONCATENATE("R8C",'Mapa final'!$R$51),"")</f>
        <v/>
      </c>
      <c r="Z23" s="37" t="str">
        <f>IF(AND('Mapa final'!$AB$52="Alta",'Mapa final'!$AD$52="Moderado"),CONCATENATE("R8C",'Mapa final'!$R$52),"")</f>
        <v/>
      </c>
      <c r="AA23" s="38" t="str">
        <f>IF(AND('Mapa final'!$AB$53="Alta",'Mapa final'!$AD$53="Moderado"),CONCATENATE("R8C",'Mapa final'!$R$53),"")</f>
        <v/>
      </c>
      <c r="AB23" s="36" t="str">
        <f>IF(AND('Mapa final'!$AB$48="Alta",'Mapa final'!$AD$48="Mayor"),CONCATENATE("R8C",'Mapa final'!$R$48),"")</f>
        <v/>
      </c>
      <c r="AC23" s="37" t="str">
        <f>IF(AND('Mapa final'!$AB$49="Alta",'Mapa final'!$AD$49="Mayor"),CONCATENATE("R8C",'Mapa final'!$R$49),"")</f>
        <v/>
      </c>
      <c r="AD23" s="37" t="str">
        <f>IF(AND('Mapa final'!$AB$50="Alta",'Mapa final'!$AD$50="Mayor"),CONCATENATE("R8C",'Mapa final'!$R$50),"")</f>
        <v/>
      </c>
      <c r="AE23" s="37" t="str">
        <f>IF(AND('Mapa final'!$AB$51="Alta",'Mapa final'!$AD$51="Mayor"),CONCATENATE("R8C",'Mapa final'!$R$51),"")</f>
        <v/>
      </c>
      <c r="AF23" s="37" t="str">
        <f>IF(AND('Mapa final'!$AB$52="Alta",'Mapa final'!$AD$52="Mayor"),CONCATENATE("R8C",'Mapa final'!$R$52),"")</f>
        <v/>
      </c>
      <c r="AG23" s="38" t="str">
        <f>IF(AND('Mapa final'!$AB$53="Alta",'Mapa final'!$AD$53="Mayor"),CONCATENATE("R8C",'Mapa final'!$R$53),"")</f>
        <v/>
      </c>
      <c r="AH23" s="39" t="str">
        <f>IF(AND('Mapa final'!$AB$48="Alta",'Mapa final'!$AD$48="Catastrófico"),CONCATENATE("R8C",'Mapa final'!$R$48),"")</f>
        <v/>
      </c>
      <c r="AI23" s="40" t="str">
        <f>IF(AND('Mapa final'!$AB$49="Alta",'Mapa final'!$AD$49="Catastrófico"),CONCATENATE("R8C",'Mapa final'!$R$49),"")</f>
        <v/>
      </c>
      <c r="AJ23" s="40" t="str">
        <f>IF(AND('Mapa final'!$AB$50="Alta",'Mapa final'!$AD$50="Catastrófico"),CONCATENATE("R8C",'Mapa final'!$R$50),"")</f>
        <v/>
      </c>
      <c r="AK23" s="40" t="str">
        <f>IF(AND('Mapa final'!$AB$51="Alta",'Mapa final'!$AD$51="Catastrófico"),CONCATENATE("R8C",'Mapa final'!$R$51),"")</f>
        <v/>
      </c>
      <c r="AL23" s="40" t="str">
        <f>IF(AND('Mapa final'!$AB$52="Alta",'Mapa final'!$AD$52="Catastrófico"),CONCATENATE("R8C",'Mapa final'!$R$52),"")</f>
        <v/>
      </c>
      <c r="AM23" s="41" t="str">
        <f>IF(AND('Mapa final'!$AB$53="Alta",'Mapa final'!$AD$53="Catastrófico"),CONCATENATE("R8C",'Mapa final'!$R$53),"")</f>
        <v/>
      </c>
      <c r="AN23" s="67"/>
      <c r="AO23" s="584"/>
      <c r="AP23" s="585"/>
      <c r="AQ23" s="585"/>
      <c r="AR23" s="585"/>
      <c r="AS23" s="585"/>
      <c r="AT23" s="58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33"/>
      <c r="C24" s="533"/>
      <c r="D24" s="534"/>
      <c r="E24" s="574"/>
      <c r="F24" s="575"/>
      <c r="G24" s="575"/>
      <c r="H24" s="575"/>
      <c r="I24" s="575"/>
      <c r="J24" s="51" t="str">
        <f>IF(AND('Mapa final'!$AB$54="Alta",'Mapa final'!$AD$54="Leve"),CONCATENATE("R9C",'Mapa final'!$R$54),"")</f>
        <v/>
      </c>
      <c r="K24" s="52" t="str">
        <f>IF(AND('Mapa final'!$AB$55="Alta",'Mapa final'!$AD$55="Leve"),CONCATENATE("R9C",'Mapa final'!$R$55),"")</f>
        <v/>
      </c>
      <c r="L24" s="52" t="str">
        <f>IF(AND('Mapa final'!$AB$56="Alta",'Mapa final'!$AD$56="Leve"),CONCATENATE("R9C",'Mapa final'!$R$56),"")</f>
        <v/>
      </c>
      <c r="M24" s="52" t="str">
        <f>IF(AND('Mapa final'!$AB$57="Alta",'Mapa final'!$AD$57="Leve"),CONCATENATE("R9C",'Mapa final'!$R$57),"")</f>
        <v/>
      </c>
      <c r="N24" s="52" t="str">
        <f>IF(AND('Mapa final'!$AB$58="Alta",'Mapa final'!$AD$58="Leve"),CONCATENATE("R9C",'Mapa final'!$R$58),"")</f>
        <v/>
      </c>
      <c r="O24" s="53" t="str">
        <f>IF(AND('Mapa final'!$AB$59="Alta",'Mapa final'!$AD$59="Leve"),CONCATENATE("R9C",'Mapa final'!$R$59),"")</f>
        <v/>
      </c>
      <c r="P24" s="51" t="str">
        <f>IF(AND('Mapa final'!$AB$54="Alta",'Mapa final'!$AD$54="Menor"),CONCATENATE("R9C",'Mapa final'!$R$54),"")</f>
        <v/>
      </c>
      <c r="Q24" s="52" t="str">
        <f>IF(AND('Mapa final'!$AB$55="Alta",'Mapa final'!$AD$55="Menor"),CONCATENATE("R9C",'Mapa final'!$R$55),"")</f>
        <v/>
      </c>
      <c r="R24" s="52" t="str">
        <f>IF(AND('Mapa final'!$AB$56="Alta",'Mapa final'!$AD$56="Menor"),CONCATENATE("R9C",'Mapa final'!$R$56),"")</f>
        <v/>
      </c>
      <c r="S24" s="52" t="str">
        <f>IF(AND('Mapa final'!$AB$57="Alta",'Mapa final'!$AD$57="Menor"),CONCATENATE("R9C",'Mapa final'!$R$57),"")</f>
        <v/>
      </c>
      <c r="T24" s="52" t="str">
        <f>IF(AND('Mapa final'!$AB$58="Alta",'Mapa final'!$AD$58="Menor"),CONCATENATE("R9C",'Mapa final'!$R$58),"")</f>
        <v/>
      </c>
      <c r="U24" s="53" t="str">
        <f>IF(AND('Mapa final'!$AB$59="Alta",'Mapa final'!$AD$59="Menor"),CONCATENATE("R9C",'Mapa final'!$R$59),"")</f>
        <v/>
      </c>
      <c r="V24" s="36" t="str">
        <f>IF(AND('Mapa final'!$AB$54="Alta",'Mapa final'!$AD$54="Moderado"),CONCATENATE("R9C",'Mapa final'!$R$54),"")</f>
        <v/>
      </c>
      <c r="W24" s="37" t="str">
        <f>IF(AND('Mapa final'!$AB$55="Alta",'Mapa final'!$AD$55="Moderado"),CONCATENATE("R9C",'Mapa final'!$R$55),"")</f>
        <v/>
      </c>
      <c r="X24" s="37" t="str">
        <f>IF(AND('Mapa final'!$AB$56="Alta",'Mapa final'!$AD$56="Moderado"),CONCATENATE("R9C",'Mapa final'!$R$56),"")</f>
        <v/>
      </c>
      <c r="Y24" s="37" t="str">
        <f>IF(AND('Mapa final'!$AB$57="Alta",'Mapa final'!$AD$57="Moderado"),CONCATENATE("R9C",'Mapa final'!$R$57),"")</f>
        <v/>
      </c>
      <c r="Z24" s="37" t="str">
        <f>IF(AND('Mapa final'!$AB$58="Alta",'Mapa final'!$AD$58="Moderado"),CONCATENATE("R9C",'Mapa final'!$R$58),"")</f>
        <v/>
      </c>
      <c r="AA24" s="38" t="str">
        <f>IF(AND('Mapa final'!$AB$59="Alta",'Mapa final'!$AD$59="Moderado"),CONCATENATE("R9C",'Mapa final'!$R$59),"")</f>
        <v/>
      </c>
      <c r="AB24" s="36" t="str">
        <f>IF(AND('Mapa final'!$AB$54="Alta",'Mapa final'!$AD$54="Mayor"),CONCATENATE("R9C",'Mapa final'!$R$54),"")</f>
        <v/>
      </c>
      <c r="AC24" s="37" t="str">
        <f>IF(AND('Mapa final'!$AB$55="Alta",'Mapa final'!$AD$55="Mayor"),CONCATENATE("R9C",'Mapa final'!$R$55),"")</f>
        <v/>
      </c>
      <c r="AD24" s="37" t="str">
        <f>IF(AND('Mapa final'!$AB$56="Alta",'Mapa final'!$AD$56="Mayor"),CONCATENATE("R9C",'Mapa final'!$R$56),"")</f>
        <v/>
      </c>
      <c r="AE24" s="37" t="str">
        <f>IF(AND('Mapa final'!$AB$57="Alta",'Mapa final'!$AD$57="Mayor"),CONCATENATE("R9C",'Mapa final'!$R$57),"")</f>
        <v/>
      </c>
      <c r="AF24" s="37" t="str">
        <f>IF(AND('Mapa final'!$AB$58="Alta",'Mapa final'!$AD$58="Mayor"),CONCATENATE("R9C",'Mapa final'!$R$58),"")</f>
        <v/>
      </c>
      <c r="AG24" s="38" t="str">
        <f>IF(AND('Mapa final'!$AB$59="Alta",'Mapa final'!$AD$59="Mayor"),CONCATENATE("R9C",'Mapa final'!$R$59),"")</f>
        <v/>
      </c>
      <c r="AH24" s="39" t="str">
        <f>IF(AND('Mapa final'!$AB$54="Alta",'Mapa final'!$AD$54="Catastrófico"),CONCATENATE("R9C",'Mapa final'!$R$54),"")</f>
        <v/>
      </c>
      <c r="AI24" s="40" t="str">
        <f>IF(AND('Mapa final'!$AB$55="Alta",'Mapa final'!$AD$55="Catastrófico"),CONCATENATE("R9C",'Mapa final'!$R$55),"")</f>
        <v/>
      </c>
      <c r="AJ24" s="40" t="str">
        <f>IF(AND('Mapa final'!$AB$56="Alta",'Mapa final'!$AD$56="Catastrófico"),CONCATENATE("R9C",'Mapa final'!$R$56),"")</f>
        <v/>
      </c>
      <c r="AK24" s="40" t="str">
        <f>IF(AND('Mapa final'!$AB$57="Alta",'Mapa final'!$AD$57="Catastrófico"),CONCATENATE("R9C",'Mapa final'!$R$57),"")</f>
        <v/>
      </c>
      <c r="AL24" s="40" t="str">
        <f>IF(AND('Mapa final'!$AB$58="Alta",'Mapa final'!$AD$58="Catastrófico"),CONCATENATE("R9C",'Mapa final'!$R$58),"")</f>
        <v/>
      </c>
      <c r="AM24" s="41" t="str">
        <f>IF(AND('Mapa final'!$AB$59="Alta",'Mapa final'!$AD$59="Catastrófico"),CONCATENATE("R9C",'Mapa final'!$R$59),"")</f>
        <v/>
      </c>
      <c r="AN24" s="67"/>
      <c r="AO24" s="584"/>
      <c r="AP24" s="585"/>
      <c r="AQ24" s="585"/>
      <c r="AR24" s="585"/>
      <c r="AS24" s="585"/>
      <c r="AT24" s="58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33"/>
      <c r="C25" s="533"/>
      <c r="D25" s="534"/>
      <c r="E25" s="577"/>
      <c r="F25" s="578"/>
      <c r="G25" s="578"/>
      <c r="H25" s="578"/>
      <c r="I25" s="578"/>
      <c r="J25" s="54" t="str">
        <f>IF(AND('Mapa final'!$AB$60="Alta",'Mapa final'!$AD$60="Leve"),CONCATENATE("R10C",'Mapa final'!$R$60),"")</f>
        <v/>
      </c>
      <c r="K25" s="55" t="str">
        <f>IF(AND('Mapa final'!$AB$61="Alta",'Mapa final'!$AD$61="Leve"),CONCATENATE("R10C",'Mapa final'!$R$61),"")</f>
        <v/>
      </c>
      <c r="L25" s="55" t="str">
        <f>IF(AND('Mapa final'!$AB$62="Alta",'Mapa final'!$AD$62="Leve"),CONCATENATE("R10C",'Mapa final'!$R$62),"")</f>
        <v/>
      </c>
      <c r="M25" s="55" t="str">
        <f>IF(AND('Mapa final'!$AB$63="Alta",'Mapa final'!$AD$63="Leve"),CONCATENATE("R10C",'Mapa final'!$R$63),"")</f>
        <v/>
      </c>
      <c r="N25" s="55" t="str">
        <f>IF(AND('Mapa final'!$AB$64="Alta",'Mapa final'!$AD$64="Leve"),CONCATENATE("R10C",'Mapa final'!$R$64),"")</f>
        <v/>
      </c>
      <c r="O25" s="56" t="str">
        <f>IF(AND('Mapa final'!$AB$65="Alta",'Mapa final'!$AD$65="Leve"),CONCATENATE("R10C",'Mapa final'!$R$65),"")</f>
        <v/>
      </c>
      <c r="P25" s="54" t="str">
        <f>IF(AND('Mapa final'!$AB$60="Alta",'Mapa final'!$AD$60="Menor"),CONCATENATE("R10C",'Mapa final'!$R$60),"")</f>
        <v/>
      </c>
      <c r="Q25" s="55" t="str">
        <f>IF(AND('Mapa final'!$AB$61="Alta",'Mapa final'!$AD$61="Menor"),CONCATENATE("R10C",'Mapa final'!$R$61),"")</f>
        <v/>
      </c>
      <c r="R25" s="55" t="str">
        <f>IF(AND('Mapa final'!$AB$62="Alta",'Mapa final'!$AD$62="Menor"),CONCATENATE("R10C",'Mapa final'!$R$62),"")</f>
        <v/>
      </c>
      <c r="S25" s="55" t="str">
        <f>IF(AND('Mapa final'!$AB$63="Alta",'Mapa final'!$AD$63="Menor"),CONCATENATE("R10C",'Mapa final'!$R$63),"")</f>
        <v/>
      </c>
      <c r="T25" s="55" t="str">
        <f>IF(AND('Mapa final'!$AB$64="Alta",'Mapa final'!$AD$64="Menor"),CONCATENATE("R10C",'Mapa final'!$R$64),"")</f>
        <v/>
      </c>
      <c r="U25" s="56" t="str">
        <f>IF(AND('Mapa final'!$AB$65="Alta",'Mapa final'!$AD$65="Menor"),CONCATENATE("R10C",'Mapa final'!$R$65),"")</f>
        <v/>
      </c>
      <c r="V25" s="42" t="str">
        <f>IF(AND('Mapa final'!$AB$60="Alta",'Mapa final'!$AD$60="Moderado"),CONCATENATE("R10C",'Mapa final'!$R$60),"")</f>
        <v/>
      </c>
      <c r="W25" s="43" t="str">
        <f>IF(AND('Mapa final'!$AB$61="Alta",'Mapa final'!$AD$61="Moderado"),CONCATENATE("R10C",'Mapa final'!$R$61),"")</f>
        <v/>
      </c>
      <c r="X25" s="43" t="str">
        <f>IF(AND('Mapa final'!$AB$62="Alta",'Mapa final'!$AD$62="Moderado"),CONCATENATE("R10C",'Mapa final'!$R$62),"")</f>
        <v/>
      </c>
      <c r="Y25" s="43" t="str">
        <f>IF(AND('Mapa final'!$AB$63="Alta",'Mapa final'!$AD$63="Moderado"),CONCATENATE("R10C",'Mapa final'!$R$63),"")</f>
        <v/>
      </c>
      <c r="Z25" s="43" t="str">
        <f>IF(AND('Mapa final'!$AB$64="Alta",'Mapa final'!$AD$64="Moderado"),CONCATENATE("R10C",'Mapa final'!$R$64),"")</f>
        <v/>
      </c>
      <c r="AA25" s="44" t="str">
        <f>IF(AND('Mapa final'!$AB$65="Alta",'Mapa final'!$AD$65="Moderado"),CONCATENATE("R10C",'Mapa final'!$R$65),"")</f>
        <v/>
      </c>
      <c r="AB25" s="42" t="str">
        <f>IF(AND('Mapa final'!$AB$60="Alta",'Mapa final'!$AD$60="Mayor"),CONCATENATE("R10C",'Mapa final'!$R$60),"")</f>
        <v/>
      </c>
      <c r="AC25" s="43" t="str">
        <f>IF(AND('Mapa final'!$AB$61="Alta",'Mapa final'!$AD$61="Mayor"),CONCATENATE("R10C",'Mapa final'!$R$61),"")</f>
        <v/>
      </c>
      <c r="AD25" s="43" t="str">
        <f>IF(AND('Mapa final'!$AB$62="Alta",'Mapa final'!$AD$62="Mayor"),CONCATENATE("R10C",'Mapa final'!$R$62),"")</f>
        <v/>
      </c>
      <c r="AE25" s="43" t="str">
        <f>IF(AND('Mapa final'!$AB$63="Alta",'Mapa final'!$AD$63="Mayor"),CONCATENATE("R10C",'Mapa final'!$R$63),"")</f>
        <v/>
      </c>
      <c r="AF25" s="43" t="str">
        <f>IF(AND('Mapa final'!$AB$64="Alta",'Mapa final'!$AD$64="Mayor"),CONCATENATE("R10C",'Mapa final'!$R$64),"")</f>
        <v/>
      </c>
      <c r="AG25" s="44" t="str">
        <f>IF(AND('Mapa final'!$AB$65="Alta",'Mapa final'!$AD$65="Mayor"),CONCATENATE("R10C",'Mapa final'!$R$65),"")</f>
        <v/>
      </c>
      <c r="AH25" s="45" t="str">
        <f>IF(AND('Mapa final'!$AB$60="Alta",'Mapa final'!$AD$60="Catastrófico"),CONCATENATE("R10C",'Mapa final'!$R$60),"")</f>
        <v/>
      </c>
      <c r="AI25" s="46" t="str">
        <f>IF(AND('Mapa final'!$AB$61="Alta",'Mapa final'!$AD$61="Catastrófico"),CONCATENATE("R10C",'Mapa final'!$R$61),"")</f>
        <v/>
      </c>
      <c r="AJ25" s="46" t="str">
        <f>IF(AND('Mapa final'!$AB$62="Alta",'Mapa final'!$AD$62="Catastrófico"),CONCATENATE("R10C",'Mapa final'!$R$62),"")</f>
        <v/>
      </c>
      <c r="AK25" s="46" t="str">
        <f>IF(AND('Mapa final'!$AB$63="Alta",'Mapa final'!$AD$63="Catastrófico"),CONCATENATE("R10C",'Mapa final'!$R$63),"")</f>
        <v/>
      </c>
      <c r="AL25" s="46" t="str">
        <f>IF(AND('Mapa final'!$AB$64="Alta",'Mapa final'!$AD$64="Catastrófico"),CONCATENATE("R10C",'Mapa final'!$R$64),"")</f>
        <v/>
      </c>
      <c r="AM25" s="47" t="str">
        <f>IF(AND('Mapa final'!$AB$65="Alta",'Mapa final'!$AD$65="Catastrófico"),CONCATENATE("R10C",'Mapa final'!$R$65),"")</f>
        <v/>
      </c>
      <c r="AN25" s="67"/>
      <c r="AO25" s="587"/>
      <c r="AP25" s="588"/>
      <c r="AQ25" s="588"/>
      <c r="AR25" s="588"/>
      <c r="AS25" s="588"/>
      <c r="AT25" s="589"/>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33"/>
      <c r="C26" s="533"/>
      <c r="D26" s="534"/>
      <c r="E26" s="571" t="s">
        <v>111</v>
      </c>
      <c r="F26" s="572"/>
      <c r="G26" s="572"/>
      <c r="H26" s="572"/>
      <c r="I26" s="573"/>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R1C1</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11" t="s">
        <v>79</v>
      </c>
      <c r="AP26" s="612"/>
      <c r="AQ26" s="612"/>
      <c r="AR26" s="612"/>
      <c r="AS26" s="612"/>
      <c r="AT26" s="61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33"/>
      <c r="C27" s="533"/>
      <c r="D27" s="534"/>
      <c r="E27" s="590"/>
      <c r="F27" s="575"/>
      <c r="G27" s="575"/>
      <c r="H27" s="575"/>
      <c r="I27" s="576"/>
      <c r="J27" s="51" t="str">
        <f>IF(AND('Mapa final'!$AB$16="Media",'Mapa final'!$AD$16="Leve"),CONCATENATE("R2C",'Mapa final'!$R$16),"")</f>
        <v/>
      </c>
      <c r="K27" s="52" t="str">
        <f>IF(AND('Mapa final'!$AB$17="Media",'Mapa final'!$AD$17="Leve"),CONCATENATE("R2C",'Mapa final'!$R$17),"")</f>
        <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final'!$AB$16="Media",'Mapa final'!$AD$16="Menor"),CONCATENATE("R2C",'Mapa final'!$R$16),"")</f>
        <v/>
      </c>
      <c r="Q27" s="52" t="str">
        <f>IF(AND('Mapa final'!$AB$17="Media",'Mapa final'!$AD$17="Menor"),CONCATENATE("R2C",'Mapa final'!$R$17),"")</f>
        <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final'!$AB$16="Media",'Mapa final'!$AD$16="Moderado"),CONCATENATE("R2C",'Mapa final'!$R$16),"")</f>
        <v/>
      </c>
      <c r="W27" s="52" t="str">
        <f>IF(AND('Mapa final'!$AB$17="Media",'Mapa final'!$AD$17="Moderado"),CONCATENATE("R2C",'Mapa final'!$R$17),"")</f>
        <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final'!$AB$16="Media",'Mapa final'!$AD$16="Mayor"),CONCATENATE("R2C",'Mapa final'!$R$16),"")</f>
        <v/>
      </c>
      <c r="AC27" s="37" t="str">
        <f>IF(AND('Mapa final'!$AB$17="Media",'Mapa final'!$AD$17="Mayor"),CONCATENATE("R2C",'Mapa final'!$R$17),"")</f>
        <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final'!$AB$16="Media",'Mapa final'!$AD$16="Catastrófico"),CONCATENATE("R2C",'Mapa final'!$R$16),"")</f>
        <v/>
      </c>
      <c r="AI27" s="40" t="str">
        <f>IF(AND('Mapa final'!$AB$17="Media",'Mapa final'!$AD$17="Catastrófico"),CONCATENATE("R2C",'Mapa final'!$R$17),"")</f>
        <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614"/>
      <c r="AP27" s="615"/>
      <c r="AQ27" s="615"/>
      <c r="AR27" s="615"/>
      <c r="AS27" s="615"/>
      <c r="AT27" s="61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33"/>
      <c r="C28" s="533"/>
      <c r="D28" s="534"/>
      <c r="E28" s="574"/>
      <c r="F28" s="575"/>
      <c r="G28" s="575"/>
      <c r="H28" s="575"/>
      <c r="I28" s="576"/>
      <c r="J28" s="51" t="str">
        <f>IF(AND('Mapa final'!$AB$18="Media",'Mapa final'!$AD$18="Leve"),CONCATENATE("R3C",'Mapa final'!$R$18),"")</f>
        <v/>
      </c>
      <c r="K28" s="52" t="str">
        <f>IF(AND('Mapa final'!$AB$19="Media",'Mapa final'!$AD$19="Leve"),CONCATENATE("R3C",'Mapa final'!$R$19),"")</f>
        <v/>
      </c>
      <c r="L28" s="52" t="str">
        <f>IF(AND('Mapa final'!$AB$20="Media",'Mapa final'!$AD$20="Leve"),CONCATENATE("R3C",'Mapa final'!$R$20),"")</f>
        <v/>
      </c>
      <c r="M28" s="52" t="str">
        <f>IF(AND('Mapa final'!$AB$21="Media",'Mapa final'!$AD$21="Leve"),CONCATENATE("R3C",'Mapa final'!$R$21),"")</f>
        <v/>
      </c>
      <c r="N28" s="52" t="str">
        <f>IF(AND('Mapa final'!$AB$22="Media",'Mapa final'!$AD$22="Leve"),CONCATENATE("R3C",'Mapa final'!$R$22),"")</f>
        <v/>
      </c>
      <c r="O28" s="53" t="str">
        <f>IF(AND('Mapa final'!$AB$23="Media",'Mapa final'!$AD$23="Leve"),CONCATENATE("R3C",'Mapa final'!$R$23),"")</f>
        <v/>
      </c>
      <c r="P28" s="51" t="str">
        <f>IF(AND('Mapa final'!$AB$18="Media",'Mapa final'!$AD$18="Menor"),CONCATENATE("R3C",'Mapa final'!$R$18),"")</f>
        <v/>
      </c>
      <c r="Q28" s="52" t="str">
        <f>IF(AND('Mapa final'!$AB$19="Media",'Mapa final'!$AD$19="Menor"),CONCATENATE("R3C",'Mapa final'!$R$19),"")</f>
        <v/>
      </c>
      <c r="R28" s="52" t="str">
        <f>IF(AND('Mapa final'!$AB$20="Media",'Mapa final'!$AD$20="Menor"),CONCATENATE("R3C",'Mapa final'!$R$20),"")</f>
        <v/>
      </c>
      <c r="S28" s="52" t="str">
        <f>IF(AND('Mapa final'!$AB$21="Media",'Mapa final'!$AD$21="Menor"),CONCATENATE("R3C",'Mapa final'!$R$21),"")</f>
        <v/>
      </c>
      <c r="T28" s="52" t="str">
        <f>IF(AND('Mapa final'!$AB$22="Media",'Mapa final'!$AD$22="Menor"),CONCATENATE("R3C",'Mapa final'!$R$22),"")</f>
        <v/>
      </c>
      <c r="U28" s="53" t="str">
        <f>IF(AND('Mapa final'!$AB$23="Media",'Mapa final'!$AD$23="Menor"),CONCATENATE("R3C",'Mapa final'!$R$23),"")</f>
        <v/>
      </c>
      <c r="V28" s="51" t="str">
        <f>IF(AND('Mapa final'!$AB$18="Media",'Mapa final'!$AD$18="Moderado"),CONCATENATE("R3C",'Mapa final'!$R$18),"")</f>
        <v/>
      </c>
      <c r="W28" s="52" t="str">
        <f>IF(AND('Mapa final'!$AB$19="Media",'Mapa final'!$AD$19="Moderado"),CONCATENATE("R3C",'Mapa final'!$R$19),"")</f>
        <v/>
      </c>
      <c r="X28" s="52" t="str">
        <f>IF(AND('Mapa final'!$AB$20="Media",'Mapa final'!$AD$20="Moderado"),CONCATENATE("R3C",'Mapa final'!$R$20),"")</f>
        <v/>
      </c>
      <c r="Y28" s="52" t="str">
        <f>IF(AND('Mapa final'!$AB$21="Media",'Mapa final'!$AD$21="Moderado"),CONCATENATE("R3C",'Mapa final'!$R$21),"")</f>
        <v/>
      </c>
      <c r="Z28" s="52" t="str">
        <f>IF(AND('Mapa final'!$AB$22="Media",'Mapa final'!$AD$22="Moderado"),CONCATENATE("R3C",'Mapa final'!$R$22),"")</f>
        <v/>
      </c>
      <c r="AA28" s="53" t="str">
        <f>IF(AND('Mapa final'!$AB$23="Media",'Mapa final'!$AD$23="Moderado"),CONCATENATE("R3C",'Mapa final'!$R$23),"")</f>
        <v/>
      </c>
      <c r="AB28" s="36" t="str">
        <f>IF(AND('Mapa final'!$AB$18="Media",'Mapa final'!$AD$18="Mayor"),CONCATENATE("R3C",'Mapa final'!$R$18),"")</f>
        <v/>
      </c>
      <c r="AC28" s="37" t="str">
        <f>IF(AND('Mapa final'!$AB$19="Media",'Mapa final'!$AD$19="Mayor"),CONCATENATE("R3C",'Mapa final'!$R$19),"")</f>
        <v/>
      </c>
      <c r="AD28" s="37" t="str">
        <f>IF(AND('Mapa final'!$AB$20="Media",'Mapa final'!$AD$20="Mayor"),CONCATENATE("R3C",'Mapa final'!$R$20),"")</f>
        <v/>
      </c>
      <c r="AE28" s="37" t="str">
        <f>IF(AND('Mapa final'!$AB$21="Media",'Mapa final'!$AD$21="Mayor"),CONCATENATE("R3C",'Mapa final'!$R$21),"")</f>
        <v/>
      </c>
      <c r="AF28" s="37" t="str">
        <f>IF(AND('Mapa final'!$AB$22="Media",'Mapa final'!$AD$22="Mayor"),CONCATENATE("R3C",'Mapa final'!$R$22),"")</f>
        <v/>
      </c>
      <c r="AG28" s="38" t="str">
        <f>IF(AND('Mapa final'!$AB$23="Media",'Mapa final'!$AD$23="Mayor"),CONCATENATE("R3C",'Mapa final'!$R$23),"")</f>
        <v/>
      </c>
      <c r="AH28" s="39" t="str">
        <f>IF(AND('Mapa final'!$AB$18="Media",'Mapa final'!$AD$18="Catastrófico"),CONCATENATE("R3C",'Mapa final'!$R$18),"")</f>
        <v/>
      </c>
      <c r="AI28" s="40" t="str">
        <f>IF(AND('Mapa final'!$AB$19="Media",'Mapa final'!$AD$19="Catastrófico"),CONCATENATE("R3C",'Mapa final'!$R$19),"")</f>
        <v/>
      </c>
      <c r="AJ28" s="40" t="str">
        <f>IF(AND('Mapa final'!$AB$20="Media",'Mapa final'!$AD$20="Catastrófico"),CONCATENATE("R3C",'Mapa final'!$R$20),"")</f>
        <v/>
      </c>
      <c r="AK28" s="40" t="str">
        <f>IF(AND('Mapa final'!$AB$21="Media",'Mapa final'!$AD$21="Catastrófico"),CONCATENATE("R3C",'Mapa final'!$R$21),"")</f>
        <v/>
      </c>
      <c r="AL28" s="40" t="str">
        <f>IF(AND('Mapa final'!$AB$22="Media",'Mapa final'!$AD$22="Catastrófico"),CONCATENATE("R3C",'Mapa final'!$R$22),"")</f>
        <v/>
      </c>
      <c r="AM28" s="41" t="str">
        <f>IF(AND('Mapa final'!$AB$23="Media",'Mapa final'!$AD$23="Catastrófico"),CONCATENATE("R3C",'Mapa final'!$R$23),"")</f>
        <v/>
      </c>
      <c r="AN28" s="67"/>
      <c r="AO28" s="614"/>
      <c r="AP28" s="615"/>
      <c r="AQ28" s="615"/>
      <c r="AR28" s="615"/>
      <c r="AS28" s="615"/>
      <c r="AT28" s="61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33"/>
      <c r="C29" s="533"/>
      <c r="D29" s="534"/>
      <c r="E29" s="574"/>
      <c r="F29" s="575"/>
      <c r="G29" s="575"/>
      <c r="H29" s="575"/>
      <c r="I29" s="576"/>
      <c r="J29" s="51" t="str">
        <f>IF(AND('Mapa final'!$AB$24="Media",'Mapa final'!$AD$24="Leve"),CONCATENATE("R4C",'Mapa final'!$R$24),"")</f>
        <v/>
      </c>
      <c r="K29" s="52" t="str">
        <f>IF(AND('Mapa final'!$AB$25="Media",'Mapa final'!$AD$25="Leve"),CONCATENATE("R4C",'Mapa final'!$R$25),"")</f>
        <v/>
      </c>
      <c r="L29" s="52" t="str">
        <f>IF(AND('Mapa final'!$AB$26="Media",'Mapa final'!$AD$26="Leve"),CONCATENATE("R4C",'Mapa final'!$R$26),"")</f>
        <v/>
      </c>
      <c r="M29" s="52" t="str">
        <f>IF(AND('Mapa final'!$AB$27="Media",'Mapa final'!$AD$27="Leve"),CONCATENATE("R4C",'Mapa final'!$R$27),"")</f>
        <v/>
      </c>
      <c r="N29" s="52" t="str">
        <f>IF(AND('Mapa final'!$AB$28="Media",'Mapa final'!$AD$28="Leve"),CONCATENATE("R4C",'Mapa final'!$R$28),"")</f>
        <v/>
      </c>
      <c r="O29" s="53" t="str">
        <f>IF(AND('Mapa final'!$AB$29="Media",'Mapa final'!$AD$29="Leve"),CONCATENATE("R4C",'Mapa final'!$R$29),"")</f>
        <v/>
      </c>
      <c r="P29" s="51" t="str">
        <f>IF(AND('Mapa final'!$AB$24="Media",'Mapa final'!$AD$24="Menor"),CONCATENATE("R4C",'Mapa final'!$R$24),"")</f>
        <v/>
      </c>
      <c r="Q29" s="52" t="str">
        <f>IF(AND('Mapa final'!$AB$25="Media",'Mapa final'!$AD$25="Menor"),CONCATENATE("R4C",'Mapa final'!$R$25),"")</f>
        <v/>
      </c>
      <c r="R29" s="52" t="str">
        <f>IF(AND('Mapa final'!$AB$26="Media",'Mapa final'!$AD$26="Menor"),CONCATENATE("R4C",'Mapa final'!$R$26),"")</f>
        <v/>
      </c>
      <c r="S29" s="52" t="str">
        <f>IF(AND('Mapa final'!$AB$27="Media",'Mapa final'!$AD$27="Menor"),CONCATENATE("R4C",'Mapa final'!$R$27),"")</f>
        <v/>
      </c>
      <c r="T29" s="52" t="str">
        <f>IF(AND('Mapa final'!$AB$28="Media",'Mapa final'!$AD$28="Menor"),CONCATENATE("R4C",'Mapa final'!$R$28),"")</f>
        <v/>
      </c>
      <c r="U29" s="53" t="str">
        <f>IF(AND('Mapa final'!$AB$29="Media",'Mapa final'!$AD$29="Menor"),CONCATENATE("R4C",'Mapa final'!$R$29),"")</f>
        <v/>
      </c>
      <c r="V29" s="51" t="str">
        <f>IF(AND('Mapa final'!$AB$24="Media",'Mapa final'!$AD$24="Moderado"),CONCATENATE("R4C",'Mapa final'!$R$24),"")</f>
        <v/>
      </c>
      <c r="W29" s="52" t="str">
        <f>IF(AND('Mapa final'!$AB$25="Media",'Mapa final'!$AD$25="Moderado"),CONCATENATE("R4C",'Mapa final'!$R$25),"")</f>
        <v/>
      </c>
      <c r="X29" s="52" t="str">
        <f>IF(AND('Mapa final'!$AB$26="Media",'Mapa final'!$AD$26="Moderado"),CONCATENATE("R4C",'Mapa final'!$R$26),"")</f>
        <v/>
      </c>
      <c r="Y29" s="52" t="str">
        <f>IF(AND('Mapa final'!$AB$27="Media",'Mapa final'!$AD$27="Moderado"),CONCATENATE("R4C",'Mapa final'!$R$27),"")</f>
        <v/>
      </c>
      <c r="Z29" s="52" t="str">
        <f>IF(AND('Mapa final'!$AB$28="Media",'Mapa final'!$AD$28="Moderado"),CONCATENATE("R4C",'Mapa final'!$R$28),"")</f>
        <v/>
      </c>
      <c r="AA29" s="53" t="str">
        <f>IF(AND('Mapa final'!$AB$29="Media",'Mapa final'!$AD$29="Moderado"),CONCATENATE("R4C",'Mapa final'!$R$29),"")</f>
        <v/>
      </c>
      <c r="AB29" s="36" t="str">
        <f>IF(AND('Mapa final'!$AB$24="Media",'Mapa final'!$AD$24="Mayor"),CONCATENATE("R4C",'Mapa final'!$R$24),"")</f>
        <v/>
      </c>
      <c r="AC29" s="37" t="str">
        <f>IF(AND('Mapa final'!$AB$25="Media",'Mapa final'!$AD$25="Mayor"),CONCATENATE("R4C",'Mapa final'!$R$25),"")</f>
        <v/>
      </c>
      <c r="AD29" s="37" t="str">
        <f>IF(AND('Mapa final'!$AB$26="Media",'Mapa final'!$AD$26="Mayor"),CONCATENATE("R4C",'Mapa final'!$R$26),"")</f>
        <v/>
      </c>
      <c r="AE29" s="37" t="str">
        <f>IF(AND('Mapa final'!$AB$27="Media",'Mapa final'!$AD$27="Mayor"),CONCATENATE("R4C",'Mapa final'!$R$27),"")</f>
        <v/>
      </c>
      <c r="AF29" s="37" t="str">
        <f>IF(AND('Mapa final'!$AB$28="Media",'Mapa final'!$AD$28="Mayor"),CONCATENATE("R4C",'Mapa final'!$R$28),"")</f>
        <v/>
      </c>
      <c r="AG29" s="38" t="str">
        <f>IF(AND('Mapa final'!$AB$29="Media",'Mapa final'!$AD$29="Mayor"),CONCATENATE("R4C",'Mapa final'!$R$29),"")</f>
        <v/>
      </c>
      <c r="AH29" s="39" t="str">
        <f>IF(AND('Mapa final'!$AB$24="Media",'Mapa final'!$AD$24="Catastrófico"),CONCATENATE("R4C",'Mapa final'!$R$24),"")</f>
        <v/>
      </c>
      <c r="AI29" s="40" t="str">
        <f>IF(AND('Mapa final'!$AB$25="Media",'Mapa final'!$AD$25="Catastrófico"),CONCATENATE("R4C",'Mapa final'!$R$25),"")</f>
        <v/>
      </c>
      <c r="AJ29" s="40" t="str">
        <f>IF(AND('Mapa final'!$AB$26="Media",'Mapa final'!$AD$26="Catastrófico"),CONCATENATE("R4C",'Mapa final'!$R$26),"")</f>
        <v/>
      </c>
      <c r="AK29" s="40" t="str">
        <f>IF(AND('Mapa final'!$AB$27="Media",'Mapa final'!$AD$27="Catastrófico"),CONCATENATE("R4C",'Mapa final'!$R$27),"")</f>
        <v/>
      </c>
      <c r="AL29" s="40" t="str">
        <f>IF(AND('Mapa final'!$AB$28="Media",'Mapa final'!$AD$28="Catastrófico"),CONCATENATE("R4C",'Mapa final'!$R$28),"")</f>
        <v/>
      </c>
      <c r="AM29" s="41" t="str">
        <f>IF(AND('Mapa final'!$AB$29="Media",'Mapa final'!$AD$29="Catastrófico"),CONCATENATE("R4C",'Mapa final'!$R$29),"")</f>
        <v/>
      </c>
      <c r="AN29" s="67"/>
      <c r="AO29" s="614"/>
      <c r="AP29" s="615"/>
      <c r="AQ29" s="615"/>
      <c r="AR29" s="615"/>
      <c r="AS29" s="615"/>
      <c r="AT29" s="61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33"/>
      <c r="C30" s="533"/>
      <c r="D30" s="534"/>
      <c r="E30" s="574"/>
      <c r="F30" s="575"/>
      <c r="G30" s="575"/>
      <c r="H30" s="575"/>
      <c r="I30" s="576"/>
      <c r="J30" s="51" t="str">
        <f>IF(AND('Mapa final'!$AB$30="Media",'Mapa final'!$AD$30="Leve"),CONCATENATE("R5C",'Mapa final'!$R$30),"")</f>
        <v/>
      </c>
      <c r="K30" s="52" t="str">
        <f>IF(AND('Mapa final'!$AB$31="Media",'Mapa final'!$AD$31="Leve"),CONCATENATE("R5C",'Mapa final'!$R$31),"")</f>
        <v/>
      </c>
      <c r="L30" s="52" t="str">
        <f>IF(AND('Mapa final'!$AB$32="Media",'Mapa final'!$AD$32="Leve"),CONCATENATE("R5C",'Mapa final'!$R$32),"")</f>
        <v/>
      </c>
      <c r="M30" s="52" t="str">
        <f>IF(AND('Mapa final'!$AB$33="Media",'Mapa final'!$AD$33="Leve"),CONCATENATE("R5C",'Mapa final'!$R$33),"")</f>
        <v/>
      </c>
      <c r="N30" s="52" t="str">
        <f>IF(AND('Mapa final'!$AB$34="Media",'Mapa final'!$AD$34="Leve"),CONCATENATE("R5C",'Mapa final'!$R$34),"")</f>
        <v/>
      </c>
      <c r="O30" s="53" t="str">
        <f>IF(AND('Mapa final'!$AB$35="Media",'Mapa final'!$AD$35="Leve"),CONCATENATE("R5C",'Mapa final'!$R$35),"")</f>
        <v/>
      </c>
      <c r="P30" s="51" t="str">
        <f>IF(AND('Mapa final'!$AB$30="Media",'Mapa final'!$AD$30="Menor"),CONCATENATE("R5C",'Mapa final'!$R$30),"")</f>
        <v/>
      </c>
      <c r="Q30" s="52" t="str">
        <f>IF(AND('Mapa final'!$AB$31="Media",'Mapa final'!$AD$31="Menor"),CONCATENATE("R5C",'Mapa final'!$R$31),"")</f>
        <v/>
      </c>
      <c r="R30" s="52" t="str">
        <f>IF(AND('Mapa final'!$AB$32="Media",'Mapa final'!$AD$32="Menor"),CONCATENATE("R5C",'Mapa final'!$R$32),"")</f>
        <v/>
      </c>
      <c r="S30" s="52" t="str">
        <f>IF(AND('Mapa final'!$AB$33="Media",'Mapa final'!$AD$33="Menor"),CONCATENATE("R5C",'Mapa final'!$R$33),"")</f>
        <v/>
      </c>
      <c r="T30" s="52" t="str">
        <f>IF(AND('Mapa final'!$AB$34="Media",'Mapa final'!$AD$34="Menor"),CONCATENATE("R5C",'Mapa final'!$R$34),"")</f>
        <v/>
      </c>
      <c r="U30" s="53" t="str">
        <f>IF(AND('Mapa final'!$AB$35="Media",'Mapa final'!$AD$35="Menor"),CONCATENATE("R5C",'Mapa final'!$R$35),"")</f>
        <v/>
      </c>
      <c r="V30" s="51" t="str">
        <f>IF(AND('Mapa final'!$AB$30="Media",'Mapa final'!$AD$30="Moderado"),CONCATENATE("R5C",'Mapa final'!$R$30),"")</f>
        <v/>
      </c>
      <c r="W30" s="52" t="str">
        <f>IF(AND('Mapa final'!$AB$31="Media",'Mapa final'!$AD$31="Moderado"),CONCATENATE("R5C",'Mapa final'!$R$31),"")</f>
        <v/>
      </c>
      <c r="X30" s="52" t="str">
        <f>IF(AND('Mapa final'!$AB$32="Media",'Mapa final'!$AD$32="Moderado"),CONCATENATE("R5C",'Mapa final'!$R$32),"")</f>
        <v/>
      </c>
      <c r="Y30" s="52" t="str">
        <f>IF(AND('Mapa final'!$AB$33="Media",'Mapa final'!$AD$33="Moderado"),CONCATENATE("R5C",'Mapa final'!$R$33),"")</f>
        <v/>
      </c>
      <c r="Z30" s="52" t="str">
        <f>IF(AND('Mapa final'!$AB$34="Media",'Mapa final'!$AD$34="Moderado"),CONCATENATE("R5C",'Mapa final'!$R$34),"")</f>
        <v/>
      </c>
      <c r="AA30" s="53" t="str">
        <f>IF(AND('Mapa final'!$AB$35="Media",'Mapa final'!$AD$35="Moderado"),CONCATENATE("R5C",'Mapa final'!$R$35),"")</f>
        <v/>
      </c>
      <c r="AB30" s="36" t="str">
        <f>IF(AND('Mapa final'!$AB$30="Media",'Mapa final'!$AD$30="Mayor"),CONCATENATE("R5C",'Mapa final'!$R$30),"")</f>
        <v/>
      </c>
      <c r="AC30" s="37" t="str">
        <f>IF(AND('Mapa final'!$AB$31="Media",'Mapa final'!$AD$31="Mayor"),CONCATENATE("R5C",'Mapa final'!$R$31),"")</f>
        <v/>
      </c>
      <c r="AD30" s="37" t="str">
        <f>IF(AND('Mapa final'!$AB$32="Media",'Mapa final'!$AD$32="Mayor"),CONCATENATE("R5C",'Mapa final'!$R$32),"")</f>
        <v/>
      </c>
      <c r="AE30" s="37" t="str">
        <f>IF(AND('Mapa final'!$AB$33="Media",'Mapa final'!$AD$33="Mayor"),CONCATENATE("R5C",'Mapa final'!$R$33),"")</f>
        <v/>
      </c>
      <c r="AF30" s="37" t="str">
        <f>IF(AND('Mapa final'!$AB$34="Media",'Mapa final'!$AD$34="Mayor"),CONCATENATE("R5C",'Mapa final'!$R$34),"")</f>
        <v/>
      </c>
      <c r="AG30" s="38" t="str">
        <f>IF(AND('Mapa final'!$AB$35="Media",'Mapa final'!$AD$35="Mayor"),CONCATENATE("R5C",'Mapa final'!$R$35),"")</f>
        <v/>
      </c>
      <c r="AH30" s="39" t="str">
        <f>IF(AND('Mapa final'!$AB$30="Media",'Mapa final'!$AD$30="Catastrófico"),CONCATENATE("R5C",'Mapa final'!$R$30),"")</f>
        <v/>
      </c>
      <c r="AI30" s="40" t="str">
        <f>IF(AND('Mapa final'!$AB$31="Media",'Mapa final'!$AD$31="Catastrófico"),CONCATENATE("R5C",'Mapa final'!$R$31),"")</f>
        <v/>
      </c>
      <c r="AJ30" s="40" t="str">
        <f>IF(AND('Mapa final'!$AB$32="Media",'Mapa final'!$AD$32="Catastrófico"),CONCATENATE("R5C",'Mapa final'!$R$32),"")</f>
        <v/>
      </c>
      <c r="AK30" s="40" t="str">
        <f>IF(AND('Mapa final'!$AB$33="Media",'Mapa final'!$AD$33="Catastrófico"),CONCATENATE("R5C",'Mapa final'!$R$33),"")</f>
        <v/>
      </c>
      <c r="AL30" s="40" t="str">
        <f>IF(AND('Mapa final'!$AB$34="Media",'Mapa final'!$AD$34="Catastrófico"),CONCATENATE("R5C",'Mapa final'!$R$34),"")</f>
        <v/>
      </c>
      <c r="AM30" s="41" t="str">
        <f>IF(AND('Mapa final'!$AB$35="Media",'Mapa final'!$AD$35="Catastrófico"),CONCATENATE("R5C",'Mapa final'!$R$35),"")</f>
        <v/>
      </c>
      <c r="AN30" s="67"/>
      <c r="AO30" s="614"/>
      <c r="AP30" s="615"/>
      <c r="AQ30" s="615"/>
      <c r="AR30" s="615"/>
      <c r="AS30" s="615"/>
      <c r="AT30" s="61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33"/>
      <c r="C31" s="533"/>
      <c r="D31" s="534"/>
      <c r="E31" s="574"/>
      <c r="F31" s="575"/>
      <c r="G31" s="575"/>
      <c r="H31" s="575"/>
      <c r="I31" s="576"/>
      <c r="J31" s="51" t="str">
        <f>IF(AND('Mapa final'!$AB$36="Media",'Mapa final'!$AD$36="Leve"),CONCATENATE("R6C",'Mapa final'!$R$36),"")</f>
        <v/>
      </c>
      <c r="K31" s="52" t="str">
        <f>IF(AND('Mapa final'!$AB$37="Media",'Mapa final'!$AD$37="Leve"),CONCATENATE("R6C",'Mapa final'!$R$37),"")</f>
        <v/>
      </c>
      <c r="L31" s="52" t="str">
        <f>IF(AND('Mapa final'!$AB$38="Media",'Mapa final'!$AD$38="Leve"),CONCATENATE("R6C",'Mapa final'!$R$38),"")</f>
        <v/>
      </c>
      <c r="M31" s="52" t="str">
        <f>IF(AND('Mapa final'!$AB$39="Media",'Mapa final'!$AD$39="Leve"),CONCATENATE("R6C",'Mapa final'!$R$39),"")</f>
        <v/>
      </c>
      <c r="N31" s="52" t="str">
        <f>IF(AND('Mapa final'!$AB$40="Media",'Mapa final'!$AD$40="Leve"),CONCATENATE("R6C",'Mapa final'!$R$40),"")</f>
        <v/>
      </c>
      <c r="O31" s="53" t="str">
        <f>IF(AND('Mapa final'!$AB$41="Media",'Mapa final'!$AD$41="Leve"),CONCATENATE("R6C",'Mapa final'!$R$41),"")</f>
        <v/>
      </c>
      <c r="P31" s="51" t="str">
        <f>IF(AND('Mapa final'!$AB$36="Media",'Mapa final'!$AD$36="Menor"),CONCATENATE("R6C",'Mapa final'!$R$36),"")</f>
        <v/>
      </c>
      <c r="Q31" s="52" t="str">
        <f>IF(AND('Mapa final'!$AB$37="Media",'Mapa final'!$AD$37="Menor"),CONCATENATE("R6C",'Mapa final'!$R$37),"")</f>
        <v/>
      </c>
      <c r="R31" s="52" t="str">
        <f>IF(AND('Mapa final'!$AB$38="Media",'Mapa final'!$AD$38="Menor"),CONCATENATE("R6C",'Mapa final'!$R$38),"")</f>
        <v/>
      </c>
      <c r="S31" s="52" t="str">
        <f>IF(AND('Mapa final'!$AB$39="Media",'Mapa final'!$AD$39="Menor"),CONCATENATE("R6C",'Mapa final'!$R$39),"")</f>
        <v/>
      </c>
      <c r="T31" s="52" t="str">
        <f>IF(AND('Mapa final'!$AB$40="Media",'Mapa final'!$AD$40="Menor"),CONCATENATE("R6C",'Mapa final'!$R$40),"")</f>
        <v/>
      </c>
      <c r="U31" s="53" t="str">
        <f>IF(AND('Mapa final'!$AB$41="Media",'Mapa final'!$AD$41="Menor"),CONCATENATE("R6C",'Mapa final'!$R$41),"")</f>
        <v/>
      </c>
      <c r="V31" s="51" t="str">
        <f>IF(AND('Mapa final'!$AB$36="Media",'Mapa final'!$AD$36="Moderado"),CONCATENATE("R6C",'Mapa final'!$R$36),"")</f>
        <v/>
      </c>
      <c r="W31" s="52" t="str">
        <f>IF(AND('Mapa final'!$AB$37="Media",'Mapa final'!$AD$37="Moderado"),CONCATENATE("R6C",'Mapa final'!$R$37),"")</f>
        <v/>
      </c>
      <c r="X31" s="52" t="str">
        <f>IF(AND('Mapa final'!$AB$38="Media",'Mapa final'!$AD$38="Moderado"),CONCATENATE("R6C",'Mapa final'!$R$38),"")</f>
        <v/>
      </c>
      <c r="Y31" s="52" t="str">
        <f>IF(AND('Mapa final'!$AB$39="Media",'Mapa final'!$AD$39="Moderado"),CONCATENATE("R6C",'Mapa final'!$R$39),"")</f>
        <v/>
      </c>
      <c r="Z31" s="52" t="str">
        <f>IF(AND('Mapa final'!$AB$40="Media",'Mapa final'!$AD$40="Moderado"),CONCATENATE("R6C",'Mapa final'!$R$40),"")</f>
        <v/>
      </c>
      <c r="AA31" s="53" t="str">
        <f>IF(AND('Mapa final'!$AB$41="Media",'Mapa final'!$AD$41="Moderado"),CONCATENATE("R6C",'Mapa final'!$R$41),"")</f>
        <v/>
      </c>
      <c r="AB31" s="36" t="str">
        <f>IF(AND('Mapa final'!$AB$36="Media",'Mapa final'!$AD$36="Mayor"),CONCATENATE("R6C",'Mapa final'!$R$36),"")</f>
        <v/>
      </c>
      <c r="AC31" s="37" t="str">
        <f>IF(AND('Mapa final'!$AB$37="Media",'Mapa final'!$AD$37="Mayor"),CONCATENATE("R6C",'Mapa final'!$R$37),"")</f>
        <v/>
      </c>
      <c r="AD31" s="37" t="str">
        <f>IF(AND('Mapa final'!$AB$38="Media",'Mapa final'!$AD$38="Mayor"),CONCATENATE("R6C",'Mapa final'!$R$38),"")</f>
        <v/>
      </c>
      <c r="AE31" s="37" t="str">
        <f>IF(AND('Mapa final'!$AB$39="Media",'Mapa final'!$AD$39="Mayor"),CONCATENATE("R6C",'Mapa final'!$R$39),"")</f>
        <v/>
      </c>
      <c r="AF31" s="37" t="str">
        <f>IF(AND('Mapa final'!$AB$40="Media",'Mapa final'!$AD$40="Mayor"),CONCATENATE("R6C",'Mapa final'!$R$40),"")</f>
        <v/>
      </c>
      <c r="AG31" s="38" t="str">
        <f>IF(AND('Mapa final'!$AB$41="Media",'Mapa final'!$AD$41="Mayor"),CONCATENATE("R6C",'Mapa final'!$R$41),"")</f>
        <v/>
      </c>
      <c r="AH31" s="39" t="str">
        <f>IF(AND('Mapa final'!$AB$36="Media",'Mapa final'!$AD$36="Catastrófico"),CONCATENATE("R6C",'Mapa final'!$R$36),"")</f>
        <v/>
      </c>
      <c r="AI31" s="40" t="str">
        <f>IF(AND('Mapa final'!$AB$37="Media",'Mapa final'!$AD$37="Catastrófico"),CONCATENATE("R6C",'Mapa final'!$R$37),"")</f>
        <v/>
      </c>
      <c r="AJ31" s="40" t="str">
        <f>IF(AND('Mapa final'!$AB$38="Media",'Mapa final'!$AD$38="Catastrófico"),CONCATENATE("R6C",'Mapa final'!$R$38),"")</f>
        <v/>
      </c>
      <c r="AK31" s="40" t="str">
        <f>IF(AND('Mapa final'!$AB$39="Media",'Mapa final'!$AD$39="Catastrófico"),CONCATENATE("R6C",'Mapa final'!$R$39),"")</f>
        <v/>
      </c>
      <c r="AL31" s="40" t="str">
        <f>IF(AND('Mapa final'!$AB$40="Media",'Mapa final'!$AD$40="Catastrófico"),CONCATENATE("R6C",'Mapa final'!$R$40),"")</f>
        <v/>
      </c>
      <c r="AM31" s="41" t="str">
        <f>IF(AND('Mapa final'!$AB$41="Media",'Mapa final'!$AD$41="Catastrófico"),CONCATENATE("R6C",'Mapa final'!$R$41),"")</f>
        <v/>
      </c>
      <c r="AN31" s="67"/>
      <c r="AO31" s="614"/>
      <c r="AP31" s="615"/>
      <c r="AQ31" s="615"/>
      <c r="AR31" s="615"/>
      <c r="AS31" s="615"/>
      <c r="AT31" s="61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33"/>
      <c r="C32" s="533"/>
      <c r="D32" s="534"/>
      <c r="E32" s="574"/>
      <c r="F32" s="575"/>
      <c r="G32" s="575"/>
      <c r="H32" s="575"/>
      <c r="I32" s="576"/>
      <c r="J32" s="51" t="str">
        <f>IF(AND('Mapa final'!$AB$42="Media",'Mapa final'!$AD$42="Leve"),CONCATENATE("R7C",'Mapa final'!$R$42),"")</f>
        <v/>
      </c>
      <c r="K32" s="52" t="str">
        <f>IF(AND('Mapa final'!$AB$43="Media",'Mapa final'!$AD$43="Leve"),CONCATENATE("R7C",'Mapa final'!$R$43),"")</f>
        <v/>
      </c>
      <c r="L32" s="52" t="str">
        <f>IF(AND('Mapa final'!$AB$44="Media",'Mapa final'!$AD$44="Leve"),CONCATENATE("R7C",'Mapa final'!$R$44),"")</f>
        <v/>
      </c>
      <c r="M32" s="52" t="str">
        <f>IF(AND('Mapa final'!$AB$45="Media",'Mapa final'!$AD$45="Leve"),CONCATENATE("R7C",'Mapa final'!$R$45),"")</f>
        <v/>
      </c>
      <c r="N32" s="52" t="str">
        <f>IF(AND('Mapa final'!$AB$46="Media",'Mapa final'!$AD$46="Leve"),CONCATENATE("R7C",'Mapa final'!$R$46),"")</f>
        <v/>
      </c>
      <c r="O32" s="53" t="str">
        <f>IF(AND('Mapa final'!$AB$47="Media",'Mapa final'!$AD$47="Leve"),CONCATENATE("R7C",'Mapa final'!$R$47),"")</f>
        <v/>
      </c>
      <c r="P32" s="51" t="str">
        <f>IF(AND('Mapa final'!$AB$42="Media",'Mapa final'!$AD$42="Menor"),CONCATENATE("R7C",'Mapa final'!$R$42),"")</f>
        <v/>
      </c>
      <c r="Q32" s="52" t="str">
        <f>IF(AND('Mapa final'!$AB$43="Media",'Mapa final'!$AD$43="Menor"),CONCATENATE("R7C",'Mapa final'!$R$43),"")</f>
        <v/>
      </c>
      <c r="R32" s="52" t="str">
        <f>IF(AND('Mapa final'!$AB$44="Media",'Mapa final'!$AD$44="Menor"),CONCATENATE("R7C",'Mapa final'!$R$44),"")</f>
        <v/>
      </c>
      <c r="S32" s="52" t="str">
        <f>IF(AND('Mapa final'!$AB$45="Media",'Mapa final'!$AD$45="Menor"),CONCATENATE("R7C",'Mapa final'!$R$45),"")</f>
        <v/>
      </c>
      <c r="T32" s="52" t="str">
        <f>IF(AND('Mapa final'!$AB$46="Media",'Mapa final'!$AD$46="Menor"),CONCATENATE("R7C",'Mapa final'!$R$46),"")</f>
        <v/>
      </c>
      <c r="U32" s="53" t="str">
        <f>IF(AND('Mapa final'!$AB$47="Media",'Mapa final'!$AD$47="Menor"),CONCATENATE("R7C",'Mapa final'!$R$47),"")</f>
        <v/>
      </c>
      <c r="V32" s="51" t="str">
        <f>IF(AND('Mapa final'!$AB$42="Media",'Mapa final'!$AD$42="Moderado"),CONCATENATE("R7C",'Mapa final'!$R$42),"")</f>
        <v/>
      </c>
      <c r="W32" s="52" t="str">
        <f>IF(AND('Mapa final'!$AB$43="Media",'Mapa final'!$AD$43="Moderado"),CONCATENATE("R7C",'Mapa final'!$R$43),"")</f>
        <v/>
      </c>
      <c r="X32" s="52" t="str">
        <f>IF(AND('Mapa final'!$AB$44="Media",'Mapa final'!$AD$44="Moderado"),CONCATENATE("R7C",'Mapa final'!$R$44),"")</f>
        <v/>
      </c>
      <c r="Y32" s="52" t="str">
        <f>IF(AND('Mapa final'!$AB$45="Media",'Mapa final'!$AD$45="Moderado"),CONCATENATE("R7C",'Mapa final'!$R$45),"")</f>
        <v/>
      </c>
      <c r="Z32" s="52" t="str">
        <f>IF(AND('Mapa final'!$AB$46="Media",'Mapa final'!$AD$46="Moderado"),CONCATENATE("R7C",'Mapa final'!$R$46),"")</f>
        <v/>
      </c>
      <c r="AA32" s="53" t="str">
        <f>IF(AND('Mapa final'!$AB$47="Media",'Mapa final'!$AD$47="Moderado"),CONCATENATE("R7C",'Mapa final'!$R$47),"")</f>
        <v/>
      </c>
      <c r="AB32" s="36" t="str">
        <f>IF(AND('Mapa final'!$AB$42="Media",'Mapa final'!$AD$42="Mayor"),CONCATENATE("R7C",'Mapa final'!$R$42),"")</f>
        <v/>
      </c>
      <c r="AC32" s="37" t="str">
        <f>IF(AND('Mapa final'!$AB$43="Media",'Mapa final'!$AD$43="Mayor"),CONCATENATE("R7C",'Mapa final'!$R$43),"")</f>
        <v/>
      </c>
      <c r="AD32" s="37" t="str">
        <f>IF(AND('Mapa final'!$AB$44="Media",'Mapa final'!$AD$44="Mayor"),CONCATENATE("R7C",'Mapa final'!$R$44),"")</f>
        <v/>
      </c>
      <c r="AE32" s="37" t="str">
        <f>IF(AND('Mapa final'!$AB$45="Media",'Mapa final'!$AD$45="Mayor"),CONCATENATE("R7C",'Mapa final'!$R$45),"")</f>
        <v/>
      </c>
      <c r="AF32" s="37" t="str">
        <f>IF(AND('Mapa final'!$AB$46="Media",'Mapa final'!$AD$46="Mayor"),CONCATENATE("R7C",'Mapa final'!$R$46),"")</f>
        <v/>
      </c>
      <c r="AG32" s="38" t="str">
        <f>IF(AND('Mapa final'!$AB$47="Media",'Mapa final'!$AD$47="Mayor"),CONCATENATE("R7C",'Mapa final'!$R$47),"")</f>
        <v/>
      </c>
      <c r="AH32" s="39" t="str">
        <f>IF(AND('Mapa final'!$AB$42="Media",'Mapa final'!$AD$42="Catastrófico"),CONCATENATE("R7C",'Mapa final'!$R$42),"")</f>
        <v/>
      </c>
      <c r="AI32" s="40" t="str">
        <f>IF(AND('Mapa final'!$AB$43="Media",'Mapa final'!$AD$43="Catastrófico"),CONCATENATE("R7C",'Mapa final'!$R$43),"")</f>
        <v/>
      </c>
      <c r="AJ32" s="40" t="str">
        <f>IF(AND('Mapa final'!$AB$44="Media",'Mapa final'!$AD$44="Catastrófico"),CONCATENATE("R7C",'Mapa final'!$R$44),"")</f>
        <v/>
      </c>
      <c r="AK32" s="40" t="str">
        <f>IF(AND('Mapa final'!$AB$45="Media",'Mapa final'!$AD$45="Catastrófico"),CONCATENATE("R7C",'Mapa final'!$R$45),"")</f>
        <v/>
      </c>
      <c r="AL32" s="40" t="str">
        <f>IF(AND('Mapa final'!$AB$46="Media",'Mapa final'!$AD$46="Catastrófico"),CONCATENATE("R7C",'Mapa final'!$R$46),"")</f>
        <v/>
      </c>
      <c r="AM32" s="41" t="str">
        <f>IF(AND('Mapa final'!$AB$47="Media",'Mapa final'!$AD$47="Catastrófico"),CONCATENATE("R7C",'Mapa final'!$R$47),"")</f>
        <v/>
      </c>
      <c r="AN32" s="67"/>
      <c r="AO32" s="614"/>
      <c r="AP32" s="615"/>
      <c r="AQ32" s="615"/>
      <c r="AR32" s="615"/>
      <c r="AS32" s="615"/>
      <c r="AT32" s="61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33"/>
      <c r="C33" s="533"/>
      <c r="D33" s="534"/>
      <c r="E33" s="574"/>
      <c r="F33" s="575"/>
      <c r="G33" s="575"/>
      <c r="H33" s="575"/>
      <c r="I33" s="576"/>
      <c r="J33" s="51" t="str">
        <f>IF(AND('Mapa final'!$AB$48="Media",'Mapa final'!$AD$48="Leve"),CONCATENATE("R8C",'Mapa final'!$R$48),"")</f>
        <v/>
      </c>
      <c r="K33" s="52" t="str">
        <f>IF(AND('Mapa final'!$AB$49="Media",'Mapa final'!$AD$49="Leve"),CONCATENATE("R8C",'Mapa final'!$R$49),"")</f>
        <v/>
      </c>
      <c r="L33" s="52" t="str">
        <f>IF(AND('Mapa final'!$AB$50="Media",'Mapa final'!$AD$50="Leve"),CONCATENATE("R8C",'Mapa final'!$R$50),"")</f>
        <v/>
      </c>
      <c r="M33" s="52" t="str">
        <f>IF(AND('Mapa final'!$AB$51="Media",'Mapa final'!$AD$51="Leve"),CONCATENATE("R8C",'Mapa final'!$R$51),"")</f>
        <v/>
      </c>
      <c r="N33" s="52" t="str">
        <f>IF(AND('Mapa final'!$AB$52="Media",'Mapa final'!$AD$52="Leve"),CONCATENATE("R8C",'Mapa final'!$R$52),"")</f>
        <v/>
      </c>
      <c r="O33" s="53" t="str">
        <f>IF(AND('Mapa final'!$AB$53="Media",'Mapa final'!$AD$53="Leve"),CONCATENATE("R8C",'Mapa final'!$R$53),"")</f>
        <v/>
      </c>
      <c r="P33" s="51" t="str">
        <f>IF(AND('Mapa final'!$AB$48="Media",'Mapa final'!$AD$48="Menor"),CONCATENATE("R8C",'Mapa final'!$R$48),"")</f>
        <v/>
      </c>
      <c r="Q33" s="52" t="str">
        <f>IF(AND('Mapa final'!$AB$49="Media",'Mapa final'!$AD$49="Menor"),CONCATENATE("R8C",'Mapa final'!$R$49),"")</f>
        <v/>
      </c>
      <c r="R33" s="52" t="str">
        <f>IF(AND('Mapa final'!$AB$50="Media",'Mapa final'!$AD$50="Menor"),CONCATENATE("R8C",'Mapa final'!$R$50),"")</f>
        <v/>
      </c>
      <c r="S33" s="52" t="str">
        <f>IF(AND('Mapa final'!$AB$51="Media",'Mapa final'!$AD$51="Menor"),CONCATENATE("R8C",'Mapa final'!$R$51),"")</f>
        <v/>
      </c>
      <c r="T33" s="52" t="str">
        <f>IF(AND('Mapa final'!$AB$52="Media",'Mapa final'!$AD$52="Menor"),CONCATENATE("R8C",'Mapa final'!$R$52),"")</f>
        <v/>
      </c>
      <c r="U33" s="53" t="str">
        <f>IF(AND('Mapa final'!$AB$53="Media",'Mapa final'!$AD$53="Menor"),CONCATENATE("R8C",'Mapa final'!$R$53),"")</f>
        <v/>
      </c>
      <c r="V33" s="51" t="str">
        <f>IF(AND('Mapa final'!$AB$48="Media",'Mapa final'!$AD$48="Moderado"),CONCATENATE("R8C",'Mapa final'!$R$48),"")</f>
        <v/>
      </c>
      <c r="W33" s="52" t="str">
        <f>IF(AND('Mapa final'!$AB$49="Media",'Mapa final'!$AD$49="Moderado"),CONCATENATE("R8C",'Mapa final'!$R$49),"")</f>
        <v/>
      </c>
      <c r="X33" s="52" t="str">
        <f>IF(AND('Mapa final'!$AB$50="Media",'Mapa final'!$AD$50="Moderado"),CONCATENATE("R8C",'Mapa final'!$R$50),"")</f>
        <v/>
      </c>
      <c r="Y33" s="52" t="str">
        <f>IF(AND('Mapa final'!$AB$51="Media",'Mapa final'!$AD$51="Moderado"),CONCATENATE("R8C",'Mapa final'!$R$51),"")</f>
        <v/>
      </c>
      <c r="Z33" s="52" t="str">
        <f>IF(AND('Mapa final'!$AB$52="Media",'Mapa final'!$AD$52="Moderado"),CONCATENATE("R8C",'Mapa final'!$R$52),"")</f>
        <v/>
      </c>
      <c r="AA33" s="53" t="str">
        <f>IF(AND('Mapa final'!$AB$53="Media",'Mapa final'!$AD$53="Moderado"),CONCATENATE("R8C",'Mapa final'!$R$53),"")</f>
        <v/>
      </c>
      <c r="AB33" s="36" t="str">
        <f>IF(AND('Mapa final'!$AB$48="Media",'Mapa final'!$AD$48="Mayor"),CONCATENATE("R8C",'Mapa final'!$R$48),"")</f>
        <v/>
      </c>
      <c r="AC33" s="37" t="str">
        <f>IF(AND('Mapa final'!$AB$49="Media",'Mapa final'!$AD$49="Mayor"),CONCATENATE("R8C",'Mapa final'!$R$49),"")</f>
        <v/>
      </c>
      <c r="AD33" s="37" t="str">
        <f>IF(AND('Mapa final'!$AB$50="Media",'Mapa final'!$AD$50="Mayor"),CONCATENATE("R8C",'Mapa final'!$R$50),"")</f>
        <v/>
      </c>
      <c r="AE33" s="37" t="str">
        <f>IF(AND('Mapa final'!$AB$51="Media",'Mapa final'!$AD$51="Mayor"),CONCATENATE("R8C",'Mapa final'!$R$51),"")</f>
        <v/>
      </c>
      <c r="AF33" s="37" t="str">
        <f>IF(AND('Mapa final'!$AB$52="Media",'Mapa final'!$AD$52="Mayor"),CONCATENATE("R8C",'Mapa final'!$R$52),"")</f>
        <v/>
      </c>
      <c r="AG33" s="38" t="str">
        <f>IF(AND('Mapa final'!$AB$53="Media",'Mapa final'!$AD$53="Mayor"),CONCATENATE("R8C",'Mapa final'!$R$53),"")</f>
        <v/>
      </c>
      <c r="AH33" s="39" t="str">
        <f>IF(AND('Mapa final'!$AB$48="Media",'Mapa final'!$AD$48="Catastrófico"),CONCATENATE("R8C",'Mapa final'!$R$48),"")</f>
        <v/>
      </c>
      <c r="AI33" s="40" t="str">
        <f>IF(AND('Mapa final'!$AB$49="Media",'Mapa final'!$AD$49="Catastrófico"),CONCATENATE("R8C",'Mapa final'!$R$49),"")</f>
        <v/>
      </c>
      <c r="AJ33" s="40" t="str">
        <f>IF(AND('Mapa final'!$AB$50="Media",'Mapa final'!$AD$50="Catastrófico"),CONCATENATE("R8C",'Mapa final'!$R$50),"")</f>
        <v/>
      </c>
      <c r="AK33" s="40" t="str">
        <f>IF(AND('Mapa final'!$AB$51="Media",'Mapa final'!$AD$51="Catastrófico"),CONCATENATE("R8C",'Mapa final'!$R$51),"")</f>
        <v/>
      </c>
      <c r="AL33" s="40" t="str">
        <f>IF(AND('Mapa final'!$AB$52="Media",'Mapa final'!$AD$52="Catastrófico"),CONCATENATE("R8C",'Mapa final'!$R$52),"")</f>
        <v/>
      </c>
      <c r="AM33" s="41" t="str">
        <f>IF(AND('Mapa final'!$AB$53="Media",'Mapa final'!$AD$53="Catastrófico"),CONCATENATE("R8C",'Mapa final'!$R$53),"")</f>
        <v/>
      </c>
      <c r="AN33" s="67"/>
      <c r="AO33" s="614"/>
      <c r="AP33" s="615"/>
      <c r="AQ33" s="615"/>
      <c r="AR33" s="615"/>
      <c r="AS33" s="615"/>
      <c r="AT33" s="61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33"/>
      <c r="C34" s="533"/>
      <c r="D34" s="534"/>
      <c r="E34" s="574"/>
      <c r="F34" s="575"/>
      <c r="G34" s="575"/>
      <c r="H34" s="575"/>
      <c r="I34" s="576"/>
      <c r="J34" s="51" t="str">
        <f>IF(AND('Mapa final'!$AB$54="Media",'Mapa final'!$AD$54="Leve"),CONCATENATE("R9C",'Mapa final'!$R$54),"")</f>
        <v/>
      </c>
      <c r="K34" s="52" t="str">
        <f>IF(AND('Mapa final'!$AB$55="Media",'Mapa final'!$AD$55="Leve"),CONCATENATE("R9C",'Mapa final'!$R$55),"")</f>
        <v/>
      </c>
      <c r="L34" s="52" t="str">
        <f>IF(AND('Mapa final'!$AB$56="Media",'Mapa final'!$AD$56="Leve"),CONCATENATE("R9C",'Mapa final'!$R$56),"")</f>
        <v/>
      </c>
      <c r="M34" s="52" t="str">
        <f>IF(AND('Mapa final'!$AB$57="Media",'Mapa final'!$AD$57="Leve"),CONCATENATE("R9C",'Mapa final'!$R$57),"")</f>
        <v/>
      </c>
      <c r="N34" s="52" t="str">
        <f>IF(AND('Mapa final'!$AB$58="Media",'Mapa final'!$AD$58="Leve"),CONCATENATE("R9C",'Mapa final'!$R$58),"")</f>
        <v/>
      </c>
      <c r="O34" s="53" t="str">
        <f>IF(AND('Mapa final'!$AB$59="Media",'Mapa final'!$AD$59="Leve"),CONCATENATE("R9C",'Mapa final'!$R$59),"")</f>
        <v/>
      </c>
      <c r="P34" s="51" t="str">
        <f>IF(AND('Mapa final'!$AB$54="Media",'Mapa final'!$AD$54="Menor"),CONCATENATE("R9C",'Mapa final'!$R$54),"")</f>
        <v/>
      </c>
      <c r="Q34" s="52" t="str">
        <f>IF(AND('Mapa final'!$AB$55="Media",'Mapa final'!$AD$55="Menor"),CONCATENATE("R9C",'Mapa final'!$R$55),"")</f>
        <v/>
      </c>
      <c r="R34" s="52" t="str">
        <f>IF(AND('Mapa final'!$AB$56="Media",'Mapa final'!$AD$56="Menor"),CONCATENATE("R9C",'Mapa final'!$R$56),"")</f>
        <v/>
      </c>
      <c r="S34" s="52" t="str">
        <f>IF(AND('Mapa final'!$AB$57="Media",'Mapa final'!$AD$57="Menor"),CONCATENATE("R9C",'Mapa final'!$R$57),"")</f>
        <v/>
      </c>
      <c r="T34" s="52" t="str">
        <f>IF(AND('Mapa final'!$AB$58="Media",'Mapa final'!$AD$58="Menor"),CONCATENATE("R9C",'Mapa final'!$R$58),"")</f>
        <v/>
      </c>
      <c r="U34" s="53" t="str">
        <f>IF(AND('Mapa final'!$AB$59="Media",'Mapa final'!$AD$59="Menor"),CONCATENATE("R9C",'Mapa final'!$R$59),"")</f>
        <v/>
      </c>
      <c r="V34" s="51" t="str">
        <f>IF(AND('Mapa final'!$AB$54="Media",'Mapa final'!$AD$54="Moderado"),CONCATENATE("R9C",'Mapa final'!$R$54),"")</f>
        <v/>
      </c>
      <c r="W34" s="52" t="str">
        <f>IF(AND('Mapa final'!$AB$55="Media",'Mapa final'!$AD$55="Moderado"),CONCATENATE("R9C",'Mapa final'!$R$55),"")</f>
        <v/>
      </c>
      <c r="X34" s="52" t="str">
        <f>IF(AND('Mapa final'!$AB$56="Media",'Mapa final'!$AD$56="Moderado"),CONCATENATE("R9C",'Mapa final'!$R$56),"")</f>
        <v/>
      </c>
      <c r="Y34" s="52" t="str">
        <f>IF(AND('Mapa final'!$AB$57="Media",'Mapa final'!$AD$57="Moderado"),CONCATENATE("R9C",'Mapa final'!$R$57),"")</f>
        <v/>
      </c>
      <c r="Z34" s="52" t="str">
        <f>IF(AND('Mapa final'!$AB$58="Media",'Mapa final'!$AD$58="Moderado"),CONCATENATE("R9C",'Mapa final'!$R$58),"")</f>
        <v/>
      </c>
      <c r="AA34" s="53" t="str">
        <f>IF(AND('Mapa final'!$AB$59="Media",'Mapa final'!$AD$59="Moderado"),CONCATENATE("R9C",'Mapa final'!$R$59),"")</f>
        <v/>
      </c>
      <c r="AB34" s="36" t="str">
        <f>IF(AND('Mapa final'!$AB$54="Media",'Mapa final'!$AD$54="Mayor"),CONCATENATE("R9C",'Mapa final'!$R$54),"")</f>
        <v/>
      </c>
      <c r="AC34" s="37" t="str">
        <f>IF(AND('Mapa final'!$AB$55="Media",'Mapa final'!$AD$55="Mayor"),CONCATENATE("R9C",'Mapa final'!$R$55),"")</f>
        <v/>
      </c>
      <c r="AD34" s="37" t="str">
        <f>IF(AND('Mapa final'!$AB$56="Media",'Mapa final'!$AD$56="Mayor"),CONCATENATE("R9C",'Mapa final'!$R$56),"")</f>
        <v/>
      </c>
      <c r="AE34" s="37" t="str">
        <f>IF(AND('Mapa final'!$AB$57="Media",'Mapa final'!$AD$57="Mayor"),CONCATENATE("R9C",'Mapa final'!$R$57),"")</f>
        <v/>
      </c>
      <c r="AF34" s="37" t="str">
        <f>IF(AND('Mapa final'!$AB$58="Media",'Mapa final'!$AD$58="Mayor"),CONCATENATE("R9C",'Mapa final'!$R$58),"")</f>
        <v/>
      </c>
      <c r="AG34" s="38" t="str">
        <f>IF(AND('Mapa final'!$AB$59="Media",'Mapa final'!$AD$59="Mayor"),CONCATENATE("R9C",'Mapa final'!$R$59),"")</f>
        <v/>
      </c>
      <c r="AH34" s="39" t="str">
        <f>IF(AND('Mapa final'!$AB$54="Media",'Mapa final'!$AD$54="Catastrófico"),CONCATENATE("R9C",'Mapa final'!$R$54),"")</f>
        <v/>
      </c>
      <c r="AI34" s="40" t="str">
        <f>IF(AND('Mapa final'!$AB$55="Media",'Mapa final'!$AD$55="Catastrófico"),CONCATENATE("R9C",'Mapa final'!$R$55),"")</f>
        <v/>
      </c>
      <c r="AJ34" s="40" t="str">
        <f>IF(AND('Mapa final'!$AB$56="Media",'Mapa final'!$AD$56="Catastrófico"),CONCATENATE("R9C",'Mapa final'!$R$56),"")</f>
        <v/>
      </c>
      <c r="AK34" s="40" t="str">
        <f>IF(AND('Mapa final'!$AB$57="Media",'Mapa final'!$AD$57="Catastrófico"),CONCATENATE("R9C",'Mapa final'!$R$57),"")</f>
        <v/>
      </c>
      <c r="AL34" s="40" t="str">
        <f>IF(AND('Mapa final'!$AB$58="Media",'Mapa final'!$AD$58="Catastrófico"),CONCATENATE("R9C",'Mapa final'!$R$58),"")</f>
        <v/>
      </c>
      <c r="AM34" s="41" t="str">
        <f>IF(AND('Mapa final'!$AB$59="Media",'Mapa final'!$AD$59="Catastrófico"),CONCATENATE("R9C",'Mapa final'!$R$59),"")</f>
        <v/>
      </c>
      <c r="AN34" s="67"/>
      <c r="AO34" s="614"/>
      <c r="AP34" s="615"/>
      <c r="AQ34" s="615"/>
      <c r="AR34" s="615"/>
      <c r="AS34" s="615"/>
      <c r="AT34" s="61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33"/>
      <c r="C35" s="533"/>
      <c r="D35" s="534"/>
      <c r="E35" s="577"/>
      <c r="F35" s="578"/>
      <c r="G35" s="578"/>
      <c r="H35" s="578"/>
      <c r="I35" s="579"/>
      <c r="J35" s="51" t="str">
        <f>IF(AND('Mapa final'!$AB$60="Media",'Mapa final'!$AD$60="Leve"),CONCATENATE("R10C",'Mapa final'!$R$60),"")</f>
        <v/>
      </c>
      <c r="K35" s="52" t="str">
        <f>IF(AND('Mapa final'!$AB$61="Media",'Mapa final'!$AD$61="Leve"),CONCATENATE("R10C",'Mapa final'!$R$61),"")</f>
        <v/>
      </c>
      <c r="L35" s="52" t="str">
        <f>IF(AND('Mapa final'!$AB$62="Media",'Mapa final'!$AD$62="Leve"),CONCATENATE("R10C",'Mapa final'!$R$62),"")</f>
        <v/>
      </c>
      <c r="M35" s="52" t="str">
        <f>IF(AND('Mapa final'!$AB$63="Media",'Mapa final'!$AD$63="Leve"),CONCATENATE("R10C",'Mapa final'!$R$63),"")</f>
        <v/>
      </c>
      <c r="N35" s="52" t="str">
        <f>IF(AND('Mapa final'!$AB$64="Media",'Mapa final'!$AD$64="Leve"),CONCATENATE("R10C",'Mapa final'!$R$64),"")</f>
        <v/>
      </c>
      <c r="O35" s="53" t="str">
        <f>IF(AND('Mapa final'!$AB$65="Media",'Mapa final'!$AD$65="Leve"),CONCATENATE("R10C",'Mapa final'!$R$65),"")</f>
        <v/>
      </c>
      <c r="P35" s="51" t="str">
        <f>IF(AND('Mapa final'!$AB$60="Media",'Mapa final'!$AD$60="Menor"),CONCATENATE("R10C",'Mapa final'!$R$60),"")</f>
        <v/>
      </c>
      <c r="Q35" s="52" t="str">
        <f>IF(AND('Mapa final'!$AB$61="Media",'Mapa final'!$AD$61="Menor"),CONCATENATE("R10C",'Mapa final'!$R$61),"")</f>
        <v/>
      </c>
      <c r="R35" s="52" t="str">
        <f>IF(AND('Mapa final'!$AB$62="Media",'Mapa final'!$AD$62="Menor"),CONCATENATE("R10C",'Mapa final'!$R$62),"")</f>
        <v/>
      </c>
      <c r="S35" s="52" t="str">
        <f>IF(AND('Mapa final'!$AB$63="Media",'Mapa final'!$AD$63="Menor"),CONCATENATE("R10C",'Mapa final'!$R$63),"")</f>
        <v/>
      </c>
      <c r="T35" s="52" t="str">
        <f>IF(AND('Mapa final'!$AB$64="Media",'Mapa final'!$AD$64="Menor"),CONCATENATE("R10C",'Mapa final'!$R$64),"")</f>
        <v/>
      </c>
      <c r="U35" s="53" t="str">
        <f>IF(AND('Mapa final'!$AB$65="Media",'Mapa final'!$AD$65="Menor"),CONCATENATE("R10C",'Mapa final'!$R$65),"")</f>
        <v/>
      </c>
      <c r="V35" s="51" t="str">
        <f>IF(AND('Mapa final'!$AB$60="Media",'Mapa final'!$AD$60="Moderado"),CONCATENATE("R10C",'Mapa final'!$R$60),"")</f>
        <v/>
      </c>
      <c r="W35" s="52" t="str">
        <f>IF(AND('Mapa final'!$AB$61="Media",'Mapa final'!$AD$61="Moderado"),CONCATENATE("R10C",'Mapa final'!$R$61),"")</f>
        <v/>
      </c>
      <c r="X35" s="52" t="str">
        <f>IF(AND('Mapa final'!$AB$62="Media",'Mapa final'!$AD$62="Moderado"),CONCATENATE("R10C",'Mapa final'!$R$62),"")</f>
        <v/>
      </c>
      <c r="Y35" s="52" t="str">
        <f>IF(AND('Mapa final'!$AB$63="Media",'Mapa final'!$AD$63="Moderado"),CONCATENATE("R10C",'Mapa final'!$R$63),"")</f>
        <v/>
      </c>
      <c r="Z35" s="52" t="str">
        <f>IF(AND('Mapa final'!$AB$64="Media",'Mapa final'!$AD$64="Moderado"),CONCATENATE("R10C",'Mapa final'!$R$64),"")</f>
        <v/>
      </c>
      <c r="AA35" s="53" t="str">
        <f>IF(AND('Mapa final'!$AB$65="Media",'Mapa final'!$AD$65="Moderado"),CONCATENATE("R10C",'Mapa final'!$R$65),"")</f>
        <v/>
      </c>
      <c r="AB35" s="42" t="str">
        <f>IF(AND('Mapa final'!$AB$60="Media",'Mapa final'!$AD$60="Mayor"),CONCATENATE("R10C",'Mapa final'!$R$60),"")</f>
        <v/>
      </c>
      <c r="AC35" s="43" t="str">
        <f>IF(AND('Mapa final'!$AB$61="Media",'Mapa final'!$AD$61="Mayor"),CONCATENATE("R10C",'Mapa final'!$R$61),"")</f>
        <v/>
      </c>
      <c r="AD35" s="43" t="str">
        <f>IF(AND('Mapa final'!$AB$62="Media",'Mapa final'!$AD$62="Mayor"),CONCATENATE("R10C",'Mapa final'!$R$62),"")</f>
        <v/>
      </c>
      <c r="AE35" s="43" t="str">
        <f>IF(AND('Mapa final'!$AB$63="Media",'Mapa final'!$AD$63="Mayor"),CONCATENATE("R10C",'Mapa final'!$R$63),"")</f>
        <v/>
      </c>
      <c r="AF35" s="43" t="str">
        <f>IF(AND('Mapa final'!$AB$64="Media",'Mapa final'!$AD$64="Mayor"),CONCATENATE("R10C",'Mapa final'!$R$64),"")</f>
        <v/>
      </c>
      <c r="AG35" s="44" t="str">
        <f>IF(AND('Mapa final'!$AB$65="Media",'Mapa final'!$AD$65="Mayor"),CONCATENATE("R10C",'Mapa final'!$R$65),"")</f>
        <v/>
      </c>
      <c r="AH35" s="45" t="str">
        <f>IF(AND('Mapa final'!$AB$60="Media",'Mapa final'!$AD$60="Catastrófico"),CONCATENATE("R10C",'Mapa final'!$R$60),"")</f>
        <v/>
      </c>
      <c r="AI35" s="46" t="str">
        <f>IF(AND('Mapa final'!$AB$61="Media",'Mapa final'!$AD$61="Catastrófico"),CONCATENATE("R10C",'Mapa final'!$R$61),"")</f>
        <v/>
      </c>
      <c r="AJ35" s="46" t="str">
        <f>IF(AND('Mapa final'!$AB$62="Media",'Mapa final'!$AD$62="Catastrófico"),CONCATENATE("R10C",'Mapa final'!$R$62),"")</f>
        <v/>
      </c>
      <c r="AK35" s="46" t="str">
        <f>IF(AND('Mapa final'!$AB$63="Media",'Mapa final'!$AD$63="Catastrófico"),CONCATENATE("R10C",'Mapa final'!$R$63),"")</f>
        <v/>
      </c>
      <c r="AL35" s="46" t="str">
        <f>IF(AND('Mapa final'!$AB$64="Media",'Mapa final'!$AD$64="Catastrófico"),CONCATENATE("R10C",'Mapa final'!$R$64),"")</f>
        <v/>
      </c>
      <c r="AM35" s="47" t="str">
        <f>IF(AND('Mapa final'!$AB$65="Media",'Mapa final'!$AD$65="Catastrófico"),CONCATENATE("R10C",'Mapa final'!$R$65),"")</f>
        <v/>
      </c>
      <c r="AN35" s="67"/>
      <c r="AO35" s="617"/>
      <c r="AP35" s="618"/>
      <c r="AQ35" s="618"/>
      <c r="AR35" s="618"/>
      <c r="AS35" s="618"/>
      <c r="AT35" s="61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33"/>
      <c r="C36" s="533"/>
      <c r="D36" s="534"/>
      <c r="E36" s="571" t="s">
        <v>108</v>
      </c>
      <c r="F36" s="572"/>
      <c r="G36" s="572"/>
      <c r="H36" s="572"/>
      <c r="I36" s="572"/>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02" t="s">
        <v>80</v>
      </c>
      <c r="AP36" s="603"/>
      <c r="AQ36" s="603"/>
      <c r="AR36" s="603"/>
      <c r="AS36" s="603"/>
      <c r="AT36" s="60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33"/>
      <c r="C37" s="533"/>
      <c r="D37" s="534"/>
      <c r="E37" s="590"/>
      <c r="F37" s="575"/>
      <c r="G37" s="575"/>
      <c r="H37" s="575"/>
      <c r="I37" s="575"/>
      <c r="J37" s="60" t="str">
        <f>IF(AND('Mapa final'!$AB$16="Baja",'Mapa final'!$AD$16="Leve"),CONCATENATE("R2C",'Mapa final'!$R$16),"")</f>
        <v/>
      </c>
      <c r="K37" s="61" t="str">
        <f>IF(AND('Mapa final'!$AB$17="Baja",'Mapa final'!$AD$17="Leve"),CONCATENATE("R2C",'Mapa final'!$R$17),"")</f>
        <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final'!$AB$16="Baja",'Mapa final'!$AD$16="Menor"),CONCATENATE("R2C",'Mapa final'!$R$16),"")</f>
        <v/>
      </c>
      <c r="Q37" s="52" t="str">
        <f>IF(AND('Mapa final'!$AB$17="Baja",'Mapa final'!$AD$17="Menor"),CONCATENATE("R2C",'Mapa final'!$R$17),"")</f>
        <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final'!$AB$16="Baja",'Mapa final'!$AD$16="Moderado"),CONCATENATE("R2C",'Mapa final'!$R$16),"")</f>
        <v>R2C1</v>
      </c>
      <c r="W37" s="52" t="str">
        <f>IF(AND('Mapa final'!$AB$17="Baja",'Mapa final'!$AD$17="Moderado"),CONCATENATE("R2C",'Mapa final'!$R$17),"")</f>
        <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final'!$AB$16="Baja",'Mapa final'!$AD$16="Mayor"),CONCATENATE("R2C",'Mapa final'!$R$16),"")</f>
        <v/>
      </c>
      <c r="AC37" s="37" t="str">
        <f>IF(AND('Mapa final'!$AB$17="Baja",'Mapa final'!$AD$17="Mayor"),CONCATENATE("R2C",'Mapa final'!$R$17),"")</f>
        <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final'!$AB$16="Baja",'Mapa final'!$AD$16="Catastrófico"),CONCATENATE("R2C",'Mapa final'!$R$16),"")</f>
        <v/>
      </c>
      <c r="AI37" s="40" t="str">
        <f>IF(AND('Mapa final'!$AB$17="Baja",'Mapa final'!$AD$17="Catastrófico"),CONCATENATE("R2C",'Mapa final'!$R$17),"")</f>
        <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605"/>
      <c r="AP37" s="606"/>
      <c r="AQ37" s="606"/>
      <c r="AR37" s="606"/>
      <c r="AS37" s="606"/>
      <c r="AT37" s="60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33"/>
      <c r="C38" s="533"/>
      <c r="D38" s="534"/>
      <c r="E38" s="574"/>
      <c r="F38" s="575"/>
      <c r="G38" s="575"/>
      <c r="H38" s="575"/>
      <c r="I38" s="575"/>
      <c r="J38" s="60" t="str">
        <f>IF(AND('Mapa final'!$AB$18="Baja",'Mapa final'!$AD$18="Leve"),CONCATENATE("R3C",'Mapa final'!$R$18),"")</f>
        <v/>
      </c>
      <c r="K38" s="61" t="str">
        <f>IF(AND('Mapa final'!$AB$19="Baja",'Mapa final'!$AD$19="Leve"),CONCATENATE("R3C",'Mapa final'!$R$19),"")</f>
        <v/>
      </c>
      <c r="L38" s="61" t="str">
        <f>IF(AND('Mapa final'!$AB$20="Baja",'Mapa final'!$AD$20="Leve"),CONCATENATE("R3C",'Mapa final'!$R$20),"")</f>
        <v/>
      </c>
      <c r="M38" s="61" t="str">
        <f>IF(AND('Mapa final'!$AB$21="Baja",'Mapa final'!$AD$21="Leve"),CONCATENATE("R3C",'Mapa final'!$R$21),"")</f>
        <v/>
      </c>
      <c r="N38" s="61" t="str">
        <f>IF(AND('Mapa final'!$AB$22="Baja",'Mapa final'!$AD$22="Leve"),CONCATENATE("R3C",'Mapa final'!$R$22),"")</f>
        <v/>
      </c>
      <c r="O38" s="62" t="str">
        <f>IF(AND('Mapa final'!$AB$23="Baja",'Mapa final'!$AD$23="Leve"),CONCATENATE("R3C",'Mapa final'!$R$23),"")</f>
        <v/>
      </c>
      <c r="P38" s="51" t="str">
        <f>IF(AND('Mapa final'!$AB$18="Baja",'Mapa final'!$AD$18="Menor"),CONCATENATE("R3C",'Mapa final'!$R$18),"")</f>
        <v/>
      </c>
      <c r="Q38" s="52" t="str">
        <f>IF(AND('Mapa final'!$AB$19="Baja",'Mapa final'!$AD$19="Menor"),CONCATENATE("R3C",'Mapa final'!$R$19),"")</f>
        <v/>
      </c>
      <c r="R38" s="52" t="str">
        <f>IF(AND('Mapa final'!$AB$20="Baja",'Mapa final'!$AD$20="Menor"),CONCATENATE("R3C",'Mapa final'!$R$20),"")</f>
        <v/>
      </c>
      <c r="S38" s="52" t="str">
        <f>IF(AND('Mapa final'!$AB$21="Baja",'Mapa final'!$AD$21="Menor"),CONCATENATE("R3C",'Mapa final'!$R$21),"")</f>
        <v/>
      </c>
      <c r="T38" s="52" t="str">
        <f>IF(AND('Mapa final'!$AB$22="Baja",'Mapa final'!$AD$22="Menor"),CONCATENATE("R3C",'Mapa final'!$R$22),"")</f>
        <v/>
      </c>
      <c r="U38" s="53" t="str">
        <f>IF(AND('Mapa final'!$AB$23="Baja",'Mapa final'!$AD$23="Menor"),CONCATENATE("R3C",'Mapa final'!$R$23),"")</f>
        <v/>
      </c>
      <c r="V38" s="51" t="str">
        <f>IF(AND('Mapa final'!$AB$18="Baja",'Mapa final'!$AD$18="Moderado"),CONCATENATE("R3C",'Mapa final'!$R$18),"")</f>
        <v/>
      </c>
      <c r="W38" s="52" t="str">
        <f>IF(AND('Mapa final'!$AB$19="Baja",'Mapa final'!$AD$19="Moderado"),CONCATENATE("R3C",'Mapa final'!$R$19),"")</f>
        <v/>
      </c>
      <c r="X38" s="52" t="str">
        <f>IF(AND('Mapa final'!$AB$20="Baja",'Mapa final'!$AD$20="Moderado"),CONCATENATE("R3C",'Mapa final'!$R$20),"")</f>
        <v/>
      </c>
      <c r="Y38" s="52" t="str">
        <f>IF(AND('Mapa final'!$AB$21="Baja",'Mapa final'!$AD$21="Moderado"),CONCATENATE("R3C",'Mapa final'!$R$21),"")</f>
        <v/>
      </c>
      <c r="Z38" s="52" t="str">
        <f>IF(AND('Mapa final'!$AB$22="Baja",'Mapa final'!$AD$22="Moderado"),CONCATENATE("R3C",'Mapa final'!$R$22),"")</f>
        <v/>
      </c>
      <c r="AA38" s="53" t="str">
        <f>IF(AND('Mapa final'!$AB$23="Baja",'Mapa final'!$AD$23="Moderado"),CONCATENATE("R3C",'Mapa final'!$R$23),"")</f>
        <v/>
      </c>
      <c r="AB38" s="36" t="str">
        <f>IF(AND('Mapa final'!$AB$18="Baja",'Mapa final'!$AD$18="Mayor"),CONCATENATE("R3C",'Mapa final'!$R$18),"")</f>
        <v/>
      </c>
      <c r="AC38" s="37" t="str">
        <f>IF(AND('Mapa final'!$AB$19="Baja",'Mapa final'!$AD$19="Mayor"),CONCATENATE("R3C",'Mapa final'!$R$19),"")</f>
        <v/>
      </c>
      <c r="AD38" s="37" t="str">
        <f>IF(AND('Mapa final'!$AB$20="Baja",'Mapa final'!$AD$20="Mayor"),CONCATENATE("R3C",'Mapa final'!$R$20),"")</f>
        <v/>
      </c>
      <c r="AE38" s="37" t="str">
        <f>IF(AND('Mapa final'!$AB$21="Baja",'Mapa final'!$AD$21="Mayor"),CONCATENATE("R3C",'Mapa final'!$R$21),"")</f>
        <v/>
      </c>
      <c r="AF38" s="37" t="str">
        <f>IF(AND('Mapa final'!$AB$22="Baja",'Mapa final'!$AD$22="Mayor"),CONCATENATE("R3C",'Mapa final'!$R$22),"")</f>
        <v/>
      </c>
      <c r="AG38" s="38" t="str">
        <f>IF(AND('Mapa final'!$AB$23="Baja",'Mapa final'!$AD$23="Mayor"),CONCATENATE("R3C",'Mapa final'!$R$23),"")</f>
        <v/>
      </c>
      <c r="AH38" s="39" t="str">
        <f>IF(AND('Mapa final'!$AB$18="Baja",'Mapa final'!$AD$18="Catastrófico"),CONCATENATE("R3C",'Mapa final'!$R$18),"")</f>
        <v/>
      </c>
      <c r="AI38" s="40" t="str">
        <f>IF(AND('Mapa final'!$AB$19="Baja",'Mapa final'!$AD$19="Catastrófico"),CONCATENATE("R3C",'Mapa final'!$R$19),"")</f>
        <v/>
      </c>
      <c r="AJ38" s="40" t="str">
        <f>IF(AND('Mapa final'!$AB$20="Baja",'Mapa final'!$AD$20="Catastrófico"),CONCATENATE("R3C",'Mapa final'!$R$20),"")</f>
        <v/>
      </c>
      <c r="AK38" s="40" t="str">
        <f>IF(AND('Mapa final'!$AB$21="Baja",'Mapa final'!$AD$21="Catastrófico"),CONCATENATE("R3C",'Mapa final'!$R$21),"")</f>
        <v/>
      </c>
      <c r="AL38" s="40" t="str">
        <f>IF(AND('Mapa final'!$AB$22="Baja",'Mapa final'!$AD$22="Catastrófico"),CONCATENATE("R3C",'Mapa final'!$R$22),"")</f>
        <v/>
      </c>
      <c r="AM38" s="41" t="str">
        <f>IF(AND('Mapa final'!$AB$23="Baja",'Mapa final'!$AD$23="Catastrófico"),CONCATENATE("R3C",'Mapa final'!$R$23),"")</f>
        <v/>
      </c>
      <c r="AN38" s="67"/>
      <c r="AO38" s="605"/>
      <c r="AP38" s="606"/>
      <c r="AQ38" s="606"/>
      <c r="AR38" s="606"/>
      <c r="AS38" s="606"/>
      <c r="AT38" s="60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33"/>
      <c r="C39" s="533"/>
      <c r="D39" s="534"/>
      <c r="E39" s="574"/>
      <c r="F39" s="575"/>
      <c r="G39" s="575"/>
      <c r="H39" s="575"/>
      <c r="I39" s="575"/>
      <c r="J39" s="60" t="str">
        <f>IF(AND('Mapa final'!$AB$24="Baja",'Mapa final'!$AD$24="Leve"),CONCATENATE("R4C",'Mapa final'!$R$24),"")</f>
        <v/>
      </c>
      <c r="K39" s="61" t="str">
        <f>IF(AND('Mapa final'!$AB$25="Baja",'Mapa final'!$AD$25="Leve"),CONCATENATE("R4C",'Mapa final'!$R$25),"")</f>
        <v/>
      </c>
      <c r="L39" s="61" t="str">
        <f>IF(AND('Mapa final'!$AB$26="Baja",'Mapa final'!$AD$26="Leve"),CONCATENATE("R4C",'Mapa final'!$R$26),"")</f>
        <v/>
      </c>
      <c r="M39" s="61" t="str">
        <f>IF(AND('Mapa final'!$AB$27="Baja",'Mapa final'!$AD$27="Leve"),CONCATENATE("R4C",'Mapa final'!$R$27),"")</f>
        <v/>
      </c>
      <c r="N39" s="61" t="str">
        <f>IF(AND('Mapa final'!$AB$28="Baja",'Mapa final'!$AD$28="Leve"),CONCATENATE("R4C",'Mapa final'!$R$28),"")</f>
        <v/>
      </c>
      <c r="O39" s="62" t="str">
        <f>IF(AND('Mapa final'!$AB$29="Baja",'Mapa final'!$AD$29="Leve"),CONCATENATE("R4C",'Mapa final'!$R$29),"")</f>
        <v/>
      </c>
      <c r="P39" s="51" t="str">
        <f>IF(AND('Mapa final'!$AB$24="Baja",'Mapa final'!$AD$24="Menor"),CONCATENATE("R4C",'Mapa final'!$R$24),"")</f>
        <v/>
      </c>
      <c r="Q39" s="52" t="str">
        <f>IF(AND('Mapa final'!$AB$25="Baja",'Mapa final'!$AD$25="Menor"),CONCATENATE("R4C",'Mapa final'!$R$25),"")</f>
        <v/>
      </c>
      <c r="R39" s="52" t="str">
        <f>IF(AND('Mapa final'!$AB$26="Baja",'Mapa final'!$AD$26="Menor"),CONCATENATE("R4C",'Mapa final'!$R$26),"")</f>
        <v/>
      </c>
      <c r="S39" s="52" t="str">
        <f>IF(AND('Mapa final'!$AB$27="Baja",'Mapa final'!$AD$27="Menor"),CONCATENATE("R4C",'Mapa final'!$R$27),"")</f>
        <v/>
      </c>
      <c r="T39" s="52" t="str">
        <f>IF(AND('Mapa final'!$AB$28="Baja",'Mapa final'!$AD$28="Menor"),CONCATENATE("R4C",'Mapa final'!$R$28),"")</f>
        <v/>
      </c>
      <c r="U39" s="53" t="str">
        <f>IF(AND('Mapa final'!$AB$29="Baja",'Mapa final'!$AD$29="Menor"),CONCATENATE("R4C",'Mapa final'!$R$29),"")</f>
        <v/>
      </c>
      <c r="V39" s="51" t="str">
        <f>IF(AND('Mapa final'!$AB$24="Baja",'Mapa final'!$AD$24="Moderado"),CONCATENATE("R4C",'Mapa final'!$R$24),"")</f>
        <v/>
      </c>
      <c r="W39" s="52" t="str">
        <f>IF(AND('Mapa final'!$AB$25="Baja",'Mapa final'!$AD$25="Moderado"),CONCATENATE("R4C",'Mapa final'!$R$25),"")</f>
        <v/>
      </c>
      <c r="X39" s="52" t="str">
        <f>IF(AND('Mapa final'!$AB$26="Baja",'Mapa final'!$AD$26="Moderado"),CONCATENATE("R4C",'Mapa final'!$R$26),"")</f>
        <v/>
      </c>
      <c r="Y39" s="52" t="str">
        <f>IF(AND('Mapa final'!$AB$27="Baja",'Mapa final'!$AD$27="Moderado"),CONCATENATE("R4C",'Mapa final'!$R$27),"")</f>
        <v/>
      </c>
      <c r="Z39" s="52" t="str">
        <f>IF(AND('Mapa final'!$AB$28="Baja",'Mapa final'!$AD$28="Moderado"),CONCATENATE("R4C",'Mapa final'!$R$28),"")</f>
        <v/>
      </c>
      <c r="AA39" s="53" t="str">
        <f>IF(AND('Mapa final'!$AB$29="Baja",'Mapa final'!$AD$29="Moderado"),CONCATENATE("R4C",'Mapa final'!$R$29),"")</f>
        <v/>
      </c>
      <c r="AB39" s="36" t="str">
        <f>IF(AND('Mapa final'!$AB$24="Baja",'Mapa final'!$AD$24="Mayor"),CONCATENATE("R4C",'Mapa final'!$R$24),"")</f>
        <v/>
      </c>
      <c r="AC39" s="37" t="str">
        <f>IF(AND('Mapa final'!$AB$25="Baja",'Mapa final'!$AD$25="Mayor"),CONCATENATE("R4C",'Mapa final'!$R$25),"")</f>
        <v/>
      </c>
      <c r="AD39" s="37" t="str">
        <f>IF(AND('Mapa final'!$AB$26="Baja",'Mapa final'!$AD$26="Mayor"),CONCATENATE("R4C",'Mapa final'!$R$26),"")</f>
        <v/>
      </c>
      <c r="AE39" s="37" t="str">
        <f>IF(AND('Mapa final'!$AB$27="Baja",'Mapa final'!$AD$27="Mayor"),CONCATENATE("R4C",'Mapa final'!$R$27),"")</f>
        <v/>
      </c>
      <c r="AF39" s="37" t="str">
        <f>IF(AND('Mapa final'!$AB$28="Baja",'Mapa final'!$AD$28="Mayor"),CONCATENATE("R4C",'Mapa final'!$R$28),"")</f>
        <v/>
      </c>
      <c r="AG39" s="38" t="str">
        <f>IF(AND('Mapa final'!$AB$29="Baja",'Mapa final'!$AD$29="Mayor"),CONCATENATE("R4C",'Mapa final'!$R$29),"")</f>
        <v/>
      </c>
      <c r="AH39" s="39" t="str">
        <f>IF(AND('Mapa final'!$AB$24="Baja",'Mapa final'!$AD$24="Catastrófico"),CONCATENATE("R4C",'Mapa final'!$R$24),"")</f>
        <v/>
      </c>
      <c r="AI39" s="40" t="str">
        <f>IF(AND('Mapa final'!$AB$25="Baja",'Mapa final'!$AD$25="Catastrófico"),CONCATENATE("R4C",'Mapa final'!$R$25),"")</f>
        <v/>
      </c>
      <c r="AJ39" s="40" t="str">
        <f>IF(AND('Mapa final'!$AB$26="Baja",'Mapa final'!$AD$26="Catastrófico"),CONCATENATE("R4C",'Mapa final'!$R$26),"")</f>
        <v/>
      </c>
      <c r="AK39" s="40" t="str">
        <f>IF(AND('Mapa final'!$AB$27="Baja",'Mapa final'!$AD$27="Catastrófico"),CONCATENATE("R4C",'Mapa final'!$R$27),"")</f>
        <v/>
      </c>
      <c r="AL39" s="40" t="str">
        <f>IF(AND('Mapa final'!$AB$28="Baja",'Mapa final'!$AD$28="Catastrófico"),CONCATENATE("R4C",'Mapa final'!$R$28),"")</f>
        <v/>
      </c>
      <c r="AM39" s="41" t="str">
        <f>IF(AND('Mapa final'!$AB$29="Baja",'Mapa final'!$AD$29="Catastrófico"),CONCATENATE("R4C",'Mapa final'!$R$29),"")</f>
        <v/>
      </c>
      <c r="AN39" s="67"/>
      <c r="AO39" s="605"/>
      <c r="AP39" s="606"/>
      <c r="AQ39" s="606"/>
      <c r="AR39" s="606"/>
      <c r="AS39" s="606"/>
      <c r="AT39" s="60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33"/>
      <c r="C40" s="533"/>
      <c r="D40" s="534"/>
      <c r="E40" s="574"/>
      <c r="F40" s="575"/>
      <c r="G40" s="575"/>
      <c r="H40" s="575"/>
      <c r="I40" s="575"/>
      <c r="J40" s="60" t="str">
        <f>IF(AND('Mapa final'!$AB$30="Baja",'Mapa final'!$AD$30="Leve"),CONCATENATE("R5C",'Mapa final'!$R$30),"")</f>
        <v/>
      </c>
      <c r="K40" s="61" t="str">
        <f>IF(AND('Mapa final'!$AB$31="Baja",'Mapa final'!$AD$31="Leve"),CONCATENATE("R5C",'Mapa final'!$R$31),"")</f>
        <v/>
      </c>
      <c r="L40" s="61" t="str">
        <f>IF(AND('Mapa final'!$AB$32="Baja",'Mapa final'!$AD$32="Leve"),CONCATENATE("R5C",'Mapa final'!$R$32),"")</f>
        <v/>
      </c>
      <c r="M40" s="61" t="str">
        <f>IF(AND('Mapa final'!$AB$33="Baja",'Mapa final'!$AD$33="Leve"),CONCATENATE("R5C",'Mapa final'!$R$33),"")</f>
        <v/>
      </c>
      <c r="N40" s="61" t="str">
        <f>IF(AND('Mapa final'!$AB$34="Baja",'Mapa final'!$AD$34="Leve"),CONCATENATE("R5C",'Mapa final'!$R$34),"")</f>
        <v/>
      </c>
      <c r="O40" s="62" t="str">
        <f>IF(AND('Mapa final'!$AB$35="Baja",'Mapa final'!$AD$35="Leve"),CONCATENATE("R5C",'Mapa final'!$R$35),"")</f>
        <v/>
      </c>
      <c r="P40" s="51" t="str">
        <f>IF(AND('Mapa final'!$AB$30="Baja",'Mapa final'!$AD$30="Menor"),CONCATENATE("R5C",'Mapa final'!$R$30),"")</f>
        <v/>
      </c>
      <c r="Q40" s="52" t="str">
        <f>IF(AND('Mapa final'!$AB$31="Baja",'Mapa final'!$AD$31="Menor"),CONCATENATE("R5C",'Mapa final'!$R$31),"")</f>
        <v/>
      </c>
      <c r="R40" s="52" t="str">
        <f>IF(AND('Mapa final'!$AB$32="Baja",'Mapa final'!$AD$32="Menor"),CONCATENATE("R5C",'Mapa final'!$R$32),"")</f>
        <v/>
      </c>
      <c r="S40" s="52" t="str">
        <f>IF(AND('Mapa final'!$AB$33="Baja",'Mapa final'!$AD$33="Menor"),CONCATENATE("R5C",'Mapa final'!$R$33),"")</f>
        <v/>
      </c>
      <c r="T40" s="52" t="str">
        <f>IF(AND('Mapa final'!$AB$34="Baja",'Mapa final'!$AD$34="Menor"),CONCATENATE("R5C",'Mapa final'!$R$34),"")</f>
        <v/>
      </c>
      <c r="U40" s="53" t="str">
        <f>IF(AND('Mapa final'!$AB$35="Baja",'Mapa final'!$AD$35="Menor"),CONCATENATE("R5C",'Mapa final'!$R$35),"")</f>
        <v/>
      </c>
      <c r="V40" s="51" t="str">
        <f>IF(AND('Mapa final'!$AB$30="Baja",'Mapa final'!$AD$30="Moderado"),CONCATENATE("R5C",'Mapa final'!$R$30),"")</f>
        <v/>
      </c>
      <c r="W40" s="52" t="str">
        <f>IF(AND('Mapa final'!$AB$31="Baja",'Mapa final'!$AD$31="Moderado"),CONCATENATE("R5C",'Mapa final'!$R$31),"")</f>
        <v/>
      </c>
      <c r="X40" s="52" t="str">
        <f>IF(AND('Mapa final'!$AB$32="Baja",'Mapa final'!$AD$32="Moderado"),CONCATENATE("R5C",'Mapa final'!$R$32),"")</f>
        <v/>
      </c>
      <c r="Y40" s="52" t="str">
        <f>IF(AND('Mapa final'!$AB$33="Baja",'Mapa final'!$AD$33="Moderado"),CONCATENATE("R5C",'Mapa final'!$R$33),"")</f>
        <v/>
      </c>
      <c r="Z40" s="52" t="str">
        <f>IF(AND('Mapa final'!$AB$34="Baja",'Mapa final'!$AD$34="Moderado"),CONCATENATE("R5C",'Mapa final'!$R$34),"")</f>
        <v/>
      </c>
      <c r="AA40" s="53" t="str">
        <f>IF(AND('Mapa final'!$AB$35="Baja",'Mapa final'!$AD$35="Moderado"),CONCATENATE("R5C",'Mapa final'!$R$35),"")</f>
        <v/>
      </c>
      <c r="AB40" s="36" t="str">
        <f>IF(AND('Mapa final'!$AB$30="Baja",'Mapa final'!$AD$30="Mayor"),CONCATENATE("R5C",'Mapa final'!$R$30),"")</f>
        <v/>
      </c>
      <c r="AC40" s="37" t="str">
        <f>IF(AND('Mapa final'!$AB$31="Baja",'Mapa final'!$AD$31="Mayor"),CONCATENATE("R5C",'Mapa final'!$R$31),"")</f>
        <v/>
      </c>
      <c r="AD40" s="37" t="str">
        <f>IF(AND('Mapa final'!$AB$32="Baja",'Mapa final'!$AD$32="Mayor"),CONCATENATE("R5C",'Mapa final'!$R$32),"")</f>
        <v/>
      </c>
      <c r="AE40" s="37" t="str">
        <f>IF(AND('Mapa final'!$AB$33="Baja",'Mapa final'!$AD$33="Mayor"),CONCATENATE("R5C",'Mapa final'!$R$33),"")</f>
        <v/>
      </c>
      <c r="AF40" s="37" t="str">
        <f>IF(AND('Mapa final'!$AB$34="Baja",'Mapa final'!$AD$34="Mayor"),CONCATENATE("R5C",'Mapa final'!$R$34),"")</f>
        <v/>
      </c>
      <c r="AG40" s="38" t="str">
        <f>IF(AND('Mapa final'!$AB$35="Baja",'Mapa final'!$AD$35="Mayor"),CONCATENATE("R5C",'Mapa final'!$R$35),"")</f>
        <v/>
      </c>
      <c r="AH40" s="39" t="str">
        <f>IF(AND('Mapa final'!$AB$30="Baja",'Mapa final'!$AD$30="Catastrófico"),CONCATENATE("R5C",'Mapa final'!$R$30),"")</f>
        <v/>
      </c>
      <c r="AI40" s="40" t="str">
        <f>IF(AND('Mapa final'!$AB$31="Baja",'Mapa final'!$AD$31="Catastrófico"),CONCATENATE("R5C",'Mapa final'!$R$31),"")</f>
        <v/>
      </c>
      <c r="AJ40" s="40" t="str">
        <f>IF(AND('Mapa final'!$AB$32="Baja",'Mapa final'!$AD$32="Catastrófico"),CONCATENATE("R5C",'Mapa final'!$R$32),"")</f>
        <v/>
      </c>
      <c r="AK40" s="40" t="str">
        <f>IF(AND('Mapa final'!$AB$33="Baja",'Mapa final'!$AD$33="Catastrófico"),CONCATENATE("R5C",'Mapa final'!$R$33),"")</f>
        <v/>
      </c>
      <c r="AL40" s="40" t="str">
        <f>IF(AND('Mapa final'!$AB$34="Baja",'Mapa final'!$AD$34="Catastrófico"),CONCATENATE("R5C",'Mapa final'!$R$34),"")</f>
        <v/>
      </c>
      <c r="AM40" s="41" t="str">
        <f>IF(AND('Mapa final'!$AB$35="Baja",'Mapa final'!$AD$35="Catastrófico"),CONCATENATE("R5C",'Mapa final'!$R$35),"")</f>
        <v/>
      </c>
      <c r="AN40" s="67"/>
      <c r="AO40" s="605"/>
      <c r="AP40" s="606"/>
      <c r="AQ40" s="606"/>
      <c r="AR40" s="606"/>
      <c r="AS40" s="606"/>
      <c r="AT40" s="60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33"/>
      <c r="C41" s="533"/>
      <c r="D41" s="534"/>
      <c r="E41" s="574"/>
      <c r="F41" s="575"/>
      <c r="G41" s="575"/>
      <c r="H41" s="575"/>
      <c r="I41" s="575"/>
      <c r="J41" s="60" t="str">
        <f>IF(AND('Mapa final'!$AB$36="Baja",'Mapa final'!$AD$36="Leve"),CONCATENATE("R6C",'Mapa final'!$R$36),"")</f>
        <v/>
      </c>
      <c r="K41" s="61" t="str">
        <f>IF(AND('Mapa final'!$AB$37="Baja",'Mapa final'!$AD$37="Leve"),CONCATENATE("R6C",'Mapa final'!$R$37),"")</f>
        <v/>
      </c>
      <c r="L41" s="61" t="str">
        <f>IF(AND('Mapa final'!$AB$38="Baja",'Mapa final'!$AD$38="Leve"),CONCATENATE("R6C",'Mapa final'!$R$38),"")</f>
        <v/>
      </c>
      <c r="M41" s="61" t="str">
        <f>IF(AND('Mapa final'!$AB$39="Baja",'Mapa final'!$AD$39="Leve"),CONCATENATE("R6C",'Mapa final'!$R$39),"")</f>
        <v/>
      </c>
      <c r="N41" s="61" t="str">
        <f>IF(AND('Mapa final'!$AB$40="Baja",'Mapa final'!$AD$40="Leve"),CONCATENATE("R6C",'Mapa final'!$R$40),"")</f>
        <v/>
      </c>
      <c r="O41" s="62" t="str">
        <f>IF(AND('Mapa final'!$AB$41="Baja",'Mapa final'!$AD$41="Leve"),CONCATENATE("R6C",'Mapa final'!$R$41),"")</f>
        <v/>
      </c>
      <c r="P41" s="51" t="str">
        <f>IF(AND('Mapa final'!$AB$36="Baja",'Mapa final'!$AD$36="Menor"),CONCATENATE("R6C",'Mapa final'!$R$36),"")</f>
        <v/>
      </c>
      <c r="Q41" s="52" t="str">
        <f>IF(AND('Mapa final'!$AB$37="Baja",'Mapa final'!$AD$37="Menor"),CONCATENATE("R6C",'Mapa final'!$R$37),"")</f>
        <v/>
      </c>
      <c r="R41" s="52" t="str">
        <f>IF(AND('Mapa final'!$AB$38="Baja",'Mapa final'!$AD$38="Menor"),CONCATENATE("R6C",'Mapa final'!$R$38),"")</f>
        <v/>
      </c>
      <c r="S41" s="52" t="str">
        <f>IF(AND('Mapa final'!$AB$39="Baja",'Mapa final'!$AD$39="Menor"),CONCATENATE("R6C",'Mapa final'!$R$39),"")</f>
        <v/>
      </c>
      <c r="T41" s="52" t="str">
        <f>IF(AND('Mapa final'!$AB$40="Baja",'Mapa final'!$AD$40="Menor"),CONCATENATE("R6C",'Mapa final'!$R$40),"")</f>
        <v/>
      </c>
      <c r="U41" s="53" t="str">
        <f>IF(AND('Mapa final'!$AB$41="Baja",'Mapa final'!$AD$41="Menor"),CONCATENATE("R6C",'Mapa final'!$R$41),"")</f>
        <v/>
      </c>
      <c r="V41" s="51" t="str">
        <f>IF(AND('Mapa final'!$AB$36="Baja",'Mapa final'!$AD$36="Moderado"),CONCATENATE("R6C",'Mapa final'!$R$36),"")</f>
        <v/>
      </c>
      <c r="W41" s="52" t="str">
        <f>IF(AND('Mapa final'!$AB$37="Baja",'Mapa final'!$AD$37="Moderado"),CONCATENATE("R6C",'Mapa final'!$R$37),"")</f>
        <v/>
      </c>
      <c r="X41" s="52" t="str">
        <f>IF(AND('Mapa final'!$AB$38="Baja",'Mapa final'!$AD$38="Moderado"),CONCATENATE("R6C",'Mapa final'!$R$38),"")</f>
        <v/>
      </c>
      <c r="Y41" s="52" t="str">
        <f>IF(AND('Mapa final'!$AB$39="Baja",'Mapa final'!$AD$39="Moderado"),CONCATENATE("R6C",'Mapa final'!$R$39),"")</f>
        <v/>
      </c>
      <c r="Z41" s="52" t="str">
        <f>IF(AND('Mapa final'!$AB$40="Baja",'Mapa final'!$AD$40="Moderado"),CONCATENATE("R6C",'Mapa final'!$R$40),"")</f>
        <v/>
      </c>
      <c r="AA41" s="53" t="str">
        <f>IF(AND('Mapa final'!$AB$41="Baja",'Mapa final'!$AD$41="Moderado"),CONCATENATE("R6C",'Mapa final'!$R$41),"")</f>
        <v/>
      </c>
      <c r="AB41" s="36" t="str">
        <f>IF(AND('Mapa final'!$AB$36="Baja",'Mapa final'!$AD$36="Mayor"),CONCATENATE("R6C",'Mapa final'!$R$36),"")</f>
        <v/>
      </c>
      <c r="AC41" s="37" t="str">
        <f>IF(AND('Mapa final'!$AB$37="Baja",'Mapa final'!$AD$37="Mayor"),CONCATENATE("R6C",'Mapa final'!$R$37),"")</f>
        <v/>
      </c>
      <c r="AD41" s="37" t="str">
        <f>IF(AND('Mapa final'!$AB$38="Baja",'Mapa final'!$AD$38="Mayor"),CONCATENATE("R6C",'Mapa final'!$R$38),"")</f>
        <v/>
      </c>
      <c r="AE41" s="37" t="str">
        <f>IF(AND('Mapa final'!$AB$39="Baja",'Mapa final'!$AD$39="Mayor"),CONCATENATE("R6C",'Mapa final'!$R$39),"")</f>
        <v/>
      </c>
      <c r="AF41" s="37" t="str">
        <f>IF(AND('Mapa final'!$AB$40="Baja",'Mapa final'!$AD$40="Mayor"),CONCATENATE("R6C",'Mapa final'!$R$40),"")</f>
        <v/>
      </c>
      <c r="AG41" s="38" t="str">
        <f>IF(AND('Mapa final'!$AB$41="Baja",'Mapa final'!$AD$41="Mayor"),CONCATENATE("R6C",'Mapa final'!$R$41),"")</f>
        <v/>
      </c>
      <c r="AH41" s="39" t="str">
        <f>IF(AND('Mapa final'!$AB$36="Baja",'Mapa final'!$AD$36="Catastrófico"),CONCATENATE("R6C",'Mapa final'!$R$36),"")</f>
        <v/>
      </c>
      <c r="AI41" s="40" t="str">
        <f>IF(AND('Mapa final'!$AB$37="Baja",'Mapa final'!$AD$37="Catastrófico"),CONCATENATE("R6C",'Mapa final'!$R$37),"")</f>
        <v/>
      </c>
      <c r="AJ41" s="40" t="str">
        <f>IF(AND('Mapa final'!$AB$38="Baja",'Mapa final'!$AD$38="Catastrófico"),CONCATENATE("R6C",'Mapa final'!$R$38),"")</f>
        <v/>
      </c>
      <c r="AK41" s="40" t="str">
        <f>IF(AND('Mapa final'!$AB$39="Baja",'Mapa final'!$AD$39="Catastrófico"),CONCATENATE("R6C",'Mapa final'!$R$39),"")</f>
        <v/>
      </c>
      <c r="AL41" s="40" t="str">
        <f>IF(AND('Mapa final'!$AB$40="Baja",'Mapa final'!$AD$40="Catastrófico"),CONCATENATE("R6C",'Mapa final'!$R$40),"")</f>
        <v/>
      </c>
      <c r="AM41" s="41" t="str">
        <f>IF(AND('Mapa final'!$AB$41="Baja",'Mapa final'!$AD$41="Catastrófico"),CONCATENATE("R6C",'Mapa final'!$R$41),"")</f>
        <v/>
      </c>
      <c r="AN41" s="67"/>
      <c r="AO41" s="605"/>
      <c r="AP41" s="606"/>
      <c r="AQ41" s="606"/>
      <c r="AR41" s="606"/>
      <c r="AS41" s="606"/>
      <c r="AT41" s="60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33"/>
      <c r="C42" s="533"/>
      <c r="D42" s="534"/>
      <c r="E42" s="574"/>
      <c r="F42" s="575"/>
      <c r="G42" s="575"/>
      <c r="H42" s="575"/>
      <c r="I42" s="575"/>
      <c r="J42" s="60" t="str">
        <f>IF(AND('Mapa final'!$AB$42="Baja",'Mapa final'!$AD$42="Leve"),CONCATENATE("R7C",'Mapa final'!$R$42),"")</f>
        <v/>
      </c>
      <c r="K42" s="61" t="str">
        <f>IF(AND('Mapa final'!$AB$43="Baja",'Mapa final'!$AD$43="Leve"),CONCATENATE("R7C",'Mapa final'!$R$43),"")</f>
        <v/>
      </c>
      <c r="L42" s="61" t="str">
        <f>IF(AND('Mapa final'!$AB$44="Baja",'Mapa final'!$AD$44="Leve"),CONCATENATE("R7C",'Mapa final'!$R$44),"")</f>
        <v/>
      </c>
      <c r="M42" s="61" t="str">
        <f>IF(AND('Mapa final'!$AB$45="Baja",'Mapa final'!$AD$45="Leve"),CONCATENATE("R7C",'Mapa final'!$R$45),"")</f>
        <v/>
      </c>
      <c r="N42" s="61" t="str">
        <f>IF(AND('Mapa final'!$AB$46="Baja",'Mapa final'!$AD$46="Leve"),CONCATENATE("R7C",'Mapa final'!$R$46),"")</f>
        <v/>
      </c>
      <c r="O42" s="62" t="str">
        <f>IF(AND('Mapa final'!$AB$47="Baja",'Mapa final'!$AD$47="Leve"),CONCATENATE("R7C",'Mapa final'!$R$47),"")</f>
        <v/>
      </c>
      <c r="P42" s="51" t="str">
        <f>IF(AND('Mapa final'!$AB$42="Baja",'Mapa final'!$AD$42="Menor"),CONCATENATE("R7C",'Mapa final'!$R$42),"")</f>
        <v/>
      </c>
      <c r="Q42" s="52" t="str">
        <f>IF(AND('Mapa final'!$AB$43="Baja",'Mapa final'!$AD$43="Menor"),CONCATENATE("R7C",'Mapa final'!$R$43),"")</f>
        <v/>
      </c>
      <c r="R42" s="52" t="str">
        <f>IF(AND('Mapa final'!$AB$44="Baja",'Mapa final'!$AD$44="Menor"),CONCATENATE("R7C",'Mapa final'!$R$44),"")</f>
        <v/>
      </c>
      <c r="S42" s="52" t="str">
        <f>IF(AND('Mapa final'!$AB$45="Baja",'Mapa final'!$AD$45="Menor"),CONCATENATE("R7C",'Mapa final'!$R$45),"")</f>
        <v/>
      </c>
      <c r="T42" s="52" t="str">
        <f>IF(AND('Mapa final'!$AB$46="Baja",'Mapa final'!$AD$46="Menor"),CONCATENATE("R7C",'Mapa final'!$R$46),"")</f>
        <v/>
      </c>
      <c r="U42" s="53" t="str">
        <f>IF(AND('Mapa final'!$AB$47="Baja",'Mapa final'!$AD$47="Menor"),CONCATENATE("R7C",'Mapa final'!$R$47),"")</f>
        <v/>
      </c>
      <c r="V42" s="51" t="str">
        <f>IF(AND('Mapa final'!$AB$42="Baja",'Mapa final'!$AD$42="Moderado"),CONCATENATE("R7C",'Mapa final'!$R$42),"")</f>
        <v/>
      </c>
      <c r="W42" s="52" t="str">
        <f>IF(AND('Mapa final'!$AB$43="Baja",'Mapa final'!$AD$43="Moderado"),CONCATENATE("R7C",'Mapa final'!$R$43),"")</f>
        <v/>
      </c>
      <c r="X42" s="52" t="str">
        <f>IF(AND('Mapa final'!$AB$44="Baja",'Mapa final'!$AD$44="Moderado"),CONCATENATE("R7C",'Mapa final'!$R$44),"")</f>
        <v/>
      </c>
      <c r="Y42" s="52" t="str">
        <f>IF(AND('Mapa final'!$AB$45="Baja",'Mapa final'!$AD$45="Moderado"),CONCATENATE("R7C",'Mapa final'!$R$45),"")</f>
        <v/>
      </c>
      <c r="Z42" s="52" t="str">
        <f>IF(AND('Mapa final'!$AB$46="Baja",'Mapa final'!$AD$46="Moderado"),CONCATENATE("R7C",'Mapa final'!$R$46),"")</f>
        <v/>
      </c>
      <c r="AA42" s="53" t="str">
        <f>IF(AND('Mapa final'!$AB$47="Baja",'Mapa final'!$AD$47="Moderado"),CONCATENATE("R7C",'Mapa final'!$R$47),"")</f>
        <v/>
      </c>
      <c r="AB42" s="36" t="str">
        <f>IF(AND('Mapa final'!$AB$42="Baja",'Mapa final'!$AD$42="Mayor"),CONCATENATE("R7C",'Mapa final'!$R$42),"")</f>
        <v/>
      </c>
      <c r="AC42" s="37" t="str">
        <f>IF(AND('Mapa final'!$AB$43="Baja",'Mapa final'!$AD$43="Mayor"),CONCATENATE("R7C",'Mapa final'!$R$43),"")</f>
        <v/>
      </c>
      <c r="AD42" s="37" t="str">
        <f>IF(AND('Mapa final'!$AB$44="Baja",'Mapa final'!$AD$44="Mayor"),CONCATENATE("R7C",'Mapa final'!$R$44),"")</f>
        <v/>
      </c>
      <c r="AE42" s="37" t="str">
        <f>IF(AND('Mapa final'!$AB$45="Baja",'Mapa final'!$AD$45="Mayor"),CONCATENATE("R7C",'Mapa final'!$R$45),"")</f>
        <v/>
      </c>
      <c r="AF42" s="37" t="str">
        <f>IF(AND('Mapa final'!$AB$46="Baja",'Mapa final'!$AD$46="Mayor"),CONCATENATE("R7C",'Mapa final'!$R$46),"")</f>
        <v/>
      </c>
      <c r="AG42" s="38" t="str">
        <f>IF(AND('Mapa final'!$AB$47="Baja",'Mapa final'!$AD$47="Mayor"),CONCATENATE("R7C",'Mapa final'!$R$47),"")</f>
        <v/>
      </c>
      <c r="AH42" s="39" t="str">
        <f>IF(AND('Mapa final'!$AB$42="Baja",'Mapa final'!$AD$42="Catastrófico"),CONCATENATE("R7C",'Mapa final'!$R$42),"")</f>
        <v/>
      </c>
      <c r="AI42" s="40" t="str">
        <f>IF(AND('Mapa final'!$AB$43="Baja",'Mapa final'!$AD$43="Catastrófico"),CONCATENATE("R7C",'Mapa final'!$R$43),"")</f>
        <v/>
      </c>
      <c r="AJ42" s="40" t="str">
        <f>IF(AND('Mapa final'!$AB$44="Baja",'Mapa final'!$AD$44="Catastrófico"),CONCATENATE("R7C",'Mapa final'!$R$44),"")</f>
        <v/>
      </c>
      <c r="AK42" s="40" t="str">
        <f>IF(AND('Mapa final'!$AB$45="Baja",'Mapa final'!$AD$45="Catastrófico"),CONCATENATE("R7C",'Mapa final'!$R$45),"")</f>
        <v/>
      </c>
      <c r="AL42" s="40" t="str">
        <f>IF(AND('Mapa final'!$AB$46="Baja",'Mapa final'!$AD$46="Catastrófico"),CONCATENATE("R7C",'Mapa final'!$R$46),"")</f>
        <v/>
      </c>
      <c r="AM42" s="41" t="str">
        <f>IF(AND('Mapa final'!$AB$47="Baja",'Mapa final'!$AD$47="Catastrófico"),CONCATENATE("R7C",'Mapa final'!$R$47),"")</f>
        <v/>
      </c>
      <c r="AN42" s="67"/>
      <c r="AO42" s="605"/>
      <c r="AP42" s="606"/>
      <c r="AQ42" s="606"/>
      <c r="AR42" s="606"/>
      <c r="AS42" s="606"/>
      <c r="AT42" s="60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33"/>
      <c r="C43" s="533"/>
      <c r="D43" s="534"/>
      <c r="E43" s="574"/>
      <c r="F43" s="575"/>
      <c r="G43" s="575"/>
      <c r="H43" s="575"/>
      <c r="I43" s="575"/>
      <c r="J43" s="60" t="str">
        <f>IF(AND('Mapa final'!$AB$48="Baja",'Mapa final'!$AD$48="Leve"),CONCATENATE("R8C",'Mapa final'!$R$48),"")</f>
        <v/>
      </c>
      <c r="K43" s="61" t="str">
        <f>IF(AND('Mapa final'!$AB$49="Baja",'Mapa final'!$AD$49="Leve"),CONCATENATE("R8C",'Mapa final'!$R$49),"")</f>
        <v/>
      </c>
      <c r="L43" s="61" t="str">
        <f>IF(AND('Mapa final'!$AB$50="Baja",'Mapa final'!$AD$50="Leve"),CONCATENATE("R8C",'Mapa final'!$R$50),"")</f>
        <v/>
      </c>
      <c r="M43" s="61" t="str">
        <f>IF(AND('Mapa final'!$AB$51="Baja",'Mapa final'!$AD$51="Leve"),CONCATENATE("R8C",'Mapa final'!$R$51),"")</f>
        <v/>
      </c>
      <c r="N43" s="61" t="str">
        <f>IF(AND('Mapa final'!$AB$52="Baja",'Mapa final'!$AD$52="Leve"),CONCATENATE("R8C",'Mapa final'!$R$52),"")</f>
        <v/>
      </c>
      <c r="O43" s="62" t="str">
        <f>IF(AND('Mapa final'!$AB$53="Baja",'Mapa final'!$AD$53="Leve"),CONCATENATE("R8C",'Mapa final'!$R$53),"")</f>
        <v/>
      </c>
      <c r="P43" s="51" t="str">
        <f>IF(AND('Mapa final'!$AB$48="Baja",'Mapa final'!$AD$48="Menor"),CONCATENATE("R8C",'Mapa final'!$R$48),"")</f>
        <v/>
      </c>
      <c r="Q43" s="52" t="str">
        <f>IF(AND('Mapa final'!$AB$49="Baja",'Mapa final'!$AD$49="Menor"),CONCATENATE("R8C",'Mapa final'!$R$49),"")</f>
        <v/>
      </c>
      <c r="R43" s="52" t="str">
        <f>IF(AND('Mapa final'!$AB$50="Baja",'Mapa final'!$AD$50="Menor"),CONCATENATE("R8C",'Mapa final'!$R$50),"")</f>
        <v/>
      </c>
      <c r="S43" s="52" t="str">
        <f>IF(AND('Mapa final'!$AB$51="Baja",'Mapa final'!$AD$51="Menor"),CONCATENATE("R8C",'Mapa final'!$R$51),"")</f>
        <v/>
      </c>
      <c r="T43" s="52" t="str">
        <f>IF(AND('Mapa final'!$AB$52="Baja",'Mapa final'!$AD$52="Menor"),CONCATENATE("R8C",'Mapa final'!$R$52),"")</f>
        <v/>
      </c>
      <c r="U43" s="53" t="str">
        <f>IF(AND('Mapa final'!$AB$53="Baja",'Mapa final'!$AD$53="Menor"),CONCATENATE("R8C",'Mapa final'!$R$53),"")</f>
        <v/>
      </c>
      <c r="V43" s="51" t="str">
        <f>IF(AND('Mapa final'!$AB$48="Baja",'Mapa final'!$AD$48="Moderado"),CONCATENATE("R8C",'Mapa final'!$R$48),"")</f>
        <v/>
      </c>
      <c r="W43" s="52" t="str">
        <f>IF(AND('Mapa final'!$AB$49="Baja",'Mapa final'!$AD$49="Moderado"),CONCATENATE("R8C",'Mapa final'!$R$49),"")</f>
        <v/>
      </c>
      <c r="X43" s="52" t="str">
        <f>IF(AND('Mapa final'!$AB$50="Baja",'Mapa final'!$AD$50="Moderado"),CONCATENATE("R8C",'Mapa final'!$R$50),"")</f>
        <v/>
      </c>
      <c r="Y43" s="52" t="str">
        <f>IF(AND('Mapa final'!$AB$51="Baja",'Mapa final'!$AD$51="Moderado"),CONCATENATE("R8C",'Mapa final'!$R$51),"")</f>
        <v/>
      </c>
      <c r="Z43" s="52" t="str">
        <f>IF(AND('Mapa final'!$AB$52="Baja",'Mapa final'!$AD$52="Moderado"),CONCATENATE("R8C",'Mapa final'!$R$52),"")</f>
        <v/>
      </c>
      <c r="AA43" s="53" t="str">
        <f>IF(AND('Mapa final'!$AB$53="Baja",'Mapa final'!$AD$53="Moderado"),CONCATENATE("R8C",'Mapa final'!$R$53),"")</f>
        <v/>
      </c>
      <c r="AB43" s="36" t="str">
        <f>IF(AND('Mapa final'!$AB$48="Baja",'Mapa final'!$AD$48="Mayor"),CONCATENATE("R8C",'Mapa final'!$R$48),"")</f>
        <v/>
      </c>
      <c r="AC43" s="37" t="str">
        <f>IF(AND('Mapa final'!$AB$49="Baja",'Mapa final'!$AD$49="Mayor"),CONCATENATE("R8C",'Mapa final'!$R$49),"")</f>
        <v/>
      </c>
      <c r="AD43" s="37" t="str">
        <f>IF(AND('Mapa final'!$AB$50="Baja",'Mapa final'!$AD$50="Mayor"),CONCATENATE("R8C",'Mapa final'!$R$50),"")</f>
        <v/>
      </c>
      <c r="AE43" s="37" t="str">
        <f>IF(AND('Mapa final'!$AB$51="Baja",'Mapa final'!$AD$51="Mayor"),CONCATENATE("R8C",'Mapa final'!$R$51),"")</f>
        <v/>
      </c>
      <c r="AF43" s="37" t="str">
        <f>IF(AND('Mapa final'!$AB$52="Baja",'Mapa final'!$AD$52="Mayor"),CONCATENATE("R8C",'Mapa final'!$R$52),"")</f>
        <v/>
      </c>
      <c r="AG43" s="38" t="str">
        <f>IF(AND('Mapa final'!$AB$53="Baja",'Mapa final'!$AD$53="Mayor"),CONCATENATE("R8C",'Mapa final'!$R$53),"")</f>
        <v/>
      </c>
      <c r="AH43" s="39" t="str">
        <f>IF(AND('Mapa final'!$AB$48="Baja",'Mapa final'!$AD$48="Catastrófico"),CONCATENATE("R8C",'Mapa final'!$R$48),"")</f>
        <v/>
      </c>
      <c r="AI43" s="40" t="str">
        <f>IF(AND('Mapa final'!$AB$49="Baja",'Mapa final'!$AD$49="Catastrófico"),CONCATENATE("R8C",'Mapa final'!$R$49),"")</f>
        <v/>
      </c>
      <c r="AJ43" s="40" t="str">
        <f>IF(AND('Mapa final'!$AB$50="Baja",'Mapa final'!$AD$50="Catastrófico"),CONCATENATE("R8C",'Mapa final'!$R$50),"")</f>
        <v/>
      </c>
      <c r="AK43" s="40" t="str">
        <f>IF(AND('Mapa final'!$AB$51="Baja",'Mapa final'!$AD$51="Catastrófico"),CONCATENATE("R8C",'Mapa final'!$R$51),"")</f>
        <v/>
      </c>
      <c r="AL43" s="40" t="str">
        <f>IF(AND('Mapa final'!$AB$52="Baja",'Mapa final'!$AD$52="Catastrófico"),CONCATENATE("R8C",'Mapa final'!$R$52),"")</f>
        <v/>
      </c>
      <c r="AM43" s="41" t="str">
        <f>IF(AND('Mapa final'!$AB$53="Baja",'Mapa final'!$AD$53="Catastrófico"),CONCATENATE("R8C",'Mapa final'!$R$53),"")</f>
        <v/>
      </c>
      <c r="AN43" s="67"/>
      <c r="AO43" s="605"/>
      <c r="AP43" s="606"/>
      <c r="AQ43" s="606"/>
      <c r="AR43" s="606"/>
      <c r="AS43" s="606"/>
      <c r="AT43" s="60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33"/>
      <c r="C44" s="533"/>
      <c r="D44" s="534"/>
      <c r="E44" s="574"/>
      <c r="F44" s="575"/>
      <c r="G44" s="575"/>
      <c r="H44" s="575"/>
      <c r="I44" s="575"/>
      <c r="J44" s="60" t="str">
        <f>IF(AND('Mapa final'!$AB$54="Baja",'Mapa final'!$AD$54="Leve"),CONCATENATE("R9C",'Mapa final'!$R$54),"")</f>
        <v/>
      </c>
      <c r="K44" s="61" t="str">
        <f>IF(AND('Mapa final'!$AB$55="Baja",'Mapa final'!$AD$55="Leve"),CONCATENATE("R9C",'Mapa final'!$R$55),"")</f>
        <v/>
      </c>
      <c r="L44" s="61" t="str">
        <f>IF(AND('Mapa final'!$AB$56="Baja",'Mapa final'!$AD$56="Leve"),CONCATENATE("R9C",'Mapa final'!$R$56),"")</f>
        <v/>
      </c>
      <c r="M44" s="61" t="str">
        <f>IF(AND('Mapa final'!$AB$57="Baja",'Mapa final'!$AD$57="Leve"),CONCATENATE("R9C",'Mapa final'!$R$57),"")</f>
        <v/>
      </c>
      <c r="N44" s="61" t="str">
        <f>IF(AND('Mapa final'!$AB$58="Baja",'Mapa final'!$AD$58="Leve"),CONCATENATE("R9C",'Mapa final'!$R$58),"")</f>
        <v/>
      </c>
      <c r="O44" s="62" t="str">
        <f>IF(AND('Mapa final'!$AB$59="Baja",'Mapa final'!$AD$59="Leve"),CONCATENATE("R9C",'Mapa final'!$R$59),"")</f>
        <v/>
      </c>
      <c r="P44" s="51" t="str">
        <f>IF(AND('Mapa final'!$AB$54="Baja",'Mapa final'!$AD$54="Menor"),CONCATENATE("R9C",'Mapa final'!$R$54),"")</f>
        <v/>
      </c>
      <c r="Q44" s="52" t="str">
        <f>IF(AND('Mapa final'!$AB$55="Baja",'Mapa final'!$AD$55="Menor"),CONCATENATE("R9C",'Mapa final'!$R$55),"")</f>
        <v/>
      </c>
      <c r="R44" s="52" t="str">
        <f>IF(AND('Mapa final'!$AB$56="Baja",'Mapa final'!$AD$56="Menor"),CONCATENATE("R9C",'Mapa final'!$R$56),"")</f>
        <v/>
      </c>
      <c r="S44" s="52" t="str">
        <f>IF(AND('Mapa final'!$AB$57="Baja",'Mapa final'!$AD$57="Menor"),CONCATENATE("R9C",'Mapa final'!$R$57),"")</f>
        <v/>
      </c>
      <c r="T44" s="52" t="str">
        <f>IF(AND('Mapa final'!$AB$58="Baja",'Mapa final'!$AD$58="Menor"),CONCATENATE("R9C",'Mapa final'!$R$58),"")</f>
        <v/>
      </c>
      <c r="U44" s="53" t="str">
        <f>IF(AND('Mapa final'!$AB$59="Baja",'Mapa final'!$AD$59="Menor"),CONCATENATE("R9C",'Mapa final'!$R$59),"")</f>
        <v/>
      </c>
      <c r="V44" s="51" t="str">
        <f>IF(AND('Mapa final'!$AB$54="Baja",'Mapa final'!$AD$54="Moderado"),CONCATENATE("R9C",'Mapa final'!$R$54),"")</f>
        <v/>
      </c>
      <c r="W44" s="52" t="str">
        <f>IF(AND('Mapa final'!$AB$55="Baja",'Mapa final'!$AD$55="Moderado"),CONCATENATE("R9C",'Mapa final'!$R$55),"")</f>
        <v/>
      </c>
      <c r="X44" s="52" t="str">
        <f>IF(AND('Mapa final'!$AB$56="Baja",'Mapa final'!$AD$56="Moderado"),CONCATENATE("R9C",'Mapa final'!$R$56),"")</f>
        <v/>
      </c>
      <c r="Y44" s="52" t="str">
        <f>IF(AND('Mapa final'!$AB$57="Baja",'Mapa final'!$AD$57="Moderado"),CONCATENATE("R9C",'Mapa final'!$R$57),"")</f>
        <v/>
      </c>
      <c r="Z44" s="52" t="str">
        <f>IF(AND('Mapa final'!$AB$58="Baja",'Mapa final'!$AD$58="Moderado"),CONCATENATE("R9C",'Mapa final'!$R$58),"")</f>
        <v/>
      </c>
      <c r="AA44" s="53" t="str">
        <f>IF(AND('Mapa final'!$AB$59="Baja",'Mapa final'!$AD$59="Moderado"),CONCATENATE("R9C",'Mapa final'!$R$59),"")</f>
        <v/>
      </c>
      <c r="AB44" s="36" t="str">
        <f>IF(AND('Mapa final'!$AB$54="Baja",'Mapa final'!$AD$54="Mayor"),CONCATENATE("R9C",'Mapa final'!$R$54),"")</f>
        <v/>
      </c>
      <c r="AC44" s="37" t="str">
        <f>IF(AND('Mapa final'!$AB$55="Baja",'Mapa final'!$AD$55="Mayor"),CONCATENATE("R9C",'Mapa final'!$R$55),"")</f>
        <v/>
      </c>
      <c r="AD44" s="37" t="str">
        <f>IF(AND('Mapa final'!$AB$56="Baja",'Mapa final'!$AD$56="Mayor"),CONCATENATE("R9C",'Mapa final'!$R$56),"")</f>
        <v/>
      </c>
      <c r="AE44" s="37" t="str">
        <f>IF(AND('Mapa final'!$AB$57="Baja",'Mapa final'!$AD$57="Mayor"),CONCATENATE("R9C",'Mapa final'!$R$57),"")</f>
        <v/>
      </c>
      <c r="AF44" s="37" t="str">
        <f>IF(AND('Mapa final'!$AB$58="Baja",'Mapa final'!$AD$58="Mayor"),CONCATENATE("R9C",'Mapa final'!$R$58),"")</f>
        <v/>
      </c>
      <c r="AG44" s="38" t="str">
        <f>IF(AND('Mapa final'!$AB$59="Baja",'Mapa final'!$AD$59="Mayor"),CONCATENATE("R9C",'Mapa final'!$R$59),"")</f>
        <v/>
      </c>
      <c r="AH44" s="39" t="str">
        <f>IF(AND('Mapa final'!$AB$54="Baja",'Mapa final'!$AD$54="Catastrófico"),CONCATENATE("R9C",'Mapa final'!$R$54),"")</f>
        <v/>
      </c>
      <c r="AI44" s="40" t="str">
        <f>IF(AND('Mapa final'!$AB$55="Baja",'Mapa final'!$AD$55="Catastrófico"),CONCATENATE("R9C",'Mapa final'!$R$55),"")</f>
        <v/>
      </c>
      <c r="AJ44" s="40" t="str">
        <f>IF(AND('Mapa final'!$AB$56="Baja",'Mapa final'!$AD$56="Catastrófico"),CONCATENATE("R9C",'Mapa final'!$R$56),"")</f>
        <v/>
      </c>
      <c r="AK44" s="40" t="str">
        <f>IF(AND('Mapa final'!$AB$57="Baja",'Mapa final'!$AD$57="Catastrófico"),CONCATENATE("R9C",'Mapa final'!$R$57),"")</f>
        <v/>
      </c>
      <c r="AL44" s="40" t="str">
        <f>IF(AND('Mapa final'!$AB$58="Baja",'Mapa final'!$AD$58="Catastrófico"),CONCATENATE("R9C",'Mapa final'!$R$58),"")</f>
        <v/>
      </c>
      <c r="AM44" s="41" t="str">
        <f>IF(AND('Mapa final'!$AB$59="Baja",'Mapa final'!$AD$59="Catastrófico"),CONCATENATE("R9C",'Mapa final'!$R$59),"")</f>
        <v/>
      </c>
      <c r="AN44" s="67"/>
      <c r="AO44" s="605"/>
      <c r="AP44" s="606"/>
      <c r="AQ44" s="606"/>
      <c r="AR44" s="606"/>
      <c r="AS44" s="606"/>
      <c r="AT44" s="60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33"/>
      <c r="C45" s="533"/>
      <c r="D45" s="534"/>
      <c r="E45" s="577"/>
      <c r="F45" s="578"/>
      <c r="G45" s="578"/>
      <c r="H45" s="578"/>
      <c r="I45" s="578"/>
      <c r="J45" s="63" t="str">
        <f>IF(AND('Mapa final'!$AB$60="Baja",'Mapa final'!$AD$60="Leve"),CONCATENATE("R10C",'Mapa final'!$R$60),"")</f>
        <v/>
      </c>
      <c r="K45" s="64" t="str">
        <f>IF(AND('Mapa final'!$AB$61="Baja",'Mapa final'!$AD$61="Leve"),CONCATENATE("R10C",'Mapa final'!$R$61),"")</f>
        <v/>
      </c>
      <c r="L45" s="64" t="str">
        <f>IF(AND('Mapa final'!$AB$62="Baja",'Mapa final'!$AD$62="Leve"),CONCATENATE("R10C",'Mapa final'!$R$62),"")</f>
        <v/>
      </c>
      <c r="M45" s="64" t="str">
        <f>IF(AND('Mapa final'!$AB$63="Baja",'Mapa final'!$AD$63="Leve"),CONCATENATE("R10C",'Mapa final'!$R$63),"")</f>
        <v/>
      </c>
      <c r="N45" s="64" t="str">
        <f>IF(AND('Mapa final'!$AB$64="Baja",'Mapa final'!$AD$64="Leve"),CONCATENATE("R10C",'Mapa final'!$R$64),"")</f>
        <v/>
      </c>
      <c r="O45" s="65" t="str">
        <f>IF(AND('Mapa final'!$AB$65="Baja",'Mapa final'!$AD$65="Leve"),CONCATENATE("R10C",'Mapa final'!$R$65),"")</f>
        <v/>
      </c>
      <c r="P45" s="51" t="str">
        <f>IF(AND('Mapa final'!$AB$60="Baja",'Mapa final'!$AD$60="Menor"),CONCATENATE("R10C",'Mapa final'!$R$60),"")</f>
        <v/>
      </c>
      <c r="Q45" s="52" t="str">
        <f>IF(AND('Mapa final'!$AB$61="Baja",'Mapa final'!$AD$61="Menor"),CONCATENATE("R10C",'Mapa final'!$R$61),"")</f>
        <v/>
      </c>
      <c r="R45" s="52" t="str">
        <f>IF(AND('Mapa final'!$AB$62="Baja",'Mapa final'!$AD$62="Menor"),CONCATENATE("R10C",'Mapa final'!$R$62),"")</f>
        <v/>
      </c>
      <c r="S45" s="52" t="str">
        <f>IF(AND('Mapa final'!$AB$63="Baja",'Mapa final'!$AD$63="Menor"),CONCATENATE("R10C",'Mapa final'!$R$63),"")</f>
        <v/>
      </c>
      <c r="T45" s="52" t="str">
        <f>IF(AND('Mapa final'!$AB$64="Baja",'Mapa final'!$AD$64="Menor"),CONCATENATE("R10C",'Mapa final'!$R$64),"")</f>
        <v/>
      </c>
      <c r="U45" s="53" t="str">
        <f>IF(AND('Mapa final'!$AB$65="Baja",'Mapa final'!$AD$65="Menor"),CONCATENATE("R10C",'Mapa final'!$R$65),"")</f>
        <v/>
      </c>
      <c r="V45" s="54" t="str">
        <f>IF(AND('Mapa final'!$AB$60="Baja",'Mapa final'!$AD$60="Moderado"),CONCATENATE("R10C",'Mapa final'!$R$60),"")</f>
        <v/>
      </c>
      <c r="W45" s="55" t="str">
        <f>IF(AND('Mapa final'!$AB$61="Baja",'Mapa final'!$AD$61="Moderado"),CONCATENATE("R10C",'Mapa final'!$R$61),"")</f>
        <v/>
      </c>
      <c r="X45" s="55" t="str">
        <f>IF(AND('Mapa final'!$AB$62="Baja",'Mapa final'!$AD$62="Moderado"),CONCATENATE("R10C",'Mapa final'!$R$62),"")</f>
        <v/>
      </c>
      <c r="Y45" s="55" t="str">
        <f>IF(AND('Mapa final'!$AB$63="Baja",'Mapa final'!$AD$63="Moderado"),CONCATENATE("R10C",'Mapa final'!$R$63),"")</f>
        <v/>
      </c>
      <c r="Z45" s="55" t="str">
        <f>IF(AND('Mapa final'!$AB$64="Baja",'Mapa final'!$AD$64="Moderado"),CONCATENATE("R10C",'Mapa final'!$R$64),"")</f>
        <v/>
      </c>
      <c r="AA45" s="56" t="str">
        <f>IF(AND('Mapa final'!$AB$65="Baja",'Mapa final'!$AD$65="Moderado"),CONCATENATE("R10C",'Mapa final'!$R$65),"")</f>
        <v/>
      </c>
      <c r="AB45" s="42" t="str">
        <f>IF(AND('Mapa final'!$AB$60="Baja",'Mapa final'!$AD$60="Mayor"),CONCATENATE("R10C",'Mapa final'!$R$60),"")</f>
        <v/>
      </c>
      <c r="AC45" s="43" t="str">
        <f>IF(AND('Mapa final'!$AB$61="Baja",'Mapa final'!$AD$61="Mayor"),CONCATENATE("R10C",'Mapa final'!$R$61),"")</f>
        <v/>
      </c>
      <c r="AD45" s="43" t="str">
        <f>IF(AND('Mapa final'!$AB$62="Baja",'Mapa final'!$AD$62="Mayor"),CONCATENATE("R10C",'Mapa final'!$R$62),"")</f>
        <v/>
      </c>
      <c r="AE45" s="43" t="str">
        <f>IF(AND('Mapa final'!$AB$63="Baja",'Mapa final'!$AD$63="Mayor"),CONCATENATE("R10C",'Mapa final'!$R$63),"")</f>
        <v/>
      </c>
      <c r="AF45" s="43" t="str">
        <f>IF(AND('Mapa final'!$AB$64="Baja",'Mapa final'!$AD$64="Mayor"),CONCATENATE("R10C",'Mapa final'!$R$64),"")</f>
        <v/>
      </c>
      <c r="AG45" s="44" t="str">
        <f>IF(AND('Mapa final'!$AB$65="Baja",'Mapa final'!$AD$65="Mayor"),CONCATENATE("R10C",'Mapa final'!$R$65),"")</f>
        <v/>
      </c>
      <c r="AH45" s="45" t="str">
        <f>IF(AND('Mapa final'!$AB$60="Baja",'Mapa final'!$AD$60="Catastrófico"),CONCATENATE("R10C",'Mapa final'!$R$60),"")</f>
        <v/>
      </c>
      <c r="AI45" s="46" t="str">
        <f>IF(AND('Mapa final'!$AB$61="Baja",'Mapa final'!$AD$61="Catastrófico"),CONCATENATE("R10C",'Mapa final'!$R$61),"")</f>
        <v/>
      </c>
      <c r="AJ45" s="46" t="str">
        <f>IF(AND('Mapa final'!$AB$62="Baja",'Mapa final'!$AD$62="Catastrófico"),CONCATENATE("R10C",'Mapa final'!$R$62),"")</f>
        <v/>
      </c>
      <c r="AK45" s="46" t="str">
        <f>IF(AND('Mapa final'!$AB$63="Baja",'Mapa final'!$AD$63="Catastrófico"),CONCATENATE("R10C",'Mapa final'!$R$63),"")</f>
        <v/>
      </c>
      <c r="AL45" s="46" t="str">
        <f>IF(AND('Mapa final'!$AB$64="Baja",'Mapa final'!$AD$64="Catastrófico"),CONCATENATE("R10C",'Mapa final'!$R$64),"")</f>
        <v/>
      </c>
      <c r="AM45" s="47" t="str">
        <f>IF(AND('Mapa final'!$AB$65="Baja",'Mapa final'!$AD$65="Catastrófico"),CONCATENATE("R10C",'Mapa final'!$R$65),"")</f>
        <v/>
      </c>
      <c r="AN45" s="67"/>
      <c r="AO45" s="608"/>
      <c r="AP45" s="609"/>
      <c r="AQ45" s="609"/>
      <c r="AR45" s="609"/>
      <c r="AS45" s="609"/>
      <c r="AT45" s="610"/>
    </row>
    <row r="46" spans="1:80" ht="46.5" customHeight="1" x14ac:dyDescent="0.45">
      <c r="A46" s="67"/>
      <c r="B46" s="533"/>
      <c r="C46" s="533"/>
      <c r="D46" s="534"/>
      <c r="E46" s="571" t="s">
        <v>107</v>
      </c>
      <c r="F46" s="572"/>
      <c r="G46" s="572"/>
      <c r="H46" s="572"/>
      <c r="I46" s="573"/>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33"/>
      <c r="C47" s="533"/>
      <c r="D47" s="534"/>
      <c r="E47" s="590"/>
      <c r="F47" s="575"/>
      <c r="G47" s="575"/>
      <c r="H47" s="575"/>
      <c r="I47" s="576"/>
      <c r="J47" s="60" t="str">
        <f>IF(AND('Mapa final'!$AB$16="Muy Baja",'Mapa final'!$AD$16="Leve"),CONCATENATE("R2C",'Mapa final'!$R$16),"")</f>
        <v/>
      </c>
      <c r="K47" s="61" t="str">
        <f>IF(AND('Mapa final'!$AB$17="Muy Baja",'Mapa final'!$AD$17="Leve"),CONCATENATE("R2C",'Mapa final'!$R$17),"")</f>
        <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final'!$AB$16="Muy Baja",'Mapa final'!$AD$16="Menor"),CONCATENATE("R2C",'Mapa final'!$R$16),"")</f>
        <v/>
      </c>
      <c r="Q47" s="61" t="str">
        <f>IF(AND('Mapa final'!$AB$17="Muy Baja",'Mapa final'!$AD$17="Menor"),CONCATENATE("R2C",'Mapa final'!$R$17),"")</f>
        <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final'!$AB$16="Muy Baja",'Mapa final'!$AD$16="Moderado"),CONCATENATE("R2C",'Mapa final'!$R$16),"")</f>
        <v/>
      </c>
      <c r="W47" s="52" t="str">
        <f>IF(AND('Mapa final'!$AB$17="Muy Baja",'Mapa final'!$AD$17="Moderado"),CONCATENATE("R2C",'Mapa final'!$R$17),"")</f>
        <v>R2C2</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final'!$AB$16="Muy Baja",'Mapa final'!$AD$16="Mayor"),CONCATENATE("R2C",'Mapa final'!$R$16),"")</f>
        <v/>
      </c>
      <c r="AC47" s="37" t="str">
        <f>IF(AND('Mapa final'!$AB$17="Muy Baja",'Mapa final'!$AD$17="Mayor"),CONCATENATE("R2C",'Mapa final'!$R$17),"")</f>
        <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final'!$AB$16="Muy Baja",'Mapa final'!$AD$16="Catastrófico"),CONCATENATE("R2C",'Mapa final'!$R$16),"")</f>
        <v/>
      </c>
      <c r="AI47" s="40" t="str">
        <f>IF(AND('Mapa final'!$AB$17="Muy Baja",'Mapa final'!$AD$17="Catastrófico"),CONCATENATE("R2C",'Mapa final'!$R$17),"")</f>
        <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33"/>
      <c r="C48" s="533"/>
      <c r="D48" s="534"/>
      <c r="E48" s="590"/>
      <c r="F48" s="575"/>
      <c r="G48" s="575"/>
      <c r="H48" s="575"/>
      <c r="I48" s="576"/>
      <c r="J48" s="60" t="str">
        <f>IF(AND('Mapa final'!$AB$18="Muy Baja",'Mapa final'!$AD$18="Leve"),CONCATENATE("R3C",'Mapa final'!$R$18),"")</f>
        <v/>
      </c>
      <c r="K48" s="61" t="str">
        <f>IF(AND('Mapa final'!$AB$19="Muy Baja",'Mapa final'!$AD$19="Leve"),CONCATENATE("R3C",'Mapa final'!$R$19),"")</f>
        <v/>
      </c>
      <c r="L48" s="61" t="str">
        <f>IF(AND('Mapa final'!$AB$20="Muy Baja",'Mapa final'!$AD$20="Leve"),CONCATENATE("R3C",'Mapa final'!$R$20),"")</f>
        <v/>
      </c>
      <c r="M48" s="61" t="str">
        <f>IF(AND('Mapa final'!$AB$21="Muy Baja",'Mapa final'!$AD$21="Leve"),CONCATENATE("R3C",'Mapa final'!$R$21),"")</f>
        <v/>
      </c>
      <c r="N48" s="61" t="str">
        <f>IF(AND('Mapa final'!$AB$22="Muy Baja",'Mapa final'!$AD$22="Leve"),CONCATENATE("R3C",'Mapa final'!$R$22),"")</f>
        <v/>
      </c>
      <c r="O48" s="62" t="str">
        <f>IF(AND('Mapa final'!$AB$23="Muy Baja",'Mapa final'!$AD$23="Leve"),CONCATENATE("R3C",'Mapa final'!$R$23),"")</f>
        <v/>
      </c>
      <c r="P48" s="60" t="str">
        <f>IF(AND('Mapa final'!$AB$18="Muy Baja",'Mapa final'!$AD$18="Menor"),CONCATENATE("R3C",'Mapa final'!$R$18),"")</f>
        <v/>
      </c>
      <c r="Q48" s="61" t="str">
        <f>IF(AND('Mapa final'!$AB$19="Muy Baja",'Mapa final'!$AD$19="Menor"),CONCATENATE("R3C",'Mapa final'!$R$19),"")</f>
        <v/>
      </c>
      <c r="R48" s="61" t="str">
        <f>IF(AND('Mapa final'!$AB$20="Muy Baja",'Mapa final'!$AD$20="Menor"),CONCATENATE("R3C",'Mapa final'!$R$20),"")</f>
        <v/>
      </c>
      <c r="S48" s="61" t="str">
        <f>IF(AND('Mapa final'!$AB$21="Muy Baja",'Mapa final'!$AD$21="Menor"),CONCATENATE("R3C",'Mapa final'!$R$21),"")</f>
        <v/>
      </c>
      <c r="T48" s="61" t="str">
        <f>IF(AND('Mapa final'!$AB$22="Muy Baja",'Mapa final'!$AD$22="Menor"),CONCATENATE("R3C",'Mapa final'!$R$22),"")</f>
        <v/>
      </c>
      <c r="U48" s="62" t="str">
        <f>IF(AND('Mapa final'!$AB$23="Muy Baja",'Mapa final'!$AD$23="Menor"),CONCATENATE("R3C",'Mapa final'!$R$23),"")</f>
        <v/>
      </c>
      <c r="V48" s="51" t="str">
        <f>IF(AND('Mapa final'!$AB$18="Muy Baja",'Mapa final'!$AD$18="Moderado"),CONCATENATE("R3C",'Mapa final'!$R$18),"")</f>
        <v/>
      </c>
      <c r="W48" s="52" t="str">
        <f>IF(AND('Mapa final'!$AB$19="Muy Baja",'Mapa final'!$AD$19="Moderado"),CONCATENATE("R3C",'Mapa final'!$R$19),"")</f>
        <v/>
      </c>
      <c r="X48" s="52" t="str">
        <f>IF(AND('Mapa final'!$AB$20="Muy Baja",'Mapa final'!$AD$20="Moderado"),CONCATENATE("R3C",'Mapa final'!$R$20),"")</f>
        <v/>
      </c>
      <c r="Y48" s="52" t="str">
        <f>IF(AND('Mapa final'!$AB$21="Muy Baja",'Mapa final'!$AD$21="Moderado"),CONCATENATE("R3C",'Mapa final'!$R$21),"")</f>
        <v/>
      </c>
      <c r="Z48" s="52" t="str">
        <f>IF(AND('Mapa final'!$AB$22="Muy Baja",'Mapa final'!$AD$22="Moderado"),CONCATENATE("R3C",'Mapa final'!$R$22),"")</f>
        <v/>
      </c>
      <c r="AA48" s="53" t="str">
        <f>IF(AND('Mapa final'!$AB$23="Muy Baja",'Mapa final'!$AD$23="Moderado"),CONCATENATE("R3C",'Mapa final'!$R$23),"")</f>
        <v/>
      </c>
      <c r="AB48" s="36" t="str">
        <f>IF(AND('Mapa final'!$AB$18="Muy Baja",'Mapa final'!$AD$18="Mayor"),CONCATENATE("R3C",'Mapa final'!$R$18),"")</f>
        <v/>
      </c>
      <c r="AC48" s="37" t="str">
        <f>IF(AND('Mapa final'!$AB$19="Muy Baja",'Mapa final'!$AD$19="Mayor"),CONCATENATE("R3C",'Mapa final'!$R$19),"")</f>
        <v/>
      </c>
      <c r="AD48" s="37" t="str">
        <f>IF(AND('Mapa final'!$AB$20="Muy Baja",'Mapa final'!$AD$20="Mayor"),CONCATENATE("R3C",'Mapa final'!$R$20),"")</f>
        <v/>
      </c>
      <c r="AE48" s="37" t="str">
        <f>IF(AND('Mapa final'!$AB$21="Muy Baja",'Mapa final'!$AD$21="Mayor"),CONCATENATE("R3C",'Mapa final'!$R$21),"")</f>
        <v/>
      </c>
      <c r="AF48" s="37" t="str">
        <f>IF(AND('Mapa final'!$AB$22="Muy Baja",'Mapa final'!$AD$22="Mayor"),CONCATENATE("R3C",'Mapa final'!$R$22),"")</f>
        <v/>
      </c>
      <c r="AG48" s="38" t="str">
        <f>IF(AND('Mapa final'!$AB$23="Muy Baja",'Mapa final'!$AD$23="Mayor"),CONCATENATE("R3C",'Mapa final'!$R$23),"")</f>
        <v/>
      </c>
      <c r="AH48" s="39" t="str">
        <f>IF(AND('Mapa final'!$AB$18="Muy Baja",'Mapa final'!$AD$18="Catastrófico"),CONCATENATE("R3C",'Mapa final'!$R$18),"")</f>
        <v/>
      </c>
      <c r="AI48" s="40" t="str">
        <f>IF(AND('Mapa final'!$AB$19="Muy Baja",'Mapa final'!$AD$19="Catastrófico"),CONCATENATE("R3C",'Mapa final'!$R$19),"")</f>
        <v/>
      </c>
      <c r="AJ48" s="40" t="str">
        <f>IF(AND('Mapa final'!$AB$20="Muy Baja",'Mapa final'!$AD$20="Catastrófico"),CONCATENATE("R3C",'Mapa final'!$R$20),"")</f>
        <v/>
      </c>
      <c r="AK48" s="40" t="str">
        <f>IF(AND('Mapa final'!$AB$21="Muy Baja",'Mapa final'!$AD$21="Catastrófico"),CONCATENATE("R3C",'Mapa final'!$R$21),"")</f>
        <v/>
      </c>
      <c r="AL48" s="40" t="str">
        <f>IF(AND('Mapa final'!$AB$22="Muy Baja",'Mapa final'!$AD$22="Catastrófico"),CONCATENATE("R3C",'Mapa final'!$R$22),"")</f>
        <v/>
      </c>
      <c r="AM48" s="41" t="str">
        <f>IF(AND('Mapa final'!$AB$23="Muy Baja",'Mapa final'!$AD$23="Catastrófico"),CONCATENATE("R3C",'Mapa final'!$R$23),"")</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33"/>
      <c r="C49" s="533"/>
      <c r="D49" s="534"/>
      <c r="E49" s="574"/>
      <c r="F49" s="575"/>
      <c r="G49" s="575"/>
      <c r="H49" s="575"/>
      <c r="I49" s="576"/>
      <c r="J49" s="60" t="str">
        <f>IF(AND('Mapa final'!$AB$24="Muy Baja",'Mapa final'!$AD$24="Leve"),CONCATENATE("R4C",'Mapa final'!$R$24),"")</f>
        <v/>
      </c>
      <c r="K49" s="61" t="str">
        <f>IF(AND('Mapa final'!$AB$25="Muy Baja",'Mapa final'!$AD$25="Leve"),CONCATENATE("R4C",'Mapa final'!$R$25),"")</f>
        <v/>
      </c>
      <c r="L49" s="61" t="str">
        <f>IF(AND('Mapa final'!$AB$26="Muy Baja",'Mapa final'!$AD$26="Leve"),CONCATENATE("R4C",'Mapa final'!$R$26),"")</f>
        <v/>
      </c>
      <c r="M49" s="61" t="str">
        <f>IF(AND('Mapa final'!$AB$27="Muy Baja",'Mapa final'!$AD$27="Leve"),CONCATENATE("R4C",'Mapa final'!$R$27),"")</f>
        <v/>
      </c>
      <c r="N49" s="61" t="str">
        <f>IF(AND('Mapa final'!$AB$28="Muy Baja",'Mapa final'!$AD$28="Leve"),CONCATENATE("R4C",'Mapa final'!$R$28),"")</f>
        <v/>
      </c>
      <c r="O49" s="62" t="str">
        <f>IF(AND('Mapa final'!$AB$29="Muy Baja",'Mapa final'!$AD$29="Leve"),CONCATENATE("R4C",'Mapa final'!$R$29),"")</f>
        <v/>
      </c>
      <c r="P49" s="60" t="str">
        <f>IF(AND('Mapa final'!$AB$24="Muy Baja",'Mapa final'!$AD$24="Menor"),CONCATENATE("R4C",'Mapa final'!$R$24),"")</f>
        <v/>
      </c>
      <c r="Q49" s="61" t="str">
        <f>IF(AND('Mapa final'!$AB$25="Muy Baja",'Mapa final'!$AD$25="Menor"),CONCATENATE("R4C",'Mapa final'!$R$25),"")</f>
        <v/>
      </c>
      <c r="R49" s="61" t="str">
        <f>IF(AND('Mapa final'!$AB$26="Muy Baja",'Mapa final'!$AD$26="Menor"),CONCATENATE("R4C",'Mapa final'!$R$26),"")</f>
        <v/>
      </c>
      <c r="S49" s="61" t="str">
        <f>IF(AND('Mapa final'!$AB$27="Muy Baja",'Mapa final'!$AD$27="Menor"),CONCATENATE("R4C",'Mapa final'!$R$27),"")</f>
        <v/>
      </c>
      <c r="T49" s="61" t="str">
        <f>IF(AND('Mapa final'!$AB$28="Muy Baja",'Mapa final'!$AD$28="Menor"),CONCATENATE("R4C",'Mapa final'!$R$28),"")</f>
        <v/>
      </c>
      <c r="U49" s="62" t="str">
        <f>IF(AND('Mapa final'!$AB$29="Muy Baja",'Mapa final'!$AD$29="Menor"),CONCATENATE("R4C",'Mapa final'!$R$29),"")</f>
        <v/>
      </c>
      <c r="V49" s="51" t="str">
        <f>IF(AND('Mapa final'!$AB$24="Muy Baja",'Mapa final'!$AD$24="Moderado"),CONCATENATE("R4C",'Mapa final'!$R$24),"")</f>
        <v/>
      </c>
      <c r="W49" s="52" t="str">
        <f>IF(AND('Mapa final'!$AB$25="Muy Baja",'Mapa final'!$AD$25="Moderado"),CONCATENATE("R4C",'Mapa final'!$R$25),"")</f>
        <v/>
      </c>
      <c r="X49" s="52" t="str">
        <f>IF(AND('Mapa final'!$AB$26="Muy Baja",'Mapa final'!$AD$26="Moderado"),CONCATENATE("R4C",'Mapa final'!$R$26),"")</f>
        <v/>
      </c>
      <c r="Y49" s="52" t="str">
        <f>IF(AND('Mapa final'!$AB$27="Muy Baja",'Mapa final'!$AD$27="Moderado"),CONCATENATE("R4C",'Mapa final'!$R$27),"")</f>
        <v/>
      </c>
      <c r="Z49" s="52" t="str">
        <f>IF(AND('Mapa final'!$AB$28="Muy Baja",'Mapa final'!$AD$28="Moderado"),CONCATENATE("R4C",'Mapa final'!$R$28),"")</f>
        <v/>
      </c>
      <c r="AA49" s="53" t="str">
        <f>IF(AND('Mapa final'!$AB$29="Muy Baja",'Mapa final'!$AD$29="Moderado"),CONCATENATE("R4C",'Mapa final'!$R$29),"")</f>
        <v/>
      </c>
      <c r="AB49" s="36" t="str">
        <f>IF(AND('Mapa final'!$AB$24="Muy Baja",'Mapa final'!$AD$24="Mayor"),CONCATENATE("R4C",'Mapa final'!$R$24),"")</f>
        <v/>
      </c>
      <c r="AC49" s="37" t="str">
        <f>IF(AND('Mapa final'!$AB$25="Muy Baja",'Mapa final'!$AD$25="Mayor"),CONCATENATE("R4C",'Mapa final'!$R$25),"")</f>
        <v/>
      </c>
      <c r="AD49" s="37" t="str">
        <f>IF(AND('Mapa final'!$AB$26="Muy Baja",'Mapa final'!$AD$26="Mayor"),CONCATENATE("R4C",'Mapa final'!$R$26),"")</f>
        <v/>
      </c>
      <c r="AE49" s="37" t="str">
        <f>IF(AND('Mapa final'!$AB$27="Muy Baja",'Mapa final'!$AD$27="Mayor"),CONCATENATE("R4C",'Mapa final'!$R$27),"")</f>
        <v/>
      </c>
      <c r="AF49" s="37" t="str">
        <f>IF(AND('Mapa final'!$AB$28="Muy Baja",'Mapa final'!$AD$28="Mayor"),CONCATENATE("R4C",'Mapa final'!$R$28),"")</f>
        <v/>
      </c>
      <c r="AG49" s="38" t="str">
        <f>IF(AND('Mapa final'!$AB$29="Muy Baja",'Mapa final'!$AD$29="Mayor"),CONCATENATE("R4C",'Mapa final'!$R$29),"")</f>
        <v/>
      </c>
      <c r="AH49" s="39" t="str">
        <f>IF(AND('Mapa final'!$AB$24="Muy Baja",'Mapa final'!$AD$24="Catastrófico"),CONCATENATE("R4C",'Mapa final'!$R$24),"")</f>
        <v/>
      </c>
      <c r="AI49" s="40" t="str">
        <f>IF(AND('Mapa final'!$AB$25="Muy Baja",'Mapa final'!$AD$25="Catastrófico"),CONCATENATE("R4C",'Mapa final'!$R$25),"")</f>
        <v/>
      </c>
      <c r="AJ49" s="40" t="str">
        <f>IF(AND('Mapa final'!$AB$26="Muy Baja",'Mapa final'!$AD$26="Catastrófico"),CONCATENATE("R4C",'Mapa final'!$R$26),"")</f>
        <v/>
      </c>
      <c r="AK49" s="40" t="str">
        <f>IF(AND('Mapa final'!$AB$27="Muy Baja",'Mapa final'!$AD$27="Catastrófico"),CONCATENATE("R4C",'Mapa final'!$R$27),"")</f>
        <v/>
      </c>
      <c r="AL49" s="40" t="str">
        <f>IF(AND('Mapa final'!$AB$28="Muy Baja",'Mapa final'!$AD$28="Catastrófico"),CONCATENATE("R4C",'Mapa final'!$R$28),"")</f>
        <v/>
      </c>
      <c r="AM49" s="41" t="str">
        <f>IF(AND('Mapa final'!$AB$29="Muy Baja",'Mapa final'!$AD$29="Catastrófico"),CONCATENATE("R4C",'Mapa final'!$R$29),"")</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33"/>
      <c r="C50" s="533"/>
      <c r="D50" s="534"/>
      <c r="E50" s="574"/>
      <c r="F50" s="575"/>
      <c r="G50" s="575"/>
      <c r="H50" s="575"/>
      <c r="I50" s="576"/>
      <c r="J50" s="60" t="str">
        <f>IF(AND('Mapa final'!$AB$30="Muy Baja",'Mapa final'!$AD$30="Leve"),CONCATENATE("R5C",'Mapa final'!$R$30),"")</f>
        <v/>
      </c>
      <c r="K50" s="61" t="str">
        <f>IF(AND('Mapa final'!$AB$31="Muy Baja",'Mapa final'!$AD$31="Leve"),CONCATENATE("R5C",'Mapa final'!$R$31),"")</f>
        <v/>
      </c>
      <c r="L50" s="61" t="str">
        <f>IF(AND('Mapa final'!$AB$32="Muy Baja",'Mapa final'!$AD$32="Leve"),CONCATENATE("R5C",'Mapa final'!$R$32),"")</f>
        <v/>
      </c>
      <c r="M50" s="61" t="str">
        <f>IF(AND('Mapa final'!$AB$33="Muy Baja",'Mapa final'!$AD$33="Leve"),CONCATENATE("R5C",'Mapa final'!$R$33),"")</f>
        <v/>
      </c>
      <c r="N50" s="61" t="str">
        <f>IF(AND('Mapa final'!$AB$34="Muy Baja",'Mapa final'!$AD$34="Leve"),CONCATENATE("R5C",'Mapa final'!$R$34),"")</f>
        <v/>
      </c>
      <c r="O50" s="62" t="str">
        <f>IF(AND('Mapa final'!$AB$35="Muy Baja",'Mapa final'!$AD$35="Leve"),CONCATENATE("R5C",'Mapa final'!$R$35),"")</f>
        <v/>
      </c>
      <c r="P50" s="60" t="str">
        <f>IF(AND('Mapa final'!$AB$30="Muy Baja",'Mapa final'!$AD$30="Menor"),CONCATENATE("R5C",'Mapa final'!$R$30),"")</f>
        <v/>
      </c>
      <c r="Q50" s="61" t="str">
        <f>IF(AND('Mapa final'!$AB$31="Muy Baja",'Mapa final'!$AD$31="Menor"),CONCATENATE("R5C",'Mapa final'!$R$31),"")</f>
        <v/>
      </c>
      <c r="R50" s="61" t="str">
        <f>IF(AND('Mapa final'!$AB$32="Muy Baja",'Mapa final'!$AD$32="Menor"),CONCATENATE("R5C",'Mapa final'!$R$32),"")</f>
        <v/>
      </c>
      <c r="S50" s="61" t="str">
        <f>IF(AND('Mapa final'!$AB$33="Muy Baja",'Mapa final'!$AD$33="Menor"),CONCATENATE("R5C",'Mapa final'!$R$33),"")</f>
        <v/>
      </c>
      <c r="T50" s="61" t="str">
        <f>IF(AND('Mapa final'!$AB$34="Muy Baja",'Mapa final'!$AD$34="Menor"),CONCATENATE("R5C",'Mapa final'!$R$34),"")</f>
        <v/>
      </c>
      <c r="U50" s="62" t="str">
        <f>IF(AND('Mapa final'!$AB$35="Muy Baja",'Mapa final'!$AD$35="Menor"),CONCATENATE("R5C",'Mapa final'!$R$35),"")</f>
        <v/>
      </c>
      <c r="V50" s="51" t="str">
        <f>IF(AND('Mapa final'!$AB$30="Muy Baja",'Mapa final'!$AD$30="Moderado"),CONCATENATE("R5C",'Mapa final'!$R$30),"")</f>
        <v/>
      </c>
      <c r="W50" s="52" t="str">
        <f>IF(AND('Mapa final'!$AB$31="Muy Baja",'Mapa final'!$AD$31="Moderado"),CONCATENATE("R5C",'Mapa final'!$R$31),"")</f>
        <v/>
      </c>
      <c r="X50" s="52" t="str">
        <f>IF(AND('Mapa final'!$AB$32="Muy Baja",'Mapa final'!$AD$32="Moderado"),CONCATENATE("R5C",'Mapa final'!$R$32),"")</f>
        <v/>
      </c>
      <c r="Y50" s="52" t="str">
        <f>IF(AND('Mapa final'!$AB$33="Muy Baja",'Mapa final'!$AD$33="Moderado"),CONCATENATE("R5C",'Mapa final'!$R$33),"")</f>
        <v/>
      </c>
      <c r="Z50" s="52" t="str">
        <f>IF(AND('Mapa final'!$AB$34="Muy Baja",'Mapa final'!$AD$34="Moderado"),CONCATENATE("R5C",'Mapa final'!$R$34),"")</f>
        <v/>
      </c>
      <c r="AA50" s="53" t="str">
        <f>IF(AND('Mapa final'!$AB$35="Muy Baja",'Mapa final'!$AD$35="Moderado"),CONCATENATE("R5C",'Mapa final'!$R$35),"")</f>
        <v/>
      </c>
      <c r="AB50" s="36" t="str">
        <f>IF(AND('Mapa final'!$AB$30="Muy Baja",'Mapa final'!$AD$30="Mayor"),CONCATENATE("R5C",'Mapa final'!$R$30),"")</f>
        <v/>
      </c>
      <c r="AC50" s="37" t="str">
        <f>IF(AND('Mapa final'!$AB$31="Muy Baja",'Mapa final'!$AD$31="Mayor"),CONCATENATE("R5C",'Mapa final'!$R$31),"")</f>
        <v/>
      </c>
      <c r="AD50" s="37" t="str">
        <f>IF(AND('Mapa final'!$AB$32="Muy Baja",'Mapa final'!$AD$32="Mayor"),CONCATENATE("R5C",'Mapa final'!$R$32),"")</f>
        <v/>
      </c>
      <c r="AE50" s="37" t="str">
        <f>IF(AND('Mapa final'!$AB$33="Muy Baja",'Mapa final'!$AD$33="Mayor"),CONCATENATE("R5C",'Mapa final'!$R$33),"")</f>
        <v/>
      </c>
      <c r="AF50" s="37" t="str">
        <f>IF(AND('Mapa final'!$AB$34="Muy Baja",'Mapa final'!$AD$34="Mayor"),CONCATENATE("R5C",'Mapa final'!$R$34),"")</f>
        <v/>
      </c>
      <c r="AG50" s="38" t="str">
        <f>IF(AND('Mapa final'!$AB$35="Muy Baja",'Mapa final'!$AD$35="Mayor"),CONCATENATE("R5C",'Mapa final'!$R$35),"")</f>
        <v/>
      </c>
      <c r="AH50" s="39" t="str">
        <f>IF(AND('Mapa final'!$AB$30="Muy Baja",'Mapa final'!$AD$30="Catastrófico"),CONCATENATE("R5C",'Mapa final'!$R$30),"")</f>
        <v/>
      </c>
      <c r="AI50" s="40" t="str">
        <f>IF(AND('Mapa final'!$AB$31="Muy Baja",'Mapa final'!$AD$31="Catastrófico"),CONCATENATE("R5C",'Mapa final'!$R$31),"")</f>
        <v/>
      </c>
      <c r="AJ50" s="40" t="str">
        <f>IF(AND('Mapa final'!$AB$32="Muy Baja",'Mapa final'!$AD$32="Catastrófico"),CONCATENATE("R5C",'Mapa final'!$R$32),"")</f>
        <v/>
      </c>
      <c r="AK50" s="40" t="str">
        <f>IF(AND('Mapa final'!$AB$33="Muy Baja",'Mapa final'!$AD$33="Catastrófico"),CONCATENATE("R5C",'Mapa final'!$R$33),"")</f>
        <v/>
      </c>
      <c r="AL50" s="40" t="str">
        <f>IF(AND('Mapa final'!$AB$34="Muy Baja",'Mapa final'!$AD$34="Catastrófico"),CONCATENATE("R5C",'Mapa final'!$R$34),"")</f>
        <v/>
      </c>
      <c r="AM50" s="41" t="str">
        <f>IF(AND('Mapa final'!$AB$35="Muy Baja",'Mapa final'!$AD$35="Catastrófico"),CONCATENATE("R5C",'Mapa final'!$R$35),"")</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33"/>
      <c r="C51" s="533"/>
      <c r="D51" s="534"/>
      <c r="E51" s="574"/>
      <c r="F51" s="575"/>
      <c r="G51" s="575"/>
      <c r="H51" s="575"/>
      <c r="I51" s="576"/>
      <c r="J51" s="60" t="str">
        <f>IF(AND('Mapa final'!$AB$36="Muy Baja",'Mapa final'!$AD$36="Leve"),CONCATENATE("R6C",'Mapa final'!$R$36),"")</f>
        <v/>
      </c>
      <c r="K51" s="61" t="str">
        <f>IF(AND('Mapa final'!$AB$37="Muy Baja",'Mapa final'!$AD$37="Leve"),CONCATENATE("R6C",'Mapa final'!$R$37),"")</f>
        <v/>
      </c>
      <c r="L51" s="61" t="str">
        <f>IF(AND('Mapa final'!$AB$38="Muy Baja",'Mapa final'!$AD$38="Leve"),CONCATENATE("R6C",'Mapa final'!$R$38),"")</f>
        <v/>
      </c>
      <c r="M51" s="61" t="str">
        <f>IF(AND('Mapa final'!$AB$39="Muy Baja",'Mapa final'!$AD$39="Leve"),CONCATENATE("R6C",'Mapa final'!$R$39),"")</f>
        <v/>
      </c>
      <c r="N51" s="61" t="str">
        <f>IF(AND('Mapa final'!$AB$40="Muy Baja",'Mapa final'!$AD$40="Leve"),CONCATENATE("R6C",'Mapa final'!$R$40),"")</f>
        <v/>
      </c>
      <c r="O51" s="62" t="str">
        <f>IF(AND('Mapa final'!$AB$41="Muy Baja",'Mapa final'!$AD$41="Leve"),CONCATENATE("R6C",'Mapa final'!$R$41),"")</f>
        <v/>
      </c>
      <c r="P51" s="60" t="str">
        <f>IF(AND('Mapa final'!$AB$36="Muy Baja",'Mapa final'!$AD$36="Menor"),CONCATENATE("R6C",'Mapa final'!$R$36),"")</f>
        <v/>
      </c>
      <c r="Q51" s="61" t="str">
        <f>IF(AND('Mapa final'!$AB$37="Muy Baja",'Mapa final'!$AD$37="Menor"),CONCATENATE("R6C",'Mapa final'!$R$37),"")</f>
        <v/>
      </c>
      <c r="R51" s="61" t="str">
        <f>IF(AND('Mapa final'!$AB$38="Muy Baja",'Mapa final'!$AD$38="Menor"),CONCATENATE("R6C",'Mapa final'!$R$38),"")</f>
        <v/>
      </c>
      <c r="S51" s="61" t="str">
        <f>IF(AND('Mapa final'!$AB$39="Muy Baja",'Mapa final'!$AD$39="Menor"),CONCATENATE("R6C",'Mapa final'!$R$39),"")</f>
        <v/>
      </c>
      <c r="T51" s="61" t="str">
        <f>IF(AND('Mapa final'!$AB$40="Muy Baja",'Mapa final'!$AD$40="Menor"),CONCATENATE("R6C",'Mapa final'!$R$40),"")</f>
        <v/>
      </c>
      <c r="U51" s="62" t="str">
        <f>IF(AND('Mapa final'!$AB$41="Muy Baja",'Mapa final'!$AD$41="Menor"),CONCATENATE("R6C",'Mapa final'!$R$41),"")</f>
        <v/>
      </c>
      <c r="V51" s="51" t="str">
        <f>IF(AND('Mapa final'!$AB$36="Muy Baja",'Mapa final'!$AD$36="Moderado"),CONCATENATE("R6C",'Mapa final'!$R$36),"")</f>
        <v/>
      </c>
      <c r="W51" s="52" t="str">
        <f>IF(AND('Mapa final'!$AB$37="Muy Baja",'Mapa final'!$AD$37="Moderado"),CONCATENATE("R6C",'Mapa final'!$R$37),"")</f>
        <v/>
      </c>
      <c r="X51" s="52" t="str">
        <f>IF(AND('Mapa final'!$AB$38="Muy Baja",'Mapa final'!$AD$38="Moderado"),CONCATENATE("R6C",'Mapa final'!$R$38),"")</f>
        <v/>
      </c>
      <c r="Y51" s="52" t="str">
        <f>IF(AND('Mapa final'!$AB$39="Muy Baja",'Mapa final'!$AD$39="Moderado"),CONCATENATE("R6C",'Mapa final'!$R$39),"")</f>
        <v/>
      </c>
      <c r="Z51" s="52" t="str">
        <f>IF(AND('Mapa final'!$AB$40="Muy Baja",'Mapa final'!$AD$40="Moderado"),CONCATENATE("R6C",'Mapa final'!$R$40),"")</f>
        <v/>
      </c>
      <c r="AA51" s="53" t="str">
        <f>IF(AND('Mapa final'!$AB$41="Muy Baja",'Mapa final'!$AD$41="Moderado"),CONCATENATE("R6C",'Mapa final'!$R$41),"")</f>
        <v/>
      </c>
      <c r="AB51" s="36" t="str">
        <f>IF(AND('Mapa final'!$AB$36="Muy Baja",'Mapa final'!$AD$36="Mayor"),CONCATENATE("R6C",'Mapa final'!$R$36),"")</f>
        <v/>
      </c>
      <c r="AC51" s="37" t="str">
        <f>IF(AND('Mapa final'!$AB$37="Muy Baja",'Mapa final'!$AD$37="Mayor"),CONCATENATE("R6C",'Mapa final'!$R$37),"")</f>
        <v/>
      </c>
      <c r="AD51" s="37" t="str">
        <f>IF(AND('Mapa final'!$AB$38="Muy Baja",'Mapa final'!$AD$38="Mayor"),CONCATENATE("R6C",'Mapa final'!$R$38),"")</f>
        <v/>
      </c>
      <c r="AE51" s="37" t="str">
        <f>IF(AND('Mapa final'!$AB$39="Muy Baja",'Mapa final'!$AD$39="Mayor"),CONCATENATE("R6C",'Mapa final'!$R$39),"")</f>
        <v/>
      </c>
      <c r="AF51" s="37" t="str">
        <f>IF(AND('Mapa final'!$AB$40="Muy Baja",'Mapa final'!$AD$40="Mayor"),CONCATENATE("R6C",'Mapa final'!$R$40),"")</f>
        <v/>
      </c>
      <c r="AG51" s="38" t="str">
        <f>IF(AND('Mapa final'!$AB$41="Muy Baja",'Mapa final'!$AD$41="Mayor"),CONCATENATE("R6C",'Mapa final'!$R$41),"")</f>
        <v/>
      </c>
      <c r="AH51" s="39" t="str">
        <f>IF(AND('Mapa final'!$AB$36="Muy Baja",'Mapa final'!$AD$36="Catastrófico"),CONCATENATE("R6C",'Mapa final'!$R$36),"")</f>
        <v/>
      </c>
      <c r="AI51" s="40" t="str">
        <f>IF(AND('Mapa final'!$AB$37="Muy Baja",'Mapa final'!$AD$37="Catastrófico"),CONCATENATE("R6C",'Mapa final'!$R$37),"")</f>
        <v/>
      </c>
      <c r="AJ51" s="40" t="str">
        <f>IF(AND('Mapa final'!$AB$38="Muy Baja",'Mapa final'!$AD$38="Catastrófico"),CONCATENATE("R6C",'Mapa final'!$R$38),"")</f>
        <v/>
      </c>
      <c r="AK51" s="40" t="str">
        <f>IF(AND('Mapa final'!$AB$39="Muy Baja",'Mapa final'!$AD$39="Catastrófico"),CONCATENATE("R6C",'Mapa final'!$R$39),"")</f>
        <v/>
      </c>
      <c r="AL51" s="40" t="str">
        <f>IF(AND('Mapa final'!$AB$40="Muy Baja",'Mapa final'!$AD$40="Catastrófico"),CONCATENATE("R6C",'Mapa final'!$R$40),"")</f>
        <v/>
      </c>
      <c r="AM51" s="41" t="str">
        <f>IF(AND('Mapa final'!$AB$41="Muy Baja",'Mapa final'!$AD$41="Catastrófico"),CONCATENATE("R6C",'Mapa final'!$R$41),"")</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33"/>
      <c r="C52" s="533"/>
      <c r="D52" s="534"/>
      <c r="E52" s="574"/>
      <c r="F52" s="575"/>
      <c r="G52" s="575"/>
      <c r="H52" s="575"/>
      <c r="I52" s="576"/>
      <c r="J52" s="60" t="str">
        <f>IF(AND('Mapa final'!$AB$42="Muy Baja",'Mapa final'!$AD$42="Leve"),CONCATENATE("R7C",'Mapa final'!$R$42),"")</f>
        <v/>
      </c>
      <c r="K52" s="61" t="str">
        <f>IF(AND('Mapa final'!$AB$43="Muy Baja",'Mapa final'!$AD$43="Leve"),CONCATENATE("R7C",'Mapa final'!$R$43),"")</f>
        <v/>
      </c>
      <c r="L52" s="61" t="str">
        <f>IF(AND('Mapa final'!$AB$44="Muy Baja",'Mapa final'!$AD$44="Leve"),CONCATENATE("R7C",'Mapa final'!$R$44),"")</f>
        <v/>
      </c>
      <c r="M52" s="61" t="str">
        <f>IF(AND('Mapa final'!$AB$45="Muy Baja",'Mapa final'!$AD$45="Leve"),CONCATENATE("R7C",'Mapa final'!$R$45),"")</f>
        <v/>
      </c>
      <c r="N52" s="61" t="str">
        <f>IF(AND('Mapa final'!$AB$46="Muy Baja",'Mapa final'!$AD$46="Leve"),CONCATENATE("R7C",'Mapa final'!$R$46),"")</f>
        <v/>
      </c>
      <c r="O52" s="62" t="str">
        <f>IF(AND('Mapa final'!$AB$47="Muy Baja",'Mapa final'!$AD$47="Leve"),CONCATENATE("R7C",'Mapa final'!$R$47),"")</f>
        <v/>
      </c>
      <c r="P52" s="60" t="str">
        <f>IF(AND('Mapa final'!$AB$42="Muy Baja",'Mapa final'!$AD$42="Menor"),CONCATENATE("R7C",'Mapa final'!$R$42),"")</f>
        <v/>
      </c>
      <c r="Q52" s="61" t="str">
        <f>IF(AND('Mapa final'!$AB$43="Muy Baja",'Mapa final'!$AD$43="Menor"),CONCATENATE("R7C",'Mapa final'!$R$43),"")</f>
        <v/>
      </c>
      <c r="R52" s="61" t="str">
        <f>IF(AND('Mapa final'!$AB$44="Muy Baja",'Mapa final'!$AD$44="Menor"),CONCATENATE("R7C",'Mapa final'!$R$44),"")</f>
        <v/>
      </c>
      <c r="S52" s="61" t="str">
        <f>IF(AND('Mapa final'!$AB$45="Muy Baja",'Mapa final'!$AD$45="Menor"),CONCATENATE("R7C",'Mapa final'!$R$45),"")</f>
        <v/>
      </c>
      <c r="T52" s="61" t="str">
        <f>IF(AND('Mapa final'!$AB$46="Muy Baja",'Mapa final'!$AD$46="Menor"),CONCATENATE("R7C",'Mapa final'!$R$46),"")</f>
        <v/>
      </c>
      <c r="U52" s="62" t="str">
        <f>IF(AND('Mapa final'!$AB$47="Muy Baja",'Mapa final'!$AD$47="Menor"),CONCATENATE("R7C",'Mapa final'!$R$47),"")</f>
        <v/>
      </c>
      <c r="V52" s="51" t="str">
        <f>IF(AND('Mapa final'!$AB$42="Muy Baja",'Mapa final'!$AD$42="Moderado"),CONCATENATE("R7C",'Mapa final'!$R$42),"")</f>
        <v/>
      </c>
      <c r="W52" s="52" t="str">
        <f>IF(AND('Mapa final'!$AB$43="Muy Baja",'Mapa final'!$AD$43="Moderado"),CONCATENATE("R7C",'Mapa final'!$R$43),"")</f>
        <v/>
      </c>
      <c r="X52" s="52" t="str">
        <f>IF(AND('Mapa final'!$AB$44="Muy Baja",'Mapa final'!$AD$44="Moderado"),CONCATENATE("R7C",'Mapa final'!$R$44),"")</f>
        <v/>
      </c>
      <c r="Y52" s="52" t="str">
        <f>IF(AND('Mapa final'!$AB$45="Muy Baja",'Mapa final'!$AD$45="Moderado"),CONCATENATE("R7C",'Mapa final'!$R$45),"")</f>
        <v/>
      </c>
      <c r="Z52" s="52" t="str">
        <f>IF(AND('Mapa final'!$AB$46="Muy Baja",'Mapa final'!$AD$46="Moderado"),CONCATENATE("R7C",'Mapa final'!$R$46),"")</f>
        <v/>
      </c>
      <c r="AA52" s="53" t="str">
        <f>IF(AND('Mapa final'!$AB$47="Muy Baja",'Mapa final'!$AD$47="Moderado"),CONCATENATE("R7C",'Mapa final'!$R$47),"")</f>
        <v/>
      </c>
      <c r="AB52" s="36" t="str">
        <f>IF(AND('Mapa final'!$AB$42="Muy Baja",'Mapa final'!$AD$42="Mayor"),CONCATENATE("R7C",'Mapa final'!$R$42),"")</f>
        <v/>
      </c>
      <c r="AC52" s="37" t="str">
        <f>IF(AND('Mapa final'!$AB$43="Muy Baja",'Mapa final'!$AD$43="Mayor"),CONCATENATE("R7C",'Mapa final'!$R$43),"")</f>
        <v/>
      </c>
      <c r="AD52" s="37" t="str">
        <f>IF(AND('Mapa final'!$AB$44="Muy Baja",'Mapa final'!$AD$44="Mayor"),CONCATENATE("R7C",'Mapa final'!$R$44),"")</f>
        <v/>
      </c>
      <c r="AE52" s="37" t="str">
        <f>IF(AND('Mapa final'!$AB$45="Muy Baja",'Mapa final'!$AD$45="Mayor"),CONCATENATE("R7C",'Mapa final'!$R$45),"")</f>
        <v/>
      </c>
      <c r="AF52" s="37" t="str">
        <f>IF(AND('Mapa final'!$AB$46="Muy Baja",'Mapa final'!$AD$46="Mayor"),CONCATENATE("R7C",'Mapa final'!$R$46),"")</f>
        <v/>
      </c>
      <c r="AG52" s="38" t="str">
        <f>IF(AND('Mapa final'!$AB$47="Muy Baja",'Mapa final'!$AD$47="Mayor"),CONCATENATE("R7C",'Mapa final'!$R$47),"")</f>
        <v/>
      </c>
      <c r="AH52" s="39" t="str">
        <f>IF(AND('Mapa final'!$AB$42="Muy Baja",'Mapa final'!$AD$42="Catastrófico"),CONCATENATE("R7C",'Mapa final'!$R$42),"")</f>
        <v/>
      </c>
      <c r="AI52" s="40" t="str">
        <f>IF(AND('Mapa final'!$AB$43="Muy Baja",'Mapa final'!$AD$43="Catastrófico"),CONCATENATE("R7C",'Mapa final'!$R$43),"")</f>
        <v/>
      </c>
      <c r="AJ52" s="40" t="str">
        <f>IF(AND('Mapa final'!$AB$44="Muy Baja",'Mapa final'!$AD$44="Catastrófico"),CONCATENATE("R7C",'Mapa final'!$R$44),"")</f>
        <v/>
      </c>
      <c r="AK52" s="40" t="str">
        <f>IF(AND('Mapa final'!$AB$45="Muy Baja",'Mapa final'!$AD$45="Catastrófico"),CONCATENATE("R7C",'Mapa final'!$R$45),"")</f>
        <v/>
      </c>
      <c r="AL52" s="40" t="str">
        <f>IF(AND('Mapa final'!$AB$46="Muy Baja",'Mapa final'!$AD$46="Catastrófico"),CONCATENATE("R7C",'Mapa final'!$R$46),"")</f>
        <v/>
      </c>
      <c r="AM52" s="41" t="str">
        <f>IF(AND('Mapa final'!$AB$47="Muy Baja",'Mapa final'!$AD$47="Catastrófico"),CONCATENATE("R7C",'Mapa final'!$R$47),"")</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33"/>
      <c r="C53" s="533"/>
      <c r="D53" s="534"/>
      <c r="E53" s="574"/>
      <c r="F53" s="575"/>
      <c r="G53" s="575"/>
      <c r="H53" s="575"/>
      <c r="I53" s="576"/>
      <c r="J53" s="60" t="str">
        <f>IF(AND('Mapa final'!$AB$48="Muy Baja",'Mapa final'!$AD$48="Leve"),CONCATENATE("R8C",'Mapa final'!$R$48),"")</f>
        <v/>
      </c>
      <c r="K53" s="61" t="str">
        <f>IF(AND('Mapa final'!$AB$49="Muy Baja",'Mapa final'!$AD$49="Leve"),CONCATENATE("R8C",'Mapa final'!$R$49),"")</f>
        <v/>
      </c>
      <c r="L53" s="61" t="str">
        <f>IF(AND('Mapa final'!$AB$50="Muy Baja",'Mapa final'!$AD$50="Leve"),CONCATENATE("R8C",'Mapa final'!$R$50),"")</f>
        <v/>
      </c>
      <c r="M53" s="61" t="str">
        <f>IF(AND('Mapa final'!$AB$51="Muy Baja",'Mapa final'!$AD$51="Leve"),CONCATENATE("R8C",'Mapa final'!$R$51),"")</f>
        <v/>
      </c>
      <c r="N53" s="61" t="str">
        <f>IF(AND('Mapa final'!$AB$52="Muy Baja",'Mapa final'!$AD$52="Leve"),CONCATENATE("R8C",'Mapa final'!$R$52),"")</f>
        <v/>
      </c>
      <c r="O53" s="62" t="str">
        <f>IF(AND('Mapa final'!$AB$53="Muy Baja",'Mapa final'!$AD$53="Leve"),CONCATENATE("R8C",'Mapa final'!$R$53),"")</f>
        <v/>
      </c>
      <c r="P53" s="60" t="str">
        <f>IF(AND('Mapa final'!$AB$48="Muy Baja",'Mapa final'!$AD$48="Menor"),CONCATENATE("R8C",'Mapa final'!$R$48),"")</f>
        <v/>
      </c>
      <c r="Q53" s="61" t="str">
        <f>IF(AND('Mapa final'!$AB$49="Muy Baja",'Mapa final'!$AD$49="Menor"),CONCATENATE("R8C",'Mapa final'!$R$49),"")</f>
        <v/>
      </c>
      <c r="R53" s="61" t="str">
        <f>IF(AND('Mapa final'!$AB$50="Muy Baja",'Mapa final'!$AD$50="Menor"),CONCATENATE("R8C",'Mapa final'!$R$50),"")</f>
        <v/>
      </c>
      <c r="S53" s="61" t="str">
        <f>IF(AND('Mapa final'!$AB$51="Muy Baja",'Mapa final'!$AD$51="Menor"),CONCATENATE("R8C",'Mapa final'!$R$51),"")</f>
        <v/>
      </c>
      <c r="T53" s="61" t="str">
        <f>IF(AND('Mapa final'!$AB$52="Muy Baja",'Mapa final'!$AD$52="Menor"),CONCATENATE("R8C",'Mapa final'!$R$52),"")</f>
        <v/>
      </c>
      <c r="U53" s="62" t="str">
        <f>IF(AND('Mapa final'!$AB$53="Muy Baja",'Mapa final'!$AD$53="Menor"),CONCATENATE("R8C",'Mapa final'!$R$53),"")</f>
        <v/>
      </c>
      <c r="V53" s="51" t="str">
        <f>IF(AND('Mapa final'!$AB$48="Muy Baja",'Mapa final'!$AD$48="Moderado"),CONCATENATE("R8C",'Mapa final'!$R$48),"")</f>
        <v/>
      </c>
      <c r="W53" s="52" t="str">
        <f>IF(AND('Mapa final'!$AB$49="Muy Baja",'Mapa final'!$AD$49="Moderado"),CONCATENATE("R8C",'Mapa final'!$R$49),"")</f>
        <v/>
      </c>
      <c r="X53" s="52" t="str">
        <f>IF(AND('Mapa final'!$AB$50="Muy Baja",'Mapa final'!$AD$50="Moderado"),CONCATENATE("R8C",'Mapa final'!$R$50),"")</f>
        <v/>
      </c>
      <c r="Y53" s="52" t="str">
        <f>IF(AND('Mapa final'!$AB$51="Muy Baja",'Mapa final'!$AD$51="Moderado"),CONCATENATE("R8C",'Mapa final'!$R$51),"")</f>
        <v/>
      </c>
      <c r="Z53" s="52" t="str">
        <f>IF(AND('Mapa final'!$AB$52="Muy Baja",'Mapa final'!$AD$52="Moderado"),CONCATENATE("R8C",'Mapa final'!$R$52),"")</f>
        <v/>
      </c>
      <c r="AA53" s="53" t="str">
        <f>IF(AND('Mapa final'!$AB$53="Muy Baja",'Mapa final'!$AD$53="Moderado"),CONCATENATE("R8C",'Mapa final'!$R$53),"")</f>
        <v/>
      </c>
      <c r="AB53" s="36" t="str">
        <f>IF(AND('Mapa final'!$AB$48="Muy Baja",'Mapa final'!$AD$48="Mayor"),CONCATENATE("R8C",'Mapa final'!$R$48),"")</f>
        <v/>
      </c>
      <c r="AC53" s="37" t="str">
        <f>IF(AND('Mapa final'!$AB$49="Muy Baja",'Mapa final'!$AD$49="Mayor"),CONCATENATE("R8C",'Mapa final'!$R$49),"")</f>
        <v/>
      </c>
      <c r="AD53" s="37" t="str">
        <f>IF(AND('Mapa final'!$AB$50="Muy Baja",'Mapa final'!$AD$50="Mayor"),CONCATENATE("R8C",'Mapa final'!$R$50),"")</f>
        <v/>
      </c>
      <c r="AE53" s="37" t="str">
        <f>IF(AND('Mapa final'!$AB$51="Muy Baja",'Mapa final'!$AD$51="Mayor"),CONCATENATE("R8C",'Mapa final'!$R$51),"")</f>
        <v/>
      </c>
      <c r="AF53" s="37" t="str">
        <f>IF(AND('Mapa final'!$AB$52="Muy Baja",'Mapa final'!$AD$52="Mayor"),CONCATENATE("R8C",'Mapa final'!$R$52),"")</f>
        <v/>
      </c>
      <c r="AG53" s="38" t="str">
        <f>IF(AND('Mapa final'!$AB$53="Muy Baja",'Mapa final'!$AD$53="Mayor"),CONCATENATE("R8C",'Mapa final'!$R$53),"")</f>
        <v/>
      </c>
      <c r="AH53" s="39" t="str">
        <f>IF(AND('Mapa final'!$AB$48="Muy Baja",'Mapa final'!$AD$48="Catastrófico"),CONCATENATE("R8C",'Mapa final'!$R$48),"")</f>
        <v/>
      </c>
      <c r="AI53" s="40" t="str">
        <f>IF(AND('Mapa final'!$AB$49="Muy Baja",'Mapa final'!$AD$49="Catastrófico"),CONCATENATE("R8C",'Mapa final'!$R$49),"")</f>
        <v/>
      </c>
      <c r="AJ53" s="40" t="str">
        <f>IF(AND('Mapa final'!$AB$50="Muy Baja",'Mapa final'!$AD$50="Catastrófico"),CONCATENATE("R8C",'Mapa final'!$R$50),"")</f>
        <v/>
      </c>
      <c r="AK53" s="40" t="str">
        <f>IF(AND('Mapa final'!$AB$51="Muy Baja",'Mapa final'!$AD$51="Catastrófico"),CONCATENATE("R8C",'Mapa final'!$R$51),"")</f>
        <v/>
      </c>
      <c r="AL53" s="40" t="str">
        <f>IF(AND('Mapa final'!$AB$52="Muy Baja",'Mapa final'!$AD$52="Catastrófico"),CONCATENATE("R8C",'Mapa final'!$R$52),"")</f>
        <v/>
      </c>
      <c r="AM53" s="41" t="str">
        <f>IF(AND('Mapa final'!$AB$53="Muy Baja",'Mapa final'!$AD$53="Catastrófico"),CONCATENATE("R8C",'Mapa final'!$R$53),"")</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33"/>
      <c r="C54" s="533"/>
      <c r="D54" s="534"/>
      <c r="E54" s="574"/>
      <c r="F54" s="575"/>
      <c r="G54" s="575"/>
      <c r="H54" s="575"/>
      <c r="I54" s="576"/>
      <c r="J54" s="60" t="str">
        <f>IF(AND('Mapa final'!$AB$54="Muy Baja",'Mapa final'!$AD$54="Leve"),CONCATENATE("R9C",'Mapa final'!$R$54),"")</f>
        <v/>
      </c>
      <c r="K54" s="61" t="str">
        <f>IF(AND('Mapa final'!$AB$55="Muy Baja",'Mapa final'!$AD$55="Leve"),CONCATENATE("R9C",'Mapa final'!$R$55),"")</f>
        <v/>
      </c>
      <c r="L54" s="61" t="str">
        <f>IF(AND('Mapa final'!$AB$56="Muy Baja",'Mapa final'!$AD$56="Leve"),CONCATENATE("R9C",'Mapa final'!$R$56),"")</f>
        <v/>
      </c>
      <c r="M54" s="61" t="str">
        <f>IF(AND('Mapa final'!$AB$57="Muy Baja",'Mapa final'!$AD$57="Leve"),CONCATENATE("R9C",'Mapa final'!$R$57),"")</f>
        <v/>
      </c>
      <c r="N54" s="61" t="str">
        <f>IF(AND('Mapa final'!$AB$58="Muy Baja",'Mapa final'!$AD$58="Leve"),CONCATENATE("R9C",'Mapa final'!$R$58),"")</f>
        <v/>
      </c>
      <c r="O54" s="62" t="str">
        <f>IF(AND('Mapa final'!$AB$59="Muy Baja",'Mapa final'!$AD$59="Leve"),CONCATENATE("R9C",'Mapa final'!$R$59),"")</f>
        <v/>
      </c>
      <c r="P54" s="60" t="str">
        <f>IF(AND('Mapa final'!$AB$54="Muy Baja",'Mapa final'!$AD$54="Menor"),CONCATENATE("R9C",'Mapa final'!$R$54),"")</f>
        <v/>
      </c>
      <c r="Q54" s="61" t="str">
        <f>IF(AND('Mapa final'!$AB$55="Muy Baja",'Mapa final'!$AD$55="Menor"),CONCATENATE("R9C",'Mapa final'!$R$55),"")</f>
        <v/>
      </c>
      <c r="R54" s="61" t="str">
        <f>IF(AND('Mapa final'!$AB$56="Muy Baja",'Mapa final'!$AD$56="Menor"),CONCATENATE("R9C",'Mapa final'!$R$56),"")</f>
        <v/>
      </c>
      <c r="S54" s="61" t="str">
        <f>IF(AND('Mapa final'!$AB$57="Muy Baja",'Mapa final'!$AD$57="Menor"),CONCATENATE("R9C",'Mapa final'!$R$57),"")</f>
        <v/>
      </c>
      <c r="T54" s="61" t="str">
        <f>IF(AND('Mapa final'!$AB$58="Muy Baja",'Mapa final'!$AD$58="Menor"),CONCATENATE("R9C",'Mapa final'!$R$58),"")</f>
        <v/>
      </c>
      <c r="U54" s="62" t="str">
        <f>IF(AND('Mapa final'!$AB$59="Muy Baja",'Mapa final'!$AD$59="Menor"),CONCATENATE("R9C",'Mapa final'!$R$59),"")</f>
        <v/>
      </c>
      <c r="V54" s="51" t="str">
        <f>IF(AND('Mapa final'!$AB$54="Muy Baja",'Mapa final'!$AD$54="Moderado"),CONCATENATE("R9C",'Mapa final'!$R$54),"")</f>
        <v/>
      </c>
      <c r="W54" s="52" t="str">
        <f>IF(AND('Mapa final'!$AB$55="Muy Baja",'Mapa final'!$AD$55="Moderado"),CONCATENATE("R9C",'Mapa final'!$R$55),"")</f>
        <v/>
      </c>
      <c r="X54" s="52" t="str">
        <f>IF(AND('Mapa final'!$AB$56="Muy Baja",'Mapa final'!$AD$56="Moderado"),CONCATENATE("R9C",'Mapa final'!$R$56),"")</f>
        <v/>
      </c>
      <c r="Y54" s="52" t="str">
        <f>IF(AND('Mapa final'!$AB$57="Muy Baja",'Mapa final'!$AD$57="Moderado"),CONCATENATE("R9C",'Mapa final'!$R$57),"")</f>
        <v/>
      </c>
      <c r="Z54" s="52" t="str">
        <f>IF(AND('Mapa final'!$AB$58="Muy Baja",'Mapa final'!$AD$58="Moderado"),CONCATENATE("R9C",'Mapa final'!$R$58),"")</f>
        <v/>
      </c>
      <c r="AA54" s="53" t="str">
        <f>IF(AND('Mapa final'!$AB$59="Muy Baja",'Mapa final'!$AD$59="Moderado"),CONCATENATE("R9C",'Mapa final'!$R$59),"")</f>
        <v/>
      </c>
      <c r="AB54" s="36" t="str">
        <f>IF(AND('Mapa final'!$AB$54="Muy Baja",'Mapa final'!$AD$54="Mayor"),CONCATENATE("R9C",'Mapa final'!$R$54),"")</f>
        <v/>
      </c>
      <c r="AC54" s="37" t="str">
        <f>IF(AND('Mapa final'!$AB$55="Muy Baja",'Mapa final'!$AD$55="Mayor"),CONCATENATE("R9C",'Mapa final'!$R$55),"")</f>
        <v/>
      </c>
      <c r="AD54" s="37" t="str">
        <f>IF(AND('Mapa final'!$AB$56="Muy Baja",'Mapa final'!$AD$56="Mayor"),CONCATENATE("R9C",'Mapa final'!$R$56),"")</f>
        <v/>
      </c>
      <c r="AE54" s="37" t="str">
        <f>IF(AND('Mapa final'!$AB$57="Muy Baja",'Mapa final'!$AD$57="Mayor"),CONCATENATE("R9C",'Mapa final'!$R$57),"")</f>
        <v/>
      </c>
      <c r="AF54" s="37" t="str">
        <f>IF(AND('Mapa final'!$AB$58="Muy Baja",'Mapa final'!$AD$58="Mayor"),CONCATENATE("R9C",'Mapa final'!$R$58),"")</f>
        <v/>
      </c>
      <c r="AG54" s="38" t="str">
        <f>IF(AND('Mapa final'!$AB$59="Muy Baja",'Mapa final'!$AD$59="Mayor"),CONCATENATE("R9C",'Mapa final'!$R$59),"")</f>
        <v/>
      </c>
      <c r="AH54" s="39" t="str">
        <f>IF(AND('Mapa final'!$AB$54="Muy Baja",'Mapa final'!$AD$54="Catastrófico"),CONCATENATE("R9C",'Mapa final'!$R$54),"")</f>
        <v/>
      </c>
      <c r="AI54" s="40" t="str">
        <f>IF(AND('Mapa final'!$AB$55="Muy Baja",'Mapa final'!$AD$55="Catastrófico"),CONCATENATE("R9C",'Mapa final'!$R$55),"")</f>
        <v/>
      </c>
      <c r="AJ54" s="40" t="str">
        <f>IF(AND('Mapa final'!$AB$56="Muy Baja",'Mapa final'!$AD$56="Catastrófico"),CONCATENATE("R9C",'Mapa final'!$R$56),"")</f>
        <v/>
      </c>
      <c r="AK54" s="40" t="str">
        <f>IF(AND('Mapa final'!$AB$57="Muy Baja",'Mapa final'!$AD$57="Catastrófico"),CONCATENATE("R9C",'Mapa final'!$R$57),"")</f>
        <v/>
      </c>
      <c r="AL54" s="40" t="str">
        <f>IF(AND('Mapa final'!$AB$58="Muy Baja",'Mapa final'!$AD$58="Catastrófico"),CONCATENATE("R9C",'Mapa final'!$R$58),"")</f>
        <v/>
      </c>
      <c r="AM54" s="41" t="str">
        <f>IF(AND('Mapa final'!$AB$59="Muy Baja",'Mapa final'!$AD$59="Catastrófico"),CONCATENATE("R9C",'Mapa final'!$R$59),"")</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33"/>
      <c r="C55" s="533"/>
      <c r="D55" s="534"/>
      <c r="E55" s="577"/>
      <c r="F55" s="578"/>
      <c r="G55" s="578"/>
      <c r="H55" s="578"/>
      <c r="I55" s="579"/>
      <c r="J55" s="63" t="str">
        <f>IF(AND('Mapa final'!$AB$60="Muy Baja",'Mapa final'!$AD$60="Leve"),CONCATENATE("R10C",'Mapa final'!$R$60),"")</f>
        <v/>
      </c>
      <c r="K55" s="64" t="str">
        <f>IF(AND('Mapa final'!$AB$61="Muy Baja",'Mapa final'!$AD$61="Leve"),CONCATENATE("R10C",'Mapa final'!$R$61),"")</f>
        <v/>
      </c>
      <c r="L55" s="64" t="str">
        <f>IF(AND('Mapa final'!$AB$62="Muy Baja",'Mapa final'!$AD$62="Leve"),CONCATENATE("R10C",'Mapa final'!$R$62),"")</f>
        <v/>
      </c>
      <c r="M55" s="64" t="str">
        <f>IF(AND('Mapa final'!$AB$63="Muy Baja",'Mapa final'!$AD$63="Leve"),CONCATENATE("R10C",'Mapa final'!$R$63),"")</f>
        <v/>
      </c>
      <c r="N55" s="64" t="str">
        <f>IF(AND('Mapa final'!$AB$64="Muy Baja",'Mapa final'!$AD$64="Leve"),CONCATENATE("R10C",'Mapa final'!$R$64),"")</f>
        <v/>
      </c>
      <c r="O55" s="65" t="str">
        <f>IF(AND('Mapa final'!$AB$65="Muy Baja",'Mapa final'!$AD$65="Leve"),CONCATENATE("R10C",'Mapa final'!$R$65),"")</f>
        <v/>
      </c>
      <c r="P55" s="63" t="str">
        <f>IF(AND('Mapa final'!$AB$60="Muy Baja",'Mapa final'!$AD$60="Menor"),CONCATENATE("R10C",'Mapa final'!$R$60),"")</f>
        <v/>
      </c>
      <c r="Q55" s="64" t="str">
        <f>IF(AND('Mapa final'!$AB$61="Muy Baja",'Mapa final'!$AD$61="Menor"),CONCATENATE("R10C",'Mapa final'!$R$61),"")</f>
        <v/>
      </c>
      <c r="R55" s="64" t="str">
        <f>IF(AND('Mapa final'!$AB$62="Muy Baja",'Mapa final'!$AD$62="Menor"),CONCATENATE("R10C",'Mapa final'!$R$62),"")</f>
        <v/>
      </c>
      <c r="S55" s="64" t="str">
        <f>IF(AND('Mapa final'!$AB$63="Muy Baja",'Mapa final'!$AD$63="Menor"),CONCATENATE("R10C",'Mapa final'!$R$63),"")</f>
        <v/>
      </c>
      <c r="T55" s="64" t="str">
        <f>IF(AND('Mapa final'!$AB$64="Muy Baja",'Mapa final'!$AD$64="Menor"),CONCATENATE("R10C",'Mapa final'!$R$64),"")</f>
        <v/>
      </c>
      <c r="U55" s="65" t="str">
        <f>IF(AND('Mapa final'!$AB$65="Muy Baja",'Mapa final'!$AD$65="Menor"),CONCATENATE("R10C",'Mapa final'!$R$65),"")</f>
        <v/>
      </c>
      <c r="V55" s="54" t="str">
        <f>IF(AND('Mapa final'!$AB$60="Muy Baja",'Mapa final'!$AD$60="Moderado"),CONCATENATE("R10C",'Mapa final'!$R$60),"")</f>
        <v/>
      </c>
      <c r="W55" s="55" t="str">
        <f>IF(AND('Mapa final'!$AB$61="Muy Baja",'Mapa final'!$AD$61="Moderado"),CONCATENATE("R10C",'Mapa final'!$R$61),"")</f>
        <v/>
      </c>
      <c r="X55" s="55" t="str">
        <f>IF(AND('Mapa final'!$AB$62="Muy Baja",'Mapa final'!$AD$62="Moderado"),CONCATENATE("R10C",'Mapa final'!$R$62),"")</f>
        <v/>
      </c>
      <c r="Y55" s="55" t="str">
        <f>IF(AND('Mapa final'!$AB$63="Muy Baja",'Mapa final'!$AD$63="Moderado"),CONCATENATE("R10C",'Mapa final'!$R$63),"")</f>
        <v/>
      </c>
      <c r="Z55" s="55" t="str">
        <f>IF(AND('Mapa final'!$AB$64="Muy Baja",'Mapa final'!$AD$64="Moderado"),CONCATENATE("R10C",'Mapa final'!$R$64),"")</f>
        <v/>
      </c>
      <c r="AA55" s="56" t="str">
        <f>IF(AND('Mapa final'!$AB$65="Muy Baja",'Mapa final'!$AD$65="Moderado"),CONCATENATE("R10C",'Mapa final'!$R$65),"")</f>
        <v/>
      </c>
      <c r="AB55" s="42" t="str">
        <f>IF(AND('Mapa final'!$AB$60="Muy Baja",'Mapa final'!$AD$60="Mayor"),CONCATENATE("R10C",'Mapa final'!$R$60),"")</f>
        <v/>
      </c>
      <c r="AC55" s="43" t="str">
        <f>IF(AND('Mapa final'!$AB$61="Muy Baja",'Mapa final'!$AD$61="Mayor"),CONCATENATE("R10C",'Mapa final'!$R$61),"")</f>
        <v/>
      </c>
      <c r="AD55" s="43" t="str">
        <f>IF(AND('Mapa final'!$AB$62="Muy Baja",'Mapa final'!$AD$62="Mayor"),CONCATENATE("R10C",'Mapa final'!$R$62),"")</f>
        <v/>
      </c>
      <c r="AE55" s="43" t="str">
        <f>IF(AND('Mapa final'!$AB$63="Muy Baja",'Mapa final'!$AD$63="Mayor"),CONCATENATE("R10C",'Mapa final'!$R$63),"")</f>
        <v/>
      </c>
      <c r="AF55" s="43" t="str">
        <f>IF(AND('Mapa final'!$AB$64="Muy Baja",'Mapa final'!$AD$64="Mayor"),CONCATENATE("R10C",'Mapa final'!$R$64),"")</f>
        <v/>
      </c>
      <c r="AG55" s="44" t="str">
        <f>IF(AND('Mapa final'!$AB$65="Muy Baja",'Mapa final'!$AD$65="Mayor"),CONCATENATE("R10C",'Mapa final'!$R$65),"")</f>
        <v/>
      </c>
      <c r="AH55" s="45" t="str">
        <f>IF(AND('Mapa final'!$AB$60="Muy Baja",'Mapa final'!$AD$60="Catastrófico"),CONCATENATE("R10C",'Mapa final'!$R$60),"")</f>
        <v/>
      </c>
      <c r="AI55" s="46" t="str">
        <f>IF(AND('Mapa final'!$AB$61="Muy Baja",'Mapa final'!$AD$61="Catastrófico"),CONCATENATE("R10C",'Mapa final'!$R$61),"")</f>
        <v/>
      </c>
      <c r="AJ55" s="46" t="str">
        <f>IF(AND('Mapa final'!$AB$62="Muy Baja",'Mapa final'!$AD$62="Catastrófico"),CONCATENATE("R10C",'Mapa final'!$R$62),"")</f>
        <v/>
      </c>
      <c r="AK55" s="46" t="str">
        <f>IF(AND('Mapa final'!$AB$63="Muy Baja",'Mapa final'!$AD$63="Catastrófico"),CONCATENATE("R10C",'Mapa final'!$R$63),"")</f>
        <v/>
      </c>
      <c r="AL55" s="46" t="str">
        <f>IF(AND('Mapa final'!$AB$64="Muy Baja",'Mapa final'!$AD$64="Catastrófico"),CONCATENATE("R10C",'Mapa final'!$R$64),"")</f>
        <v/>
      </c>
      <c r="AM55" s="47" t="str">
        <f>IF(AND('Mapa final'!$AB$65="Muy Baja",'Mapa final'!$AD$65="Catastrófico"),CONCATENATE("R10C",'Mapa final'!$R$65),"")</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71" t="s">
        <v>106</v>
      </c>
      <c r="K56" s="572"/>
      <c r="L56" s="572"/>
      <c r="M56" s="572"/>
      <c r="N56" s="572"/>
      <c r="O56" s="573"/>
      <c r="P56" s="571" t="s">
        <v>105</v>
      </c>
      <c r="Q56" s="572"/>
      <c r="R56" s="572"/>
      <c r="S56" s="572"/>
      <c r="T56" s="572"/>
      <c r="U56" s="573"/>
      <c r="V56" s="571" t="s">
        <v>104</v>
      </c>
      <c r="W56" s="572"/>
      <c r="X56" s="572"/>
      <c r="Y56" s="572"/>
      <c r="Z56" s="572"/>
      <c r="AA56" s="573"/>
      <c r="AB56" s="571" t="s">
        <v>103</v>
      </c>
      <c r="AC56" s="580"/>
      <c r="AD56" s="572"/>
      <c r="AE56" s="572"/>
      <c r="AF56" s="572"/>
      <c r="AG56" s="573"/>
      <c r="AH56" s="571" t="s">
        <v>102</v>
      </c>
      <c r="AI56" s="572"/>
      <c r="AJ56" s="572"/>
      <c r="AK56" s="572"/>
      <c r="AL56" s="572"/>
      <c r="AM56" s="57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74"/>
      <c r="K57" s="575"/>
      <c r="L57" s="575"/>
      <c r="M57" s="575"/>
      <c r="N57" s="575"/>
      <c r="O57" s="576"/>
      <c r="P57" s="574"/>
      <c r="Q57" s="575"/>
      <c r="R57" s="575"/>
      <c r="S57" s="575"/>
      <c r="T57" s="575"/>
      <c r="U57" s="576"/>
      <c r="V57" s="574"/>
      <c r="W57" s="575"/>
      <c r="X57" s="575"/>
      <c r="Y57" s="575"/>
      <c r="Z57" s="575"/>
      <c r="AA57" s="576"/>
      <c r="AB57" s="574"/>
      <c r="AC57" s="575"/>
      <c r="AD57" s="575"/>
      <c r="AE57" s="575"/>
      <c r="AF57" s="575"/>
      <c r="AG57" s="576"/>
      <c r="AH57" s="574"/>
      <c r="AI57" s="575"/>
      <c r="AJ57" s="575"/>
      <c r="AK57" s="575"/>
      <c r="AL57" s="575"/>
      <c r="AM57" s="576"/>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74"/>
      <c r="K58" s="575"/>
      <c r="L58" s="575"/>
      <c r="M58" s="575"/>
      <c r="N58" s="575"/>
      <c r="O58" s="576"/>
      <c r="P58" s="574"/>
      <c r="Q58" s="575"/>
      <c r="R58" s="575"/>
      <c r="S58" s="575"/>
      <c r="T58" s="575"/>
      <c r="U58" s="576"/>
      <c r="V58" s="574"/>
      <c r="W58" s="575"/>
      <c r="X58" s="575"/>
      <c r="Y58" s="575"/>
      <c r="Z58" s="575"/>
      <c r="AA58" s="576"/>
      <c r="AB58" s="574"/>
      <c r="AC58" s="575"/>
      <c r="AD58" s="575"/>
      <c r="AE58" s="575"/>
      <c r="AF58" s="575"/>
      <c r="AG58" s="576"/>
      <c r="AH58" s="574"/>
      <c r="AI58" s="575"/>
      <c r="AJ58" s="575"/>
      <c r="AK58" s="575"/>
      <c r="AL58" s="575"/>
      <c r="AM58" s="576"/>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74"/>
      <c r="K59" s="575"/>
      <c r="L59" s="575"/>
      <c r="M59" s="575"/>
      <c r="N59" s="575"/>
      <c r="O59" s="576"/>
      <c r="P59" s="574"/>
      <c r="Q59" s="575"/>
      <c r="R59" s="575"/>
      <c r="S59" s="575"/>
      <c r="T59" s="575"/>
      <c r="U59" s="576"/>
      <c r="V59" s="574"/>
      <c r="W59" s="575"/>
      <c r="X59" s="575"/>
      <c r="Y59" s="575"/>
      <c r="Z59" s="575"/>
      <c r="AA59" s="576"/>
      <c r="AB59" s="574"/>
      <c r="AC59" s="575"/>
      <c r="AD59" s="575"/>
      <c r="AE59" s="575"/>
      <c r="AF59" s="575"/>
      <c r="AG59" s="576"/>
      <c r="AH59" s="574"/>
      <c r="AI59" s="575"/>
      <c r="AJ59" s="575"/>
      <c r="AK59" s="575"/>
      <c r="AL59" s="575"/>
      <c r="AM59" s="576"/>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74"/>
      <c r="K60" s="575"/>
      <c r="L60" s="575"/>
      <c r="M60" s="575"/>
      <c r="N60" s="575"/>
      <c r="O60" s="576"/>
      <c r="P60" s="574"/>
      <c r="Q60" s="575"/>
      <c r="R60" s="575"/>
      <c r="S60" s="575"/>
      <c r="T60" s="575"/>
      <c r="U60" s="576"/>
      <c r="V60" s="574"/>
      <c r="W60" s="575"/>
      <c r="X60" s="575"/>
      <c r="Y60" s="575"/>
      <c r="Z60" s="575"/>
      <c r="AA60" s="576"/>
      <c r="AB60" s="574"/>
      <c r="AC60" s="575"/>
      <c r="AD60" s="575"/>
      <c r="AE60" s="575"/>
      <c r="AF60" s="575"/>
      <c r="AG60" s="576"/>
      <c r="AH60" s="574"/>
      <c r="AI60" s="575"/>
      <c r="AJ60" s="575"/>
      <c r="AK60" s="575"/>
      <c r="AL60" s="575"/>
      <c r="AM60" s="576"/>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77"/>
      <c r="K61" s="578"/>
      <c r="L61" s="578"/>
      <c r="M61" s="578"/>
      <c r="N61" s="578"/>
      <c r="O61" s="579"/>
      <c r="P61" s="577"/>
      <c r="Q61" s="578"/>
      <c r="R61" s="578"/>
      <c r="S61" s="578"/>
      <c r="T61" s="578"/>
      <c r="U61" s="579"/>
      <c r="V61" s="577"/>
      <c r="W61" s="578"/>
      <c r="X61" s="578"/>
      <c r="Y61" s="578"/>
      <c r="Z61" s="578"/>
      <c r="AA61" s="579"/>
      <c r="AB61" s="577"/>
      <c r="AC61" s="578"/>
      <c r="AD61" s="578"/>
      <c r="AE61" s="578"/>
      <c r="AF61" s="578"/>
      <c r="AG61" s="579"/>
      <c r="AH61" s="577"/>
      <c r="AI61" s="578"/>
      <c r="AJ61" s="578"/>
      <c r="AK61" s="578"/>
      <c r="AL61" s="578"/>
      <c r="AM61" s="579"/>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C6" sqref="C6"/>
    </sheetView>
  </sheetViews>
  <sheetFormatPr baseColWidth="10" defaultRowHeight="14.4" x14ac:dyDescent="0.3"/>
  <cols>
    <col min="2" max="2" width="24.21875" customWidth="1"/>
    <col min="3" max="3" width="70.21875" customWidth="1"/>
    <col min="4" max="4" width="29.77734375" customWidth="1"/>
  </cols>
  <sheetData>
    <row r="1" spans="1:37" ht="23.4" x14ac:dyDescent="0.3">
      <c r="A1" s="67"/>
      <c r="B1" s="620" t="s">
        <v>54</v>
      </c>
      <c r="C1" s="620"/>
      <c r="D1" s="620"/>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topLeftCell="A2" zoomScale="70" zoomScaleNormal="70" workbookViewId="0">
      <selection activeCell="D6" sqref="D6"/>
    </sheetView>
  </sheetViews>
  <sheetFormatPr baseColWidth="10" defaultColWidth="11.44140625" defaultRowHeight="14.4" x14ac:dyDescent="0.3"/>
  <cols>
    <col min="1" max="1" width="11.44140625" style="22"/>
    <col min="2" max="2" width="40.44140625" style="22" customWidth="1"/>
    <col min="3" max="3" width="74.77734375" style="22" customWidth="1"/>
    <col min="4" max="4" width="135" style="22" bestFit="1" customWidth="1"/>
    <col min="5" max="5" width="137.77734375" style="22" customWidth="1"/>
    <col min="6" max="16384" width="11.44140625" style="22"/>
  </cols>
  <sheetData>
    <row r="1" spans="1:21" ht="32.4" x14ac:dyDescent="0.3">
      <c r="A1" s="89"/>
      <c r="B1" s="621" t="s">
        <v>61</v>
      </c>
      <c r="C1" s="621"/>
      <c r="D1" s="621"/>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55</v>
      </c>
      <c r="D3" s="126" t="s">
        <v>56</v>
      </c>
      <c r="E3" s="89"/>
      <c r="F3" s="89"/>
      <c r="G3" s="89"/>
      <c r="H3" s="89"/>
      <c r="I3" s="89"/>
      <c r="J3" s="89"/>
      <c r="K3" s="89"/>
      <c r="L3" s="89"/>
      <c r="M3" s="89"/>
      <c r="N3" s="89"/>
      <c r="O3" s="89"/>
      <c r="P3" s="89"/>
      <c r="Q3" s="89"/>
      <c r="R3" s="89"/>
      <c r="S3" s="89"/>
      <c r="T3" s="89"/>
      <c r="U3" s="89"/>
    </row>
    <row r="4" spans="1:21" ht="32.4" x14ac:dyDescent="0.3">
      <c r="A4" s="89" t="s">
        <v>81</v>
      </c>
      <c r="B4" s="127" t="s">
        <v>95</v>
      </c>
      <c r="C4" s="128" t="s">
        <v>204</v>
      </c>
      <c r="D4" s="129" t="s">
        <v>91</v>
      </c>
      <c r="E4" s="89"/>
      <c r="F4" s="89"/>
      <c r="G4" s="89"/>
      <c r="H4" s="89"/>
      <c r="I4" s="89"/>
      <c r="J4" s="89"/>
      <c r="K4" s="89"/>
      <c r="L4" s="89"/>
      <c r="M4" s="89"/>
      <c r="N4" s="89"/>
      <c r="O4" s="89"/>
      <c r="P4" s="89"/>
      <c r="Q4" s="89"/>
      <c r="R4" s="89"/>
      <c r="S4" s="89"/>
      <c r="T4" s="89"/>
      <c r="U4" s="89"/>
    </row>
    <row r="5" spans="1:21" ht="64.8" x14ac:dyDescent="0.3">
      <c r="A5" s="89" t="s">
        <v>82</v>
      </c>
      <c r="B5" s="130" t="s">
        <v>57</v>
      </c>
      <c r="C5" s="131" t="s">
        <v>205</v>
      </c>
      <c r="D5" s="132" t="s">
        <v>92</v>
      </c>
      <c r="E5" s="89"/>
      <c r="F5" s="89"/>
      <c r="G5" s="89"/>
      <c r="H5" s="89"/>
      <c r="I5" s="89"/>
      <c r="J5" s="89"/>
      <c r="K5" s="89"/>
      <c r="L5" s="89"/>
      <c r="M5" s="89"/>
      <c r="N5" s="89"/>
      <c r="O5" s="89"/>
      <c r="P5" s="89"/>
      <c r="Q5" s="89"/>
      <c r="R5" s="89"/>
      <c r="S5" s="89"/>
      <c r="T5" s="89"/>
      <c r="U5" s="89"/>
    </row>
    <row r="6" spans="1:21" ht="64.8" x14ac:dyDescent="0.3">
      <c r="A6" s="89" t="s">
        <v>79</v>
      </c>
      <c r="B6" s="133" t="s">
        <v>58</v>
      </c>
      <c r="C6" s="131" t="s">
        <v>209</v>
      </c>
      <c r="D6" s="132" t="s">
        <v>94</v>
      </c>
      <c r="E6" s="89"/>
      <c r="F6" s="89"/>
      <c r="G6" s="89"/>
      <c r="H6" s="89"/>
      <c r="I6" s="89"/>
      <c r="J6" s="89"/>
      <c r="K6" s="89"/>
      <c r="L6" s="89"/>
      <c r="M6" s="89"/>
      <c r="N6" s="89"/>
      <c r="O6" s="89"/>
      <c r="P6" s="89"/>
      <c r="Q6" s="89"/>
      <c r="R6" s="89"/>
      <c r="S6" s="89"/>
      <c r="T6" s="89"/>
      <c r="U6" s="89"/>
    </row>
    <row r="7" spans="1:21" ht="97.2" x14ac:dyDescent="0.3">
      <c r="A7" s="89" t="s">
        <v>7</v>
      </c>
      <c r="B7" s="134" t="s">
        <v>59</v>
      </c>
      <c r="C7" s="131" t="s">
        <v>210</v>
      </c>
      <c r="D7" s="132" t="s">
        <v>93</v>
      </c>
      <c r="E7" s="89"/>
      <c r="F7" s="89"/>
      <c r="G7" s="89"/>
      <c r="H7" s="89"/>
      <c r="I7" s="89"/>
      <c r="J7" s="89"/>
      <c r="K7" s="89"/>
      <c r="L7" s="89"/>
      <c r="M7" s="89"/>
      <c r="N7" s="89"/>
      <c r="O7" s="89"/>
      <c r="P7" s="89"/>
      <c r="Q7" s="89"/>
      <c r="R7" s="89"/>
      <c r="S7" s="89"/>
      <c r="T7" s="89"/>
      <c r="U7" s="89"/>
    </row>
    <row r="8" spans="1:21" ht="64.8" x14ac:dyDescent="0.3">
      <c r="A8" s="89" t="s">
        <v>83</v>
      </c>
      <c r="B8" s="135" t="s">
        <v>60</v>
      </c>
      <c r="C8" s="131" t="s">
        <v>206</v>
      </c>
      <c r="D8" s="132"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0"/>
      <c r="D9" s="140"/>
      <c r="E9" s="87"/>
      <c r="F9" s="87"/>
      <c r="G9" s="87"/>
      <c r="H9" s="87"/>
      <c r="I9" s="87"/>
      <c r="J9" s="87"/>
      <c r="K9" s="87"/>
      <c r="L9" s="87"/>
      <c r="M9" s="87"/>
      <c r="N9" s="87"/>
      <c r="O9" s="87"/>
      <c r="P9" s="87"/>
      <c r="Q9" s="87"/>
      <c r="R9" s="87"/>
      <c r="S9" s="87"/>
      <c r="T9" s="87"/>
      <c r="U9" s="87"/>
    </row>
    <row r="10" spans="1:21" s="23" customFormat="1" x14ac:dyDescent="0.3">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0"/>
      <c r="D22" s="140"/>
      <c r="E22" s="87"/>
      <c r="F22" s="87"/>
      <c r="G22" s="87"/>
      <c r="H22" s="87"/>
      <c r="I22" s="87"/>
      <c r="J22" s="87"/>
      <c r="K22" s="87"/>
      <c r="L22" s="87"/>
      <c r="M22" s="87"/>
      <c r="N22" s="87"/>
      <c r="O22" s="87"/>
    </row>
    <row r="23" spans="1:15" s="23" customFormat="1" ht="20.399999999999999" x14ac:dyDescent="0.3">
      <c r="A23" s="87"/>
      <c r="B23" s="87"/>
      <c r="C23" s="140"/>
      <c r="D23" s="140"/>
      <c r="E23" s="87"/>
      <c r="F23" s="87"/>
      <c r="G23" s="87"/>
      <c r="H23" s="87"/>
      <c r="I23" s="87"/>
      <c r="J23" s="87"/>
      <c r="K23" s="87"/>
      <c r="L23" s="87"/>
      <c r="M23" s="87"/>
      <c r="N23" s="87"/>
      <c r="O23" s="87"/>
    </row>
    <row r="24" spans="1:15" s="23" customFormat="1" ht="20.399999999999999" x14ac:dyDescent="0.3">
      <c r="A24" s="87"/>
      <c r="B24" s="87"/>
      <c r="C24" s="140"/>
      <c r="D24" s="140"/>
      <c r="E24" s="87"/>
      <c r="F24" s="87"/>
      <c r="G24" s="87"/>
      <c r="H24" s="87"/>
      <c r="I24" s="87"/>
      <c r="J24" s="87"/>
      <c r="K24" s="87"/>
      <c r="L24" s="87"/>
      <c r="M24" s="87"/>
      <c r="N24" s="87"/>
      <c r="O24" s="87"/>
    </row>
    <row r="25" spans="1:15" s="23" customFormat="1" ht="20.399999999999999" x14ac:dyDescent="0.3">
      <c r="A25" s="87"/>
      <c r="B25" s="87"/>
      <c r="C25" s="140"/>
      <c r="D25" s="140"/>
      <c r="E25" s="87"/>
      <c r="F25" s="87"/>
      <c r="G25" s="87"/>
      <c r="H25" s="87"/>
      <c r="I25" s="87"/>
      <c r="J25" s="87"/>
      <c r="K25" s="87"/>
      <c r="L25" s="87"/>
      <c r="M25" s="87"/>
      <c r="N25" s="87"/>
      <c r="O25" s="87"/>
    </row>
    <row r="26" spans="1:15" s="23" customFormat="1" ht="20.399999999999999" x14ac:dyDescent="0.3">
      <c r="A26" s="87"/>
      <c r="B26" s="87"/>
      <c r="C26" s="140"/>
      <c r="D26" s="140"/>
      <c r="E26" s="87"/>
      <c r="F26" s="87"/>
      <c r="G26" s="87"/>
      <c r="H26" s="87"/>
      <c r="I26" s="87"/>
      <c r="J26" s="87"/>
      <c r="K26" s="87"/>
      <c r="L26" s="87"/>
      <c r="M26" s="87"/>
      <c r="N26" s="87"/>
      <c r="O26" s="87"/>
    </row>
    <row r="27" spans="1:15" s="23" customFormat="1" ht="20.399999999999999" x14ac:dyDescent="0.3">
      <c r="A27" s="87"/>
      <c r="B27" s="87"/>
      <c r="C27" s="140"/>
      <c r="D27" s="140"/>
      <c r="E27" s="87"/>
      <c r="F27" s="87"/>
      <c r="G27" s="87"/>
      <c r="H27" s="87"/>
      <c r="I27" s="87"/>
      <c r="J27" s="87"/>
      <c r="K27" s="87"/>
      <c r="L27" s="87"/>
      <c r="M27" s="87"/>
      <c r="N27" s="87"/>
      <c r="O27" s="87"/>
    </row>
    <row r="28" spans="1:15" s="23" customFormat="1" ht="20.399999999999999" x14ac:dyDescent="0.3">
      <c r="A28" s="87"/>
      <c r="B28" s="87"/>
      <c r="C28" s="140"/>
      <c r="D28" s="140"/>
      <c r="E28" s="87"/>
      <c r="F28" s="87"/>
      <c r="G28" s="87"/>
      <c r="H28" s="87"/>
      <c r="I28" s="87"/>
      <c r="J28" s="87"/>
      <c r="K28" s="87"/>
      <c r="L28" s="87"/>
      <c r="M28" s="87"/>
      <c r="N28" s="87"/>
      <c r="O28" s="87"/>
    </row>
    <row r="29" spans="1:15" s="23" customFormat="1" ht="20.399999999999999" x14ac:dyDescent="0.3">
      <c r="A29" s="87"/>
      <c r="B29" s="87"/>
      <c r="C29" s="140"/>
      <c r="D29" s="140"/>
      <c r="E29" s="87"/>
      <c r="F29" s="87"/>
      <c r="G29" s="87"/>
      <c r="H29" s="87"/>
      <c r="I29" s="87"/>
      <c r="J29" s="87"/>
      <c r="K29" s="87"/>
      <c r="L29" s="87"/>
      <c r="M29" s="87"/>
      <c r="N29" s="87"/>
      <c r="O29" s="87"/>
    </row>
    <row r="30" spans="1:15" s="23" customFormat="1" ht="20.399999999999999" x14ac:dyDescent="0.3">
      <c r="A30" s="87"/>
      <c r="B30" s="87"/>
      <c r="C30" s="140"/>
      <c r="D30" s="140"/>
      <c r="E30" s="87"/>
      <c r="F30" s="87"/>
      <c r="G30" s="87"/>
      <c r="H30" s="87"/>
      <c r="I30" s="87"/>
      <c r="J30" s="87"/>
      <c r="K30" s="87"/>
      <c r="L30" s="87"/>
      <c r="M30" s="87"/>
      <c r="N30" s="87"/>
      <c r="O30" s="87"/>
    </row>
    <row r="31" spans="1:15" s="23" customFormat="1" ht="20.399999999999999" x14ac:dyDescent="0.3">
      <c r="A31" s="87"/>
      <c r="B31" s="87"/>
      <c r="C31" s="140"/>
      <c r="D31" s="140"/>
      <c r="E31" s="87"/>
      <c r="F31" s="87"/>
      <c r="G31" s="87"/>
      <c r="H31" s="87"/>
      <c r="I31" s="87"/>
      <c r="J31" s="87"/>
      <c r="K31" s="87"/>
      <c r="L31" s="87"/>
      <c r="M31" s="87"/>
      <c r="N31" s="87"/>
      <c r="O31" s="87"/>
    </row>
    <row r="32" spans="1:15" s="23" customFormat="1" ht="20.399999999999999" x14ac:dyDescent="0.3">
      <c r="A32" s="87"/>
      <c r="B32" s="87"/>
      <c r="C32" s="140"/>
      <c r="D32" s="140"/>
      <c r="E32" s="87"/>
      <c r="F32" s="87"/>
      <c r="G32" s="87"/>
      <c r="H32" s="87"/>
      <c r="I32" s="87"/>
      <c r="J32" s="87"/>
      <c r="K32" s="87"/>
      <c r="L32" s="87"/>
      <c r="M32" s="87"/>
      <c r="N32" s="87"/>
      <c r="O32" s="87"/>
    </row>
    <row r="33" spans="1:15" s="23" customFormat="1" ht="20.399999999999999" x14ac:dyDescent="0.3">
      <c r="A33" s="87"/>
      <c r="B33" s="87"/>
      <c r="C33" s="140"/>
      <c r="D33" s="140"/>
      <c r="E33" s="87"/>
      <c r="F33" s="87"/>
      <c r="G33" s="87"/>
      <c r="H33" s="87"/>
      <c r="I33" s="87"/>
      <c r="J33" s="87"/>
      <c r="K33" s="87"/>
      <c r="L33" s="87"/>
      <c r="M33" s="87"/>
      <c r="N33" s="87"/>
      <c r="O33" s="87"/>
    </row>
    <row r="34" spans="1:15" s="23" customFormat="1" ht="20.399999999999999" x14ac:dyDescent="0.3">
      <c r="A34" s="87"/>
      <c r="B34" s="87"/>
      <c r="C34" s="140"/>
      <c r="D34" s="140"/>
      <c r="E34" s="87"/>
      <c r="F34" s="87"/>
      <c r="G34" s="87"/>
      <c r="H34" s="87"/>
      <c r="I34" s="87"/>
      <c r="J34" s="87"/>
      <c r="K34" s="87"/>
      <c r="L34" s="87"/>
      <c r="M34" s="87"/>
      <c r="N34" s="87"/>
      <c r="O34" s="87"/>
    </row>
    <row r="35" spans="1:15" s="23" customFormat="1" ht="20.399999999999999" x14ac:dyDescent="0.3">
      <c r="A35" s="87"/>
      <c r="B35" s="87"/>
      <c r="C35" s="140"/>
      <c r="D35" s="140"/>
      <c r="E35" s="87"/>
      <c r="F35" s="87"/>
      <c r="G35" s="87"/>
      <c r="H35" s="87"/>
      <c r="I35" s="87"/>
      <c r="J35" s="87"/>
      <c r="K35" s="87"/>
      <c r="L35" s="87"/>
      <c r="M35" s="87"/>
      <c r="N35" s="87"/>
      <c r="O35" s="87"/>
    </row>
    <row r="36" spans="1:15" s="23" customFormat="1" ht="20.399999999999999" x14ac:dyDescent="0.3">
      <c r="A36" s="87"/>
      <c r="B36" s="87"/>
      <c r="C36" s="140"/>
      <c r="D36" s="140"/>
      <c r="E36" s="87"/>
      <c r="F36" s="87"/>
      <c r="G36" s="87"/>
      <c r="H36" s="87"/>
      <c r="I36" s="87"/>
      <c r="J36" s="87"/>
      <c r="K36" s="87"/>
      <c r="L36" s="87"/>
      <c r="M36" s="87"/>
      <c r="N36" s="87"/>
      <c r="O36" s="87"/>
    </row>
    <row r="37" spans="1:15" s="23" customFormat="1" ht="20.399999999999999" x14ac:dyDescent="0.3">
      <c r="A37" s="87"/>
      <c r="B37" s="87"/>
      <c r="C37" s="140"/>
      <c r="D37" s="140"/>
      <c r="E37" s="87"/>
      <c r="F37" s="87"/>
      <c r="G37" s="87"/>
      <c r="H37" s="87"/>
      <c r="I37" s="87"/>
      <c r="J37" s="87"/>
      <c r="K37" s="87"/>
      <c r="L37" s="87"/>
      <c r="M37" s="87"/>
      <c r="N37" s="87"/>
      <c r="O37" s="87"/>
    </row>
    <row r="38" spans="1:15" s="23" customFormat="1" ht="20.399999999999999" x14ac:dyDescent="0.3">
      <c r="A38" s="87"/>
      <c r="B38" s="87"/>
      <c r="C38" s="140"/>
      <c r="D38" s="140"/>
      <c r="E38" s="87"/>
      <c r="F38" s="87"/>
      <c r="G38" s="87"/>
      <c r="H38" s="87"/>
      <c r="I38" s="87"/>
      <c r="J38" s="87"/>
      <c r="K38" s="87"/>
      <c r="L38" s="87"/>
      <c r="M38" s="87"/>
      <c r="N38" s="87"/>
      <c r="O38" s="87"/>
    </row>
    <row r="39" spans="1:15" s="23" customFormat="1" ht="20.399999999999999" x14ac:dyDescent="0.3">
      <c r="A39" s="87"/>
      <c r="B39" s="87"/>
      <c r="C39" s="140"/>
      <c r="D39" s="140"/>
      <c r="E39" s="87"/>
      <c r="F39" s="87"/>
      <c r="G39" s="87"/>
      <c r="H39" s="87"/>
      <c r="I39" s="87"/>
      <c r="J39" s="87"/>
      <c r="K39" s="87"/>
      <c r="L39" s="87"/>
      <c r="M39" s="87"/>
      <c r="N39" s="87"/>
      <c r="O39" s="87"/>
    </row>
    <row r="40" spans="1:15" s="23" customFormat="1" ht="20.399999999999999" x14ac:dyDescent="0.3">
      <c r="A40" s="87"/>
      <c r="B40" s="87"/>
      <c r="C40" s="140"/>
      <c r="D40" s="140"/>
      <c r="E40" s="87"/>
      <c r="F40" s="87"/>
      <c r="G40" s="87"/>
      <c r="H40" s="87"/>
      <c r="I40" s="87"/>
      <c r="J40" s="87"/>
      <c r="K40" s="87"/>
      <c r="L40" s="87"/>
      <c r="M40" s="87"/>
      <c r="N40" s="87"/>
      <c r="O40" s="87"/>
    </row>
    <row r="41" spans="1:15" s="23" customFormat="1" ht="20.399999999999999" x14ac:dyDescent="0.3">
      <c r="A41" s="87"/>
      <c r="B41" s="87"/>
      <c r="C41" s="140"/>
      <c r="D41" s="140"/>
      <c r="E41" s="87"/>
      <c r="F41" s="87"/>
      <c r="G41" s="87"/>
      <c r="H41" s="87"/>
      <c r="I41" s="87"/>
      <c r="J41" s="87"/>
      <c r="K41" s="87"/>
      <c r="L41" s="87"/>
      <c r="M41" s="87"/>
      <c r="N41" s="87"/>
      <c r="O41" s="87"/>
    </row>
    <row r="42" spans="1:15" s="23" customFormat="1" ht="20.399999999999999" x14ac:dyDescent="0.3">
      <c r="A42" s="87"/>
      <c r="B42" s="87"/>
      <c r="C42" s="140"/>
      <c r="D42" s="140"/>
      <c r="E42" s="87"/>
      <c r="F42" s="87"/>
      <c r="G42" s="87"/>
      <c r="H42" s="87"/>
      <c r="I42" s="87"/>
      <c r="J42" s="87"/>
      <c r="K42" s="87"/>
      <c r="L42" s="87"/>
      <c r="M42" s="87"/>
      <c r="N42" s="87"/>
      <c r="O42" s="87"/>
    </row>
    <row r="43" spans="1:15" s="23" customFormat="1" ht="20.399999999999999" x14ac:dyDescent="0.3">
      <c r="A43" s="87"/>
      <c r="B43" s="87"/>
      <c r="C43" s="140"/>
      <c r="D43" s="140"/>
      <c r="E43" s="87"/>
      <c r="F43" s="87"/>
      <c r="G43" s="87"/>
      <c r="H43" s="87"/>
      <c r="I43" s="87"/>
      <c r="J43" s="87"/>
      <c r="K43" s="87"/>
      <c r="L43" s="87"/>
      <c r="M43" s="87"/>
      <c r="N43" s="87"/>
      <c r="O43" s="87"/>
    </row>
    <row r="44" spans="1:15" s="23" customFormat="1" ht="20.399999999999999" x14ac:dyDescent="0.3">
      <c r="A44" s="87"/>
      <c r="B44" s="87"/>
      <c r="C44" s="140"/>
      <c r="D44" s="140"/>
      <c r="E44" s="87"/>
      <c r="F44" s="87"/>
      <c r="G44" s="87"/>
      <c r="H44" s="87"/>
      <c r="I44" s="87"/>
      <c r="J44" s="87"/>
      <c r="K44" s="87"/>
      <c r="L44" s="87"/>
      <c r="M44" s="87"/>
      <c r="N44" s="87"/>
      <c r="O44" s="87"/>
    </row>
    <row r="45" spans="1:15" s="23" customFormat="1" ht="20.399999999999999" x14ac:dyDescent="0.3">
      <c r="A45" s="87"/>
      <c r="B45" s="87"/>
      <c r="C45" s="140"/>
      <c r="D45" s="140"/>
      <c r="E45" s="87"/>
      <c r="F45" s="87"/>
      <c r="G45" s="87"/>
      <c r="H45" s="87"/>
      <c r="I45" s="87"/>
      <c r="J45" s="87"/>
      <c r="K45" s="87"/>
      <c r="L45" s="87"/>
      <c r="M45" s="87"/>
      <c r="N45" s="87"/>
      <c r="O45" s="87"/>
    </row>
    <row r="46" spans="1:15" s="23" customFormat="1" ht="20.399999999999999" x14ac:dyDescent="0.3">
      <c r="A46" s="87"/>
      <c r="B46" s="87"/>
      <c r="C46" s="140"/>
      <c r="D46" s="140"/>
      <c r="E46" s="87"/>
      <c r="F46" s="87"/>
      <c r="G46" s="87"/>
      <c r="H46" s="87"/>
      <c r="I46" s="87"/>
      <c r="J46" s="87"/>
      <c r="K46" s="87"/>
      <c r="L46" s="87"/>
      <c r="M46" s="87"/>
      <c r="N46" s="87"/>
      <c r="O46" s="87"/>
    </row>
    <row r="47" spans="1:15" s="23" customFormat="1" ht="20.399999999999999" x14ac:dyDescent="0.3">
      <c r="A47" s="87"/>
      <c r="B47" s="87"/>
      <c r="C47" s="140"/>
      <c r="D47" s="140"/>
      <c r="E47" s="87"/>
      <c r="F47" s="87"/>
      <c r="G47" s="87"/>
      <c r="H47" s="87"/>
      <c r="I47" s="87"/>
      <c r="J47" s="87"/>
      <c r="K47" s="87"/>
      <c r="L47" s="87"/>
      <c r="M47" s="87"/>
      <c r="N47" s="87"/>
      <c r="O47" s="87"/>
    </row>
    <row r="48" spans="1:15" s="23" customFormat="1" ht="20.399999999999999" x14ac:dyDescent="0.3">
      <c r="A48" s="87"/>
      <c r="B48" s="87"/>
      <c r="C48" s="140"/>
      <c r="D48" s="140"/>
      <c r="E48" s="87"/>
      <c r="F48" s="87"/>
      <c r="G48" s="87"/>
      <c r="H48" s="87"/>
      <c r="I48" s="87"/>
      <c r="J48" s="87"/>
      <c r="K48" s="87"/>
      <c r="L48" s="87"/>
      <c r="M48" s="87"/>
      <c r="N48" s="87"/>
      <c r="O48" s="87"/>
    </row>
    <row r="49" spans="1:15" s="23" customFormat="1" ht="20.399999999999999" x14ac:dyDescent="0.3">
      <c r="A49" s="87"/>
      <c r="B49" s="87"/>
      <c r="C49" s="140"/>
      <c r="D49" s="140"/>
      <c r="E49" s="87"/>
      <c r="F49" s="87"/>
      <c r="G49" s="87"/>
      <c r="H49" s="87"/>
      <c r="I49" s="87"/>
      <c r="J49" s="87"/>
      <c r="K49" s="87"/>
      <c r="L49" s="87"/>
      <c r="M49" s="87"/>
      <c r="N49" s="87"/>
      <c r="O49" s="87"/>
    </row>
    <row r="50" spans="1:15" s="23" customFormat="1" ht="20.399999999999999" x14ac:dyDescent="0.3">
      <c r="A50" s="87"/>
      <c r="B50" s="87"/>
      <c r="C50" s="140"/>
      <c r="D50" s="140"/>
      <c r="E50" s="87"/>
      <c r="F50" s="87"/>
      <c r="G50" s="87"/>
      <c r="H50" s="87"/>
      <c r="I50" s="87"/>
      <c r="J50" s="87"/>
      <c r="K50" s="87"/>
      <c r="L50" s="87"/>
      <c r="M50" s="87"/>
      <c r="N50" s="87"/>
      <c r="O50" s="87"/>
    </row>
    <row r="51" spans="1:15" s="23" customFormat="1" ht="20.399999999999999" x14ac:dyDescent="0.3">
      <c r="A51" s="87"/>
      <c r="B51" s="87"/>
      <c r="C51" s="140"/>
      <c r="D51" s="140"/>
      <c r="E51" s="87"/>
      <c r="F51" s="87"/>
      <c r="G51" s="87"/>
      <c r="H51" s="87"/>
      <c r="I51" s="87"/>
      <c r="J51" s="87"/>
      <c r="K51" s="87"/>
      <c r="L51" s="87"/>
      <c r="M51" s="87"/>
      <c r="N51" s="87"/>
      <c r="O51" s="87"/>
    </row>
    <row r="52" spans="1:15" s="23" customFormat="1" ht="20.399999999999999" x14ac:dyDescent="0.3">
      <c r="A52" s="87"/>
      <c r="C52" s="142"/>
      <c r="D52" s="142"/>
    </row>
    <row r="53" spans="1:15" s="23" customFormat="1" ht="20.399999999999999" x14ac:dyDescent="0.3">
      <c r="A53" s="87"/>
      <c r="C53" s="142"/>
      <c r="D53" s="142"/>
    </row>
    <row r="54" spans="1:15" s="23" customFormat="1" ht="20.399999999999999" x14ac:dyDescent="0.3">
      <c r="A54" s="87"/>
      <c r="C54" s="142"/>
      <c r="D54" s="142"/>
    </row>
    <row r="55" spans="1:15" s="23" customFormat="1" ht="20.399999999999999" x14ac:dyDescent="0.3">
      <c r="A55" s="87"/>
      <c r="C55" s="142"/>
      <c r="D55" s="142"/>
    </row>
    <row r="56" spans="1:15" s="23" customFormat="1" ht="20.399999999999999" x14ac:dyDescent="0.3">
      <c r="A56" s="87"/>
      <c r="C56" s="142"/>
      <c r="D56" s="142"/>
    </row>
    <row r="57" spans="1:15" s="23" customFormat="1" ht="20.399999999999999" x14ac:dyDescent="0.3">
      <c r="A57" s="87"/>
      <c r="C57" s="142"/>
      <c r="D57" s="142"/>
    </row>
    <row r="58" spans="1:15" s="23" customFormat="1" ht="20.399999999999999" x14ac:dyDescent="0.3">
      <c r="A58" s="87"/>
      <c r="C58" s="142"/>
      <c r="D58" s="142"/>
    </row>
    <row r="59" spans="1:15" s="23" customFormat="1" ht="20.399999999999999" x14ac:dyDescent="0.3">
      <c r="A59" s="87"/>
      <c r="C59" s="142"/>
      <c r="D59" s="142"/>
    </row>
    <row r="60" spans="1:15" s="23" customFormat="1" ht="20.399999999999999" x14ac:dyDescent="0.3">
      <c r="A60" s="87"/>
      <c r="C60" s="142"/>
      <c r="D60" s="142"/>
    </row>
    <row r="61" spans="1:15" s="23" customFormat="1" ht="20.399999999999999" x14ac:dyDescent="0.3">
      <c r="A61" s="87"/>
      <c r="C61" s="142"/>
      <c r="D61" s="142"/>
    </row>
    <row r="62" spans="1:15" s="23" customFormat="1" ht="20.399999999999999" x14ac:dyDescent="0.3">
      <c r="A62" s="87"/>
      <c r="C62" s="142"/>
      <c r="D62" s="142"/>
    </row>
    <row r="63" spans="1:15" s="23" customFormat="1" ht="20.399999999999999" x14ac:dyDescent="0.3">
      <c r="A63" s="87"/>
      <c r="C63" s="142"/>
      <c r="D63" s="142"/>
    </row>
    <row r="64" spans="1:15" s="23" customFormat="1" ht="20.399999999999999" x14ac:dyDescent="0.3">
      <c r="A64" s="87"/>
      <c r="C64" s="142"/>
      <c r="D64" s="142"/>
    </row>
    <row r="65" spans="1:4" s="23" customFormat="1" ht="20.399999999999999" x14ac:dyDescent="0.3">
      <c r="A65" s="87"/>
      <c r="C65" s="142"/>
      <c r="D65" s="142"/>
    </row>
    <row r="66" spans="1:4" s="23" customFormat="1" ht="20.399999999999999" x14ac:dyDescent="0.3">
      <c r="A66" s="87"/>
      <c r="C66" s="142"/>
      <c r="D66" s="142"/>
    </row>
    <row r="67" spans="1:4" s="23" customFormat="1" ht="20.399999999999999" x14ac:dyDescent="0.3">
      <c r="A67" s="87"/>
      <c r="C67" s="142"/>
      <c r="D67" s="142"/>
    </row>
    <row r="68" spans="1:4" s="23" customFormat="1" ht="20.399999999999999" x14ac:dyDescent="0.3">
      <c r="A68" s="87"/>
      <c r="C68" s="142"/>
      <c r="D68" s="142"/>
    </row>
    <row r="69" spans="1:4" s="23" customFormat="1" ht="20.399999999999999" x14ac:dyDescent="0.3">
      <c r="A69" s="87"/>
      <c r="C69" s="142"/>
      <c r="D69" s="142"/>
    </row>
    <row r="70" spans="1:4" s="23" customFormat="1" ht="20.399999999999999" x14ac:dyDescent="0.3">
      <c r="A70" s="87"/>
      <c r="C70" s="142"/>
      <c r="D70" s="142"/>
    </row>
    <row r="71" spans="1:4" s="23" customFormat="1" ht="20.399999999999999" x14ac:dyDescent="0.3">
      <c r="A71" s="87"/>
      <c r="C71" s="142"/>
      <c r="D71" s="142"/>
    </row>
    <row r="72" spans="1:4" s="23" customFormat="1" ht="20.399999999999999" x14ac:dyDescent="0.3">
      <c r="A72" s="87"/>
      <c r="C72" s="142"/>
      <c r="D72" s="142"/>
    </row>
    <row r="73" spans="1:4" s="23" customFormat="1" ht="20.399999999999999" x14ac:dyDescent="0.3">
      <c r="A73" s="87"/>
      <c r="C73" s="142"/>
      <c r="D73" s="142"/>
    </row>
    <row r="74" spans="1:4" s="23" customFormat="1" ht="20.399999999999999" x14ac:dyDescent="0.3">
      <c r="A74" s="87"/>
      <c r="C74" s="142"/>
      <c r="D74" s="142"/>
    </row>
    <row r="75" spans="1:4" s="23" customFormat="1" ht="20.399999999999999" x14ac:dyDescent="0.3">
      <c r="A75" s="87"/>
      <c r="C75" s="142"/>
      <c r="D75" s="142"/>
    </row>
    <row r="76" spans="1:4" s="23" customFormat="1" ht="20.399999999999999" x14ac:dyDescent="0.3">
      <c r="A76" s="87"/>
      <c r="C76" s="142"/>
      <c r="D76" s="142"/>
    </row>
    <row r="77" spans="1:4" s="23" customFormat="1" ht="20.399999999999999" x14ac:dyDescent="0.3">
      <c r="A77" s="87"/>
      <c r="C77" s="142"/>
      <c r="D77" s="142"/>
    </row>
    <row r="78" spans="1:4" s="23" customFormat="1" ht="20.399999999999999" x14ac:dyDescent="0.3">
      <c r="A78" s="87"/>
      <c r="C78" s="142"/>
      <c r="D78" s="142"/>
    </row>
    <row r="79" spans="1:4" s="23" customFormat="1" ht="20.399999999999999" x14ac:dyDescent="0.3">
      <c r="A79" s="87"/>
      <c r="C79" s="142"/>
      <c r="D79" s="142"/>
    </row>
    <row r="80" spans="1:4" s="23" customFormat="1" ht="20.399999999999999" x14ac:dyDescent="0.3">
      <c r="A80" s="87"/>
      <c r="C80" s="142"/>
      <c r="D80" s="142"/>
    </row>
    <row r="81" spans="1:4" s="23" customFormat="1" ht="20.399999999999999" x14ac:dyDescent="0.3">
      <c r="A81" s="87"/>
      <c r="C81" s="142"/>
      <c r="D81" s="142"/>
    </row>
    <row r="82" spans="1:4" s="23" customFormat="1" ht="20.399999999999999" x14ac:dyDescent="0.3">
      <c r="A82" s="87"/>
      <c r="C82" s="142"/>
      <c r="D82" s="142"/>
    </row>
    <row r="83" spans="1:4" s="23" customFormat="1" ht="20.399999999999999" x14ac:dyDescent="0.3">
      <c r="A83" s="87"/>
      <c r="C83" s="142"/>
      <c r="D83" s="142"/>
    </row>
    <row r="84" spans="1:4" s="23" customFormat="1" ht="20.399999999999999" x14ac:dyDescent="0.3">
      <c r="A84" s="87"/>
      <c r="C84" s="142"/>
      <c r="D84" s="142"/>
    </row>
    <row r="85" spans="1:4" s="23" customFormat="1" ht="20.399999999999999" x14ac:dyDescent="0.3">
      <c r="A85" s="87"/>
      <c r="C85" s="142"/>
      <c r="D85" s="142"/>
    </row>
    <row r="86" spans="1:4" s="23" customFormat="1" ht="20.399999999999999" x14ac:dyDescent="0.3">
      <c r="A86" s="87"/>
      <c r="C86" s="142"/>
      <c r="D86" s="142"/>
    </row>
    <row r="87" spans="1:4" s="23" customFormat="1" ht="20.399999999999999" x14ac:dyDescent="0.3">
      <c r="A87" s="87"/>
      <c r="C87" s="142"/>
      <c r="D87" s="142"/>
    </row>
    <row r="88" spans="1:4" s="23" customFormat="1" ht="20.399999999999999" x14ac:dyDescent="0.3">
      <c r="A88" s="87"/>
      <c r="C88" s="142"/>
      <c r="D88" s="142"/>
    </row>
    <row r="89" spans="1:4" s="23" customFormat="1" ht="20.399999999999999" x14ac:dyDescent="0.3">
      <c r="A89" s="87"/>
      <c r="C89" s="142"/>
      <c r="D89" s="142"/>
    </row>
    <row r="90" spans="1:4" s="23" customFormat="1" ht="20.399999999999999" x14ac:dyDescent="0.3">
      <c r="A90" s="87"/>
      <c r="C90" s="142"/>
      <c r="D90" s="142"/>
    </row>
    <row r="91" spans="1:4" s="23" customFormat="1" ht="20.399999999999999" x14ac:dyDescent="0.3">
      <c r="A91" s="87"/>
      <c r="C91" s="142"/>
      <c r="D91" s="142"/>
    </row>
    <row r="92" spans="1:4" s="23" customFormat="1" ht="20.399999999999999" x14ac:dyDescent="0.3">
      <c r="A92" s="87"/>
      <c r="C92" s="142"/>
      <c r="D92" s="142"/>
    </row>
    <row r="93" spans="1:4" s="23" customFormat="1" ht="20.399999999999999" x14ac:dyDescent="0.3">
      <c r="A93" s="87"/>
      <c r="C93" s="142"/>
      <c r="D93" s="142"/>
    </row>
    <row r="94" spans="1:4" s="23" customFormat="1" ht="20.399999999999999" x14ac:dyDescent="0.3">
      <c r="A94" s="87"/>
      <c r="C94" s="142"/>
      <c r="D94" s="142"/>
    </row>
    <row r="95" spans="1:4" s="23" customFormat="1" ht="20.399999999999999" x14ac:dyDescent="0.3">
      <c r="A95" s="87"/>
      <c r="C95" s="142"/>
      <c r="D95" s="142"/>
    </row>
    <row r="96" spans="1:4" s="23" customFormat="1" ht="20.399999999999999" x14ac:dyDescent="0.3">
      <c r="A96" s="87"/>
      <c r="C96" s="142"/>
      <c r="D96" s="142"/>
    </row>
    <row r="97" spans="1:4" s="23" customFormat="1" ht="20.399999999999999" x14ac:dyDescent="0.3">
      <c r="A97" s="87"/>
      <c r="C97" s="142"/>
      <c r="D97" s="142"/>
    </row>
    <row r="98" spans="1:4" s="23" customFormat="1" ht="20.399999999999999" x14ac:dyDescent="0.3">
      <c r="A98" s="87"/>
      <c r="C98" s="142"/>
      <c r="D98" s="142"/>
    </row>
    <row r="99" spans="1:4" s="23" customFormat="1" ht="20.399999999999999" x14ac:dyDescent="0.3">
      <c r="A99" s="87"/>
      <c r="C99" s="142"/>
      <c r="D99" s="142"/>
    </row>
    <row r="100" spans="1:4" s="23" customFormat="1" ht="20.399999999999999" x14ac:dyDescent="0.3">
      <c r="A100" s="87"/>
      <c r="C100" s="142"/>
      <c r="D100" s="142"/>
    </row>
    <row r="101" spans="1:4" s="23" customFormat="1" ht="20.399999999999999" x14ac:dyDescent="0.3">
      <c r="A101" s="87"/>
      <c r="C101" s="142"/>
      <c r="D101" s="142"/>
    </row>
    <row r="102" spans="1:4" s="23" customFormat="1" ht="20.399999999999999" x14ac:dyDescent="0.3">
      <c r="A102" s="87"/>
      <c r="C102" s="142"/>
      <c r="D102" s="142"/>
    </row>
    <row r="103" spans="1:4" s="23" customFormat="1" ht="20.399999999999999" x14ac:dyDescent="0.3">
      <c r="A103" s="87"/>
      <c r="C103" s="142"/>
      <c r="D103" s="142"/>
    </row>
    <row r="104" spans="1:4" s="23" customFormat="1" ht="20.399999999999999" x14ac:dyDescent="0.3">
      <c r="A104" s="87"/>
      <c r="C104" s="142"/>
      <c r="D104" s="142"/>
    </row>
    <row r="105" spans="1:4" s="23" customFormat="1" ht="20.399999999999999" x14ac:dyDescent="0.3">
      <c r="A105" s="87"/>
      <c r="C105" s="142"/>
      <c r="D105" s="142"/>
    </row>
    <row r="106" spans="1:4" s="23" customFormat="1" ht="20.399999999999999" x14ac:dyDescent="0.3">
      <c r="A106" s="87"/>
      <c r="C106" s="142"/>
      <c r="D106" s="142"/>
    </row>
    <row r="107" spans="1:4" s="23" customFormat="1" ht="20.399999999999999" x14ac:dyDescent="0.3">
      <c r="A107" s="87"/>
      <c r="C107" s="142"/>
      <c r="D107" s="142"/>
    </row>
    <row r="108" spans="1:4" s="23" customFormat="1" ht="20.399999999999999" x14ac:dyDescent="0.3">
      <c r="A108" s="87"/>
      <c r="C108" s="142"/>
      <c r="D108" s="142"/>
    </row>
    <row r="109" spans="1:4" s="23" customFormat="1" ht="20.399999999999999" x14ac:dyDescent="0.3">
      <c r="A109" s="87"/>
      <c r="C109" s="142"/>
      <c r="D109" s="142"/>
    </row>
    <row r="110" spans="1:4" s="23" customFormat="1" ht="20.399999999999999" x14ac:dyDescent="0.3">
      <c r="A110" s="87"/>
      <c r="C110" s="142"/>
      <c r="D110" s="142"/>
    </row>
    <row r="111" spans="1:4" s="23" customFormat="1" ht="20.399999999999999" x14ac:dyDescent="0.3">
      <c r="A111" s="87"/>
      <c r="C111" s="142"/>
      <c r="D111" s="142"/>
    </row>
    <row r="112" spans="1:4" s="23" customFormat="1" ht="20.399999999999999" x14ac:dyDescent="0.3">
      <c r="A112" s="87"/>
      <c r="C112" s="142"/>
      <c r="D112" s="142"/>
    </row>
    <row r="113" spans="1:4" s="23" customFormat="1" ht="20.399999999999999" x14ac:dyDescent="0.3">
      <c r="A113" s="87"/>
      <c r="C113" s="142"/>
      <c r="D113" s="142"/>
    </row>
    <row r="114" spans="1:4" s="23" customFormat="1" ht="20.399999999999999" x14ac:dyDescent="0.3">
      <c r="A114" s="87"/>
      <c r="C114" s="142"/>
      <c r="D114" s="142"/>
    </row>
    <row r="115" spans="1:4" s="23" customFormat="1" ht="20.399999999999999" x14ac:dyDescent="0.3">
      <c r="A115" s="87"/>
      <c r="C115" s="142"/>
      <c r="D115" s="142"/>
    </row>
    <row r="116" spans="1:4" s="23" customFormat="1" ht="20.399999999999999" x14ac:dyDescent="0.3">
      <c r="A116" s="87"/>
      <c r="C116" s="142"/>
      <c r="D116" s="142"/>
    </row>
    <row r="117" spans="1:4" s="23" customFormat="1" ht="20.399999999999999" x14ac:dyDescent="0.3">
      <c r="A117" s="87"/>
      <c r="C117" s="142"/>
      <c r="D117" s="142"/>
    </row>
    <row r="118" spans="1:4" s="23" customFormat="1" ht="20.399999999999999" x14ac:dyDescent="0.3">
      <c r="A118" s="87"/>
      <c r="C118" s="142"/>
      <c r="D118" s="142"/>
    </row>
    <row r="119" spans="1:4" s="23" customFormat="1" ht="20.399999999999999" x14ac:dyDescent="0.3">
      <c r="A119" s="87"/>
      <c r="C119" s="142"/>
      <c r="D119" s="142"/>
    </row>
    <row r="120" spans="1:4" s="23" customFormat="1" ht="20.399999999999999" x14ac:dyDescent="0.3">
      <c r="A120" s="87"/>
      <c r="C120" s="142"/>
      <c r="D120" s="142"/>
    </row>
    <row r="121" spans="1:4" s="23" customFormat="1" ht="20.399999999999999" x14ac:dyDescent="0.3">
      <c r="A121" s="87"/>
      <c r="C121" s="142"/>
      <c r="D121" s="142"/>
    </row>
    <row r="122" spans="1:4" s="23" customFormat="1" ht="20.399999999999999" x14ac:dyDescent="0.3">
      <c r="A122" s="87"/>
      <c r="C122" s="142"/>
      <c r="D122" s="142"/>
    </row>
    <row r="123" spans="1:4" s="23" customFormat="1" ht="20.399999999999999" x14ac:dyDescent="0.3">
      <c r="A123" s="87"/>
      <c r="C123" s="142"/>
      <c r="D123" s="142"/>
    </row>
    <row r="124" spans="1:4" s="23" customFormat="1" ht="20.399999999999999" x14ac:dyDescent="0.3">
      <c r="A124" s="87"/>
      <c r="C124" s="142"/>
      <c r="D124" s="142"/>
    </row>
    <row r="125" spans="1:4" s="23" customFormat="1" ht="20.399999999999999" x14ac:dyDescent="0.3">
      <c r="A125" s="87"/>
      <c r="C125" s="142"/>
      <c r="D125" s="142"/>
    </row>
    <row r="126" spans="1:4" s="23" customFormat="1" ht="20.399999999999999" x14ac:dyDescent="0.3">
      <c r="A126" s="87"/>
      <c r="C126" s="142"/>
      <c r="D126" s="142"/>
    </row>
    <row r="127" spans="1:4" s="23" customFormat="1" ht="20.399999999999999" x14ac:dyDescent="0.3">
      <c r="A127" s="87"/>
      <c r="C127" s="142"/>
      <c r="D127" s="142"/>
    </row>
    <row r="128" spans="1:4" s="23" customFormat="1" ht="20.399999999999999" x14ac:dyDescent="0.3">
      <c r="A128" s="87"/>
      <c r="C128" s="142"/>
      <c r="D128" s="142"/>
    </row>
    <row r="129" spans="1:4" s="23" customFormat="1" ht="20.399999999999999" x14ac:dyDescent="0.3">
      <c r="A129" s="87"/>
      <c r="C129" s="142"/>
      <c r="D129" s="142"/>
    </row>
    <row r="130" spans="1:4" s="23" customFormat="1" ht="20.399999999999999" x14ac:dyDescent="0.3">
      <c r="A130" s="87"/>
      <c r="C130" s="142"/>
      <c r="D130" s="142"/>
    </row>
    <row r="131" spans="1:4" s="23" customFormat="1" ht="20.399999999999999" x14ac:dyDescent="0.3">
      <c r="A131" s="87"/>
      <c r="C131" s="142"/>
      <c r="D131" s="142"/>
    </row>
    <row r="132" spans="1:4" s="23" customFormat="1" ht="20.399999999999999" x14ac:dyDescent="0.3">
      <c r="A132" s="87"/>
      <c r="C132" s="142"/>
      <c r="D132" s="142"/>
    </row>
    <row r="133" spans="1:4" s="23" customFormat="1" ht="20.399999999999999" x14ac:dyDescent="0.3">
      <c r="A133" s="87"/>
      <c r="C133" s="142"/>
      <c r="D133" s="142"/>
    </row>
    <row r="134" spans="1:4" s="23" customFormat="1" ht="20.399999999999999" x14ac:dyDescent="0.3">
      <c r="A134" s="87"/>
      <c r="C134" s="142"/>
      <c r="D134" s="142"/>
    </row>
    <row r="135" spans="1:4" s="23" customFormat="1" ht="20.399999999999999" x14ac:dyDescent="0.3">
      <c r="A135" s="87"/>
      <c r="C135" s="142"/>
      <c r="D135" s="142"/>
    </row>
    <row r="136" spans="1:4" s="23" customFormat="1" ht="20.399999999999999" x14ac:dyDescent="0.3">
      <c r="A136" s="87"/>
      <c r="C136" s="142"/>
      <c r="D136" s="142"/>
    </row>
    <row r="137" spans="1:4" s="23" customFormat="1" ht="20.399999999999999" x14ac:dyDescent="0.3">
      <c r="A137" s="87"/>
      <c r="C137" s="142"/>
      <c r="D137" s="142"/>
    </row>
    <row r="138" spans="1:4" s="23" customFormat="1" ht="20.399999999999999" x14ac:dyDescent="0.3">
      <c r="A138" s="87"/>
      <c r="C138" s="142"/>
      <c r="D138" s="142"/>
    </row>
    <row r="139" spans="1:4" s="23" customFormat="1" ht="20.399999999999999" x14ac:dyDescent="0.3">
      <c r="A139" s="87"/>
      <c r="C139" s="142"/>
      <c r="D139" s="142"/>
    </row>
    <row r="140" spans="1:4" s="23" customFormat="1" ht="20.399999999999999" x14ac:dyDescent="0.3">
      <c r="A140" s="87"/>
      <c r="C140" s="142"/>
      <c r="D140" s="142"/>
    </row>
    <row r="141" spans="1:4" s="23" customFormat="1" ht="20.399999999999999" x14ac:dyDescent="0.3">
      <c r="A141" s="87"/>
      <c r="C141" s="142"/>
      <c r="D141" s="142"/>
    </row>
    <row r="142" spans="1:4" s="23" customFormat="1" ht="20.399999999999999" x14ac:dyDescent="0.3">
      <c r="A142" s="87"/>
      <c r="C142" s="142"/>
      <c r="D142" s="142"/>
    </row>
    <row r="143" spans="1:4" s="23" customFormat="1" ht="20.399999999999999" x14ac:dyDescent="0.3">
      <c r="A143" s="87"/>
      <c r="C143" s="142"/>
      <c r="D143" s="142"/>
    </row>
    <row r="144" spans="1:4" s="23" customFormat="1" ht="20.399999999999999" x14ac:dyDescent="0.3">
      <c r="A144" s="87"/>
      <c r="C144" s="142"/>
      <c r="D144" s="142"/>
    </row>
    <row r="145" spans="1:4" s="23" customFormat="1" ht="20.399999999999999" x14ac:dyDescent="0.3">
      <c r="A145" s="87"/>
      <c r="C145" s="142"/>
      <c r="D145" s="142"/>
    </row>
    <row r="146" spans="1:4" s="23" customFormat="1" ht="20.399999999999999" x14ac:dyDescent="0.3">
      <c r="A146" s="87"/>
      <c r="C146" s="142"/>
      <c r="D146" s="142"/>
    </row>
    <row r="147" spans="1:4" s="23" customFormat="1" ht="20.399999999999999" x14ac:dyDescent="0.3">
      <c r="A147" s="87"/>
      <c r="C147" s="142"/>
      <c r="D147" s="142"/>
    </row>
    <row r="148" spans="1:4" s="23" customFormat="1" ht="20.399999999999999" x14ac:dyDescent="0.3">
      <c r="A148" s="87"/>
      <c r="C148" s="142"/>
      <c r="D148" s="142"/>
    </row>
    <row r="149" spans="1:4" s="23" customFormat="1" ht="20.399999999999999" x14ac:dyDescent="0.3">
      <c r="A149" s="87"/>
      <c r="C149" s="142"/>
      <c r="D149" s="142"/>
    </row>
    <row r="150" spans="1:4" s="23" customFormat="1" ht="20.399999999999999" x14ac:dyDescent="0.3">
      <c r="A150" s="87"/>
      <c r="C150" s="142"/>
      <c r="D150" s="142"/>
    </row>
    <row r="151" spans="1:4" s="23" customFormat="1" ht="20.399999999999999" x14ac:dyDescent="0.3">
      <c r="A151" s="87"/>
      <c r="C151" s="142"/>
      <c r="D151" s="142"/>
    </row>
    <row r="152" spans="1:4" s="23" customFormat="1" ht="20.399999999999999" x14ac:dyDescent="0.3">
      <c r="A152" s="87"/>
      <c r="C152" s="142"/>
      <c r="D152" s="142"/>
    </row>
    <row r="153" spans="1:4" s="23" customFormat="1" ht="20.399999999999999" x14ac:dyDescent="0.3">
      <c r="A153" s="87"/>
      <c r="C153" s="142"/>
      <c r="D153" s="142"/>
    </row>
    <row r="154" spans="1:4" s="23" customFormat="1" ht="20.399999999999999" x14ac:dyDescent="0.3">
      <c r="A154" s="87"/>
      <c r="C154" s="142"/>
      <c r="D154" s="142"/>
    </row>
    <row r="155" spans="1:4" s="23" customFormat="1" ht="20.399999999999999" x14ac:dyDescent="0.3">
      <c r="A155" s="87"/>
      <c r="C155" s="142"/>
      <c r="D155" s="142"/>
    </row>
    <row r="156" spans="1:4" s="23" customFormat="1" ht="20.399999999999999" x14ac:dyDescent="0.3">
      <c r="A156" s="87"/>
      <c r="C156" s="142"/>
      <c r="D156" s="142"/>
    </row>
    <row r="157" spans="1:4" s="23" customFormat="1" ht="20.399999999999999" x14ac:dyDescent="0.3">
      <c r="A157" s="87"/>
      <c r="C157" s="142"/>
      <c r="D157" s="142"/>
    </row>
    <row r="158" spans="1:4" s="23" customFormat="1" ht="20.399999999999999" x14ac:dyDescent="0.3">
      <c r="A158" s="87"/>
      <c r="C158" s="142"/>
      <c r="D158" s="142"/>
    </row>
    <row r="159" spans="1:4" s="23" customFormat="1" ht="20.399999999999999" x14ac:dyDescent="0.3">
      <c r="A159" s="87"/>
      <c r="C159" s="142"/>
      <c r="D159" s="142"/>
    </row>
    <row r="160" spans="1:4" s="23" customFormat="1" ht="20.399999999999999" x14ac:dyDescent="0.3">
      <c r="A160" s="87"/>
      <c r="C160" s="142"/>
      <c r="D160" s="142"/>
    </row>
    <row r="161" spans="1:4" s="23" customFormat="1" ht="20.399999999999999" x14ac:dyDescent="0.3">
      <c r="A161" s="87"/>
      <c r="C161" s="142"/>
      <c r="D161" s="142"/>
    </row>
    <row r="162" spans="1:4" s="23" customFormat="1" ht="20.399999999999999" x14ac:dyDescent="0.3">
      <c r="A162" s="87"/>
      <c r="C162" s="142"/>
      <c r="D162" s="142"/>
    </row>
    <row r="163" spans="1:4" s="23" customFormat="1" ht="20.399999999999999" x14ac:dyDescent="0.3">
      <c r="A163" s="87"/>
      <c r="C163" s="142"/>
      <c r="D163" s="142"/>
    </row>
    <row r="164" spans="1:4" s="23" customFormat="1" ht="20.399999999999999" x14ac:dyDescent="0.3">
      <c r="A164" s="87"/>
      <c r="C164" s="142"/>
      <c r="D164" s="142"/>
    </row>
    <row r="165" spans="1:4" s="23" customFormat="1" ht="20.399999999999999" x14ac:dyDescent="0.3">
      <c r="A165" s="87"/>
      <c r="C165" s="142"/>
      <c r="D165" s="142"/>
    </row>
    <row r="166" spans="1:4" s="23" customFormat="1" ht="20.399999999999999" x14ac:dyDescent="0.3">
      <c r="A166" s="87"/>
      <c r="C166" s="142"/>
      <c r="D166" s="142"/>
    </row>
    <row r="167" spans="1:4" s="23" customFormat="1" ht="20.399999999999999" x14ac:dyDescent="0.3">
      <c r="A167" s="87"/>
      <c r="C167" s="142"/>
      <c r="D167" s="142"/>
    </row>
    <row r="168" spans="1:4" s="23" customFormat="1" ht="20.399999999999999" x14ac:dyDescent="0.3">
      <c r="A168" s="87"/>
      <c r="C168" s="142"/>
      <c r="D168" s="142"/>
    </row>
    <row r="169" spans="1:4" s="23" customFormat="1" ht="20.399999999999999" x14ac:dyDescent="0.3">
      <c r="A169" s="87"/>
      <c r="C169" s="142"/>
      <c r="D169" s="142"/>
    </row>
    <row r="170" spans="1:4" s="23" customFormat="1" ht="20.399999999999999" x14ac:dyDescent="0.3">
      <c r="A170" s="87"/>
      <c r="C170" s="142"/>
      <c r="D170" s="142"/>
    </row>
    <row r="171" spans="1:4" s="23" customFormat="1" ht="20.399999999999999" x14ac:dyDescent="0.3">
      <c r="A171" s="87"/>
      <c r="C171" s="142"/>
      <c r="D171" s="142"/>
    </row>
    <row r="172" spans="1:4" s="23" customFormat="1" ht="20.399999999999999" x14ac:dyDescent="0.3">
      <c r="A172" s="87"/>
      <c r="C172" s="142"/>
      <c r="D172" s="142"/>
    </row>
    <row r="173" spans="1:4" s="23" customFormat="1" ht="20.399999999999999" x14ac:dyDescent="0.3">
      <c r="A173" s="87"/>
      <c r="C173" s="142"/>
      <c r="D173" s="142"/>
    </row>
    <row r="174" spans="1:4" s="23" customFormat="1" ht="20.399999999999999" x14ac:dyDescent="0.3">
      <c r="A174" s="87"/>
      <c r="C174" s="142"/>
      <c r="D174" s="142"/>
    </row>
    <row r="175" spans="1:4" s="23" customFormat="1" ht="20.399999999999999" x14ac:dyDescent="0.3">
      <c r="A175" s="87"/>
      <c r="C175" s="142"/>
      <c r="D175" s="142"/>
    </row>
    <row r="176" spans="1:4" s="23" customFormat="1" ht="20.399999999999999" x14ac:dyDescent="0.3">
      <c r="A176" s="87"/>
      <c r="C176" s="142"/>
      <c r="D176" s="142"/>
    </row>
    <row r="177" spans="1:4" s="23" customFormat="1" ht="20.399999999999999" x14ac:dyDescent="0.3">
      <c r="A177" s="87"/>
      <c r="C177" s="142"/>
      <c r="D177" s="142"/>
    </row>
    <row r="178" spans="1:4" s="23" customFormat="1" ht="20.399999999999999" x14ac:dyDescent="0.3">
      <c r="A178" s="87"/>
      <c r="C178" s="142"/>
      <c r="D178" s="142"/>
    </row>
    <row r="179" spans="1:4" s="23" customFormat="1" ht="20.399999999999999" x14ac:dyDescent="0.3">
      <c r="A179" s="87"/>
      <c r="C179" s="142"/>
      <c r="D179" s="142"/>
    </row>
    <row r="180" spans="1:4" s="23" customFormat="1" ht="20.399999999999999" x14ac:dyDescent="0.3">
      <c r="A180" s="87"/>
      <c r="C180" s="142"/>
      <c r="D180" s="142"/>
    </row>
    <row r="181" spans="1:4" s="23" customFormat="1" ht="20.399999999999999" x14ac:dyDescent="0.3">
      <c r="A181" s="87"/>
      <c r="C181" s="142"/>
      <c r="D181" s="142"/>
    </row>
    <row r="182" spans="1:4" s="23" customFormat="1" ht="20.399999999999999" x14ac:dyDescent="0.3">
      <c r="A182" s="87"/>
      <c r="C182" s="142"/>
      <c r="D182" s="142"/>
    </row>
    <row r="183" spans="1:4" s="23" customFormat="1" ht="20.399999999999999" x14ac:dyDescent="0.3">
      <c r="A183" s="87"/>
      <c r="C183" s="142"/>
      <c r="D183" s="142"/>
    </row>
    <row r="184" spans="1:4" s="23" customFormat="1" ht="20.399999999999999" x14ac:dyDescent="0.3">
      <c r="A184" s="87"/>
      <c r="C184" s="142"/>
      <c r="D184" s="142"/>
    </row>
    <row r="185" spans="1:4" s="23" customFormat="1" ht="20.399999999999999" x14ac:dyDescent="0.3">
      <c r="A185" s="87"/>
      <c r="C185" s="142"/>
      <c r="D185" s="142"/>
    </row>
    <row r="186" spans="1:4" s="23" customFormat="1" ht="20.399999999999999" x14ac:dyDescent="0.3">
      <c r="A186" s="87"/>
      <c r="C186" s="142"/>
      <c r="D186" s="142"/>
    </row>
    <row r="187" spans="1:4" s="23" customFormat="1" ht="20.399999999999999" x14ac:dyDescent="0.3">
      <c r="A187" s="87"/>
      <c r="C187" s="142"/>
      <c r="D187" s="142"/>
    </row>
    <row r="188" spans="1:4" s="23" customFormat="1" ht="20.399999999999999" x14ac:dyDescent="0.3">
      <c r="A188" s="87"/>
      <c r="C188" s="142"/>
      <c r="D188" s="142"/>
    </row>
    <row r="189" spans="1:4" s="23" customFormat="1" ht="20.399999999999999" x14ac:dyDescent="0.3">
      <c r="A189" s="87"/>
      <c r="C189" s="142"/>
      <c r="D189" s="142"/>
    </row>
    <row r="190" spans="1:4" s="23" customFormat="1" ht="20.399999999999999" x14ac:dyDescent="0.3">
      <c r="A190" s="87"/>
      <c r="C190" s="142"/>
      <c r="D190" s="142"/>
    </row>
    <row r="191" spans="1:4" s="23" customFormat="1" ht="20.399999999999999" x14ac:dyDescent="0.3">
      <c r="A191" s="87"/>
      <c r="C191" s="142"/>
      <c r="D191" s="142"/>
    </row>
    <row r="192" spans="1:4" s="23" customFormat="1" ht="20.399999999999999" x14ac:dyDescent="0.3">
      <c r="A192" s="87"/>
      <c r="C192" s="142"/>
      <c r="D192" s="142"/>
    </row>
    <row r="193" spans="1:4" s="23" customFormat="1" ht="20.399999999999999" x14ac:dyDescent="0.3">
      <c r="A193" s="87"/>
      <c r="C193" s="142"/>
      <c r="D193" s="142"/>
    </row>
    <row r="194" spans="1:4" s="23" customFormat="1" ht="20.399999999999999" x14ac:dyDescent="0.3">
      <c r="A194" s="87"/>
      <c r="C194" s="142"/>
      <c r="D194" s="142"/>
    </row>
    <row r="195" spans="1:4" s="23" customFormat="1" ht="20.399999999999999" x14ac:dyDescent="0.3">
      <c r="A195" s="87"/>
      <c r="C195" s="142"/>
      <c r="D195" s="142"/>
    </row>
    <row r="196" spans="1:4" s="23" customFormat="1" ht="20.399999999999999" x14ac:dyDescent="0.3">
      <c r="A196" s="87"/>
      <c r="C196" s="142"/>
      <c r="D196" s="142"/>
    </row>
    <row r="197" spans="1:4" s="23" customFormat="1" ht="20.399999999999999" x14ac:dyDescent="0.3">
      <c r="A197" s="87"/>
      <c r="C197" s="142"/>
      <c r="D197" s="142"/>
    </row>
    <row r="198" spans="1:4" s="23" customFormat="1" ht="20.399999999999999" x14ac:dyDescent="0.3">
      <c r="A198" s="87"/>
      <c r="C198" s="142"/>
      <c r="D198" s="142"/>
    </row>
    <row r="199" spans="1:4" s="23" customFormat="1" ht="20.399999999999999" x14ac:dyDescent="0.3">
      <c r="A199" s="87"/>
      <c r="C199" s="142"/>
      <c r="D199" s="142"/>
    </row>
    <row r="200" spans="1:4" s="23" customFormat="1" ht="20.399999999999999" x14ac:dyDescent="0.3">
      <c r="A200" s="87"/>
      <c r="C200" s="142"/>
      <c r="D200" s="142"/>
    </row>
    <row r="201" spans="1:4" s="23" customFormat="1" ht="20.399999999999999" x14ac:dyDescent="0.3">
      <c r="A201" s="87"/>
      <c r="C201" s="142"/>
      <c r="D201" s="142"/>
    </row>
    <row r="202" spans="1:4" s="23" customFormat="1" ht="20.399999999999999" x14ac:dyDescent="0.3">
      <c r="A202" s="87"/>
      <c r="C202" s="142"/>
      <c r="D202" s="142"/>
    </row>
    <row r="203" spans="1:4" s="23" customFormat="1" ht="20.399999999999999" x14ac:dyDescent="0.3">
      <c r="A203" s="87"/>
      <c r="C203" s="142"/>
      <c r="D203" s="142"/>
    </row>
    <row r="204" spans="1:4" s="23" customFormat="1" ht="20.399999999999999" x14ac:dyDescent="0.3">
      <c r="A204" s="87"/>
      <c r="C204" s="142"/>
      <c r="D204" s="142"/>
    </row>
    <row r="205" spans="1:4" s="23" customFormat="1" ht="20.399999999999999" x14ac:dyDescent="0.3">
      <c r="A205" s="87"/>
      <c r="C205" s="142"/>
      <c r="D205" s="142"/>
    </row>
    <row r="206" spans="1:4" s="23" customFormat="1" ht="20.399999999999999" x14ac:dyDescent="0.3">
      <c r="A206" s="87"/>
      <c r="C206" s="142"/>
      <c r="D206" s="142"/>
    </row>
    <row r="207" spans="1:4" s="23" customFormat="1" ht="20.399999999999999" x14ac:dyDescent="0.3">
      <c r="A207" s="87"/>
      <c r="C207" s="142"/>
      <c r="D207" s="142"/>
    </row>
    <row r="208" spans="1:4" s="23" customFormat="1" x14ac:dyDescent="0.3">
      <c r="A208" s="87"/>
    </row>
    <row r="209" spans="1:8" s="23" customFormat="1" ht="20.399999999999999" x14ac:dyDescent="0.3">
      <c r="A209" s="87"/>
      <c r="B209" s="143" t="s">
        <v>86</v>
      </c>
      <c r="C209" s="143" t="s">
        <v>139</v>
      </c>
      <c r="D209" s="144" t="s">
        <v>86</v>
      </c>
      <c r="E209" s="144" t="s">
        <v>139</v>
      </c>
    </row>
    <row r="210" spans="1:8" s="23" customFormat="1" ht="42" x14ac:dyDescent="0.4">
      <c r="A210" s="87"/>
      <c r="B210" s="145" t="s">
        <v>88</v>
      </c>
      <c r="C210" s="145"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5" t="s">
        <v>88</v>
      </c>
      <c r="C211" s="145" t="s">
        <v>205</v>
      </c>
      <c r="E211" s="23" t="s">
        <v>204</v>
      </c>
      <c r="F211" s="23" t="str">
        <f t="shared" ref="F211:F221" si="0">IF(NOT(ISBLANK(D211)),D211,IF(NOT(ISBLANK(E211)),"     "&amp;E211,FALSE))</f>
        <v xml:space="preserve">     Afectación menor a 200 SMLMV</v>
      </c>
    </row>
    <row r="212" spans="1:8" s="23" customFormat="1" ht="42" x14ac:dyDescent="0.4">
      <c r="A212" s="87"/>
      <c r="B212" s="145" t="s">
        <v>88</v>
      </c>
      <c r="C212" s="145" t="s">
        <v>209</v>
      </c>
      <c r="E212" s="23" t="s">
        <v>205</v>
      </c>
      <c r="F212" s="23" t="str">
        <f t="shared" si="0"/>
        <v xml:space="preserve">     Entre 200 y 1000 SMLMV</v>
      </c>
    </row>
    <row r="213" spans="1:8" s="23" customFormat="1" ht="42" x14ac:dyDescent="0.4">
      <c r="A213" s="87"/>
      <c r="B213" s="145" t="s">
        <v>88</v>
      </c>
      <c r="C213" s="145" t="s">
        <v>210</v>
      </c>
      <c r="E213" s="23" t="s">
        <v>209</v>
      </c>
      <c r="F213" s="23" t="str">
        <f t="shared" si="0"/>
        <v xml:space="preserve">     Entre 1000 y 5000 SMLMV </v>
      </c>
    </row>
    <row r="214" spans="1:8" s="23" customFormat="1" ht="42" x14ac:dyDescent="0.4">
      <c r="A214" s="87"/>
      <c r="B214" s="145" t="s">
        <v>88</v>
      </c>
      <c r="C214" s="145" t="s">
        <v>206</v>
      </c>
      <c r="E214" s="23" t="s">
        <v>210</v>
      </c>
      <c r="F214" s="23" t="str">
        <f t="shared" si="0"/>
        <v xml:space="preserve">     Entre 5000 y 10000 SMLMV</v>
      </c>
    </row>
    <row r="215" spans="1:8" s="23" customFormat="1" ht="42" x14ac:dyDescent="0.4">
      <c r="A215" s="87"/>
      <c r="B215" s="145" t="s">
        <v>56</v>
      </c>
      <c r="C215" s="145" t="s">
        <v>91</v>
      </c>
      <c r="E215" s="23" t="s">
        <v>206</v>
      </c>
      <c r="F215" s="23" t="str">
        <f t="shared" si="0"/>
        <v xml:space="preserve">     Mayor a 10000 SMLMV</v>
      </c>
    </row>
    <row r="216" spans="1:8" s="23" customFormat="1" ht="63" x14ac:dyDescent="0.4">
      <c r="A216" s="87"/>
      <c r="B216" s="145" t="s">
        <v>56</v>
      </c>
      <c r="C216" s="145" t="s">
        <v>92</v>
      </c>
      <c r="D216" s="23" t="s">
        <v>56</v>
      </c>
      <c r="F216" s="23" t="str">
        <f t="shared" si="0"/>
        <v>Pérdida Reputacional</v>
      </c>
    </row>
    <row r="217" spans="1:8" s="23" customFormat="1" ht="42" x14ac:dyDescent="0.4">
      <c r="A217" s="87"/>
      <c r="B217" s="145" t="s">
        <v>56</v>
      </c>
      <c r="C217" s="145" t="s">
        <v>94</v>
      </c>
      <c r="E217" s="23" t="s">
        <v>91</v>
      </c>
      <c r="F217" s="23" t="str">
        <f>IF(NOT(ISBLANK(D217)),D217,IF(NOT(ISBLANK(E217)),"     "&amp;E217,FALSE))</f>
        <v xml:space="preserve">     El riesgo afecta la imagen de alguna área de la organización</v>
      </c>
    </row>
    <row r="218" spans="1:8" s="23" customFormat="1" ht="63" x14ac:dyDescent="0.4">
      <c r="A218" s="87"/>
      <c r="B218" s="145" t="s">
        <v>56</v>
      </c>
      <c r="C218" s="145"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5" t="s">
        <v>56</v>
      </c>
      <c r="C219" s="145"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6" t="s">
        <v>140</v>
      </c>
    </row>
    <row r="224" spans="1:8" s="23" customFormat="1" x14ac:dyDescent="0.3">
      <c r="F224" s="146"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Priorizaciòn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2025-05-09T04:53:42Z</dcterms:modified>
</cp:coreProperties>
</file>