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4. GEST SS AT CIUDADANO\"/>
    </mc:Choice>
  </mc:AlternateContent>
  <xr:revisionPtr revIDLastSave="0" documentId="13_ncr:1_{E040E5DC-18C0-4080-AE09-8645FEDCB129}" xr6:coauthVersionLast="47" xr6:coauthVersionMax="47" xr10:uidLastSave="{00000000-0000-0000-0000-000000000000}"/>
  <bookViews>
    <workbookView xWindow="-96" yWindow="-96" windowWidth="23232" windowHeight="12432" activeTab="4" xr2:uid="{00000000-000D-0000-FFFF-FFFF00000000}"/>
  </bookViews>
  <sheets>
    <sheet name="Intructivo" sheetId="20" r:id="rId1"/>
    <sheet name="Contexto" sheetId="21" r:id="rId2"/>
    <sheet name="Priorización de causa"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s>
  <definedNames>
    <definedName name="_xlnm.Print_Area" localSheetId="4">'Mapa final'!$A$7:$AL$15</definedName>
  </definedNames>
  <calcPr calcId="191029"/>
  <pivotCaches>
    <pivotCache cacheId="7"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W12" i="1"/>
  <c r="W11" i="1"/>
  <c r="T12" i="1"/>
  <c r="T19" i="1" l="1"/>
  <c r="W19" i="1"/>
  <c r="T16" i="1"/>
  <c r="W16" i="1"/>
  <c r="T17" i="1"/>
  <c r="W17" i="1"/>
  <c r="T18" i="1"/>
  <c r="W18" i="1"/>
  <c r="R37" i="22" l="1"/>
  <c r="S37" i="22"/>
  <c r="R43" i="22" l="1"/>
  <c r="S43" i="22"/>
  <c r="R42" i="22"/>
  <c r="S42" i="22"/>
  <c r="R41" i="22"/>
  <c r="S41" i="22"/>
  <c r="R40" i="22"/>
  <c r="S40" i="22"/>
  <c r="R39" i="22"/>
  <c r="S39" i="22"/>
  <c r="R38" i="22"/>
  <c r="S38" i="22"/>
  <c r="S27" i="22"/>
  <c r="S28" i="22"/>
  <c r="S29" i="22"/>
  <c r="S30" i="22"/>
  <c r="S31" i="22"/>
  <c r="R27" i="22"/>
  <c r="R28" i="22"/>
  <c r="R29" i="22"/>
  <c r="R30" i="22"/>
  <c r="R31" i="22"/>
  <c r="S17" i="22"/>
  <c r="R17" i="22"/>
  <c r="J14" i="1" l="1"/>
  <c r="J10" i="1"/>
  <c r="S11" i="22" l="1"/>
  <c r="S12" i="22"/>
  <c r="S13" i="22"/>
  <c r="S14" i="22"/>
  <c r="S15" i="22"/>
  <c r="S16" i="22"/>
  <c r="S18" i="22"/>
  <c r="S19" i="22"/>
  <c r="S20" i="22"/>
  <c r="S21" i="22"/>
  <c r="S22" i="22"/>
  <c r="S23" i="22"/>
  <c r="S24" i="22"/>
  <c r="S25" i="22"/>
  <c r="S26" i="22"/>
  <c r="S32" i="22"/>
  <c r="S33" i="22"/>
  <c r="S34" i="22"/>
  <c r="S35" i="22"/>
  <c r="S36" i="22"/>
  <c r="S10" i="22"/>
  <c r="S47" i="22" l="1"/>
  <c r="S48" i="22" s="1"/>
  <c r="A6" i="23"/>
  <c r="B36" i="22"/>
  <c r="B35" i="22"/>
  <c r="B34" i="22"/>
  <c r="B33" i="22"/>
  <c r="B32" i="22"/>
  <c r="B21" i="22"/>
  <c r="B22" i="22"/>
  <c r="B23" i="22"/>
  <c r="B24" i="22"/>
  <c r="B25" i="22"/>
  <c r="B26" i="22"/>
  <c r="B19" i="22"/>
  <c r="B20" i="22"/>
  <c r="B18" i="22"/>
  <c r="B16" i="22"/>
  <c r="B11" i="22"/>
  <c r="B12" i="22"/>
  <c r="B13" i="22"/>
  <c r="B14" i="22"/>
  <c r="B15" i="22"/>
  <c r="B10" i="22"/>
  <c r="R10" i="22"/>
  <c r="A6" i="22"/>
  <c r="A5" i="22"/>
  <c r="R36" i="22"/>
  <c r="R35" i="22"/>
  <c r="R34" i="22"/>
  <c r="R33" i="22"/>
  <c r="R32" i="22"/>
  <c r="R26" i="22"/>
  <c r="R25" i="22"/>
  <c r="R24" i="22"/>
  <c r="R23" i="22"/>
  <c r="R22" i="22"/>
  <c r="R21" i="22"/>
  <c r="R20" i="22"/>
  <c r="R19" i="22"/>
  <c r="R18" i="22"/>
  <c r="R16" i="22"/>
  <c r="R15" i="22"/>
  <c r="R14" i="22"/>
  <c r="R13" i="22"/>
  <c r="R12" i="22"/>
  <c r="R11" i="22"/>
  <c r="T13" i="1" l="1"/>
  <c r="W13" i="1" l="1"/>
  <c r="W14" i="1"/>
  <c r="W15" i="1"/>
  <c r="K16" i="1" l="1"/>
  <c r="L16" i="1" s="1"/>
  <c r="K19" i="1"/>
  <c r="K20" i="1"/>
  <c r="L20" i="1" s="1"/>
  <c r="K26" i="1"/>
  <c r="L26" i="1" s="1"/>
  <c r="K32" i="1"/>
  <c r="L32" i="1" s="1"/>
  <c r="K38" i="1"/>
  <c r="L38" i="1" s="1"/>
  <c r="K44" i="1"/>
  <c r="L44" i="1" s="1"/>
  <c r="K50" i="1"/>
  <c r="L50" i="1" s="1"/>
  <c r="N42" i="1"/>
  <c r="N33" i="1"/>
  <c r="N51" i="1"/>
  <c r="N28" i="1"/>
  <c r="N37" i="1"/>
  <c r="N18" i="1"/>
  <c r="N30" i="1"/>
  <c r="N49" i="1"/>
  <c r="N53" i="1"/>
  <c r="N24" i="1"/>
  <c r="N40" i="1"/>
  <c r="N31" i="1"/>
  <c r="N43" i="1"/>
  <c r="N52" i="1"/>
  <c r="N54" i="1"/>
  <c r="N41" i="1"/>
  <c r="N39" i="1"/>
  <c r="N36" i="1"/>
  <c r="N45" i="1"/>
  <c r="N23" i="1"/>
  <c r="N27" i="1"/>
  <c r="N29" i="1"/>
  <c r="N47" i="1"/>
  <c r="N22" i="1"/>
  <c r="N35" i="1"/>
  <c r="N46" i="1"/>
  <c r="N55" i="1"/>
  <c r="N21" i="1"/>
  <c r="N25" i="1"/>
  <c r="N34" i="1"/>
  <c r="N17" i="1"/>
  <c r="N48" i="1"/>
  <c r="AA16" i="1" l="1"/>
  <c r="AA18" i="1"/>
  <c r="AA17" i="1"/>
  <c r="L19" i="1"/>
  <c r="AA19" i="1" s="1"/>
  <c r="AB16" i="1" l="1"/>
  <c r="AC16" i="1"/>
  <c r="AB17" i="1"/>
  <c r="AC17" i="1"/>
  <c r="AB19" i="1"/>
  <c r="AC19" i="1"/>
  <c r="AB18" i="1"/>
  <c r="AC18" i="1"/>
  <c r="T11" i="1"/>
  <c r="F217" i="13"/>
  <c r="W10" i="1" l="1"/>
  <c r="T10" i="1"/>
  <c r="K10" i="1" l="1"/>
  <c r="L10" i="1" s="1"/>
  <c r="N15" i="1"/>
  <c r="AA12" i="1" l="1"/>
  <c r="AA13" i="1"/>
  <c r="AA11" i="1"/>
  <c r="F221" i="13"/>
  <c r="F211" i="13"/>
  <c r="F212" i="13"/>
  <c r="F213" i="13"/>
  <c r="F214" i="13"/>
  <c r="F215" i="13"/>
  <c r="F216" i="13"/>
  <c r="F218" i="13"/>
  <c r="F219" i="13"/>
  <c r="F220" i="13"/>
  <c r="F210" i="13"/>
  <c r="N12" i="1"/>
  <c r="N13" i="1"/>
  <c r="B221" i="13" a="1"/>
  <c r="AB13" i="1" l="1"/>
  <c r="AC13" i="1"/>
  <c r="AB11" i="1"/>
  <c r="AC11" i="1"/>
  <c r="AB12" i="1"/>
  <c r="AC12" i="1"/>
  <c r="B221" i="13"/>
  <c r="T38"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55" i="1" l="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AE39" i="1" s="1"/>
  <c r="W38" i="1"/>
  <c r="K14" i="1"/>
  <c r="T15" i="1"/>
  <c r="T14" i="1"/>
  <c r="AE51" i="1" l="1"/>
  <c r="AE45" i="1"/>
  <c r="L14" i="1"/>
  <c r="AA15" i="1" s="1"/>
  <c r="AA50" i="1"/>
  <c r="AA44" i="1"/>
  <c r="AA38" i="1"/>
  <c r="AB15" i="1" l="1"/>
  <c r="AC15" i="1"/>
  <c r="AA14" i="1"/>
  <c r="AB50" i="1"/>
  <c r="AC50" i="1"/>
  <c r="AA51" i="1" s="1"/>
  <c r="AB51" i="1" s="1"/>
  <c r="AB44" i="1"/>
  <c r="AC44" i="1"/>
  <c r="AA45" i="1" s="1"/>
  <c r="AC45" i="1" s="1"/>
  <c r="AA46" i="1" s="1"/>
  <c r="AB38" i="1"/>
  <c r="AC38" i="1"/>
  <c r="AA39" i="1" s="1"/>
  <c r="AC39" i="1" s="1"/>
  <c r="AA40" i="1" s="1"/>
  <c r="AB14" i="1" l="1"/>
  <c r="AC14" i="1"/>
  <c r="AB45" i="1"/>
  <c r="AB39" i="1"/>
  <c r="AC46" i="1"/>
  <c r="AA47" i="1" s="1"/>
  <c r="AB46" i="1"/>
  <c r="AC40" i="1"/>
  <c r="AA41" i="1" s="1"/>
  <c r="AB40" i="1"/>
  <c r="AC51" i="1"/>
  <c r="AA5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47" i="1" l="1"/>
  <c r="AC47" i="1"/>
  <c r="AB41" i="1"/>
  <c r="AC41" i="1"/>
  <c r="AA42" i="1" s="1"/>
  <c r="AB52" i="1"/>
  <c r="AC52" i="1"/>
  <c r="AA53" i="1" s="1"/>
  <c r="AB42" i="1" l="1"/>
  <c r="AC42" i="1"/>
  <c r="AA43" i="1" s="1"/>
  <c r="AA48" i="1"/>
  <c r="AA49" i="1"/>
  <c r="AC53" i="1"/>
  <c r="AB53" i="1"/>
  <c r="AB49" i="1" l="1"/>
  <c r="AC49" i="1"/>
  <c r="AB48" i="1"/>
  <c r="AC48" i="1"/>
  <c r="AB43" i="1"/>
  <c r="AC43" i="1"/>
  <c r="AA54" i="1"/>
  <c r="AA55" i="1"/>
  <c r="AA10" i="1"/>
  <c r="AB10" i="1" s="1"/>
  <c r="AB55" i="1" l="1"/>
  <c r="AC55" i="1"/>
  <c r="AB54" i="1"/>
  <c r="AC54" i="1"/>
  <c r="AC10" i="1" l="1"/>
  <c r="AE50" i="1" l="1"/>
  <c r="AD50" i="1" l="1"/>
  <c r="AE52" i="1"/>
  <c r="AE44" i="1"/>
  <c r="AE38" i="1"/>
  <c r="AD38"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F50" i="1"/>
  <c r="P25" i="19"/>
  <c r="V55" i="19"/>
  <c r="J15" i="19"/>
  <c r="AB15" i="19"/>
  <c r="J35" i="19"/>
  <c r="AB35" i="19"/>
  <c r="J55" i="19"/>
  <c r="AB25" i="19"/>
  <c r="P35" i="19"/>
  <c r="P55" i="19"/>
  <c r="AB45" i="19"/>
  <c r="P15" i="19"/>
  <c r="AF3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44" i="1"/>
  <c r="AD51" i="1"/>
  <c r="AD52" i="1"/>
  <c r="AE5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D39" i="1"/>
  <c r="AE40" i="1"/>
  <c r="AD45" i="1"/>
  <c r="AE46" i="1"/>
  <c r="AD53" i="1" l="1"/>
  <c r="AE54" i="1"/>
  <c r="K35" i="19"/>
  <c r="AC25" i="19"/>
  <c r="K45" i="19"/>
  <c r="AI45" i="19"/>
  <c r="W45" i="19"/>
  <c r="Q35" i="19"/>
  <c r="K55" i="19"/>
  <c r="AC15" i="19"/>
  <c r="Q15" i="19"/>
  <c r="AC35" i="19"/>
  <c r="AI35" i="19"/>
  <c r="Q55" i="19"/>
  <c r="AI25" i="19"/>
  <c r="AF5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4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F52"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44"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D40" i="1"/>
  <c r="AE4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D46" i="1"/>
  <c r="AE47"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F39"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1" i="1"/>
  <c r="AE42" i="1"/>
  <c r="AD54" i="1"/>
  <c r="AE55" i="1"/>
  <c r="AD55" i="1" s="1"/>
  <c r="AJ43" i="19"/>
  <c r="AD33" i="19"/>
  <c r="X33" i="19"/>
  <c r="X13" i="19"/>
  <c r="AD43" i="19"/>
  <c r="L43" i="19"/>
  <c r="AF40" i="1"/>
  <c r="X23" i="19"/>
  <c r="R33" i="19"/>
  <c r="R43" i="19"/>
  <c r="AD53" i="19"/>
  <c r="AJ13" i="19"/>
  <c r="R23" i="19"/>
  <c r="R13" i="19"/>
  <c r="AJ53" i="19"/>
  <c r="L33" i="19"/>
  <c r="L23" i="19"/>
  <c r="X43" i="19"/>
  <c r="X53" i="19"/>
  <c r="AD13" i="19"/>
  <c r="L53" i="19"/>
  <c r="L13" i="19"/>
  <c r="AD23" i="19"/>
  <c r="AJ33" i="19"/>
  <c r="AJ23" i="19"/>
  <c r="R53" i="19"/>
  <c r="M55" i="19"/>
  <c r="AK15" i="19"/>
  <c r="AE25" i="19"/>
  <c r="AF53"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D47" i="1"/>
  <c r="AE48"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F46"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47"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5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5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D42" i="1"/>
  <c r="AE43" i="1"/>
  <c r="AD43" i="1" s="1"/>
  <c r="AD48" i="1"/>
  <c r="AE49" i="1"/>
  <c r="AD49"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41" i="1"/>
  <c r="M33" i="19"/>
  <c r="AG24" i="19" l="1"/>
  <c r="O44" i="19"/>
  <c r="O24" i="19"/>
  <c r="AM14" i="19"/>
  <c r="AG34" i="19"/>
  <c r="O34" i="19"/>
  <c r="AA44" i="19"/>
  <c r="O14" i="19"/>
  <c r="AA54" i="19"/>
  <c r="U14" i="19"/>
  <c r="AM44" i="19"/>
  <c r="AA34" i="19"/>
  <c r="AM24" i="19"/>
  <c r="AM54" i="19"/>
  <c r="AG14" i="19"/>
  <c r="AM34" i="19"/>
  <c r="U54" i="19"/>
  <c r="AG44" i="19"/>
  <c r="AA24" i="19"/>
  <c r="AG54" i="19"/>
  <c r="U34" i="19"/>
  <c r="U24" i="19"/>
  <c r="AF49" i="1"/>
  <c r="AA14" i="19"/>
  <c r="O54" i="19"/>
  <c r="U44" i="19"/>
  <c r="U43" i="19"/>
  <c r="U13" i="19"/>
  <c r="AM53" i="19"/>
  <c r="AA53" i="19"/>
  <c r="AA43" i="19"/>
  <c r="O53" i="19"/>
  <c r="O23" i="19"/>
  <c r="O13" i="19"/>
  <c r="AG43" i="19"/>
  <c r="U33" i="19"/>
  <c r="U23" i="19"/>
  <c r="AM13" i="19"/>
  <c r="AM23" i="19"/>
  <c r="AG13" i="19"/>
  <c r="AA23" i="19"/>
  <c r="AG33" i="19"/>
  <c r="AA33" i="19"/>
  <c r="AM33" i="19"/>
  <c r="AA13" i="19"/>
  <c r="AF4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48" i="1"/>
  <c r="AF53" i="19"/>
  <c r="T43" i="19"/>
  <c r="Z53" i="19"/>
  <c r="N43" i="19"/>
  <c r="T23" i="19"/>
  <c r="AF43" i="19"/>
  <c r="Z13" i="19"/>
  <c r="Z43" i="19"/>
  <c r="AF23" i="19"/>
  <c r="AL13" i="19"/>
  <c r="Z23" i="19"/>
  <c r="AL43" i="19"/>
  <c r="AF13" i="19"/>
  <c r="AL23" i="19"/>
  <c r="N13" i="19"/>
  <c r="T33" i="19"/>
  <c r="AL53" i="19"/>
  <c r="N23" i="19"/>
  <c r="N53" i="19"/>
  <c r="AF33" i="19"/>
  <c r="N33" i="19"/>
  <c r="AF42" i="1"/>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6" i="1" l="1"/>
  <c r="O16" i="1" s="1"/>
  <c r="N19" i="1"/>
  <c r="O19" i="1" s="1"/>
  <c r="N14" i="1"/>
  <c r="O14" i="1" s="1"/>
  <c r="N20" i="1"/>
  <c r="O20" i="1" s="1"/>
  <c r="N26" i="1"/>
  <c r="O26" i="1" s="1"/>
  <c r="N10" i="1"/>
  <c r="O10" i="1" s="1"/>
  <c r="N32" i="1"/>
  <c r="O32" i="1" s="1"/>
  <c r="N38" i="1"/>
  <c r="O38" i="1" s="1"/>
  <c r="N44" i="1"/>
  <c r="O44" i="1" s="1"/>
  <c r="N50" i="1"/>
  <c r="O50" i="1" s="1"/>
  <c r="P44" i="1" l="1"/>
  <c r="Q44" i="1"/>
  <c r="Z42" i="18"/>
  <c r="AF18" i="18"/>
  <c r="T18" i="18"/>
  <c r="Z26" i="18"/>
  <c r="N18" i="18"/>
  <c r="AF10" i="18"/>
  <c r="T26" i="18"/>
  <c r="N34" i="18"/>
  <c r="Z10" i="18"/>
  <c r="AF42" i="18"/>
  <c r="N42" i="18"/>
  <c r="T10" i="18"/>
  <c r="Z18" i="18"/>
  <c r="T42" i="18"/>
  <c r="N10" i="18"/>
  <c r="Z34" i="18"/>
  <c r="AF26" i="18"/>
  <c r="AF34" i="18"/>
  <c r="N26" i="18"/>
  <c r="T34" i="18"/>
  <c r="AL18" i="18"/>
  <c r="AL10" i="18"/>
  <c r="AL42" i="18"/>
  <c r="AL26" i="18"/>
  <c r="AL34" i="18"/>
  <c r="Q38" i="1"/>
  <c r="P38" i="1"/>
  <c r="AJ26" i="18"/>
  <c r="R18" i="18"/>
  <c r="X34" i="18"/>
  <c r="AJ10" i="18"/>
  <c r="L10" i="18"/>
  <c r="L18" i="18"/>
  <c r="X42" i="18"/>
  <c r="AD34" i="18"/>
  <c r="X18" i="18"/>
  <c r="AJ34" i="18"/>
  <c r="X10" i="18"/>
  <c r="R26" i="18"/>
  <c r="AD18" i="18"/>
  <c r="AJ42" i="18"/>
  <c r="AD10" i="18"/>
  <c r="R10" i="18"/>
  <c r="R34" i="18"/>
  <c r="L34" i="18"/>
  <c r="AJ18" i="18"/>
  <c r="R42" i="18"/>
  <c r="L42" i="18"/>
  <c r="X26" i="18"/>
  <c r="L26" i="18"/>
  <c r="AD26" i="18"/>
  <c r="AD42" i="18"/>
  <c r="P20" i="1"/>
  <c r="Q20" i="1"/>
  <c r="L16" i="18"/>
  <c r="AJ40" i="18"/>
  <c r="AJ16" i="18"/>
  <c r="R16" i="18"/>
  <c r="R8" i="18"/>
  <c r="AD40" i="18"/>
  <c r="AJ24" i="18"/>
  <c r="X32" i="18"/>
  <c r="R32" i="18"/>
  <c r="AD24" i="18"/>
  <c r="AD8" i="18"/>
  <c r="L24" i="18"/>
  <c r="X40" i="18"/>
  <c r="X24" i="18"/>
  <c r="L32" i="18"/>
  <c r="X8" i="18"/>
  <c r="AJ8" i="18"/>
  <c r="R40" i="18"/>
  <c r="R24" i="18"/>
  <c r="L40" i="18"/>
  <c r="L8" i="18"/>
  <c r="X16" i="18"/>
  <c r="AD32" i="18"/>
  <c r="AJ32" i="18"/>
  <c r="AD16" i="18"/>
  <c r="P32" i="1"/>
  <c r="Q32" i="1"/>
  <c r="AB10" i="18"/>
  <c r="J42" i="18"/>
  <c r="J18" i="18"/>
  <c r="P34" i="18"/>
  <c r="P18" i="18"/>
  <c r="P42" i="18"/>
  <c r="AH34" i="18"/>
  <c r="J26" i="18"/>
  <c r="P10" i="18"/>
  <c r="AH10" i="18"/>
  <c r="V34" i="18"/>
  <c r="AB42" i="18"/>
  <c r="V26" i="18"/>
  <c r="AH18" i="18"/>
  <c r="V42" i="18"/>
  <c r="J34" i="18"/>
  <c r="P26" i="18"/>
  <c r="J10" i="18"/>
  <c r="AB18" i="18"/>
  <c r="V18" i="18"/>
  <c r="AB34" i="18"/>
  <c r="AH26" i="18"/>
  <c r="V10" i="18"/>
  <c r="AB26" i="18"/>
  <c r="AH42" i="18"/>
  <c r="L30" i="18"/>
  <c r="L22" i="18"/>
  <c r="R38" i="18"/>
  <c r="R6" i="18"/>
  <c r="AJ14" i="18"/>
  <c r="X14" i="18"/>
  <c r="R14" i="18"/>
  <c r="L38" i="18"/>
  <c r="AD14" i="18"/>
  <c r="AD30" i="18"/>
  <c r="X6" i="18"/>
  <c r="AJ38" i="18"/>
  <c r="AJ30" i="18"/>
  <c r="AJ22" i="18"/>
  <c r="R22" i="18"/>
  <c r="X30" i="18"/>
  <c r="AJ6" i="18"/>
  <c r="R30" i="18"/>
  <c r="AD38" i="18"/>
  <c r="L14" i="18"/>
  <c r="Q14" i="1"/>
  <c r="AD6" i="18"/>
  <c r="AD22" i="18"/>
  <c r="X38" i="18"/>
  <c r="P14" i="1"/>
  <c r="L6" i="18"/>
  <c r="X22" i="18"/>
  <c r="AH30" i="18"/>
  <c r="J30" i="18"/>
  <c r="J22" i="18"/>
  <c r="P38" i="18"/>
  <c r="V38" i="18"/>
  <c r="AB6" i="18"/>
  <c r="Q10" i="1"/>
  <c r="AH14" i="18"/>
  <c r="AH38" i="18"/>
  <c r="P14" i="18"/>
  <c r="J38" i="18"/>
  <c r="V22" i="18"/>
  <c r="AH6" i="18"/>
  <c r="V14" i="18"/>
  <c r="V6" i="18"/>
  <c r="J6" i="18"/>
  <c r="P30" i="18"/>
  <c r="J14" i="18"/>
  <c r="AB38" i="18"/>
  <c r="AB22" i="18"/>
  <c r="P22" i="18"/>
  <c r="V30" i="18"/>
  <c r="AB30" i="18"/>
  <c r="AB14" i="18"/>
  <c r="P10" i="1"/>
  <c r="AE10" i="1" s="1"/>
  <c r="AE11" i="1" s="1"/>
  <c r="P6" i="18"/>
  <c r="AH22" i="18"/>
  <c r="P19" i="1"/>
  <c r="Q19" i="1"/>
  <c r="P16" i="18"/>
  <c r="AH16" i="18"/>
  <c r="P40" i="18"/>
  <c r="V16" i="18"/>
  <c r="V32" i="18"/>
  <c r="AH40" i="18"/>
  <c r="J40" i="18"/>
  <c r="AB32" i="18"/>
  <c r="P24" i="18"/>
  <c r="V8" i="18"/>
  <c r="AB16" i="18"/>
  <c r="AH24" i="18"/>
  <c r="V40" i="18"/>
  <c r="AH8" i="18"/>
  <c r="AB24" i="18"/>
  <c r="AB40" i="18"/>
  <c r="AB8" i="18"/>
  <c r="J16" i="18"/>
  <c r="J24" i="18"/>
  <c r="P32" i="18"/>
  <c r="J32" i="18"/>
  <c r="V24" i="18"/>
  <c r="P8" i="18"/>
  <c r="J8" i="18"/>
  <c r="AH32" i="18"/>
  <c r="P50" i="1"/>
  <c r="Q50" i="1"/>
  <c r="AH12" i="18"/>
  <c r="V12" i="18"/>
  <c r="J20" i="18"/>
  <c r="V36" i="18"/>
  <c r="P12" i="18"/>
  <c r="V20" i="18"/>
  <c r="AH20" i="18"/>
  <c r="AB20" i="18"/>
  <c r="AH36" i="18"/>
  <c r="J36" i="18"/>
  <c r="P28" i="18"/>
  <c r="AH28" i="18"/>
  <c r="P44" i="18"/>
  <c r="J28" i="18"/>
  <c r="AB12" i="18"/>
  <c r="P20" i="18"/>
  <c r="AB36" i="18"/>
  <c r="P36" i="18"/>
  <c r="J12" i="18"/>
  <c r="V28" i="18"/>
  <c r="J44" i="18"/>
  <c r="AH44" i="18"/>
  <c r="AB28" i="18"/>
  <c r="AB44" i="18"/>
  <c r="V44" i="18"/>
  <c r="P26" i="1"/>
  <c r="Q26" i="1"/>
  <c r="AL32" i="18"/>
  <c r="Z40" i="18"/>
  <c r="N40" i="18"/>
  <c r="T24" i="18"/>
  <c r="AF16" i="18"/>
  <c r="Z8" i="18"/>
  <c r="AL40" i="18"/>
  <c r="Z16" i="18"/>
  <c r="T8" i="18"/>
  <c r="N16" i="18"/>
  <c r="T40" i="18"/>
  <c r="AF40" i="18"/>
  <c r="N24" i="18"/>
  <c r="AF24" i="18"/>
  <c r="T32" i="18"/>
  <c r="AL8" i="18"/>
  <c r="Z24" i="18"/>
  <c r="AL24" i="18"/>
  <c r="N8" i="18"/>
  <c r="AF8" i="18"/>
  <c r="N32" i="18"/>
  <c r="AL16" i="18"/>
  <c r="AF32" i="18"/>
  <c r="T16" i="18"/>
  <c r="Z32" i="18"/>
  <c r="P16" i="1"/>
  <c r="Q16" i="1"/>
  <c r="T38" i="18"/>
  <c r="AL6" i="18"/>
  <c r="N6" i="18"/>
  <c r="Z30" i="18"/>
  <c r="AL22" i="18"/>
  <c r="N30" i="18"/>
  <c r="T6" i="18"/>
  <c r="N38" i="18"/>
  <c r="Z22" i="18"/>
  <c r="N22" i="18"/>
  <c r="AF22" i="18"/>
  <c r="Z6" i="18"/>
  <c r="AL30" i="18"/>
  <c r="AL38" i="18"/>
  <c r="T30" i="18"/>
  <c r="N14" i="18"/>
  <c r="Z38" i="18"/>
  <c r="AF30" i="18"/>
  <c r="T22" i="18"/>
  <c r="Z14" i="18"/>
  <c r="AF6" i="18"/>
  <c r="AF14" i="18"/>
  <c r="AF38" i="18"/>
  <c r="T14" i="18"/>
  <c r="AL14" i="18"/>
  <c r="AD11" i="1" l="1"/>
  <c r="AF11" i="1" s="1"/>
  <c r="AE12" i="1"/>
  <c r="AE16" i="1"/>
  <c r="AE17" i="1" s="1"/>
  <c r="AD10" i="1"/>
  <c r="AH36" i="19" s="1"/>
  <c r="AD17" i="1" l="1"/>
  <c r="AF17" i="1" s="1"/>
  <c r="AE18" i="1"/>
  <c r="AD16" i="1"/>
  <c r="AF16" i="1" s="1"/>
  <c r="AD12" i="1"/>
  <c r="AF12" i="1" s="1"/>
  <c r="AE13" i="1"/>
  <c r="AF10" i="1"/>
  <c r="J26" i="19"/>
  <c r="J6" i="19"/>
  <c r="P6" i="19"/>
  <c r="AH16" i="19"/>
  <c r="AH26" i="19"/>
  <c r="V26" i="19"/>
  <c r="P36" i="19"/>
  <c r="P16" i="19"/>
  <c r="V6" i="19"/>
  <c r="P46" i="19"/>
  <c r="AH46" i="19"/>
  <c r="AB26" i="19"/>
  <c r="AB36" i="19"/>
  <c r="V16" i="19"/>
  <c r="J36" i="19"/>
  <c r="AB6" i="19"/>
  <c r="AB16" i="19"/>
  <c r="J16" i="19"/>
  <c r="J46" i="19"/>
  <c r="V36" i="19"/>
  <c r="P26" i="19"/>
  <c r="AH6" i="19"/>
  <c r="AB46" i="19"/>
  <c r="V46" i="19"/>
  <c r="AD13" i="1" l="1"/>
  <c r="AF13" i="1" s="1"/>
  <c r="AE14" i="1"/>
  <c r="AD18" i="1"/>
  <c r="AF18" i="1" s="1"/>
  <c r="AE19" i="1"/>
  <c r="AD19" i="1" s="1"/>
  <c r="P38" i="19"/>
  <c r="V8" i="19"/>
  <c r="V28" i="19"/>
  <c r="V48" i="19"/>
  <c r="AH18" i="19"/>
  <c r="J28" i="19"/>
  <c r="AB48" i="19"/>
  <c r="J48" i="19"/>
  <c r="AB38" i="19"/>
  <c r="AH38" i="19"/>
  <c r="AH48" i="19"/>
  <c r="AB8" i="19"/>
  <c r="J38" i="19"/>
  <c r="J18" i="19"/>
  <c r="V38" i="19"/>
  <c r="AH8" i="19"/>
  <c r="AH28" i="19"/>
  <c r="P48" i="19"/>
  <c r="P28" i="19"/>
  <c r="V18" i="19"/>
  <c r="P8" i="19"/>
  <c r="J8" i="19"/>
  <c r="AB28" i="19"/>
  <c r="P18" i="19"/>
  <c r="AB18" i="19"/>
  <c r="AI36" i="19"/>
  <c r="W16" i="19"/>
  <c r="AI26" i="19"/>
  <c r="K36" i="19"/>
  <c r="AC6" i="19"/>
  <c r="Q26" i="19"/>
  <c r="W36" i="19"/>
  <c r="Q6" i="19"/>
  <c r="AC36" i="19"/>
  <c r="K6" i="19"/>
  <c r="K16" i="19"/>
  <c r="Q16" i="19"/>
  <c r="AI6" i="19"/>
  <c r="K46" i="19"/>
  <c r="AI16" i="19"/>
  <c r="AI46" i="19"/>
  <c r="Q36" i="19"/>
  <c r="AC46" i="19"/>
  <c r="W6" i="19"/>
  <c r="W26" i="19"/>
  <c r="Q46" i="19"/>
  <c r="K26" i="19"/>
  <c r="AC26" i="19"/>
  <c r="W46" i="19"/>
  <c r="AC16" i="19"/>
  <c r="V19" i="19" l="1"/>
  <c r="AB9" i="19"/>
  <c r="AH29" i="19"/>
  <c r="J49" i="19"/>
  <c r="AB39" i="19"/>
  <c r="J29" i="19"/>
  <c r="P19" i="19"/>
  <c r="AH49" i="19"/>
  <c r="J19" i="19"/>
  <c r="V49" i="19"/>
  <c r="P39" i="19"/>
  <c r="AH39" i="19"/>
  <c r="AB49" i="19"/>
  <c r="AH19" i="19"/>
  <c r="V39" i="19"/>
  <c r="AF19" i="1"/>
  <c r="AB29" i="19"/>
  <c r="J39" i="19"/>
  <c r="V9" i="19"/>
  <c r="P49" i="19"/>
  <c r="AB19" i="19"/>
  <c r="J9" i="19"/>
  <c r="AH9" i="19"/>
  <c r="V29" i="19"/>
  <c r="P9" i="19"/>
  <c r="P29" i="19"/>
  <c r="AD14" i="1"/>
  <c r="AE15" i="1"/>
  <c r="AD15" i="1" s="1"/>
  <c r="W28" i="19"/>
  <c r="W8" i="19"/>
  <c r="K48" i="19"/>
  <c r="W38" i="19"/>
  <c r="K38" i="19"/>
  <c r="K18" i="19"/>
  <c r="AC8" i="19"/>
  <c r="Q8" i="19"/>
  <c r="AI18" i="19"/>
  <c r="Q28" i="19"/>
  <c r="Q38" i="19"/>
  <c r="K28" i="19"/>
  <c r="AC38" i="19"/>
  <c r="AC48" i="19"/>
  <c r="Q18" i="19"/>
  <c r="AC18" i="19"/>
  <c r="AC28" i="19"/>
  <c r="AI48" i="19"/>
  <c r="AI28" i="19"/>
  <c r="K8" i="19"/>
  <c r="Q48" i="19"/>
  <c r="AI8" i="19"/>
  <c r="AI38" i="19"/>
  <c r="W18" i="19"/>
  <c r="W48" i="19"/>
  <c r="L38" i="19"/>
  <c r="X38" i="19"/>
  <c r="AD28" i="19"/>
  <c r="AJ38" i="19"/>
  <c r="AD38" i="19"/>
  <c r="AJ18" i="19"/>
  <c r="R38" i="19"/>
  <c r="X8" i="19"/>
  <c r="AJ28" i="19"/>
  <c r="AJ8" i="19"/>
  <c r="L28" i="19"/>
  <c r="X48" i="19"/>
  <c r="R28" i="19"/>
  <c r="AD48" i="19"/>
  <c r="AD8" i="19"/>
  <c r="R8" i="19"/>
  <c r="R48" i="19"/>
  <c r="X18" i="19"/>
  <c r="AD18" i="19"/>
  <c r="L8" i="19"/>
  <c r="AJ48" i="19"/>
  <c r="R18" i="19"/>
  <c r="L48" i="19"/>
  <c r="L18" i="19"/>
  <c r="X28" i="19"/>
  <c r="AJ7" i="19"/>
  <c r="L37" i="19"/>
  <c r="X47" i="19"/>
  <c r="X27" i="19"/>
  <c r="L47" i="19"/>
  <c r="R47" i="19"/>
  <c r="AD47" i="19"/>
  <c r="AJ37" i="19"/>
  <c r="R17" i="19"/>
  <c r="L7" i="19"/>
  <c r="R7" i="19"/>
  <c r="R37" i="19"/>
  <c r="AD37" i="19"/>
  <c r="AJ27" i="19"/>
  <c r="L27" i="19"/>
  <c r="AJ17" i="19"/>
  <c r="L17" i="19"/>
  <c r="X17" i="19"/>
  <c r="AD7" i="19"/>
  <c r="AD27" i="19"/>
  <c r="AD17" i="19"/>
  <c r="X7" i="19"/>
  <c r="R27" i="19"/>
  <c r="AJ47" i="19"/>
  <c r="X37" i="19"/>
  <c r="AJ46" i="19"/>
  <c r="AJ26" i="19"/>
  <c r="X36" i="19"/>
  <c r="R46" i="19"/>
  <c r="X46" i="19"/>
  <c r="AD6" i="19"/>
  <c r="AJ16" i="19"/>
  <c r="AJ36" i="19"/>
  <c r="AD46" i="19"/>
  <c r="L46" i="19"/>
  <c r="R6" i="19"/>
  <c r="AD26" i="19"/>
  <c r="X26" i="19"/>
  <c r="L6" i="19"/>
  <c r="X6" i="19"/>
  <c r="L16" i="19"/>
  <c r="L36" i="19"/>
  <c r="AJ6" i="19"/>
  <c r="L26" i="19"/>
  <c r="X16" i="19"/>
  <c r="R36" i="19"/>
  <c r="AD36" i="19"/>
  <c r="AD16" i="19"/>
  <c r="R26" i="19"/>
  <c r="R16" i="19"/>
  <c r="AF15" i="1" l="1"/>
  <c r="Q17" i="19"/>
  <c r="W47" i="19"/>
  <c r="W27" i="19"/>
  <c r="AI47" i="19"/>
  <c r="K37" i="19"/>
  <c r="Q7" i="19"/>
  <c r="AI7" i="19"/>
  <c r="W7" i="19"/>
  <c r="AI37" i="19"/>
  <c r="K27" i="19"/>
  <c r="AC17" i="19"/>
  <c r="K17" i="19"/>
  <c r="K47" i="19"/>
  <c r="Q47" i="19"/>
  <c r="AI17" i="19"/>
  <c r="W37" i="19"/>
  <c r="AC37" i="19"/>
  <c r="AI27" i="19"/>
  <c r="AC7" i="19"/>
  <c r="K7" i="19"/>
  <c r="Q27" i="19"/>
  <c r="W17" i="19"/>
  <c r="AC27" i="19"/>
  <c r="Q37" i="19"/>
  <c r="AC47" i="19"/>
  <c r="AF14" i="1"/>
  <c r="AH7" i="19"/>
  <c r="P47" i="19"/>
  <c r="V27" i="19"/>
  <c r="J7" i="19"/>
  <c r="V47" i="19"/>
  <c r="P7" i="19"/>
  <c r="P37" i="19"/>
  <c r="AH17" i="19"/>
  <c r="J17" i="19"/>
  <c r="P17" i="19"/>
  <c r="AB37" i="19"/>
  <c r="J27" i="19"/>
  <c r="AB7" i="19"/>
  <c r="AH47" i="19"/>
  <c r="AB47" i="19"/>
  <c r="V37" i="19"/>
  <c r="AB27" i="19"/>
  <c r="V7" i="19"/>
  <c r="AH27" i="19"/>
  <c r="J37" i="19"/>
  <c r="P27" i="19"/>
  <c r="V17" i="19"/>
  <c r="AH37" i="19"/>
  <c r="AB17" i="19"/>
  <c r="J47" i="19"/>
  <c r="AE46" i="19"/>
  <c r="S36" i="19"/>
  <c r="M26" i="19"/>
  <c r="Y46" i="19"/>
  <c r="AK36" i="19"/>
  <c r="Y26" i="19"/>
  <c r="AE36" i="19"/>
  <c r="M36" i="19"/>
  <c r="AE16" i="19"/>
  <c r="S46" i="19"/>
  <c r="AK26" i="19"/>
  <c r="S26" i="19"/>
  <c r="AK6" i="19"/>
  <c r="Y16" i="19"/>
  <c r="M6" i="19"/>
  <c r="AE26" i="19"/>
  <c r="S16" i="19"/>
  <c r="AE6" i="19"/>
  <c r="Y36" i="19"/>
  <c r="AK46" i="19"/>
  <c r="AK16" i="19"/>
  <c r="M16" i="19"/>
  <c r="Y6" i="19"/>
  <c r="M46" i="19"/>
  <c r="S6" i="19"/>
  <c r="S27" i="19"/>
  <c r="S7" i="19"/>
  <c r="Y7" i="19"/>
  <c r="M47" i="19"/>
  <c r="M27" i="19"/>
  <c r="S17" i="19"/>
  <c r="S37" i="19"/>
  <c r="M17" i="19"/>
  <c r="Y37" i="19"/>
  <c r="AE47" i="19"/>
  <c r="S47" i="19"/>
  <c r="AK7" i="19"/>
  <c r="AE27" i="19"/>
  <c r="AE17" i="19"/>
  <c r="AE37" i="19"/>
  <c r="Y17" i="19"/>
  <c r="M7" i="19"/>
  <c r="AK47" i="19"/>
  <c r="AK17" i="19"/>
  <c r="Y47" i="19"/>
  <c r="AK27" i="19"/>
  <c r="Y27" i="19"/>
  <c r="AE7" i="19"/>
  <c r="M37" i="19"/>
  <c r="AK37" i="19"/>
  <c r="U7" i="19" l="1"/>
  <c r="O17" i="19"/>
  <c r="U37" i="19"/>
  <c r="AM7" i="19"/>
  <c r="AA37" i="19"/>
  <c r="U47" i="19"/>
  <c r="O47" i="19"/>
  <c r="AM47" i="19"/>
  <c r="AA7" i="19"/>
  <c r="AM17" i="19"/>
  <c r="AG7" i="19"/>
  <c r="AA27" i="19"/>
  <c r="AG37" i="19"/>
  <c r="U27" i="19"/>
  <c r="AA47" i="19"/>
  <c r="AM37" i="19"/>
  <c r="AA17" i="19"/>
  <c r="AM27" i="19"/>
  <c r="AG47" i="19"/>
  <c r="O37" i="19"/>
  <c r="O27" i="19"/>
  <c r="AG27" i="19"/>
  <c r="O7" i="19"/>
  <c r="U17" i="19"/>
  <c r="AG17" i="19"/>
  <c r="Z47" i="19"/>
  <c r="Z17" i="19"/>
  <c r="AF27" i="19"/>
  <c r="Z37" i="19"/>
  <c r="Z27" i="19"/>
  <c r="AL27" i="19"/>
  <c r="T47" i="19"/>
  <c r="T7" i="19"/>
  <c r="AF7" i="19"/>
  <c r="AF47" i="19"/>
  <c r="T37" i="19"/>
  <c r="AL7" i="19"/>
  <c r="N27" i="19"/>
  <c r="AL37" i="19"/>
  <c r="AF37" i="19"/>
  <c r="AL47" i="19"/>
  <c r="N37" i="19"/>
  <c r="AL17" i="19"/>
  <c r="N7" i="19"/>
  <c r="T17" i="19"/>
  <c r="N17" i="19"/>
  <c r="T27" i="19"/>
  <c r="N47" i="19"/>
  <c r="AF17" i="19"/>
  <c r="Z7" i="19"/>
  <c r="U36" i="19"/>
  <c r="AM16" i="19"/>
  <c r="AA6" i="19"/>
  <c r="U16" i="19"/>
  <c r="AA26" i="19"/>
  <c r="O16" i="19"/>
  <c r="AG16" i="19"/>
  <c r="U6" i="19"/>
  <c r="AG6" i="19"/>
  <c r="O36" i="19"/>
  <c r="AM6" i="19"/>
  <c r="AG36" i="19"/>
  <c r="O6" i="19"/>
  <c r="AG46" i="19"/>
  <c r="AA46" i="19"/>
  <c r="U26" i="19"/>
  <c r="U46" i="19"/>
  <c r="O26" i="19"/>
  <c r="AM46" i="19"/>
  <c r="AA36" i="19"/>
  <c r="AA16" i="19"/>
  <c r="AM26" i="19"/>
  <c r="O46" i="19"/>
  <c r="AG26" i="19"/>
  <c r="AM36" i="19"/>
  <c r="AL6" i="19"/>
  <c r="T26" i="19"/>
  <c r="T6" i="19"/>
  <c r="AL26" i="19"/>
  <c r="T36" i="19"/>
  <c r="AL16" i="19"/>
  <c r="Z36" i="19"/>
  <c r="N6" i="19"/>
  <c r="AF6" i="19"/>
  <c r="AL36" i="19"/>
  <c r="Z46" i="19"/>
  <c r="AF36" i="19"/>
  <c r="T16" i="19"/>
  <c r="N46" i="19"/>
  <c r="AF26" i="19"/>
  <c r="AF46" i="19"/>
  <c r="N26" i="19"/>
  <c r="Z26" i="19"/>
  <c r="Z6" i="19"/>
  <c r="T46" i="19"/>
  <c r="Z16" i="19"/>
  <c r="AL46" i="19"/>
  <c r="N16" i="19"/>
  <c r="AF16" i="19"/>
  <c r="N3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ATENCION CIUDADANO</author>
  </authors>
  <commentList>
    <comment ref="J10" authorId="0" shapeId="0" xr:uid="{1CF06F25-82F8-49BD-AC1A-0DCB189B2D2E}">
      <text>
        <r>
          <rPr>
            <b/>
            <sz val="9"/>
            <color indexed="81"/>
            <rFont val="Tahoma"/>
            <family val="2"/>
          </rPr>
          <t>ATENCION CIUDADANO:</t>
        </r>
        <r>
          <rPr>
            <sz val="9"/>
            <color indexed="81"/>
            <rFont val="Tahoma"/>
            <family val="2"/>
          </rPr>
          <t xml:space="preserve">
Número de PQRSD respondidos por fuera del termino, sin respuesta y vencidos (enero - agosto). </t>
        </r>
      </text>
    </comment>
    <comment ref="J16" authorId="0" shapeId="0" xr:uid="{D8640EC0-EA39-4081-9AAF-78802F96746C}">
      <text>
        <r>
          <rPr>
            <b/>
            <sz val="9"/>
            <color indexed="81"/>
            <rFont val="Tahoma"/>
            <family val="2"/>
          </rPr>
          <t>ATENCION CIUDADANO:</t>
        </r>
        <r>
          <rPr>
            <sz val="9"/>
            <color indexed="81"/>
            <rFont val="Tahoma"/>
            <family val="2"/>
          </rPr>
          <t xml:space="preserve">
Número de contratos de Secretaría General y Dirección de Atención al Ciudadano del año 2024</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<sst xmlns="http://schemas.openxmlformats.org/spreadsheetml/2006/main" count="849" uniqueCount="445">
  <si>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</si>
  <si>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</si>
  <si>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</si>
  <si>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</si>
  <si>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</si>
  <si>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</si>
  <si>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</si>
  <si>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</si>
  <si>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</si>
  <si>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</si>
  <si>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</si>
  <si>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</si>
  <si>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</si>
  <si>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</si>
  <si>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</si>
  <si>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</si>
  <si>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</si>
  <si>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</si>
  <si>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</si>
  <si>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</si>
  <si>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</si>
  <si>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</si>
  <si>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</si>
  <si>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</si>
  <si>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</si>
  <si>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</si>
  <si>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</si>
  <si>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</si>
  <si>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</si>
  <si>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</si>
  <si>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</si>
  <si>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</si>
  <si>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</si>
  <si>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</si>
  <si>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</si>
  <si>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</si>
  <si>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</si>
  <si>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</si>
  <si>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</si>
  <si>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</si>
  <si>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</si>
  <si>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</si>
  <si>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</si>
  <si>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</si>
  <si>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</si>
  <si>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</si>
  <si>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</si>
  <si>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</si>
  <si>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</si>
  <si>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</si>
  <si>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</si>
  <si>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</si>
  <si>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</si>
  <si>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</si>
  <si>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</si>
  <si>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</si>
  <si>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</si>
  <si>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</si>
  <si>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</si>
  <si>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</si>
  <si>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</si>
  <si>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</si>
  <si>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</si>
  <si>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</si>
  <si>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</si>
  <si>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</si>
  <si>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</si>
  <si>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</si>
  <si>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</si>
  <si>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</si>
  <si>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</si>
  <si>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</si>
  <si>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</si>
  <si>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</si>
  <si>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</si>
  <si>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</si>
  <si>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</si>
  <si>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</si>
  <si>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</si>
  <si>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</si>
  <si>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</si>
  <si>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</si>
  <si>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</si>
  <si>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</si>
  <si>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</si>
  <si>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</si>
  <si>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</si>
  <si>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</si>
  <si>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</si>
  <si>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</si>
  <si>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</si>
  <si>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</si>
  <si>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</si>
  <si>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</si>
  <si>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</si>
  <si>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</si>
  <si>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</si>
  <si>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</si>
  <si>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</si>
  <si>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</si>
  <si>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</si>
  <si>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</si>
  <si>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</si>
  <si>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</si>
  <si>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</si>
  <si>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</si>
  <si>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</si>
  <si>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</si>
  <si>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</si>
  <si>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</si>
  <si>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</si>
  <si>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</si>
  <si>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</si>
  <si>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</si>
  <si>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</si>
  <si>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</si>
  <si>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</si>
  <si>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</si>
  <si>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</si>
  <si>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</si>
  <si>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</si>
  <si>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</si>
  <si>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</si>
  <si>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</si>
  <si>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</si>
  <si>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</si>
  <si>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</si>
  <si>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</si>
  <si>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</si>
  <si>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</si>
  <si>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</si>
  <si>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</si>
  <si>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</si>
  <si>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</si>
  <si>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</si>
  <si>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</si>
  <si>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</si>
  <si>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</si>
  <si>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</si>
  <si>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</si>
  <si>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</si>
  <si>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</si>
  <si>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</si>
  <si>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</si>
  <si>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</si>
  <si>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</si>
  <si>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</si>
  <si>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</si>
  <si>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</si>
  <si>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</si>
  <si>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</si>
  <si>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</si>
  <si>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</si>
  <si>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</si>
  <si>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</si>
  <si>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</si>
  <si>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</si>
  <si>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</si>
  <si>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</si>
  <si>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</si>
  <si>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</si>
  <si>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</si>
  <si>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</si>
  <si>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</si>
  <si>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</si>
  <si>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</si>
  <si>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</si>
  <si>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</si>
  <si>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</si>
  <si>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</si>
  <si>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</si>
  <si>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</si>
  <si>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</si>
  <si>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</si>
  <si>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</si>
  <si>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</si>
  <si>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</si>
  <si>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</si>
  <si>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</si>
  <si>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</si>
  <si>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</si>
  <si>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</si>
  <si>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</si>
  <si>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</si>
  <si>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</si>
  <si>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</si>
  <si>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</si>
  <si>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</si>
  <si>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</si>
  <si>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</si>
  <si>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</si>
  <si>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</si>
  <si>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</si>
  <si>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</si>
  <si>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</si>
  <si>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</si>
  <si>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</si>
  <si>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</si>
  <si>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</si>
  <si>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</si>
  <si>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</si>
  <si>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</si>
  <si>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</si>
  <si>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</si>
  <si>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</si>
  <si>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</si>
  <si>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</si>
  <si>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</si>
  <si>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Entre 1000 y 5000 SMLMV </t>
  </si>
  <si>
    <t>Entre 5000 y 10000 SMLMV</t>
  </si>
  <si>
    <t xml:space="preserve">     Entre 1000 y 5000 SMLMV </t>
  </si>
  <si>
    <t xml:space="preserve">     Mayor a 10000 SMLMV</t>
  </si>
  <si>
    <t xml:space="preserve">     Entre 5000 y 10000 SMLMV</t>
  </si>
  <si>
    <t/>
  </si>
  <si>
    <t>GESTIÓN DEL SERVICIO Y ATENCIÓN AL CIUDADANO</t>
  </si>
  <si>
    <t>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t>
  </si>
  <si>
    <t>INICIA CON LA PRESENTACIÓN DE LAS NECESIDADES DE LOS CIUDADANOS EN CUANTO A LA PRESTACIÓN DE LOS SERVICIOS, PLANEACIÓN DE LAS ESTRATEGIAS Y ACTIVIDADES A REALIZAR PARA MEJORAR LA ATENCIÓN TENIENDO EN CUENTA LA ORIENTACIÓN QUE SE DEBE BRINDAR, PARA LA RECEPCIÓN DE SOLICITUDES, PQRS, Y FACILITAR LAS RESPUESTAS OPORTUNAS, EFECTUANDO EVALUACIONES PARA EL ANÁLISIS Y LA RETROALIMENTACIÓN DE LA INFORMACIÓN A LOS REQUERIMIENTOS, EJERCIENDO CONTROLES EN CUANTO A LA PERCEPCIÓN DEL CIUDADANO Y FINALIZA CON EL SEGUIMIENTO E IMPLEMENTACIÓN DE ACCIONES PREVENTIVAS, CORRECTIVAS Y DE MEJORA.</t>
  </si>
  <si>
    <t>Errores en la clasificación del tipo de petición - Derechos de Petición</t>
  </si>
  <si>
    <t>Falta de socialización de los mecanismos de comunicación para con los ciudadanos</t>
  </si>
  <si>
    <t>Falta de seguimiento a los tiempos de respuestas de los Reclamos - Derechos de Petición formulados a la entidad</t>
  </si>
  <si>
    <t>El Director de Atención al Ciudadano trimestralmente verifica que las respuestas emitidas por las diferentes unidades administrativas de los Reclamos sean respondidas dentro de los términos establecidos por la ley y genera un informe que se exporta de la plataforma PISAMI, donde se puede visualizar el estado de las respuestas a los Reclamos de cada unidad administrativa perteneciente a los procesos misionales. En caso de encontrar Reclamos a los cuales no se les dio respuesta dentro de los términos establecidos por la ley, se remite un informe de lo ocurrido a las Dependencias y se expone en el Comité de Coordinación de Control Interno para que cada Dependencia implemente las acciones correspondientes, se procede a realizar informes de seguimiento con el respectivo seguimiento al indicador.</t>
  </si>
  <si>
    <t xml:space="preserve">Acciones legales (sanciones disciplinarias, demandas y demás acciones jurídicas) y/o hallazgos de los entes de control </t>
  </si>
  <si>
    <t>Directora de Atención al Ciudadano</t>
  </si>
  <si>
    <t>Seguimiento enero - febrero</t>
  </si>
  <si>
    <t>Seguimiento  marzo - abril</t>
  </si>
  <si>
    <t>Seguimiento  mayo - junio</t>
  </si>
  <si>
    <t>Seguimiento julio - agosto</t>
  </si>
  <si>
    <t>Seguimiento septiembre - octubre</t>
  </si>
  <si>
    <t xml:space="preserve">CONTEXTO ESTRATEGICO </t>
  </si>
  <si>
    <t>PROCESO: GESTIÓN DEL SERVICIO Y ATENCIÓN AL CIUDADANO</t>
  </si>
  <si>
    <t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t>
  </si>
  <si>
    <t>FACTORES EXTERNOS</t>
  </si>
  <si>
    <t>CAUSAS</t>
  </si>
  <si>
    <t>FACTORES INTERNOS</t>
  </si>
  <si>
    <t>FACTORES DEL PROCESO</t>
  </si>
  <si>
    <t>LEGALES Y REGLAMENTARIOS</t>
  </si>
  <si>
    <t>Constantes cambios y actualizaciones normativas</t>
  </si>
  <si>
    <t>PERSONAL DE LA ENTIDAD (Capacidad del personal, políticas de manejo del talento humano, idoneidad)</t>
  </si>
  <si>
    <t>INTERACCIÓN CON LOS PROCESOS</t>
  </si>
  <si>
    <t>POLÍTICOS</t>
  </si>
  <si>
    <t>Cambio de gobierno</t>
  </si>
  <si>
    <t>Personal insuficiente para realizar las actividades del Proceso</t>
  </si>
  <si>
    <t>TRANSVERSALIDAD</t>
  </si>
  <si>
    <t>SOCIALES Y CULTURALES</t>
  </si>
  <si>
    <t>Baja satisfacción del ciudadano frente a los servicios y atención prestada por la entidad</t>
  </si>
  <si>
    <t>Insuficiente capacitación del personal</t>
  </si>
  <si>
    <t>RESPONSABLES DEL PROCESO</t>
  </si>
  <si>
    <t>Idiosincrasia de los ciudadanos</t>
  </si>
  <si>
    <t>Errores en la clasificación del tipo de petición - Derechos de Petición.</t>
  </si>
  <si>
    <t>TECNOLÓGICOS</t>
  </si>
  <si>
    <t>Avances Tecnológicos</t>
  </si>
  <si>
    <t>FINANCIEROS</t>
  </si>
  <si>
    <t>Bajo presupuesto de funcionamiento.</t>
  </si>
  <si>
    <t>Errores en el direccionamiento del tipo de petición - Derechos de Petición.</t>
  </si>
  <si>
    <t>OTROS</t>
  </si>
  <si>
    <t xml:space="preserve">Falta de Infraestructura, capacidad instalada </t>
  </si>
  <si>
    <t>AMBIENTALES</t>
  </si>
  <si>
    <t>Declaratoria de emergencias por Pandemias o catastrofes naturales.</t>
  </si>
  <si>
    <t>TECNOLOGÍA (integridad de datos, disponibilidad de datos y sistemas, desarrollo, producción, mantenimiento de sistemas de información)</t>
  </si>
  <si>
    <t>Falta de equipos tecnologicos optimos en algunos de los puntos de atención</t>
  </si>
  <si>
    <t xml:space="preserve">Baja cobertura de acceso de internet en los puntos de atención. </t>
  </si>
  <si>
    <t>COMMUNICACIÓN INTERNA</t>
  </si>
  <si>
    <t>Baja efectividad y fluidez en los canales de información, necesarios para el desarrollo de las operaciones</t>
  </si>
  <si>
    <t>ECONÓMICOS Y FINANCIEROS</t>
  </si>
  <si>
    <t>PROCESOS OPERATIVOS</t>
  </si>
  <si>
    <t>ESTRATÉGICOS</t>
  </si>
  <si>
    <t>FACTORES GEOGRÁFICOS (ubicación, espacio,topografía, clima, recursos naturales, etc.)</t>
  </si>
  <si>
    <t>COMUNICACIÓN ENTRE LOS PROCESOS</t>
  </si>
  <si>
    <t>NORMATIVIDAD</t>
  </si>
  <si>
    <t>ARTICULACIÓN DE LOS PROCESOS</t>
  </si>
  <si>
    <t>PROCEDIMIENTOS DEL PROCESO</t>
  </si>
  <si>
    <t>ACTIVOS DE SEGURIDAD DIGITAL DEL PROCESO</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</si>
  <si>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</si>
  <si>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</si>
  <si>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</si>
  <si>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</si>
  <si>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</si>
  <si>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</si>
  <si>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</si>
  <si>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</si>
  <si>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</si>
  <si>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</si>
  <si>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</si>
  <si>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</si>
  <si>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</si>
  <si>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</si>
  <si>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</si>
  <si>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</si>
  <si>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</si>
  <si>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</si>
  <si>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</si>
  <si>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</si>
  <si>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</si>
  <si>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</si>
  <si>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</si>
  <si>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</si>
  <si>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</si>
  <si>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</si>
  <si>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 xml:space="preserve">1) Compromiso laboral 
</t>
  </si>
  <si>
    <t>2) Personal insuficiente para realizar las actividades del Proceso</t>
  </si>
  <si>
    <t>2) Toma de decisiones oportunas por parte del nivel directivo</t>
  </si>
  <si>
    <t xml:space="preserve">3) Ampliación en la cobertura de la prestación de servicios en los puntos de Atención al Ciudadano </t>
  </si>
  <si>
    <t>4) Prestación de los servicios que se realizan en las ventanillas y/o puntos de atención al ciudadano</t>
  </si>
  <si>
    <t>5) Fluidez de la información a través de la plataforma PISAMI</t>
  </si>
  <si>
    <t xml:space="preserve">6) Compromiso institucional por parte de los servidores públicos de la Administración Municipal. </t>
  </si>
  <si>
    <t>7) Gestión basada en procesos</t>
  </si>
  <si>
    <t>8) Comité Institucional de Coordinación de Control Interno, Comité Institucional de Gestión y Desempeño, Comité SIGAMI</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</si>
  <si>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</si>
  <si>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</si>
  <si>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</si>
  <si>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1) Oferta de personal en el mercado con el perfil y las competencias acordes a las necesidades demandadas</t>
  </si>
  <si>
    <t>D1,3O1; Contratar personal con el perfil y las competencias demandadas para cumplir con las actividades de Atención al Ciudadano</t>
  </si>
  <si>
    <t>F3,4O1,3; Ampliar la cobertura en la prestación de los servicios ofrecidos por la entidad, mediante la apertura de Centros de Atención Municipal "CAM", que cuenten con el personal idoneo y la disponibilidad de equipos y herramientas tecnológicas que permitan dar respuesta de manera eficiente, efectiva y eficaz a las solicitudes formuladas por los ciudadanos.</t>
  </si>
  <si>
    <t>2) Implementación y aplicación de políticas en los procesos de selección de personal</t>
  </si>
  <si>
    <t>F5,O6; Adquirir equipos y herramientas tecnológicas que permitan agilizar la conectividad y fluidez de la información a través de la plataforma PISAMI</t>
  </si>
  <si>
    <t>3) Acceso a tecnologías en sistemas y comunicaciones para
mejorar el proceso, haciéndolo eficiente y oportuno.</t>
  </si>
  <si>
    <t xml:space="preserve">4) Acceso a documentación en temas relacionados a la atención al ciudadano y correspondencia. </t>
  </si>
  <si>
    <t>5) Requisitos legales favorables</t>
  </si>
  <si>
    <t>7) Aplicación e implementación de conceptos enfocados en liderazgo estratégico y orientado a resultados.</t>
  </si>
  <si>
    <t>8) Oferta de capacitaciones o cursos con diferentes Entidades o con personal con el perfil, conocimiento y competencias en el tema</t>
  </si>
  <si>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</si>
  <si>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</si>
  <si>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</si>
  <si>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1) Constantes cambios y actualizaciones normativas</t>
  </si>
  <si>
    <t>2) Cambio de gobierno</t>
  </si>
  <si>
    <t>3) Baja satisfacción del ciudadano frente a los servicios y atención prestada por la entidad</t>
  </si>
  <si>
    <t>Seguimiento noviembre - diciembre</t>
  </si>
  <si>
    <t>Posibilidad de perdida reputacional por insatisfacción de los ciudadanos frente a los servicios y trámites que presta la Entidad debido a la orientación inadecuada en la prestación de los servicios, trámites de la Entidad y PQRSD.</t>
  </si>
  <si>
    <t xml:space="preserve"> Insatisfacción de los  ciudadanos frente a los servicios, trámites que presta la Entidad y PQRSD. </t>
  </si>
  <si>
    <t>Seguimiento a la orientación en la prestación de los servicios, trámites que presta la Entidad y PQRSD.</t>
  </si>
  <si>
    <t>Orientación inadecuada en la prestación de los servicios, trámites que presta la Entidad y PQRSD</t>
  </si>
  <si>
    <t>Falta de seguimiento a los tiempos de respuestas de las PQRSD - Derechos de Petición formuladas a la entidad</t>
  </si>
  <si>
    <t xml:space="preserve">Baja competencia del personal frente al manejo de las PQRSD, orientación y atención al ciudadano </t>
  </si>
  <si>
    <t xml:space="preserve">Posibilidad de perdida económica y reputacional por acciones legales (sanciones disciplinarias, demandas y demás acciones jurídicas) y/o hallazgos de los entes de control debido al incumplimiento a la oportunidad de respuesta de los PQRSD clasificados como Derechos de Petición a la Entidad. </t>
  </si>
  <si>
    <t>Seguimiento a la gestión de mejoramiento de la reducción de las PQRSD al interior de los Procesos</t>
  </si>
  <si>
    <t>El Profesional Universitario(a) de la Dirección de Atención al Ciudadano quincenalmente  verifica que las respuestas emitidas por las diferentes unidades administrativas de las PQRSD sean respondidas dentro delos términos establecidos por la ley y se genera un informe que se exporta de la plataforma PISAMI, donde se puede visualizar el estado de las respuestas de las PQRSD de cada unidad administrativa. En caso de encontrar PQRSD a las cuales no se les dio respuesta dentro de los términos establecidos por la ley, se remite un informe de lo ocurrido a la oficina de control disciplinario y se proyectan informes de seguimiento con los respectivos memorandos.</t>
  </si>
  <si>
    <t xml:space="preserve">Incumplimiento a la oportunidad de respuesta de los PQRSD clasificados como Derechos de Petición a la Entidad. </t>
  </si>
  <si>
    <t>Codigo:FOR-029-PRO-SIG-01</t>
  </si>
  <si>
    <t>Versión: 01</t>
  </si>
  <si>
    <t>FORMATO: CONTEXTO ESTRATEGICO</t>
  </si>
  <si>
    <t>Fecha: 21/02/2024</t>
  </si>
  <si>
    <t>Pagina:  1 de 1</t>
  </si>
  <si>
    <t>FORMATO: PRIORIZACION DE CAUSAS (Amenazas y Debilidades)</t>
  </si>
  <si>
    <t>Fecha:21/02/2024</t>
  </si>
  <si>
    <t>Codigo: FOR-029-PRO-SIG-01</t>
  </si>
  <si>
    <t>FORMATO: MATRIZ DOFA</t>
  </si>
  <si>
    <t>Tipo de Riesgo</t>
  </si>
  <si>
    <t>Gestión</t>
  </si>
  <si>
    <t>PROCESO: SISTEMA INTEGRADO DE GESTIÓN Y MIPG</t>
  </si>
  <si>
    <t>Baja competencia del personal frente al manejo de las PQRSD, orientación y atención al ciudadano</t>
  </si>
  <si>
    <t>Incumplimiento en los términos establecidos por la ley de algunas unidades administrativas para dar respuesta a las PQRSD - Derechos de Petición realizadas por los ciudadanos</t>
  </si>
  <si>
    <t>Demora en el direcionamiento de las PQRSD para su respectivas respuestas</t>
  </si>
  <si>
    <t>Falta de comportamientos de integridad de lo público del Servidor que recibe la PQRSD</t>
  </si>
  <si>
    <t>1) Baja competencia del personal frente al manejo de las PQRSD, orientación y atención al ciudadano</t>
  </si>
  <si>
    <t>6) Disponibilidad de equipos y herramientas tecnológicas que permitan agilizar los procesos de respuesta a las PQRSD</t>
  </si>
  <si>
    <t>EL Profesional Universitaro(a) de la Dirección de Atención al Ciudadano y lider de cada unidad administrativa diariamente verifica y revisa que la clasificación y el direccionamiento del tipo de petición sea el correcto a través del seguimiento en PISAMI  
 mediante tres filtros; el primero son las ventanillas, el segundo es la Dirección de Atención al Ciudadano – Secretaría General y el tercero son las Unidades Administrativas que dan respuesta a las diferentes solicitudes de los ciudadanos según sea la competencia. Si las unidades administrativas detectan algún error lo pueden comunicar a la Dirección de Atención al Ciudadano para el respectivo cambio. Las unidades administrativas cuentan con un (2) días hábiles contados a partir del momento de la recepción de la correspondencia por parte de la Unidad Administrativa para realizar este proceso. En caso de encontrar tipos de peticiones mal clasificadas o direccionadas, se procede a realizar el cambio en la plataforma PISAMI.</t>
  </si>
  <si>
    <t>El Director (a) de Atención al Ciudadano y su equipo de trabajo mensualmente verifica y revisa las actividades de la estrategia de Atención al Ciudadano, plan de mejoramiento con la Oficina de Control Interno e informes gerenciales de chats y encuestas relacionados con los mecanismos de comunicación para con los ciudadanos y de la instatisfacción de los mismos frente a las respuesta de los PQRSD interpuestos a la Entidad. En caso de no encontrar implementados los mecanismos de comunicación entre la Entidad y los Ciudadanos, se procede a socializar en Comité Institucional de Gestión y Desempeño para que el Secretario comunique a la Alta Dirección las acciones de mejora a realizar, según sea el caso. Esta actividad se reporta mediante una presentación enviada al correo institucional de Fortalecimiento Institucional.</t>
  </si>
  <si>
    <t>Fallas en el cargue del aplicativo (SECOP, PISAMI y entes de control)</t>
  </si>
  <si>
    <t xml:space="preserve">Falta de implementación del Código de Integridad y Buen Gobierno </t>
  </si>
  <si>
    <t>Dificultad en la unificación de criterios para la realización de los Procesos Contractuales</t>
  </si>
  <si>
    <t>Falta de articulación entre las Secretarías ejecutoras, Secretaría de Planeación y Oficina de Contratación</t>
  </si>
  <si>
    <t>Desconocimiento de la caracterización, manuales, procedimientos, instructivos, guías, formatos y demás documentos del Proceso Gestión Contractual y Gestión del Servicio y Atención al Ciudadano</t>
  </si>
  <si>
    <t>Falta de claridad en la justificación previa de la necesidad para la adquisición del bien o servicio contratado</t>
  </si>
  <si>
    <t>Incumplimiento en la supervisión, vigilancia, control y ejecución de las actividades de los contratos</t>
  </si>
  <si>
    <t>Inadecuada aplicación del principio de Planeación</t>
  </si>
  <si>
    <t xml:space="preserve">Falta de articulación y desconocimiento al definir las actividades de los contratistas  del Proceso de Secretaría General y Dirección de Atención al Ciudadano por parte de los supervisores </t>
  </si>
  <si>
    <t>Falta de seguimiento por parte de los supervisres a las actividades que desarrollan los contratistas</t>
  </si>
  <si>
    <t>Incumplimiento de los supervisores del manual de contratación, manual de supervisión , documentación y normatividad aplicable al proceso de Gestión Contractual</t>
  </si>
  <si>
    <t>Acción u omisión por amiguismo a la ejecución de algunas actividades de los contratos</t>
  </si>
  <si>
    <t>Falta de seguimiento por parte de los supervisores a las actividades que desarrollan los contratistas</t>
  </si>
  <si>
    <t>Incumplimiento de los supervisores del manual de contratación, manual de supervisión, documentación y normatividad aplicable al proceso de Gestión Contractual</t>
  </si>
  <si>
    <t>9) El otorgamiento de las certificaciones en los sistemas integrados QHSE</t>
  </si>
  <si>
    <t>10) Capacitación permanente en temas del Proceso</t>
  </si>
  <si>
    <t>11) Utilización de la información documentada del Proceso</t>
  </si>
  <si>
    <t>9) Acceso a la información publicada en las páginas web de las entidades nacionales</t>
  </si>
  <si>
    <t>10) Acceso a la herramienta tecnologica SECOP y Colombia Compra Eficiente que facilitan los Procesos de la Contratación Estatal</t>
  </si>
  <si>
    <t>11) Normatividad y directrices para la implementación de MIPG</t>
  </si>
  <si>
    <t>4) Avances Tecnológicos</t>
  </si>
  <si>
    <t>5) Declaratoria de emergencias por Pandemias o catastrofes naturales.</t>
  </si>
  <si>
    <t>D14O3,6; Adquirir equipos, implementar y utilizar herramientas tecnológicas y de comunicación que permitar reducir los tiempos de respuestas de las PQRSD</t>
  </si>
  <si>
    <t>6) Fallas en el cargue del aplicativo (SECOP, PISAMI y entes de control)</t>
  </si>
  <si>
    <r>
      <t>4) Bajo presupuesto de funcionamiento</t>
    </r>
    <r>
      <rPr>
        <b/>
        <sz val="10"/>
        <color rgb="FFFF0000"/>
        <rFont val="Arial"/>
        <family val="2"/>
      </rPr>
      <t>.</t>
    </r>
  </si>
  <si>
    <r>
      <t>5) Falta de Infraestructura, capacidad instalada</t>
    </r>
    <r>
      <rPr>
        <b/>
        <sz val="10"/>
        <color rgb="FFFF0000"/>
        <rFont val="Arial"/>
        <family val="2"/>
      </rPr>
      <t xml:space="preserve"> </t>
    </r>
  </si>
  <si>
    <r>
      <t>6) Falta de equipos tecnologicos optimos en algunos de los puntos de atención</t>
    </r>
    <r>
      <rPr>
        <b/>
        <sz val="10"/>
        <color rgb="FFFF0000"/>
        <rFont val="Arial"/>
        <family val="2"/>
      </rPr>
      <t xml:space="preserve"> </t>
    </r>
  </si>
  <si>
    <r>
      <t>7) Baja cobertura de acceso de internet en los puntos de atención.</t>
    </r>
    <r>
      <rPr>
        <b/>
        <sz val="10"/>
        <color rgb="FFFF0000"/>
        <rFont val="Arial"/>
        <family val="2"/>
      </rPr>
      <t xml:space="preserve"> </t>
    </r>
  </si>
  <si>
    <t xml:space="preserve">8) Baja efectividad y fluidez en los canales de información, necesarios para el desarrollo de las operaciones </t>
  </si>
  <si>
    <t xml:space="preserve">9) Dificultad en la unificación de criterios para la realización de los Procesos Contractuales </t>
  </si>
  <si>
    <t xml:space="preserve">10) Falta de articulación entre las Secretarías ejecutoras, Secretaría de Planeación y Oficina de Contratación </t>
  </si>
  <si>
    <t xml:space="preserve">11) Desconocimiento de la caracterización, manuales, procedimientos, instructivos, guías, formatos y demás documentos del Proceso Gestión Contractual y Gestión del Servicio y Atención al Ciudadano </t>
  </si>
  <si>
    <r>
      <t>12) Falta de claridad en la justificación previa de la necesidad para la adquisición del bien o servicio contratado</t>
    </r>
    <r>
      <rPr>
        <b/>
        <sz val="10"/>
        <color rgb="FFFF0000"/>
        <rFont val="Arial"/>
        <family val="2"/>
      </rPr>
      <t xml:space="preserve"> </t>
    </r>
  </si>
  <si>
    <t xml:space="preserve">13) Incumplimiento en los términos establecidos por la ley de algunas unidades administrativas para dar respuesta a las PQRSD - Derechos de Petición realizadas por los ciudadanos </t>
  </si>
  <si>
    <t xml:space="preserve">14) Demora en el direcionamiento de las PQRSD para su respectivas respuestas </t>
  </si>
  <si>
    <t xml:space="preserve">15) Falta de seguimiento a los tiempos de respuestas de las PQRSD - Derechos de Petición </t>
  </si>
  <si>
    <t xml:space="preserve">16) Errores en la clasificación y direccionamiento del tipo de petición - Derechos de Petición. </t>
  </si>
  <si>
    <t>17) Errores de direccionamiento del tipo de petición - Derechos de Petición.</t>
  </si>
  <si>
    <t xml:space="preserve">18) Falta de socialización de los mecanismos de comunicación para con los ciudadanos </t>
  </si>
  <si>
    <t xml:space="preserve">19) Incumplimiento en la supervisión, vigilancia, control y ejecución de las actividades de los contratos </t>
  </si>
  <si>
    <t xml:space="preserve">20) Inadecuada aplicación del principio de Planeación </t>
  </si>
  <si>
    <t xml:space="preserve">21) Falta de articulación y desconocimiento al definir las actividades de los contratistas  del Proceso de Secretaría General y Dirección de Atención al Ciudadano por parte de los supervisores </t>
  </si>
  <si>
    <t xml:space="preserve">22) Falta de seguimiento por parte de los supervisores a las actividades que desarrollan los contratistas </t>
  </si>
  <si>
    <t xml:space="preserve">23) Incumplimiento de los supervisores del manual de contratación, manual de supervisión, documentación y normatividad aplicable al proceso de Gestión Contractual </t>
  </si>
  <si>
    <t xml:space="preserve">24) Acción u omisión por amiguismo a la ejecución de algunas actividades de los contratos </t>
  </si>
  <si>
    <t>3) Insuficiente capacitación del personal</t>
  </si>
  <si>
    <t>D13A3; Enviar informes a la Oficina de Control Disciplinario para que investiguen y tomen las medidas pertinentes con los funcionarios que se demoran en dar respuesta a los ciudadanos.</t>
  </si>
  <si>
    <t>D1,3,18A3,4,5; Revisar y/o modificar las acciones propuestas en la estrategia de atención al ciudadano con el fin de lograr la mejora continua del proceso.</t>
  </si>
  <si>
    <t>F1,2,6A3,4,5; Potencializar, empoderar y capacitar a los servidores públicos para que desarrollen sus actividades enfocadas en el mejoramiento de la percepción del ciudadano frente a los servicios, trámites que presta la entidad y PQRSDD.</t>
  </si>
  <si>
    <t>F4,A3; Ampliar el portafolio de servicios que se prestan en los puntos de atención al ciudadano, con el fin de atender y orientar de una mejor manera las solicitudes de los ciudadanos.</t>
  </si>
  <si>
    <t>F1,2,6,7,8A3,4; Realizar seguimiento en comité técnico a la ejecución de las actividades relacionadas con la atención al ciudadano y asignar responsabilidades del cumplimiento de las mismas a los funcionarios de la Dependencia.</t>
  </si>
  <si>
    <t>F9,10,11A6; Realizar seguimiento al cargue de la documentaci{on en las plataformas SECOP, PISAMI y entes de control</t>
  </si>
  <si>
    <t>F10,11O9,10,11; Identificar los riesgos fiscales del Proceso Gestión del Servicio y Atención al Ciudadano con sus respectivos controles y plan de acción</t>
  </si>
  <si>
    <t>Acciones legales, civiles, fiscales, penales y disciplinarias (sanciones, demandasy/o hallazgos) de los entes de control</t>
  </si>
  <si>
    <t>Incumplimiento de los supervisores del manual de contratación, manual de supervisión, documentación y normatividad aplicable del Proceso de Gestión Contractual</t>
  </si>
  <si>
    <t>Fiscal</t>
  </si>
  <si>
    <t xml:space="preserve">Los supervisores de la Secretaría General y Dirección de Atención al Ciudadano mensualmente verifican el cargue en la plataforma del SECOP, que los informes de ejecución o actividades, informes de supervisión y todo documento soporte que haya sido generada para el trámite de pago por los contratistas se haya implementado. En caso de encontrar falta de ejecución en los contratosse debe requerir por escrito al contratista, llevar a cabo reuniones, integrar comités y desarrollar otras herramientas encaminadas a verificar la adecuada ejecución de los contratos </t>
  </si>
  <si>
    <t xml:space="preserve">Falta de articulación y desconocimiento de Secretaría General y Dirección de Atención al Ciudadano por parte de los supervisores al definir las actividades de los contratistas </t>
  </si>
  <si>
    <t>D21,22O9,10,11; Realizar bimestralmente seguimiento mediante comité técnico a la ejecución de las actividades contractuales</t>
  </si>
  <si>
    <t>D19,21,23O9,10,11; Realizar cuatrimestralmente capacitación a supervisores, funcionarios y contratistas en cuanto al manual de contratación y manual de supervisión</t>
  </si>
  <si>
    <t>D23,24;A1,2,4,6; Realizar bimestralmente circular o memorando con las obligaciones contractuales a los supervisores y contratistas</t>
  </si>
  <si>
    <t xml:space="preserve">D20O9,10,11; Realizar cuatrimestralmente mesa de trabajo con el fin de identificar las necesidades de la Dependencia y las posibles actividades en las que pueden apoyar los contratistas </t>
  </si>
  <si>
    <t>D14,15O3,6,7; Realizar visitas mensuales a las 
Dependencias con mayor cantidad de número de PQRSD vencidos evidenciando el término de respuesta dada a las peticiones, quejas y reclamos radicadas por los ciudadanos para cumplir con los parámetros establecidos en la ley .</t>
  </si>
  <si>
    <t>D16,17O3; Realizar seguimiento a las mensualmente diferentes Dependencias de la entidad por medio de informes de oportunidad de respuesta de los traslados por competencia.</t>
  </si>
  <si>
    <t>D16,17O6; Realizar informes consolidados mensuales de seguimiento a las ventanillas</t>
  </si>
  <si>
    <t>D16,17O7; Reportar trimestralmente en el Comité de Coordinación de Control Interno mediante informe el estado de respuestas de los Reclamos con el fin de que cada Dependencia implemente las acciones de mejora correspondientes.</t>
  </si>
  <si>
    <t>D18O3; Socializar y difundir mensualmente información de los canales de atención, trámites, servicios y correos electrónicos de las Dependencias a los ciudadanos.</t>
  </si>
  <si>
    <t>D3O8; Adelantar bimestralmente jornadas de
capacitación o asesorías al personal de ventanilla.</t>
  </si>
  <si>
    <r>
      <rPr>
        <b/>
        <sz val="11"/>
        <rFont val="Arial Narrow"/>
        <family val="2"/>
      </rPr>
      <t>Memorando visita enero</t>
    </r>
    <r>
      <rPr>
        <sz val="11"/>
        <rFont val="Arial Narrow"/>
        <family val="2"/>
      </rPr>
      <t xml:space="preserve"> 2025-003453 del 27 de enero de 2025.                                                                                                                   Acta No. 01 del 28 de enero de 2025, acta No. 02 del 29 de enero de 2025, acta No. 03 del 29 de enero de 2025, acta No. 04 del 29 de enero de 2025, acta No. 05 del 28 de enero de 2025, acta No. 06 del 28 de enero de 2025.                    </t>
    </r>
    <r>
      <rPr>
        <b/>
        <sz val="11"/>
        <rFont val="Arial Narrow"/>
        <family val="2"/>
      </rPr>
      <t>Memorando visitas febrero</t>
    </r>
    <r>
      <rPr>
        <sz val="11"/>
        <rFont val="Arial Narrow"/>
        <family val="2"/>
      </rPr>
      <t xml:space="preserve"> 2025-008255 del 21 de febrero de 2025.                                                                                                                               Acta No. 07 del 26 de febrero de 2025, acta No. 08 del 25 de febrero de 2025, acta No. 09 del 25 de febrero de 2025, Acta No. 10 del 25 de enero de 2025, Acta No. 11 del 26 de febrero del 2025, Acta No. 12 del 25 de febrero de 2025. </t>
    </r>
  </si>
  <si>
    <r>
      <t>I</t>
    </r>
    <r>
      <rPr>
        <b/>
        <sz val="11"/>
        <color theme="1"/>
        <rFont val="Arial Narrow"/>
        <family val="2"/>
      </rPr>
      <t>NFORMES CONSOLIDADOS DE VENTANILLA</t>
    </r>
    <r>
      <rPr>
        <sz val="11"/>
        <color theme="1"/>
        <rFont val="Arial Narrow"/>
        <family val="2"/>
      </rPr>
      <t>: informe del 07 al 10 de enero de 2025, enviado el 23 de enero de 2025. Informe del 13 al 17 de enero de 2025, enviado el 23 de enero de 2025. Informe del 20 al 24 de enero de 2025, enviado el  04 defebrero de 2025. Informe del 27 al 31 de enero de 2025, enviado el 05 de febrero de 2025. Informe del 03 al 07 de febrero de 2025, enviado el 19 de febrero de 2025. Informe del 10 al 14 de febrero del 2025, enviado el 22 de febrero de 2025, Informe del 17 al 22 de febrero del 2025, enviado el 04 de marzo de 2025. Informe del 24 al 28 de febrero del 2025, enviado el 04 de marzo de 2025.</t>
    </r>
  </si>
  <si>
    <r>
      <rPr>
        <b/>
        <sz val="11"/>
        <color theme="1"/>
        <rFont val="Arial Narrow"/>
        <family val="2"/>
      </rPr>
      <t xml:space="preserve">INFORME TRASLADO POR COMPETENCIA: </t>
    </r>
    <r>
      <rPr>
        <sz val="11"/>
        <color theme="1"/>
        <rFont val="Arial Narrow"/>
        <family val="2"/>
      </rPr>
      <t xml:space="preserve">                                      Informe mes de enero del 2025, enviado el 04 de febrero de 2025. Informe mes de febrero del 2025, enviado el 03 de marzo de 2025,</t>
    </r>
  </si>
  <si>
    <t>D16,17O3; Realizar seguimiento  mensualmente a las diferentes Dependencias de la entidad por medio de informes de oportunidad de respuesta de los traslados por competencia</t>
  </si>
  <si>
    <t xml:space="preserve">En este periodo no se tiene estipulado realizar esta actividad; ya que, el comité de Coordinación de Control Interno y el informe de Reclamos se  realiza de manera trimestral. </t>
  </si>
  <si>
    <r>
      <rPr>
        <b/>
        <sz val="11"/>
        <color theme="1"/>
        <rFont val="Arial Narrow"/>
        <family val="2"/>
      </rPr>
      <t>Memorando</t>
    </r>
    <r>
      <rPr>
        <sz val="11"/>
        <color theme="1"/>
        <rFont val="Arial Narrow"/>
        <family val="2"/>
      </rPr>
      <t xml:space="preserve"> visita de ventanilla en el mes de enero, 2025-003456 del 27 de enero de 2025, </t>
    </r>
    <r>
      <rPr>
        <b/>
        <sz val="11"/>
        <color theme="1"/>
        <rFont val="Arial Narrow"/>
        <family val="2"/>
      </rPr>
      <t xml:space="preserve">Actas </t>
    </r>
    <r>
      <rPr>
        <sz val="11"/>
        <color theme="1"/>
        <rFont val="Arial Narrow"/>
        <family val="2"/>
      </rPr>
      <t xml:space="preserve">de la 01 a la 04 .                                                                                                                                  </t>
    </r>
    <r>
      <rPr>
        <b/>
        <sz val="11"/>
        <color theme="1"/>
        <rFont val="Arial Narrow"/>
        <family val="2"/>
      </rPr>
      <t>Memorando</t>
    </r>
    <r>
      <rPr>
        <sz val="11"/>
        <color theme="1"/>
        <rFont val="Arial Narrow"/>
        <family val="2"/>
      </rPr>
      <t xml:space="preserve"> visitas de ventanillas en el mes de febrero, 2025-008496 del 24 de febrero de 2025, </t>
    </r>
    <r>
      <rPr>
        <b/>
        <sz val="11"/>
        <color theme="1"/>
        <rFont val="Arial Narrow"/>
        <family val="2"/>
      </rPr>
      <t>Actas</t>
    </r>
    <r>
      <rPr>
        <sz val="11"/>
        <color theme="1"/>
        <rFont val="Arial Narrow"/>
        <family val="2"/>
      </rPr>
      <t xml:space="preserve"> de la 05 a la 08.</t>
    </r>
  </si>
  <si>
    <t xml:space="preserve">En este periodo no se tiene estipulado realizar esta actividad; ya que,  la capacitacion a supervisores y contratistas  se  realiza de manera  cuatrimestral. </t>
  </si>
  <si>
    <t xml:space="preserve">En este periodo no se tiene estipulado realizar esta actividad; ya que,  la mesa de trabajo para identificar las necesidades de la dependencia  se  realiza de manera  cuatrimestral. </t>
  </si>
  <si>
    <t xml:space="preserve">Acta 01 de comité Tecnico de la Secretaria General, del dia 07 de febrero de 2025. </t>
  </si>
  <si>
    <t>Durante el periodo de enero y febrero se realizaron las siguientes piezas gráficas: 1.Banner de trámites y servicios en línea 2. banner de la cartilla de lenguaje claro,jueves 30 de enero de 2025 (se público en la página de la Alcaldía el 30 de enero de 2025); 3. Banner de trámites y servicios en línea 
4. Pieza gráfica y banner del horario de atención especial el sábado 
5. Piezas gráficas de los 5 pasos para la recepción y trámite de PQRSD</t>
  </si>
  <si>
    <t>Se realizo memorando 2025-08176 del 21 de febrero del 2025, donde se socializó las funciones y obligaciones de los supervisores.</t>
  </si>
  <si>
    <t>Posibilidad de perdida económica y reputacional por acciones legales , civiles, fiscales, penales y disciplinarias (sanciones, demandas y/o hallazgos) de los entes de control debido al incumplimiento en la supervisión, vigilancia, control y ejecución de las actividades de los contratos.</t>
  </si>
  <si>
    <t>Supervisión a la ejecución de los contratos</t>
  </si>
  <si>
    <t>Los supervisores de la Secretaría General y Dirección de Atención al Ciudadano mensualmente deben verificar la correcta ejecución técnica, administrativa, finánciera, contable y jurídica de los mismos y su observancia es de obligatorio cumplimiento para los servidores públicos del Municipio de Ibagué, para los interventores, supervisores, funcionarios y contratistas; cumpliendo con lo establecido en el manual de contratación, manual de supervisión e interventoria en los cuales se establecen los procedimientos y responsabilidades en el ejercicio del debido control y vigilancia.  En caso de encontrar desviaciones se debe informar a la Entidad Estatal cuando se presente incumplimiento contractual; así como entregar los soportes necesarios para que la Entidad Estatal desarrolle las actividades correspondientes</t>
  </si>
  <si>
    <t>Los supervisores de la Secretaría General y Dirección de Atención al Ciudadano mensualmente verifican y validan en el informe mensual el cumplimiento de las actividades y el cargue de información de los informes y documentos relacionados con la ejecución de las actividades en la plataforma de contratación - PISAMI, para garantizar la alimentación de dicho sistema. En caso de encontrar falta de documentación, suscribir actas de la ejecución del contrato para dejar documentadas diversas situaciones (actas parciales, actas parciales de recibo y actas de recibo final)</t>
  </si>
  <si>
    <t>Inadecuada aplicación del principio de Planeación e Insuficiencia de estudios previos</t>
  </si>
  <si>
    <t>Posibilidad de perdida económica y reputacional por acciones legales, fiscales, penales y disciplinarias (sanciones, demandas y/o hallazgos) de los entes de control debido a la inadecuada aplicación del principio de Planeación e Insuficiencia de estudios previos</t>
  </si>
  <si>
    <t>En la elaboración de los estudios previos a la planeación de las actividades de los contratos , según las necesidades de la Dependencia</t>
  </si>
  <si>
    <t>La Secretaria General y/o Director(a) de Atencion al Ciudadano, cada vez que se elabora los estudios previos, verifican y cotejan que las obligaciones mencionadas contribuyan al ejecución de las actividades de los proyectos para el cumplimiento del plan de acción y/o plan de desarrollo, dejando como evidencia la firma de documentos previos; si se encuentra una desviación se devuelve al abogado formulador para que se corrija.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</si>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</sst>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2"/>
      <color theme="1"/>
      <name val="Arial"/>
      <family val="2"/>
    </font>
    <font>
      <sz val="11"/>
      <color theme="1"/>
      <name val="Arial"/>
      <family val="2"/>
    </font>
    <font>
      <sz val="11"/>
      <color indexed="8"/>
      <name val="Arial"/>
      <family val="2"/>
    </font>
    <font>
      <sz val="1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0"/>
      <color theme="1"/>
      <name val="Arial"/>
      <family val="2"/>
    </font>
    <font>
      <b/>
      <sz val="12"/>
      <color indexed="8"/>
      <name val="Arial"/>
      <family val="2"/>
    </font>
    <font>
      <b/>
      <sz val="11"/>
      <color indexed="8"/>
      <name val="Arial"/>
      <family val="2"/>
    </font>
    <font>
      <b/>
      <sz val="11"/>
      <color indexed="17"/>
      <name val="Arial"/>
      <family val="2"/>
    </font>
    <font>
      <b/>
      <sz val="10"/>
      <name val="Arial"/>
      <family val="2"/>
    </font>
    <font>
      <b/>
      <sz val="10"/>
      <color rgb="FFFF0000"/>
      <name val="Arial"/>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B0F0"/>
        <bgColor indexed="64"/>
      </patternFill>
    </fill>
    <fill>
      <patternFill patternType="solid">
        <fgColor theme="6" tint="0.39997558519241921"/>
        <bgColor indexed="64"/>
      </patternFill>
    </fill>
    <fill>
      <patternFill patternType="solid">
        <fgColor theme="4" tint="0.79998168889431442"/>
        <bgColor indexed="64"/>
      </patternFill>
    </fill>
  </fills>
  <borders count="10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6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1"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22" fillId="13" borderId="18" xfId="0" applyFont="1" applyFill="1" applyBorder="1" applyAlignment="1" applyProtection="1">
      <alignment horizontal="center" wrapText="1" readingOrder="1"/>
      <protection hidden="1"/>
    </xf>
    <xf numFmtId="0" fontId="0" fillId="3" borderId="0" xfId="0" applyFill="1"/>
    <xf numFmtId="0" fontId="40" fillId="3" borderId="49" xfId="2" applyFont="1" applyFill="1" applyBorder="1"/>
    <xf numFmtId="0" fontId="40" fillId="3" borderId="50" xfId="2" applyFont="1" applyFill="1" applyBorder="1"/>
    <xf numFmtId="0" fontId="40" fillId="3" borderId="51"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2" xfId="0" applyFont="1" applyFill="1" applyBorder="1" applyAlignment="1">
      <alignment horizontal="center" vertical="center" wrapText="1" readingOrder="1"/>
    </xf>
    <xf numFmtId="0" fontId="30" fillId="3" borderId="32" xfId="0" applyFont="1" applyFill="1" applyBorder="1" applyAlignment="1">
      <alignment horizontal="justify" vertical="center" wrapText="1" readingOrder="1"/>
    </xf>
    <xf numFmtId="9" fontId="29" fillId="3" borderId="41" xfId="0" applyNumberFormat="1"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30" fillId="3" borderId="31" xfId="0" applyFont="1" applyFill="1" applyBorder="1" applyAlignment="1">
      <alignment horizontal="justify" vertical="center" wrapText="1" readingOrder="1"/>
    </xf>
    <xf numFmtId="9" fontId="29" fillId="3" borderId="36" xfId="0" applyNumberFormat="1" applyFont="1" applyFill="1" applyBorder="1" applyAlignment="1">
      <alignment horizontal="center" vertical="center" wrapText="1" readingOrder="1"/>
    </xf>
    <xf numFmtId="0" fontId="30" fillId="3" borderId="36"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30" fillId="3" borderId="38" xfId="0" applyFont="1" applyFill="1" applyBorder="1" applyAlignment="1">
      <alignment horizontal="justify" vertical="center" wrapText="1" readingOrder="1"/>
    </xf>
    <xf numFmtId="0" fontId="30" fillId="3" borderId="39" xfId="0" applyFont="1" applyFill="1" applyBorder="1" applyAlignment="1">
      <alignment horizontal="center" vertical="center" wrapText="1" readingOrder="1"/>
    </xf>
    <xf numFmtId="0" fontId="37" fillId="3" borderId="0" xfId="0" applyFont="1" applyFill="1"/>
    <xf numFmtId="0" fontId="29" fillId="15" borderId="43" xfId="0" applyFont="1" applyFill="1" applyBorder="1" applyAlignment="1">
      <alignment horizontal="center" vertical="center" wrapText="1" readingOrder="1"/>
    </xf>
    <xf numFmtId="0" fontId="29" fillId="15" borderId="44"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3"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4" xfId="2" applyFont="1" applyFill="1" applyBorder="1"/>
    <xf numFmtId="0" fontId="40" fillId="3" borderId="15" xfId="2" applyFont="1" applyFill="1" applyBorder="1"/>
    <xf numFmtId="0" fontId="40" fillId="3" borderId="17" xfId="2" applyFont="1" applyFill="1" applyBorder="1"/>
    <xf numFmtId="0" fontId="40" fillId="3" borderId="16"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3"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4"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0" xfId="0" applyFont="1" applyFill="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0"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7" xfId="0" applyFont="1" applyFill="1" applyBorder="1" applyAlignment="1">
      <alignment horizontal="center" vertical="center"/>
    </xf>
    <xf numFmtId="0" fontId="1" fillId="0" borderId="73" xfId="0"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0" borderId="73" xfId="0" applyFont="1" applyBorder="1" applyAlignment="1" applyProtection="1">
      <alignment horizontal="left" vertical="top" wrapText="1"/>
      <protection locked="0"/>
    </xf>
    <xf numFmtId="0" fontId="27" fillId="3" borderId="73" xfId="0" applyFont="1" applyFill="1" applyBorder="1" applyAlignment="1">
      <alignment vertical="center" wrapText="1"/>
    </xf>
    <xf numFmtId="0" fontId="27" fillId="0" borderId="2" xfId="0" applyFont="1" applyBorder="1" applyAlignment="1" applyProtection="1">
      <alignment horizontal="justify" vertical="top" wrapText="1"/>
      <protection locked="0"/>
    </xf>
    <xf numFmtId="14" fontId="27" fillId="0" borderId="2" xfId="0" applyNumberFormat="1" applyFont="1" applyBorder="1" applyAlignment="1" applyProtection="1">
      <alignment horizontal="center" vertical="center"/>
      <protection locked="0"/>
    </xf>
    <xf numFmtId="0" fontId="27" fillId="0" borderId="2" xfId="0" applyFont="1" applyBorder="1" applyAlignment="1" applyProtection="1">
      <alignment horizontal="center" vertical="center" wrapText="1"/>
      <protection locked="0"/>
    </xf>
    <xf numFmtId="0" fontId="4" fillId="2" borderId="3" xfId="0" applyFont="1" applyFill="1" applyBorder="1" applyAlignment="1">
      <alignment vertical="center"/>
    </xf>
    <xf numFmtId="0" fontId="4" fillId="2" borderId="29"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vertical="center"/>
    </xf>
    <xf numFmtId="0" fontId="4" fillId="2" borderId="30" xfId="0" applyFont="1" applyFill="1" applyBorder="1" applyAlignment="1">
      <alignment vertical="center"/>
    </xf>
    <xf numFmtId="0" fontId="27" fillId="0" borderId="6"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4" fillId="3" borderId="31" xfId="0" applyFont="1" applyFill="1" applyBorder="1" applyAlignment="1">
      <alignment horizontal="center" vertical="center"/>
    </xf>
    <xf numFmtId="0" fontId="1" fillId="3" borderId="31" xfId="0" applyFont="1" applyFill="1" applyBorder="1" applyAlignment="1">
      <alignment vertical="center" wrapText="1"/>
    </xf>
    <xf numFmtId="0" fontId="2" fillId="3" borderId="31" xfId="0" applyFont="1" applyFill="1" applyBorder="1" applyAlignment="1">
      <alignment vertical="center" wrapText="1"/>
    </xf>
    <xf numFmtId="0" fontId="60" fillId="17" borderId="80" xfId="0" applyFont="1" applyFill="1" applyBorder="1" applyAlignment="1">
      <alignment vertical="center"/>
    </xf>
    <xf numFmtId="0" fontId="60" fillId="17" borderId="81" xfId="0" applyFont="1" applyFill="1" applyBorder="1" applyAlignment="1">
      <alignment horizontal="center" vertical="center"/>
    </xf>
    <xf numFmtId="0" fontId="60" fillId="17" borderId="82" xfId="0" applyFont="1" applyFill="1" applyBorder="1" applyAlignment="1">
      <alignment horizontal="center" vertical="center"/>
    </xf>
    <xf numFmtId="0" fontId="61" fillId="18" borderId="83" xfId="0" applyFont="1" applyFill="1" applyBorder="1" applyAlignment="1">
      <alignment vertical="center" wrapText="1"/>
    </xf>
    <xf numFmtId="0" fontId="61" fillId="18" borderId="84" xfId="0" applyFont="1" applyFill="1" applyBorder="1" applyAlignment="1">
      <alignment vertical="center" wrapText="1"/>
    </xf>
    <xf numFmtId="0" fontId="61" fillId="18" borderId="35" xfId="0" applyFont="1" applyFill="1" applyBorder="1" applyAlignment="1">
      <alignment vertical="center" wrapText="1"/>
    </xf>
    <xf numFmtId="0" fontId="61" fillId="18" borderId="31" xfId="0" applyFont="1" applyFill="1" applyBorder="1" applyAlignment="1">
      <alignment vertical="center" wrapText="1"/>
    </xf>
    <xf numFmtId="0" fontId="61" fillId="0" borderId="31" xfId="0" applyFont="1" applyBorder="1" applyAlignment="1">
      <alignment horizontal="left" vertical="center" wrapText="1"/>
    </xf>
    <xf numFmtId="0" fontId="61" fillId="0" borderId="36" xfId="0" applyFont="1" applyBorder="1" applyAlignment="1">
      <alignment horizontal="left" vertical="center" wrapText="1"/>
    </xf>
    <xf numFmtId="0" fontId="61" fillId="18" borderId="37" xfId="0" applyFont="1" applyFill="1" applyBorder="1" applyAlignment="1">
      <alignment vertical="center" wrapText="1"/>
    </xf>
    <xf numFmtId="0" fontId="61" fillId="0" borderId="38" xfId="0" applyFont="1" applyBorder="1" applyAlignment="1">
      <alignment horizontal="left" vertical="center" wrapText="1"/>
    </xf>
    <xf numFmtId="0" fontId="61" fillId="18" borderId="38" xfId="0" applyFont="1" applyFill="1" applyBorder="1" applyAlignment="1">
      <alignment vertical="center" wrapText="1"/>
    </xf>
    <xf numFmtId="0" fontId="63" fillId="0" borderId="38" xfId="0" applyFont="1" applyBorder="1" applyAlignment="1">
      <alignment horizontal="left" vertical="center" wrapText="1"/>
    </xf>
    <xf numFmtId="0" fontId="61" fillId="0" borderId="39" xfId="0" applyFont="1" applyBorder="1" applyAlignment="1">
      <alignment horizontal="left" vertical="center" wrapText="1"/>
    </xf>
    <xf numFmtId="0" fontId="0" fillId="0" borderId="0" xfId="0" applyAlignment="1">
      <alignment wrapText="1"/>
    </xf>
    <xf numFmtId="0" fontId="61" fillId="3" borderId="0" xfId="0" applyFont="1" applyFill="1" applyAlignment="1">
      <alignment horizontal="left" vertical="center" wrapText="1"/>
    </xf>
    <xf numFmtId="0" fontId="65" fillId="19" borderId="32" xfId="0" applyFont="1" applyFill="1" applyBorder="1" applyAlignment="1">
      <alignment horizontal="center" vertical="center" wrapText="1"/>
    </xf>
    <xf numFmtId="0" fontId="64" fillId="19" borderId="32" xfId="0" applyFont="1" applyFill="1" applyBorder="1" applyAlignment="1">
      <alignment horizontal="center" vertical="center" wrapText="1"/>
    </xf>
    <xf numFmtId="0" fontId="66" fillId="19" borderId="32" xfId="0" applyFont="1" applyFill="1" applyBorder="1" applyAlignment="1">
      <alignment horizontal="center" vertical="center" wrapText="1"/>
    </xf>
    <xf numFmtId="165" fontId="66" fillId="19" borderId="87" xfId="0" applyNumberFormat="1" applyFont="1" applyFill="1" applyBorder="1" applyAlignment="1">
      <alignment horizontal="center" vertical="center" wrapText="1"/>
    </xf>
    <xf numFmtId="0" fontId="61" fillId="0" borderId="31" xfId="0" applyFont="1" applyBorder="1" applyAlignment="1">
      <alignment horizontal="center" vertical="center"/>
    </xf>
    <xf numFmtId="0" fontId="61" fillId="0" borderId="31" xfId="0" applyFont="1" applyBorder="1" applyAlignment="1" applyProtection="1">
      <alignment horizontal="center" vertical="center"/>
      <protection locked="0"/>
    </xf>
    <xf numFmtId="166" fontId="61" fillId="0" borderId="89" xfId="0" applyNumberFormat="1" applyFont="1" applyBorder="1" applyAlignment="1">
      <alignment horizontal="center" vertical="center"/>
    </xf>
    <xf numFmtId="0" fontId="0" fillId="0" borderId="91" xfId="0" applyBorder="1" applyAlignment="1" applyProtection="1">
      <alignment vertical="top"/>
      <protection locked="0"/>
    </xf>
    <xf numFmtId="165" fontId="61" fillId="0" borderId="89" xfId="0" applyNumberFormat="1" applyFont="1" applyBorder="1" applyAlignment="1">
      <alignment horizontal="center" vertical="center"/>
    </xf>
    <xf numFmtId="0" fontId="61" fillId="0" borderId="79" xfId="0" applyFont="1" applyBorder="1" applyAlignment="1">
      <alignment horizontal="center" vertical="center"/>
    </xf>
    <xf numFmtId="0" fontId="61" fillId="0" borderId="79" xfId="0" applyFont="1" applyBorder="1" applyAlignment="1">
      <alignment horizontal="left" vertical="center" wrapText="1"/>
    </xf>
    <xf numFmtId="0" fontId="61" fillId="0" borderId="79" xfId="0" applyFont="1" applyBorder="1" applyAlignment="1" applyProtection="1">
      <alignment horizontal="center" vertical="center"/>
      <protection locked="0"/>
    </xf>
    <xf numFmtId="165" fontId="61" fillId="0" borderId="92" xfId="0" applyNumberFormat="1" applyFont="1" applyBorder="1" applyAlignment="1">
      <alignment horizontal="center" vertical="center"/>
    </xf>
    <xf numFmtId="165" fontId="61" fillId="20" borderId="85" xfId="0" applyNumberFormat="1" applyFont="1" applyFill="1" applyBorder="1" applyAlignment="1">
      <alignment vertical="center"/>
    </xf>
    <xf numFmtId="165" fontId="61" fillId="8" borderId="39" xfId="0" applyNumberFormat="1" applyFont="1" applyFill="1" applyBorder="1" applyAlignment="1">
      <alignment vertical="center"/>
    </xf>
    <xf numFmtId="0" fontId="61" fillId="3" borderId="86" xfId="0" applyFont="1" applyFill="1" applyBorder="1" applyAlignment="1">
      <alignment vertical="center" wrapText="1"/>
    </xf>
    <xf numFmtId="0" fontId="67" fillId="19" borderId="88" xfId="0" applyFont="1" applyFill="1" applyBorder="1" applyAlignment="1">
      <alignment vertical="center" wrapText="1"/>
    </xf>
    <xf numFmtId="0" fontId="0" fillId="0" borderId="90" xfId="0" applyBorder="1" applyAlignment="1" applyProtection="1">
      <alignment vertical="top"/>
      <protection locked="0"/>
    </xf>
    <xf numFmtId="0" fontId="0" fillId="0" borderId="91" xfId="0" applyBorder="1"/>
    <xf numFmtId="0" fontId="0" fillId="0" borderId="93" xfId="0" applyBorder="1"/>
    <xf numFmtId="0" fontId="27" fillId="3" borderId="2" xfId="0" applyFont="1" applyFill="1" applyBorder="1" applyAlignment="1" applyProtection="1">
      <alignment horizontal="center" vertical="center" wrapText="1"/>
      <protection locked="0"/>
    </xf>
    <xf numFmtId="0" fontId="27" fillId="3" borderId="73" xfId="0" applyFont="1" applyFill="1" applyBorder="1" applyAlignment="1" applyProtection="1">
      <alignment horizontal="left" vertical="top" wrapText="1"/>
      <protection locked="0"/>
    </xf>
    <xf numFmtId="0" fontId="27" fillId="3" borderId="73" xfId="0" applyFont="1" applyFill="1" applyBorder="1" applyAlignment="1" applyProtection="1">
      <alignment horizontal="center" vertical="top" wrapText="1"/>
      <protection locked="0"/>
    </xf>
    <xf numFmtId="0" fontId="27" fillId="3" borderId="2" xfId="0" applyFont="1" applyFill="1" applyBorder="1" applyAlignment="1" applyProtection="1">
      <alignment horizontal="justify" vertical="top" wrapText="1"/>
      <protection locked="0"/>
    </xf>
    <xf numFmtId="0" fontId="61" fillId="0" borderId="84" xfId="0" applyFont="1" applyBorder="1" applyAlignment="1">
      <alignment vertical="center" wrapText="1"/>
    </xf>
    <xf numFmtId="0" fontId="71" fillId="0" borderId="0" xfId="0" applyFont="1" applyAlignment="1">
      <alignment vertical="center" wrapText="1"/>
    </xf>
    <xf numFmtId="0" fontId="61" fillId="0" borderId="0" xfId="0" applyFont="1"/>
    <xf numFmtId="0" fontId="61" fillId="0" borderId="31" xfId="0" applyFont="1" applyBorder="1" applyAlignment="1">
      <alignment vertical="center" wrapText="1"/>
    </xf>
    <xf numFmtId="0" fontId="71" fillId="0" borderId="0" xfId="0" applyFont="1" applyAlignment="1">
      <alignment horizontal="center" vertical="center" wrapText="1"/>
    </xf>
    <xf numFmtId="0" fontId="61" fillId="0" borderId="101" xfId="0" applyFont="1" applyBorder="1" applyAlignment="1">
      <alignment vertical="center" wrapText="1"/>
    </xf>
    <xf numFmtId="0" fontId="61" fillId="0" borderId="89" xfId="0" applyFont="1" applyBorder="1" applyAlignment="1">
      <alignment vertical="center" wrapText="1"/>
    </xf>
    <xf numFmtId="0" fontId="61" fillId="0" borderId="0" xfId="0" applyFont="1" applyAlignment="1">
      <alignment vertical="center" wrapText="1"/>
    </xf>
    <xf numFmtId="0" fontId="61" fillId="13" borderId="31" xfId="0" applyFont="1" applyFill="1" applyBorder="1" applyAlignment="1">
      <alignment horizontal="center" vertical="center"/>
    </xf>
    <xf numFmtId="0" fontId="61" fillId="13" borderId="84" xfId="0" applyFont="1" applyFill="1" applyBorder="1" applyAlignment="1">
      <alignment horizontal="left" vertical="center" wrapText="1"/>
    </xf>
    <xf numFmtId="0" fontId="61" fillId="13" borderId="31" xfId="0" applyFont="1" applyFill="1" applyBorder="1" applyAlignment="1">
      <alignment horizontal="left" vertical="center"/>
    </xf>
    <xf numFmtId="0" fontId="61" fillId="13" borderId="31" xfId="0" applyFont="1" applyFill="1" applyBorder="1" applyAlignment="1">
      <alignment horizontal="left" vertical="center" wrapText="1"/>
    </xf>
    <xf numFmtId="0" fontId="61" fillId="21" borderId="84" xfId="0" applyFont="1" applyFill="1" applyBorder="1" applyAlignment="1">
      <alignment horizontal="left" vertical="center" wrapText="1"/>
    </xf>
    <xf numFmtId="0" fontId="61" fillId="21" borderId="31" xfId="0" applyFont="1" applyFill="1" applyBorder="1" applyAlignment="1">
      <alignment horizontal="center" vertical="center"/>
    </xf>
    <xf numFmtId="0" fontId="61" fillId="21" borderId="31" xfId="0" applyFont="1" applyFill="1" applyBorder="1" applyAlignment="1">
      <alignment horizontal="left" vertical="center" wrapText="1"/>
    </xf>
    <xf numFmtId="0" fontId="63" fillId="21" borderId="31" xfId="0" applyFont="1" applyFill="1" applyBorder="1" applyAlignment="1">
      <alignment horizontal="left" vertical="center" wrapText="1"/>
    </xf>
    <xf numFmtId="0" fontId="61" fillId="22" borderId="85" xfId="0" applyFont="1" applyFill="1" applyBorder="1" applyAlignment="1">
      <alignment horizontal="left" vertical="center" wrapText="1"/>
    </xf>
    <xf numFmtId="0" fontId="61" fillId="22" borderId="31" xfId="0" applyFont="1" applyFill="1" applyBorder="1" applyAlignment="1">
      <alignment horizontal="center" vertical="center"/>
    </xf>
    <xf numFmtId="0" fontId="61" fillId="22" borderId="36"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2" fillId="3" borderId="79" xfId="0" applyFont="1" applyFill="1" applyBorder="1" applyAlignment="1">
      <alignment horizontal="left" vertical="center" wrapText="1"/>
    </xf>
    <xf numFmtId="0" fontId="27" fillId="3" borderId="4" xfId="0" applyFont="1" applyFill="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0" fontId="2" fillId="3" borderId="79" xfId="0" applyFont="1" applyFill="1" applyBorder="1" applyAlignment="1">
      <alignment horizontal="center" vertical="center" wrapText="1"/>
    </xf>
    <xf numFmtId="0" fontId="63" fillId="3" borderId="31" xfId="0" applyFont="1" applyFill="1" applyBorder="1" applyAlignment="1">
      <alignment horizontal="left" vertical="center" wrapText="1"/>
    </xf>
    <xf numFmtId="0" fontId="61" fillId="0" borderId="96" xfId="0" applyFont="1" applyBorder="1" applyAlignment="1" applyProtection="1">
      <alignment horizontal="center" vertical="center"/>
      <protection locked="0"/>
    </xf>
    <xf numFmtId="0" fontId="61" fillId="3" borderId="31" xfId="0" applyFont="1" applyFill="1" applyBorder="1" applyAlignment="1">
      <alignment horizontal="left" vertical="center" wrapText="1"/>
    </xf>
    <xf numFmtId="0" fontId="61" fillId="3" borderId="96" xfId="0" applyFont="1" applyFill="1" applyBorder="1" applyAlignment="1" applyProtection="1">
      <alignment horizontal="center" vertical="center"/>
      <protection locked="0"/>
    </xf>
    <xf numFmtId="0" fontId="61" fillId="3" borderId="31" xfId="0" applyFont="1" applyFill="1" applyBorder="1" applyAlignment="1" applyProtection="1">
      <alignment horizontal="center" vertical="center"/>
      <protection locked="0"/>
    </xf>
    <xf numFmtId="0" fontId="1" fillId="0" borderId="4"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wrapText="1"/>
      <protection hidden="1"/>
    </xf>
    <xf numFmtId="0" fontId="50" fillId="0" borderId="73" xfId="0" applyFont="1" applyBorder="1" applyAlignment="1" applyProtection="1">
      <alignment horizontal="center" vertical="top" wrapText="1"/>
      <protection locked="0"/>
    </xf>
    <xf numFmtId="0" fontId="27" fillId="0" borderId="27"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2" xfId="0" applyFont="1" applyBorder="1" applyAlignment="1" applyProtection="1">
      <alignment horizontal="justify" vertical="top"/>
      <protection locked="0"/>
    </xf>
    <xf numFmtId="0" fontId="1" fillId="3" borderId="31" xfId="0" applyFont="1" applyFill="1" applyBorder="1"/>
    <xf numFmtId="0" fontId="27" fillId="0" borderId="2" xfId="0" applyFont="1" applyBorder="1" applyAlignment="1">
      <alignment horizontal="center" vertical="top"/>
    </xf>
    <xf numFmtId="0" fontId="27" fillId="0" borderId="2" xfId="0" applyFont="1" applyBorder="1" applyAlignment="1" applyProtection="1">
      <alignment horizontal="center" vertical="top"/>
      <protection hidden="1"/>
    </xf>
    <xf numFmtId="164" fontId="27" fillId="0" borderId="2" xfId="1" applyNumberFormat="1" applyFont="1" applyBorder="1" applyAlignment="1">
      <alignment horizontal="center" vertical="top"/>
    </xf>
    <xf numFmtId="0" fontId="27" fillId="0" borderId="73"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27" fillId="0" borderId="4" xfId="0" applyFont="1" applyBorder="1" applyAlignment="1" applyProtection="1">
      <alignment vertical="top"/>
      <protection hidden="1"/>
    </xf>
    <xf numFmtId="0" fontId="27" fillId="0" borderId="4" xfId="0" applyFont="1" applyBorder="1" applyAlignment="1" applyProtection="1">
      <alignment vertical="top" textRotation="90"/>
      <protection locked="0"/>
    </xf>
    <xf numFmtId="9" fontId="27" fillId="0" borderId="4" xfId="0" applyNumberFormat="1" applyFont="1" applyBorder="1" applyAlignment="1" applyProtection="1">
      <alignment vertical="top"/>
      <protection hidden="1"/>
    </xf>
    <xf numFmtId="9" fontId="27" fillId="0" borderId="5" xfId="0" applyNumberFormat="1" applyFont="1" applyBorder="1" applyAlignment="1" applyProtection="1">
      <alignment vertical="top" wrapText="1"/>
      <protection locked="0"/>
    </xf>
    <xf numFmtId="0" fontId="1" fillId="3" borderId="31" xfId="0" applyFont="1" applyFill="1" applyBorder="1" applyAlignment="1">
      <alignment horizontal="left" vertical="center" wrapText="1"/>
    </xf>
    <xf numFmtId="0" fontId="27" fillId="13" borderId="73" xfId="0" applyFont="1" applyFill="1" applyBorder="1" applyAlignment="1" applyProtection="1">
      <alignment horizontal="left" vertical="top" wrapText="1"/>
      <protection locked="0"/>
    </xf>
    <xf numFmtId="0" fontId="27" fillId="13" borderId="2" xfId="0" applyFont="1" applyFill="1" applyBorder="1" applyAlignment="1" applyProtection="1">
      <alignment horizontal="justify" vertical="top"/>
      <protection locked="0"/>
    </xf>
    <xf numFmtId="9" fontId="1" fillId="0" borderId="4" xfId="0" applyNumberFormat="1" applyFont="1" applyBorder="1" applyAlignment="1" applyProtection="1">
      <alignment vertical="top" wrapText="1"/>
      <protection locked="0"/>
    </xf>
    <xf numFmtId="9" fontId="1" fillId="0" borderId="7"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0" fontId="46" fillId="3" borderId="62" xfId="2" applyFont="1" applyFill="1" applyBorder="1" applyAlignment="1">
      <alignment horizontal="justify" vertical="center" wrapText="1"/>
    </xf>
    <xf numFmtId="0" fontId="46" fillId="3" borderId="63" xfId="2" applyFont="1" applyFill="1" applyBorder="1" applyAlignment="1">
      <alignment horizontal="justify" vertical="center" wrapText="1"/>
    </xf>
    <xf numFmtId="0" fontId="45" fillId="3" borderId="69" xfId="0" applyFont="1" applyFill="1" applyBorder="1" applyAlignment="1">
      <alignment horizontal="left" vertical="center" wrapText="1"/>
    </xf>
    <xf numFmtId="0" fontId="45" fillId="3" borderId="70" xfId="0" applyFont="1" applyFill="1" applyBorder="1" applyAlignment="1">
      <alignment horizontal="left" vertical="center" wrapText="1"/>
    </xf>
    <xf numFmtId="0" fontId="45" fillId="3" borderId="56" xfId="3" applyFont="1" applyFill="1" applyBorder="1" applyAlignment="1">
      <alignment horizontal="left" vertical="top" wrapText="1" readingOrder="1"/>
    </xf>
    <xf numFmtId="0" fontId="45" fillId="3" borderId="57" xfId="3" applyFont="1" applyFill="1" applyBorder="1" applyAlignment="1">
      <alignment horizontal="left" vertical="top" wrapText="1" readingOrder="1"/>
    </xf>
    <xf numFmtId="0" fontId="46" fillId="3" borderId="58" xfId="2" applyFont="1" applyFill="1" applyBorder="1" applyAlignment="1">
      <alignment horizontal="justify" vertical="center" wrapText="1"/>
    </xf>
    <xf numFmtId="0" fontId="46" fillId="3" borderId="59" xfId="2" applyFont="1" applyFill="1" applyBorder="1" applyAlignment="1">
      <alignment horizontal="justify" vertical="center" wrapText="1"/>
    </xf>
    <xf numFmtId="0" fontId="45" fillId="3" borderId="60" xfId="0" applyFont="1" applyFill="1" applyBorder="1" applyAlignment="1">
      <alignment horizontal="left" vertical="center" wrapText="1"/>
    </xf>
    <xf numFmtId="0" fontId="45" fillId="3" borderId="61" xfId="0" applyFont="1" applyFill="1" applyBorder="1" applyAlignment="1">
      <alignment horizontal="left" vertical="center" wrapText="1"/>
    </xf>
    <xf numFmtId="0" fontId="40" fillId="3" borderId="13"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4"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6" fillId="3" borderId="64" xfId="0" applyFont="1" applyFill="1" applyBorder="1" applyAlignment="1">
      <alignment horizontal="justify" vertical="center" wrapText="1"/>
    </xf>
    <xf numFmtId="0" fontId="46" fillId="3" borderId="65" xfId="0" applyFont="1" applyFill="1" applyBorder="1" applyAlignment="1">
      <alignment horizontal="justify" vertical="center" wrapText="1"/>
    </xf>
    <xf numFmtId="0" fontId="41" fillId="14" borderId="46" xfId="2" applyFont="1" applyFill="1" applyBorder="1" applyAlignment="1">
      <alignment horizontal="center" vertical="center" wrapText="1"/>
    </xf>
    <xf numFmtId="0" fontId="41" fillId="14" borderId="47" xfId="2" applyFont="1" applyFill="1" applyBorder="1" applyAlignment="1">
      <alignment horizontal="center" vertical="center" wrapText="1"/>
    </xf>
    <xf numFmtId="0" fontId="41" fillId="14" borderId="48" xfId="2" applyFont="1" applyFill="1" applyBorder="1" applyAlignment="1">
      <alignment horizontal="center" vertical="center" wrapText="1"/>
    </xf>
    <xf numFmtId="0" fontId="40" fillId="0" borderId="13"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4" xfId="2" quotePrefix="1" applyFont="1" applyBorder="1" applyAlignment="1">
      <alignment horizontal="left" vertical="center" wrapText="1"/>
    </xf>
    <xf numFmtId="0" fontId="40" fillId="0" borderId="66" xfId="2" quotePrefix="1" applyFont="1" applyBorder="1" applyAlignment="1">
      <alignment horizontal="left" vertical="center" wrapText="1"/>
    </xf>
    <xf numFmtId="0" fontId="40" fillId="0" borderId="67"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2" fillId="3" borderId="49" xfId="2" quotePrefix="1" applyFont="1" applyFill="1" applyBorder="1" applyAlignment="1">
      <alignment horizontal="left" vertical="top" wrapText="1"/>
    </xf>
    <xf numFmtId="0" fontId="43" fillId="3" borderId="50" xfId="2" quotePrefix="1" applyFont="1" applyFill="1" applyBorder="1" applyAlignment="1">
      <alignment horizontal="left" vertical="top" wrapText="1"/>
    </xf>
    <xf numFmtId="0" fontId="43" fillId="3" borderId="51" xfId="2" quotePrefix="1" applyFont="1" applyFill="1" applyBorder="1" applyAlignment="1">
      <alignment horizontal="left" vertical="top" wrapText="1"/>
    </xf>
    <xf numFmtId="0" fontId="40" fillId="0" borderId="13"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4" xfId="2" quotePrefix="1" applyFont="1" applyBorder="1" applyAlignment="1">
      <alignment horizontal="left" vertical="top" wrapText="1"/>
    </xf>
    <xf numFmtId="0" fontId="45" fillId="14" borderId="52" xfId="3" applyFont="1" applyFill="1" applyBorder="1" applyAlignment="1">
      <alignment horizontal="center" vertical="center" wrapText="1"/>
    </xf>
    <xf numFmtId="0" fontId="45" fillId="14" borderId="53" xfId="3" applyFont="1" applyFill="1" applyBorder="1" applyAlignment="1">
      <alignment horizontal="center" vertical="center" wrapText="1"/>
    </xf>
    <xf numFmtId="0" fontId="45" fillId="14" borderId="54" xfId="2" applyFont="1" applyFill="1" applyBorder="1" applyAlignment="1">
      <alignment horizontal="center" vertical="center"/>
    </xf>
    <xf numFmtId="0" fontId="45" fillId="14" borderId="55" xfId="2" applyFont="1" applyFill="1" applyBorder="1" applyAlignment="1">
      <alignment horizontal="center" vertical="center"/>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62" fillId="16" borderId="37" xfId="0" applyFont="1" applyFill="1" applyBorder="1" applyAlignment="1">
      <alignment horizontal="left" vertical="top" wrapText="1"/>
    </xf>
    <xf numFmtId="0" fontId="62" fillId="16" borderId="38" xfId="0" applyFont="1" applyFill="1" applyBorder="1" applyAlignment="1">
      <alignment horizontal="left" vertical="top" wrapText="1"/>
    </xf>
    <xf numFmtId="0" fontId="62" fillId="16" borderId="39" xfId="0" applyFont="1" applyFill="1" applyBorder="1" applyAlignment="1">
      <alignment horizontal="left" vertical="top" wrapText="1"/>
    </xf>
    <xf numFmtId="0" fontId="62" fillId="3" borderId="0" xfId="0" applyFont="1" applyFill="1" applyAlignment="1">
      <alignment horizontal="center" vertical="center" wrapText="1"/>
    </xf>
    <xf numFmtId="0" fontId="71" fillId="0" borderId="83" xfId="0" applyFont="1" applyBorder="1" applyAlignment="1">
      <alignment vertical="center" wrapText="1"/>
    </xf>
    <xf numFmtId="0" fontId="71" fillId="0" borderId="35" xfId="0" applyFont="1" applyBorder="1" applyAlignment="1">
      <alignment vertical="center" wrapText="1"/>
    </xf>
    <xf numFmtId="0" fontId="72" fillId="0" borderId="84" xfId="0" applyFont="1" applyBorder="1" applyAlignment="1">
      <alignment horizontal="center" vertical="center" wrapText="1"/>
    </xf>
    <xf numFmtId="0" fontId="72" fillId="0" borderId="31" xfId="0" applyFont="1" applyBorder="1" applyAlignment="1">
      <alignment horizontal="center" vertical="center" wrapText="1"/>
    </xf>
    <xf numFmtId="0" fontId="73" fillId="0" borderId="85" xfId="0" applyFont="1" applyBorder="1" applyAlignment="1">
      <alignment horizontal="center" vertical="center" wrapText="1"/>
    </xf>
    <xf numFmtId="0" fontId="73" fillId="0" borderId="36" xfId="0" applyFont="1" applyBorder="1" applyAlignment="1">
      <alignment horizontal="center" vertical="center" wrapText="1"/>
    </xf>
    <xf numFmtId="0" fontId="71" fillId="0" borderId="0" xfId="0" applyFont="1" applyAlignment="1">
      <alignment horizontal="center" vertical="center" wrapText="1"/>
    </xf>
    <xf numFmtId="0" fontId="71" fillId="0" borderId="98" xfId="0" applyFont="1" applyBorder="1" applyAlignment="1">
      <alignment horizontal="center" vertical="center" wrapText="1"/>
    </xf>
    <xf numFmtId="0" fontId="71" fillId="0" borderId="95" xfId="0" applyFont="1" applyBorder="1" applyAlignment="1">
      <alignment horizontal="center" vertical="center" wrapText="1"/>
    </xf>
    <xf numFmtId="0" fontId="71" fillId="0" borderId="99" xfId="0" applyFont="1" applyBorder="1" applyAlignment="1">
      <alignment horizontal="center" vertical="center" wrapText="1"/>
    </xf>
    <xf numFmtId="0" fontId="60" fillId="16" borderId="35" xfId="0" applyFont="1" applyFill="1" applyBorder="1" applyAlignment="1">
      <alignment horizontal="center" vertical="center" wrapText="1"/>
    </xf>
    <xf numFmtId="0" fontId="60" fillId="16" borderId="31" xfId="0" applyFont="1" applyFill="1" applyBorder="1" applyAlignment="1">
      <alignment horizontal="center" vertical="center" wrapText="1"/>
    </xf>
    <xf numFmtId="0" fontId="60" fillId="16" borderId="36" xfId="0" applyFont="1" applyFill="1" applyBorder="1" applyAlignment="1">
      <alignment horizontal="center" vertical="center" wrapText="1"/>
    </xf>
    <xf numFmtId="0" fontId="61" fillId="16" borderId="35" xfId="0" applyFont="1" applyFill="1" applyBorder="1" applyAlignment="1">
      <alignment horizontal="left" vertical="center"/>
    </xf>
    <xf numFmtId="0" fontId="61" fillId="16" borderId="31" xfId="0" applyFont="1" applyFill="1" applyBorder="1" applyAlignment="1">
      <alignment horizontal="left" vertical="center"/>
    </xf>
    <xf numFmtId="0" fontId="61" fillId="16" borderId="36" xfId="0" applyFont="1" applyFill="1" applyBorder="1" applyAlignment="1">
      <alignment horizontal="left" vertical="center"/>
    </xf>
    <xf numFmtId="0" fontId="64" fillId="20" borderId="11" xfId="0" applyFont="1" applyFill="1" applyBorder="1" applyAlignment="1">
      <alignment horizontal="right" vertical="center"/>
    </xf>
    <xf numFmtId="0" fontId="64" fillId="20" borderId="18" xfId="0" applyFont="1" applyFill="1" applyBorder="1" applyAlignment="1">
      <alignment horizontal="right" vertical="center"/>
    </xf>
    <xf numFmtId="0" fontId="64" fillId="20" borderId="94" xfId="0" applyFont="1" applyFill="1" applyBorder="1" applyAlignment="1">
      <alignment horizontal="right" vertical="center"/>
    </xf>
    <xf numFmtId="0" fontId="64" fillId="20" borderId="37" xfId="0" applyFont="1" applyFill="1" applyBorder="1" applyAlignment="1">
      <alignment horizontal="right" vertical="center"/>
    </xf>
    <xf numFmtId="0" fontId="64" fillId="20" borderId="38" xfId="0" applyFont="1" applyFill="1" applyBorder="1" applyAlignment="1">
      <alignment horizontal="right" vertical="center"/>
    </xf>
    <xf numFmtId="0" fontId="61" fillId="16" borderId="31" xfId="0" applyFont="1" applyFill="1" applyBorder="1" applyAlignment="1">
      <alignment vertical="center" wrapText="1"/>
    </xf>
    <xf numFmtId="0" fontId="72" fillId="0" borderId="0" xfId="0" applyFont="1" applyAlignment="1">
      <alignment horizontal="center" vertical="center" wrapText="1"/>
    </xf>
    <xf numFmtId="0" fontId="72" fillId="0" borderId="67" xfId="0" applyFont="1" applyBorder="1" applyAlignment="1">
      <alignment horizontal="center" vertical="center" wrapText="1"/>
    </xf>
    <xf numFmtId="0" fontId="64" fillId="19" borderId="34" xfId="0" applyFont="1" applyFill="1" applyBorder="1" applyAlignment="1">
      <alignment horizontal="center" vertical="center" wrapText="1"/>
    </xf>
    <xf numFmtId="0" fontId="64" fillId="19" borderId="45" xfId="0" applyFont="1" applyFill="1" applyBorder="1" applyAlignment="1">
      <alignment horizontal="center" vertical="center" wrapText="1"/>
    </xf>
    <xf numFmtId="0" fontId="64" fillId="20" borderId="49" xfId="0" applyFont="1" applyFill="1" applyBorder="1" applyAlignment="1">
      <alignment horizontal="left" vertical="center"/>
    </xf>
    <xf numFmtId="0" fontId="64" fillId="20" borderId="50" xfId="0" applyFont="1" applyFill="1" applyBorder="1" applyAlignment="1">
      <alignment horizontal="left" vertical="center"/>
    </xf>
    <xf numFmtId="0" fontId="64" fillId="20" borderId="51" xfId="0" applyFont="1" applyFill="1" applyBorder="1" applyAlignment="1">
      <alignment horizontal="left" vertical="center"/>
    </xf>
    <xf numFmtId="0" fontId="64" fillId="20" borderId="15" xfId="0" applyFont="1" applyFill="1" applyBorder="1" applyAlignment="1">
      <alignment horizontal="left" vertical="center"/>
    </xf>
    <xf numFmtId="0" fontId="64" fillId="20" borderId="17" xfId="0" applyFont="1" applyFill="1" applyBorder="1" applyAlignment="1">
      <alignment horizontal="left" vertical="center"/>
    </xf>
    <xf numFmtId="0" fontId="64" fillId="20" borderId="16" xfId="0" applyFont="1" applyFill="1" applyBorder="1" applyAlignment="1">
      <alignment horizontal="left" vertical="center"/>
    </xf>
    <xf numFmtId="0" fontId="68" fillId="19" borderId="31" xfId="0" applyFont="1" applyFill="1" applyBorder="1" applyAlignment="1">
      <alignment horizontal="center" vertical="center" wrapText="1"/>
    </xf>
    <xf numFmtId="0" fontId="69" fillId="19" borderId="89" xfId="0" applyFont="1" applyFill="1" applyBorder="1" applyAlignment="1">
      <alignment horizontal="center" vertical="center" wrapText="1"/>
    </xf>
    <xf numFmtId="0" fontId="69" fillId="19" borderId="95" xfId="0" applyFont="1" applyFill="1" applyBorder="1" applyAlignment="1">
      <alignment horizontal="center" vertical="center" wrapText="1"/>
    </xf>
    <xf numFmtId="0" fontId="69" fillId="19" borderId="96" xfId="0" applyFont="1" applyFill="1" applyBorder="1" applyAlignment="1">
      <alignment horizontal="center" vertical="center" wrapText="1"/>
    </xf>
    <xf numFmtId="0" fontId="69" fillId="19" borderId="31" xfId="0" applyFont="1" applyFill="1" applyBorder="1" applyAlignment="1">
      <alignment horizontal="center" vertical="center" wrapText="1"/>
    </xf>
    <xf numFmtId="0" fontId="69" fillId="19" borderId="31" xfId="0" applyFont="1" applyFill="1" applyBorder="1" applyAlignment="1">
      <alignment horizontal="center" vertical="center"/>
    </xf>
    <xf numFmtId="0" fontId="69" fillId="19" borderId="89" xfId="0" applyFont="1" applyFill="1" applyBorder="1" applyAlignment="1">
      <alignment horizontal="center"/>
    </xf>
    <xf numFmtId="0" fontId="69" fillId="19" borderId="95" xfId="0" applyFont="1" applyFill="1" applyBorder="1" applyAlignment="1">
      <alignment horizontal="center"/>
    </xf>
    <xf numFmtId="0" fontId="69" fillId="19" borderId="96" xfId="0" applyFont="1" applyFill="1" applyBorder="1" applyAlignment="1">
      <alignment horizontal="center"/>
    </xf>
    <xf numFmtId="0" fontId="38" fillId="21" borderId="89" xfId="0" applyFont="1" applyFill="1" applyBorder="1" applyAlignment="1" applyProtection="1">
      <alignment vertical="center" wrapText="1"/>
      <protection locked="0"/>
    </xf>
    <xf numFmtId="0" fontId="38" fillId="21" borderId="96" xfId="0" applyFont="1" applyFill="1" applyBorder="1" applyAlignment="1" applyProtection="1">
      <alignment vertical="center" wrapText="1"/>
      <protection locked="0"/>
    </xf>
    <xf numFmtId="0" fontId="38" fillId="0" borderId="89" xfId="0" applyFont="1" applyBorder="1" applyAlignment="1" applyProtection="1">
      <alignment vertical="center"/>
      <protection locked="0"/>
    </xf>
    <xf numFmtId="0" fontId="38" fillId="0" borderId="95" xfId="0" applyFont="1" applyBorder="1" applyAlignment="1" applyProtection="1">
      <alignment vertical="center"/>
      <protection locked="0"/>
    </xf>
    <xf numFmtId="0" fontId="38" fillId="0" borderId="96" xfId="0" applyFont="1" applyBorder="1" applyAlignment="1" applyProtection="1">
      <alignment vertical="center"/>
      <protection locked="0"/>
    </xf>
    <xf numFmtId="0" fontId="38" fillId="0" borderId="31" xfId="0" applyFont="1" applyBorder="1" applyAlignment="1" applyProtection="1">
      <alignment vertical="center" wrapText="1"/>
      <protection locked="0"/>
    </xf>
    <xf numFmtId="0" fontId="70" fillId="0" borderId="31" xfId="0" applyFont="1" applyBorder="1" applyAlignment="1" applyProtection="1">
      <alignment vertical="center" wrapText="1"/>
      <protection locked="0"/>
    </xf>
    <xf numFmtId="0" fontId="38" fillId="0" borderId="89" xfId="0" applyFont="1" applyBorder="1" applyAlignment="1" applyProtection="1">
      <alignment vertical="center" wrapText="1"/>
      <protection locked="0"/>
    </xf>
    <xf numFmtId="0" fontId="38" fillId="0" borderId="95" xfId="0" applyFont="1" applyBorder="1" applyAlignment="1" applyProtection="1">
      <alignment vertical="center" wrapText="1"/>
      <protection locked="0"/>
    </xf>
    <xf numFmtId="0" fontId="38" fillId="0" borderId="96" xfId="0" applyFont="1" applyBorder="1" applyAlignment="1" applyProtection="1">
      <alignment vertical="center" wrapText="1"/>
      <protection locked="0"/>
    </xf>
    <xf numFmtId="0" fontId="38" fillId="22" borderId="89" xfId="0" applyFont="1" applyFill="1" applyBorder="1" applyAlignment="1" applyProtection="1">
      <alignment vertical="center" wrapText="1"/>
      <protection locked="0"/>
    </xf>
    <xf numFmtId="0" fontId="38" fillId="22" borderId="96" xfId="0" applyFont="1" applyFill="1" applyBorder="1" applyAlignment="1" applyProtection="1">
      <alignment vertical="center" wrapText="1"/>
      <protection locked="0"/>
    </xf>
    <xf numFmtId="0" fontId="38" fillId="0" borderId="31" xfId="0" applyFont="1" applyBorder="1" applyAlignment="1" applyProtection="1">
      <alignment vertical="center"/>
      <protection locked="0"/>
    </xf>
    <xf numFmtId="0" fontId="74" fillId="21" borderId="89" xfId="0" applyFont="1" applyFill="1" applyBorder="1" applyAlignment="1" applyProtection="1">
      <alignment horizontal="left" vertical="center" wrapText="1"/>
      <protection locked="0"/>
    </xf>
    <xf numFmtId="0" fontId="74" fillId="21" borderId="96" xfId="0" applyFont="1" applyFill="1" applyBorder="1" applyAlignment="1" applyProtection="1">
      <alignment horizontal="left" vertical="center" wrapText="1"/>
      <protection locked="0"/>
    </xf>
    <xf numFmtId="0" fontId="69" fillId="19" borderId="31" xfId="0" applyFont="1" applyFill="1" applyBorder="1" applyAlignment="1">
      <alignment horizontal="center" vertical="center" textRotation="255"/>
    </xf>
    <xf numFmtId="0" fontId="69" fillId="19" borderId="95" xfId="0" applyFont="1" applyFill="1" applyBorder="1" applyAlignment="1">
      <alignment horizontal="center" vertical="center"/>
    </xf>
    <xf numFmtId="0" fontId="69" fillId="19" borderId="96" xfId="0" applyFont="1" applyFill="1" applyBorder="1" applyAlignment="1">
      <alignment horizontal="center" vertical="center"/>
    </xf>
    <xf numFmtId="0" fontId="38" fillId="3" borderId="89" xfId="0" applyFont="1" applyFill="1" applyBorder="1" applyAlignment="1" applyProtection="1">
      <alignment horizontal="left" vertical="center" wrapText="1"/>
      <protection locked="0"/>
    </xf>
    <xf numFmtId="0" fontId="38" fillId="3" borderId="96"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wrapText="1"/>
      <protection locked="0"/>
    </xf>
    <xf numFmtId="0" fontId="38" fillId="3" borderId="97" xfId="0" applyFont="1" applyFill="1" applyBorder="1" applyAlignment="1" applyProtection="1">
      <alignment horizontal="left" vertical="center" wrapText="1"/>
      <protection locked="0"/>
    </xf>
    <xf numFmtId="0" fontId="38" fillId="23" borderId="89" xfId="0" applyFont="1" applyFill="1" applyBorder="1" applyAlignment="1" applyProtection="1">
      <alignment horizontal="left" vertical="center" wrapText="1"/>
      <protection locked="0"/>
    </xf>
    <xf numFmtId="0" fontId="38" fillId="23" borderId="96" xfId="0" applyFont="1" applyFill="1" applyBorder="1" applyAlignment="1" applyProtection="1">
      <alignment horizontal="left" vertical="center" wrapText="1"/>
      <protection locked="0"/>
    </xf>
    <xf numFmtId="0" fontId="38" fillId="3" borderId="31"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38" fillId="3" borderId="96" xfId="0" applyFont="1" applyFill="1" applyBorder="1" applyAlignment="1" applyProtection="1">
      <alignment horizontal="left" vertical="center"/>
      <protection locked="0"/>
    </xf>
    <xf numFmtId="0" fontId="38" fillId="3" borderId="31" xfId="0" applyFont="1" applyFill="1" applyBorder="1" applyAlignment="1" applyProtection="1">
      <alignment horizontal="left" vertical="center" wrapText="1"/>
      <protection locked="0"/>
    </xf>
    <xf numFmtId="0" fontId="65" fillId="3" borderId="31" xfId="0" applyFont="1" applyFill="1" applyBorder="1" applyAlignment="1" applyProtection="1">
      <alignment horizontal="left" vertical="center" wrapText="1"/>
      <protection locked="0"/>
    </xf>
    <xf numFmtId="0" fontId="38" fillId="13" borderId="89" xfId="0" applyFont="1" applyFill="1" applyBorder="1" applyAlignment="1" applyProtection="1">
      <alignment horizontal="left" vertical="center" wrapText="1"/>
      <protection locked="0"/>
    </xf>
    <xf numFmtId="0" fontId="38" fillId="13" borderId="96" xfId="0" applyFont="1" applyFill="1" applyBorder="1" applyAlignment="1" applyProtection="1">
      <alignment horizontal="left" vertical="center" wrapText="1"/>
      <protection locked="0"/>
    </xf>
    <xf numFmtId="0" fontId="38" fillId="15" borderId="89" xfId="0" applyFont="1" applyFill="1" applyBorder="1" applyAlignment="1" applyProtection="1">
      <alignment horizontal="left" vertical="center" wrapText="1"/>
      <protection locked="0"/>
    </xf>
    <xf numFmtId="0" fontId="38" fillId="15" borderId="96" xfId="0" applyFont="1" applyFill="1" applyBorder="1" applyAlignment="1" applyProtection="1">
      <alignment horizontal="left" vertical="center" wrapText="1"/>
      <protection locked="0"/>
    </xf>
    <xf numFmtId="0" fontId="38" fillId="3" borderId="89" xfId="0" applyFont="1" applyFill="1" applyBorder="1" applyAlignment="1" applyProtection="1">
      <alignment horizontal="left" vertical="center"/>
      <protection locked="0"/>
    </xf>
    <xf numFmtId="0" fontId="74" fillId="3" borderId="89" xfId="0" applyFont="1" applyFill="1" applyBorder="1" applyAlignment="1" applyProtection="1">
      <alignment horizontal="left" vertical="center" wrapText="1"/>
      <protection locked="0"/>
    </xf>
    <xf numFmtId="0" fontId="74" fillId="3" borderId="96" xfId="0" applyFont="1" applyFill="1" applyBorder="1" applyAlignment="1" applyProtection="1">
      <alignment horizontal="left" vertical="center" wrapText="1"/>
      <protection locked="0"/>
    </xf>
    <xf numFmtId="0" fontId="38" fillId="3" borderId="79" xfId="0" applyFont="1" applyFill="1" applyBorder="1" applyAlignment="1" applyProtection="1">
      <alignment horizontal="left" vertical="center"/>
      <protection locked="0"/>
    </xf>
    <xf numFmtId="0" fontId="38" fillId="15" borderId="31" xfId="0" applyFont="1" applyFill="1" applyBorder="1" applyAlignment="1" applyProtection="1">
      <alignment horizontal="left" vertical="center" wrapText="1"/>
      <protection locked="0"/>
    </xf>
    <xf numFmtId="0" fontId="38" fillId="3" borderId="89" xfId="0" applyFont="1" applyFill="1" applyBorder="1" applyAlignment="1" applyProtection="1">
      <alignment horizontal="center" vertical="center"/>
      <protection locked="0"/>
    </xf>
    <xf numFmtId="0" fontId="38" fillId="3" borderId="96"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74" fillId="13" borderId="89" xfId="0" applyFont="1" applyFill="1" applyBorder="1" applyAlignment="1" applyProtection="1">
      <alignment horizontal="left" vertical="center" wrapText="1"/>
      <protection locked="0"/>
    </xf>
    <xf numFmtId="0" fontId="74" fillId="13" borderId="96" xfId="0" applyFont="1" applyFill="1" applyBorder="1" applyAlignment="1" applyProtection="1">
      <alignment horizontal="left" vertical="center" wrapText="1"/>
      <protection locked="0"/>
    </xf>
    <xf numFmtId="0" fontId="61" fillId="0" borderId="101" xfId="0" applyFont="1" applyBorder="1" applyAlignment="1">
      <alignment horizontal="left" vertical="center" wrapText="1"/>
    </xf>
    <xf numFmtId="0" fontId="61" fillId="0" borderId="102" xfId="0" applyFont="1" applyBorder="1" applyAlignment="1">
      <alignment horizontal="left" vertical="center" wrapText="1"/>
    </xf>
    <xf numFmtId="0" fontId="61" fillId="0" borderId="82" xfId="0" applyFont="1" applyBorder="1" applyAlignment="1">
      <alignment horizontal="center" vertical="center" wrapText="1"/>
    </xf>
    <xf numFmtId="0" fontId="61" fillId="0" borderId="103" xfId="0" applyFont="1" applyBorder="1" applyAlignment="1">
      <alignment horizontal="center" vertical="center" wrapText="1"/>
    </xf>
    <xf numFmtId="0" fontId="61" fillId="0" borderId="41" xfId="0" applyFont="1" applyBorder="1" applyAlignment="1">
      <alignment horizontal="center" vertical="center" wrapText="1"/>
    </xf>
    <xf numFmtId="0" fontId="61" fillId="0" borderId="89" xfId="0" applyFont="1" applyBorder="1" applyAlignment="1">
      <alignment horizontal="left" vertical="center" wrapText="1"/>
    </xf>
    <xf numFmtId="0" fontId="61" fillId="0" borderId="96" xfId="0" applyFont="1" applyBorder="1" applyAlignment="1">
      <alignment horizontal="left" vertical="center" wrapText="1"/>
    </xf>
    <xf numFmtId="0" fontId="72" fillId="0" borderId="98" xfId="0" applyFont="1" applyBorder="1" applyAlignment="1">
      <alignment horizontal="center" vertical="center" wrapText="1"/>
    </xf>
    <xf numFmtId="0" fontId="72" fillId="0" borderId="95" xfId="0" applyFont="1" applyBorder="1" applyAlignment="1">
      <alignment horizontal="center" vertical="center" wrapText="1"/>
    </xf>
    <xf numFmtId="0" fontId="72" fillId="0" borderId="99" xfId="0" applyFont="1" applyBorder="1" applyAlignment="1">
      <alignment horizontal="center" vertical="center" wrapText="1"/>
    </xf>
    <xf numFmtId="0" fontId="72" fillId="0" borderId="31" xfId="0" applyFont="1" applyBorder="1" applyAlignment="1">
      <alignment horizontal="center" vertical="center"/>
    </xf>
    <xf numFmtId="0" fontId="72" fillId="0" borderId="11" xfId="0" applyFont="1" applyBorder="1" applyAlignment="1">
      <alignment horizontal="center" vertical="center" wrapText="1"/>
    </xf>
    <xf numFmtId="0" fontId="72" fillId="0" borderId="94" xfId="0" applyFont="1" applyBorder="1" applyAlignment="1">
      <alignment horizontal="center" vertical="center" wrapText="1"/>
    </xf>
    <xf numFmtId="0" fontId="72" fillId="0" borderId="13" xfId="0" applyFont="1" applyBorder="1" applyAlignment="1">
      <alignment horizontal="center" vertical="center" wrapText="1"/>
    </xf>
    <xf numFmtId="0" fontId="72" fillId="0" borderId="86" xfId="0" applyFont="1" applyBorder="1" applyAlignment="1">
      <alignment horizontal="center" vertical="center" wrapText="1"/>
    </xf>
    <xf numFmtId="0" fontId="72" fillId="0" borderId="66" xfId="0" applyFont="1" applyBorder="1" applyAlignment="1">
      <alignment horizontal="center" vertical="center" wrapText="1"/>
    </xf>
    <xf numFmtId="0" fontId="72" fillId="0" borderId="100" xfId="0" applyFont="1" applyBorder="1" applyAlignment="1">
      <alignment horizontal="center" vertical="center" wrapText="1"/>
    </xf>
    <xf numFmtId="0" fontId="38" fillId="0" borderId="89"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38" fillId="0" borderId="96" xfId="0" applyFont="1" applyBorder="1" applyAlignment="1" applyProtection="1">
      <alignment horizontal="center" vertical="center"/>
      <protection locked="0"/>
    </xf>
    <xf numFmtId="0" fontId="74" fillId="22" borderId="89" xfId="0" applyFont="1" applyFill="1" applyBorder="1" applyAlignment="1" applyProtection="1">
      <alignment horizontal="left" vertical="center" wrapText="1"/>
      <protection locked="0"/>
    </xf>
    <xf numFmtId="0" fontId="74" fillId="22" borderId="96" xfId="0" applyFont="1" applyFill="1" applyBorder="1" applyAlignment="1" applyProtection="1">
      <alignment horizontal="left" vertical="center" wrapText="1"/>
      <protection locked="0"/>
    </xf>
    <xf numFmtId="0" fontId="74" fillId="0" borderId="89" xfId="0" applyFont="1" applyBorder="1" applyAlignment="1" applyProtection="1">
      <alignment horizontal="left" vertical="center" wrapText="1"/>
      <protection locked="0"/>
    </xf>
    <xf numFmtId="0" fontId="74" fillId="0" borderId="95" xfId="0" applyFont="1" applyBorder="1" applyAlignment="1" applyProtection="1">
      <alignment horizontal="left" vertical="center" wrapText="1"/>
      <protection locked="0"/>
    </xf>
    <xf numFmtId="0" fontId="74" fillId="0" borderId="96" xfId="0" applyFont="1" applyBorder="1" applyAlignment="1" applyProtection="1">
      <alignment horizontal="left" vertical="center" wrapText="1"/>
      <protection locked="0"/>
    </xf>
    <xf numFmtId="0" fontId="74" fillId="0" borderId="89" xfId="0" applyFont="1" applyBorder="1" applyAlignment="1" applyProtection="1">
      <alignment horizontal="left" vertical="center"/>
      <protection locked="0"/>
    </xf>
    <xf numFmtId="0" fontId="74" fillId="0" borderId="95" xfId="0" applyFont="1" applyBorder="1" applyAlignment="1" applyProtection="1">
      <alignment horizontal="left" vertical="center"/>
      <protection locked="0"/>
    </xf>
    <xf numFmtId="0" fontId="74" fillId="0" borderId="96" xfId="0" applyFont="1" applyBorder="1" applyAlignment="1" applyProtection="1">
      <alignment horizontal="left" vertical="center"/>
      <protection locked="0"/>
    </xf>
    <xf numFmtId="0" fontId="74" fillId="0" borderId="89" xfId="0" applyFont="1" applyBorder="1" applyAlignment="1" applyProtection="1">
      <alignment vertical="center"/>
      <protection locked="0"/>
    </xf>
    <xf numFmtId="0" fontId="74" fillId="0" borderId="95" xfId="0" applyFont="1" applyBorder="1" applyAlignment="1" applyProtection="1">
      <alignment vertical="center"/>
      <protection locked="0"/>
    </xf>
    <xf numFmtId="0" fontId="74" fillId="0" borderId="96" xfId="0" applyFont="1" applyBorder="1" applyAlignment="1" applyProtection="1">
      <alignment vertical="center"/>
      <protection locked="0"/>
    </xf>
    <xf numFmtId="0" fontId="38" fillId="22" borderId="89" xfId="0" applyFont="1" applyFill="1" applyBorder="1" applyAlignment="1" applyProtection="1">
      <alignment horizontal="left" vertical="center" wrapText="1"/>
      <protection locked="0"/>
    </xf>
    <xf numFmtId="0" fontId="38" fillId="22" borderId="96" xfId="0"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7"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7"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7"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7"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2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7"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7"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wrapText="1"/>
      <protection hidden="1"/>
    </xf>
    <xf numFmtId="0" fontId="49" fillId="0" borderId="7"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3" borderId="27" xfId="0" applyFont="1" applyFill="1" applyBorder="1" applyAlignment="1" applyProtection="1">
      <alignment horizontal="center" vertical="top" wrapText="1"/>
      <protection locked="0"/>
    </xf>
    <xf numFmtId="0" fontId="27" fillId="3" borderId="8" xfId="0" applyFont="1" applyFill="1" applyBorder="1" applyAlignment="1" applyProtection="1">
      <alignment horizontal="center" vertical="top" wrapText="1"/>
      <protection locked="0"/>
    </xf>
    <xf numFmtId="0" fontId="50" fillId="0" borderId="73" xfId="0" applyFont="1" applyBorder="1" applyAlignment="1" applyProtection="1">
      <alignment horizontal="center" vertical="top" wrapText="1"/>
      <protection locked="0"/>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locked="0"/>
    </xf>
    <xf numFmtId="9" fontId="27" fillId="0" borderId="7" xfId="0" applyNumberFormat="1"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74"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27" fillId="0" borderId="27"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74"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7"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50" fillId="0" borderId="75" xfId="0" applyFont="1" applyBorder="1" applyAlignment="1" applyProtection="1">
      <alignment horizontal="center" vertical="top" wrapText="1"/>
      <protection locked="0"/>
    </xf>
    <xf numFmtId="0" fontId="50" fillId="0" borderId="76"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24" fillId="2" borderId="8" xfId="0" applyFont="1" applyFill="1" applyBorder="1" applyAlignment="1">
      <alignment horizontal="center" vertical="center"/>
    </xf>
    <xf numFmtId="0" fontId="24" fillId="2" borderId="0" xfId="0" applyFont="1" applyFill="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7" fillId="3" borderId="78" xfId="0" applyFont="1" applyFill="1" applyBorder="1" applyAlignment="1" applyProtection="1">
      <alignment horizontal="left" vertical="center" wrapText="1"/>
      <protection locked="0"/>
    </xf>
    <xf numFmtId="0" fontId="27" fillId="3" borderId="0" xfId="0" applyFont="1" applyFill="1" applyAlignment="1" applyProtection="1">
      <alignment horizontal="left" vertical="center" wrapText="1"/>
      <protection locked="0"/>
    </xf>
    <xf numFmtId="0" fontId="4" fillId="2" borderId="2" xfId="0" applyFont="1" applyFill="1" applyBorder="1" applyAlignment="1">
      <alignment horizontal="center" vertical="center"/>
    </xf>
    <xf numFmtId="0" fontId="27" fillId="3" borderId="75" xfId="0" applyFont="1" applyFill="1" applyBorder="1" applyAlignment="1">
      <alignment horizontal="center" vertical="center" wrapText="1"/>
    </xf>
    <xf numFmtId="0" fontId="27" fillId="3" borderId="77"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3" borderId="78" xfId="0" applyFont="1" applyFill="1" applyBorder="1" applyAlignment="1" applyProtection="1">
      <alignment horizontal="left" vertical="center"/>
      <protection locked="0"/>
    </xf>
    <xf numFmtId="0" fontId="27" fillId="3" borderId="0" xfId="0" applyFont="1" applyFill="1" applyAlignment="1" applyProtection="1">
      <alignment horizontal="left" vertical="center"/>
      <protection locked="0"/>
    </xf>
    <xf numFmtId="0" fontId="50" fillId="3" borderId="75" xfId="0" applyFont="1" applyFill="1" applyBorder="1" applyAlignment="1" applyProtection="1">
      <alignment horizontal="center" vertical="top" wrapText="1"/>
      <protection locked="0"/>
    </xf>
    <xf numFmtId="0" fontId="50" fillId="3" borderId="76" xfId="0" applyFont="1" applyFill="1" applyBorder="1" applyAlignment="1" applyProtection="1">
      <alignment horizontal="center" vertical="top"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7" fillId="10" borderId="0" xfId="0" applyFont="1" applyFill="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8" xfId="0" applyFont="1" applyBorder="1" applyAlignment="1">
      <alignment horizontal="center" vertical="center" wrapText="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19" xfId="0" applyFont="1" applyFill="1" applyBorder="1" applyAlignment="1">
      <alignment horizontal="center" vertical="center" wrapText="1" readingOrder="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5" fillId="0" borderId="11" xfId="0" applyFont="1" applyBorder="1" applyAlignment="1">
      <alignment horizontal="center" vertical="center" wrapText="1"/>
    </xf>
    <xf numFmtId="0" fontId="35" fillId="0" borderId="18" xfId="0" applyFont="1" applyBorder="1" applyAlignment="1">
      <alignment horizontal="center" vertical="center"/>
    </xf>
    <xf numFmtId="0" fontId="35" fillId="0" borderId="13" xfId="0" applyFont="1" applyBorder="1" applyAlignment="1">
      <alignment horizontal="center" vertical="center" wrapText="1"/>
    </xf>
    <xf numFmtId="0" fontId="35" fillId="0" borderId="0" xfId="0" applyFont="1" applyAlignment="1">
      <alignment horizontal="center" vertical="center"/>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12" borderId="19" xfId="0" applyFont="1" applyFill="1" applyBorder="1" applyAlignment="1">
      <alignment horizontal="center" vertical="center" wrapText="1" readingOrder="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4" fillId="5" borderId="19" xfId="0" applyFont="1" applyFill="1" applyBorder="1" applyAlignment="1">
      <alignment horizontal="center" vertical="center"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13" borderId="19"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5" fillId="0" borderId="18"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3" xfId="0" applyFont="1" applyFill="1" applyBorder="1" applyAlignment="1">
      <alignment horizontal="center" vertical="center" wrapText="1" readingOrder="1"/>
    </xf>
    <xf numFmtId="0" fontId="32" fillId="15" borderId="34" xfId="0" applyFont="1" applyFill="1" applyBorder="1" applyAlignment="1">
      <alignment horizontal="center" vertical="center" wrapText="1" readingOrder="1"/>
    </xf>
    <xf numFmtId="0" fontId="32" fillId="15" borderId="45"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2" xfId="0" applyFont="1" applyFill="1" applyBorder="1" applyAlignment="1">
      <alignment horizontal="center" vertical="center" wrapText="1" readingOrder="1"/>
    </xf>
    <xf numFmtId="0" fontId="29" fillId="15" borderId="43"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29" fillId="3" borderId="35" xfId="0"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0066FF"/>
      <color rgb="FF3333FF"/>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7.png"/><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6.png"/><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35038</xdr:rowOff>
    </xdr:from>
    <xdr:to>
      <xdr:col>5</xdr:col>
      <xdr:colOff>1423686</xdr:colOff>
      <xdr:row>3</xdr:row>
      <xdr:rowOff>238125</xdr:rowOff>
    </xdr:to>
    <xdr:pic>
      <xdr:nvPicPr>
        <xdr:cNvPr id="2" name="Imagen 1">
          <a:extLst>
            <a:ext uri="{FF2B5EF4-FFF2-40B4-BE49-F238E27FC236}">
              <a16:creationId xmlns:a16="http://schemas.microsoft.com/office/drawing/2014/main" id="{91A1A791-08E9-46A2-BF25-4B6C41BA1B6B}"/>
            </a:ext>
          </a:extLst>
        </xdr:cNvPr>
        <xdr:cNvPicPr>
          <a:picLocks noChangeAspect="1"/>
        </xdr:cNvPicPr>
      </xdr:nvPicPr>
      <xdr:blipFill>
        <a:blip xmlns:r="http://schemas.openxmlformats.org/officeDocument/2006/relationships" r:embed="rId1"/>
        <a:stretch>
          <a:fillRect/>
        </a:stretch>
      </xdr:blipFill>
      <xdr:spPr>
        <a:xfrm>
          <a:off x="13100583" y="35038"/>
          <a:ext cx="623960" cy="790916"/>
        </a:xfrm>
        <a:prstGeom prst="rect">
          <a:avLst/>
        </a:prstGeom>
      </xdr:spPr>
    </xdr:pic>
    <xdr:clientData/>
  </xdr:twoCellAnchor>
  <xdr:twoCellAnchor editAs="oneCell">
    <xdr:from>
      <xdr:col>0</xdr:col>
      <xdr:colOff>386443</xdr:colOff>
      <xdr:row>0</xdr:row>
      <xdr:rowOff>93087</xdr:rowOff>
    </xdr:from>
    <xdr:to>
      <xdr:col>0</xdr:col>
      <xdr:colOff>1820129</xdr:colOff>
      <xdr:row>3</xdr:row>
      <xdr:rowOff>123707</xdr:rowOff>
    </xdr:to>
    <xdr:pic>
      <xdr:nvPicPr>
        <xdr:cNvPr id="3" name="Imagen 2">
          <a:extLst>
            <a:ext uri="{FF2B5EF4-FFF2-40B4-BE49-F238E27FC236}">
              <a16:creationId xmlns:a16="http://schemas.microsoft.com/office/drawing/2014/main" id="{5A4F4ACB-92C0-45C6-991C-6625873106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6443" y="93087"/>
          <a:ext cx="1433686" cy="618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45</xdr:row>
      <xdr:rowOff>288634</xdr:rowOff>
    </xdr:to>
    <xdr:sp macro="" textlink="">
      <xdr:nvSpPr>
        <xdr:cNvPr id="280" name="CuadroTexto 279">
          <a:extLst>
            <a:ext uri="{FF2B5EF4-FFF2-40B4-BE49-F238E27FC236}">
              <a16:creationId xmlns:a16="http://schemas.microsoft.com/office/drawing/2014/main" id="{FBC8F707-A8A2-4E06-82D3-90B4D3B66A72}"/>
            </a:ext>
          </a:extLst>
        </xdr:cNvPr>
        <xdr:cNvSpPr txBox="1"/>
      </xdr:nvSpPr>
      <xdr:spPr>
        <a:xfrm rot="16200000">
          <a:off x="-3943350" y="15852483"/>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46</xdr:row>
      <xdr:rowOff>0</xdr:rowOff>
    </xdr:from>
    <xdr:to>
      <xdr:col>0</xdr:col>
      <xdr:colOff>2</xdr:colOff>
      <xdr:row>46</xdr:row>
      <xdr:rowOff>0</xdr:rowOff>
    </xdr:to>
    <xdr:sp macro="" textlink="">
      <xdr:nvSpPr>
        <xdr:cNvPr id="281" name="CuadroTexto 280">
          <a:extLst>
            <a:ext uri="{FF2B5EF4-FFF2-40B4-BE49-F238E27FC236}">
              <a16:creationId xmlns:a16="http://schemas.microsoft.com/office/drawing/2014/main" id="{8FDFCB09-C604-4895-B43F-75B6E9E4D7E0}"/>
            </a:ext>
          </a:extLst>
        </xdr:cNvPr>
        <xdr:cNvSpPr txBox="1"/>
      </xdr:nvSpPr>
      <xdr:spPr>
        <a:xfrm rot="16200000">
          <a:off x="1" y="20145374"/>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282" name="CheckBox1" hidden="1">
          <a:extLst>
            <a:ext uri="{63B3BB69-23CF-44E3-9099-C40C66FF867C}">
              <a14:compatExt xmlns:a14="http://schemas.microsoft.com/office/drawing/2010/main" spid="_x0000_s3073"/>
            </a:ext>
            <a:ext uri="{FF2B5EF4-FFF2-40B4-BE49-F238E27FC236}">
              <a16:creationId xmlns:a16="http://schemas.microsoft.com/office/drawing/2014/main" id="{8B77EF7D-5DA9-4B9E-9CD3-0ADE49D89BEB}"/>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283" name="CheckBox2" hidden="1">
          <a:extLst>
            <a:ext uri="{63B3BB69-23CF-44E3-9099-C40C66FF867C}">
              <a14:compatExt xmlns:a14="http://schemas.microsoft.com/office/drawing/2010/main" spid="_x0000_s3074"/>
            </a:ext>
            <a:ext uri="{FF2B5EF4-FFF2-40B4-BE49-F238E27FC236}">
              <a16:creationId xmlns:a16="http://schemas.microsoft.com/office/drawing/2014/main" id="{AE808B74-A2E8-4592-807E-3FDF12B5D9A0}"/>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284" name="CheckBox3" hidden="1">
          <a:extLst>
            <a:ext uri="{63B3BB69-23CF-44E3-9099-C40C66FF867C}">
              <a14:compatExt xmlns:a14="http://schemas.microsoft.com/office/drawing/2010/main" spid="_x0000_s3075"/>
            </a:ext>
            <a:ext uri="{FF2B5EF4-FFF2-40B4-BE49-F238E27FC236}">
              <a16:creationId xmlns:a16="http://schemas.microsoft.com/office/drawing/2014/main" id="{4368ACF5-6E6B-4F24-866F-CEBEF6940951}"/>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285" name="CheckBox4" hidden="1">
          <a:extLst>
            <a:ext uri="{63B3BB69-23CF-44E3-9099-C40C66FF867C}">
              <a14:compatExt xmlns:a14="http://schemas.microsoft.com/office/drawing/2010/main" spid="_x0000_s3076"/>
            </a:ext>
            <a:ext uri="{FF2B5EF4-FFF2-40B4-BE49-F238E27FC236}">
              <a16:creationId xmlns:a16="http://schemas.microsoft.com/office/drawing/2014/main" id="{5278B39C-CC59-41ED-91C3-10D26D577886}"/>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286" name="CheckBox5" hidden="1">
          <a:extLst>
            <a:ext uri="{63B3BB69-23CF-44E3-9099-C40C66FF867C}">
              <a14:compatExt xmlns:a14="http://schemas.microsoft.com/office/drawing/2010/main" spid="_x0000_s3077"/>
            </a:ext>
            <a:ext uri="{FF2B5EF4-FFF2-40B4-BE49-F238E27FC236}">
              <a16:creationId xmlns:a16="http://schemas.microsoft.com/office/drawing/2014/main" id="{655C0AB6-DFE4-4BD0-8920-42C29B7229E1}"/>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769620</xdr:rowOff>
    </xdr:to>
    <xdr:sp macro="" textlink="">
      <xdr:nvSpPr>
        <xdr:cNvPr id="287" name="CheckBox6" hidden="1">
          <a:extLst>
            <a:ext uri="{63B3BB69-23CF-44E3-9099-C40C66FF867C}">
              <a14:compatExt xmlns:a14="http://schemas.microsoft.com/office/drawing/2010/main" spid="_x0000_s3078"/>
            </a:ext>
            <a:ext uri="{FF2B5EF4-FFF2-40B4-BE49-F238E27FC236}">
              <a16:creationId xmlns:a16="http://schemas.microsoft.com/office/drawing/2014/main" id="{F3D9B707-41B3-418B-8A02-F644A0914C12}"/>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192405</xdr:rowOff>
    </xdr:to>
    <xdr:sp macro="" textlink="">
      <xdr:nvSpPr>
        <xdr:cNvPr id="288" name="CheckBox7" hidden="1">
          <a:extLst>
            <a:ext uri="{63B3BB69-23CF-44E3-9099-C40C66FF867C}">
              <a14:compatExt xmlns:a14="http://schemas.microsoft.com/office/drawing/2010/main" spid="_x0000_s3079"/>
            </a:ext>
            <a:ext uri="{FF2B5EF4-FFF2-40B4-BE49-F238E27FC236}">
              <a16:creationId xmlns:a16="http://schemas.microsoft.com/office/drawing/2014/main" id="{0DADCD1A-DA82-4635-990C-87C2EBFB9026}"/>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21</xdr:row>
      <xdr:rowOff>76200</xdr:rowOff>
    </xdr:to>
    <xdr:sp macro="" textlink="">
      <xdr:nvSpPr>
        <xdr:cNvPr id="289" name="CheckBox8" hidden="1">
          <a:extLst>
            <a:ext uri="{63B3BB69-23CF-44E3-9099-C40C66FF867C}">
              <a14:compatExt xmlns:a14="http://schemas.microsoft.com/office/drawing/2010/main" spid="_x0000_s3080"/>
            </a:ext>
            <a:ext uri="{FF2B5EF4-FFF2-40B4-BE49-F238E27FC236}">
              <a16:creationId xmlns:a16="http://schemas.microsoft.com/office/drawing/2014/main" id="{82AE70B9-90B4-4980-B368-B6D71111A1FB}"/>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20</xdr:row>
      <xdr:rowOff>262890</xdr:rowOff>
    </xdr:to>
    <xdr:sp macro="" textlink="">
      <xdr:nvSpPr>
        <xdr:cNvPr id="290" name="CheckBox9" hidden="1">
          <a:extLst>
            <a:ext uri="{63B3BB69-23CF-44E3-9099-C40C66FF867C}">
              <a14:compatExt xmlns:a14="http://schemas.microsoft.com/office/drawing/2010/main" spid="_x0000_s3081"/>
            </a:ext>
            <a:ext uri="{FF2B5EF4-FFF2-40B4-BE49-F238E27FC236}">
              <a16:creationId xmlns:a16="http://schemas.microsoft.com/office/drawing/2014/main" id="{F74DDE5D-A2B5-490C-973A-31FF828F5E33}"/>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22</xdr:row>
      <xdr:rowOff>198120</xdr:rowOff>
    </xdr:to>
    <xdr:sp macro="" textlink="">
      <xdr:nvSpPr>
        <xdr:cNvPr id="291" name="CheckBox10" hidden="1">
          <a:extLst>
            <a:ext uri="{63B3BB69-23CF-44E3-9099-C40C66FF867C}">
              <a14:compatExt xmlns:a14="http://schemas.microsoft.com/office/drawing/2010/main" spid="_x0000_s3082"/>
            </a:ext>
            <a:ext uri="{FF2B5EF4-FFF2-40B4-BE49-F238E27FC236}">
              <a16:creationId xmlns:a16="http://schemas.microsoft.com/office/drawing/2014/main" id="{EF927FB6-847E-4DAE-A415-047CC86E04F3}"/>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24</xdr:row>
      <xdr:rowOff>59055</xdr:rowOff>
    </xdr:to>
    <xdr:sp macro="" textlink="">
      <xdr:nvSpPr>
        <xdr:cNvPr id="292" name="CheckBox11" hidden="1">
          <a:extLst>
            <a:ext uri="{63B3BB69-23CF-44E3-9099-C40C66FF867C}">
              <a14:compatExt xmlns:a14="http://schemas.microsoft.com/office/drawing/2010/main" spid="_x0000_s3083"/>
            </a:ext>
            <a:ext uri="{FF2B5EF4-FFF2-40B4-BE49-F238E27FC236}">
              <a16:creationId xmlns:a16="http://schemas.microsoft.com/office/drawing/2014/main" id="{B68FF659-F5F6-4333-96B3-ED2ED91A7F5F}"/>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188595</xdr:rowOff>
    </xdr:to>
    <xdr:sp macro="" textlink="">
      <xdr:nvSpPr>
        <xdr:cNvPr id="293" name="CheckBox12" hidden="1">
          <a:extLst>
            <a:ext uri="{63B3BB69-23CF-44E3-9099-C40C66FF867C}">
              <a14:compatExt xmlns:a14="http://schemas.microsoft.com/office/drawing/2010/main" spid="_x0000_s3084"/>
            </a:ext>
            <a:ext uri="{FF2B5EF4-FFF2-40B4-BE49-F238E27FC236}">
              <a16:creationId xmlns:a16="http://schemas.microsoft.com/office/drawing/2014/main" id="{F081220F-8909-451D-A660-E4CBBAD3150F}"/>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592455</xdr:rowOff>
    </xdr:to>
    <xdr:sp macro="" textlink="">
      <xdr:nvSpPr>
        <xdr:cNvPr id="294" name="CheckBox13" hidden="1">
          <a:extLst>
            <a:ext uri="{63B3BB69-23CF-44E3-9099-C40C66FF867C}">
              <a14:compatExt xmlns:a14="http://schemas.microsoft.com/office/drawing/2010/main" spid="_x0000_s3085"/>
            </a:ext>
            <a:ext uri="{FF2B5EF4-FFF2-40B4-BE49-F238E27FC236}">
              <a16:creationId xmlns:a16="http://schemas.microsoft.com/office/drawing/2014/main" id="{2E525305-374D-4779-B744-6E7283214896}"/>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27</xdr:row>
      <xdr:rowOff>100965</xdr:rowOff>
    </xdr:to>
    <xdr:sp macro="" textlink="">
      <xdr:nvSpPr>
        <xdr:cNvPr id="295" name="CheckBox14" hidden="1">
          <a:extLst>
            <a:ext uri="{63B3BB69-23CF-44E3-9099-C40C66FF867C}">
              <a14:compatExt xmlns:a14="http://schemas.microsoft.com/office/drawing/2010/main" spid="_x0000_s3086"/>
            </a:ext>
            <a:ext uri="{FF2B5EF4-FFF2-40B4-BE49-F238E27FC236}">
              <a16:creationId xmlns:a16="http://schemas.microsoft.com/office/drawing/2014/main" id="{AB9F7DB9-4984-4369-ADA0-7906594AB454}"/>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28</xdr:row>
      <xdr:rowOff>116205</xdr:rowOff>
    </xdr:to>
    <xdr:sp macro="" textlink="">
      <xdr:nvSpPr>
        <xdr:cNvPr id="296" name="CheckBox15" hidden="1">
          <a:extLst>
            <a:ext uri="{63B3BB69-23CF-44E3-9099-C40C66FF867C}">
              <a14:compatExt xmlns:a14="http://schemas.microsoft.com/office/drawing/2010/main" spid="_x0000_s3087"/>
            </a:ext>
            <a:ext uri="{FF2B5EF4-FFF2-40B4-BE49-F238E27FC236}">
              <a16:creationId xmlns:a16="http://schemas.microsoft.com/office/drawing/2014/main" id="{9DC70B2E-7BF9-485E-8661-A1D60334DC80}"/>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1106805</xdr:rowOff>
    </xdr:to>
    <xdr:sp macro="" textlink="">
      <xdr:nvSpPr>
        <xdr:cNvPr id="297" name="CheckBox16" hidden="1">
          <a:extLst>
            <a:ext uri="{63B3BB69-23CF-44E3-9099-C40C66FF867C}">
              <a14:compatExt xmlns:a14="http://schemas.microsoft.com/office/drawing/2010/main" spid="_x0000_s3088"/>
            </a:ext>
            <a:ext uri="{FF2B5EF4-FFF2-40B4-BE49-F238E27FC236}">
              <a16:creationId xmlns:a16="http://schemas.microsoft.com/office/drawing/2014/main" id="{F80BA4FD-5404-4DAC-A7E9-18EC805FE8B5}"/>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34</xdr:row>
      <xdr:rowOff>554355</xdr:rowOff>
    </xdr:to>
    <xdr:sp macro="" textlink="">
      <xdr:nvSpPr>
        <xdr:cNvPr id="298" name="CheckBox17" hidden="1">
          <a:extLst>
            <a:ext uri="{63B3BB69-23CF-44E3-9099-C40C66FF867C}">
              <a14:compatExt xmlns:a14="http://schemas.microsoft.com/office/drawing/2010/main" spid="_x0000_s3089"/>
            </a:ext>
            <a:ext uri="{FF2B5EF4-FFF2-40B4-BE49-F238E27FC236}">
              <a16:creationId xmlns:a16="http://schemas.microsoft.com/office/drawing/2014/main" id="{60DF1308-FF41-47AA-8855-0AA7988A5A8B}"/>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34</xdr:row>
      <xdr:rowOff>127635</xdr:rowOff>
    </xdr:to>
    <xdr:sp macro="" textlink="">
      <xdr:nvSpPr>
        <xdr:cNvPr id="299" name="CheckBox18" hidden="1">
          <a:extLst>
            <a:ext uri="{63B3BB69-23CF-44E3-9099-C40C66FF867C}">
              <a14:compatExt xmlns:a14="http://schemas.microsoft.com/office/drawing/2010/main" spid="_x0000_s3090"/>
            </a:ext>
            <a:ext uri="{FF2B5EF4-FFF2-40B4-BE49-F238E27FC236}">
              <a16:creationId xmlns:a16="http://schemas.microsoft.com/office/drawing/2014/main" id="{1B709991-84EB-46E9-B8B7-DBF9CE27F9CC}"/>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36</xdr:row>
      <xdr:rowOff>9525</xdr:rowOff>
    </xdr:to>
    <xdr:sp macro="" textlink="">
      <xdr:nvSpPr>
        <xdr:cNvPr id="300" name="CheckBox19" hidden="1">
          <a:extLst>
            <a:ext uri="{63B3BB69-23CF-44E3-9099-C40C66FF867C}">
              <a14:compatExt xmlns:a14="http://schemas.microsoft.com/office/drawing/2010/main" spid="_x0000_s3091"/>
            </a:ext>
            <a:ext uri="{FF2B5EF4-FFF2-40B4-BE49-F238E27FC236}">
              <a16:creationId xmlns:a16="http://schemas.microsoft.com/office/drawing/2014/main" id="{43398843-613B-4F9B-93FA-C474DA63F359}"/>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37</xdr:row>
      <xdr:rowOff>295275</xdr:rowOff>
    </xdr:to>
    <xdr:sp macro="" textlink="">
      <xdr:nvSpPr>
        <xdr:cNvPr id="301" name="CheckBox20" hidden="1">
          <a:extLst>
            <a:ext uri="{63B3BB69-23CF-44E3-9099-C40C66FF867C}">
              <a14:compatExt xmlns:a14="http://schemas.microsoft.com/office/drawing/2010/main" spid="_x0000_s3092"/>
            </a:ext>
            <a:ext uri="{FF2B5EF4-FFF2-40B4-BE49-F238E27FC236}">
              <a16:creationId xmlns:a16="http://schemas.microsoft.com/office/drawing/2014/main" id="{23170B15-F1D5-45D4-BE67-87D0394D3459}"/>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37</xdr:row>
      <xdr:rowOff>156210</xdr:rowOff>
    </xdr:to>
    <xdr:sp macro="" textlink="">
      <xdr:nvSpPr>
        <xdr:cNvPr id="302" name="CheckBox21" hidden="1">
          <a:extLst>
            <a:ext uri="{63B3BB69-23CF-44E3-9099-C40C66FF867C}">
              <a14:compatExt xmlns:a14="http://schemas.microsoft.com/office/drawing/2010/main" spid="_x0000_s3093"/>
            </a:ext>
            <a:ext uri="{FF2B5EF4-FFF2-40B4-BE49-F238E27FC236}">
              <a16:creationId xmlns:a16="http://schemas.microsoft.com/office/drawing/2014/main" id="{16E91283-2FEA-4B4B-A3DB-77101204E243}"/>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37</xdr:row>
      <xdr:rowOff>419100</xdr:rowOff>
    </xdr:to>
    <xdr:sp macro="" textlink="">
      <xdr:nvSpPr>
        <xdr:cNvPr id="303" name="CheckBox22" hidden="1">
          <a:extLst>
            <a:ext uri="{63B3BB69-23CF-44E3-9099-C40C66FF867C}">
              <a14:compatExt xmlns:a14="http://schemas.microsoft.com/office/drawing/2010/main" spid="_x0000_s3094"/>
            </a:ext>
            <a:ext uri="{FF2B5EF4-FFF2-40B4-BE49-F238E27FC236}">
              <a16:creationId xmlns:a16="http://schemas.microsoft.com/office/drawing/2014/main" id="{2B0F2FC7-2213-4D48-AAF2-FABFE78D64F0}"/>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38</xdr:row>
      <xdr:rowOff>419100</xdr:rowOff>
    </xdr:to>
    <xdr:sp macro="" textlink="">
      <xdr:nvSpPr>
        <xdr:cNvPr id="304" name="CheckBox23" hidden="1">
          <a:extLst>
            <a:ext uri="{63B3BB69-23CF-44E3-9099-C40C66FF867C}">
              <a14:compatExt xmlns:a14="http://schemas.microsoft.com/office/drawing/2010/main" spid="_x0000_s3095"/>
            </a:ext>
            <a:ext uri="{FF2B5EF4-FFF2-40B4-BE49-F238E27FC236}">
              <a16:creationId xmlns:a16="http://schemas.microsoft.com/office/drawing/2014/main" id="{C61BCA9E-97AC-43F8-87EA-458F36EF9975}"/>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165100</xdr:rowOff>
    </xdr:from>
    <xdr:to>
      <xdr:col>19</xdr:col>
      <xdr:colOff>901700</xdr:colOff>
      <xdr:row>39</xdr:row>
      <xdr:rowOff>419100</xdr:rowOff>
    </xdr:to>
    <xdr:sp macro="" textlink="">
      <xdr:nvSpPr>
        <xdr:cNvPr id="305" name="CheckBox24" hidden="1">
          <a:extLst>
            <a:ext uri="{63B3BB69-23CF-44E3-9099-C40C66FF867C}">
              <a14:compatExt xmlns:a14="http://schemas.microsoft.com/office/drawing/2010/main" spid="_x0000_s3096"/>
            </a:ext>
            <a:ext uri="{FF2B5EF4-FFF2-40B4-BE49-F238E27FC236}">
              <a16:creationId xmlns:a16="http://schemas.microsoft.com/office/drawing/2014/main" id="{504E4513-40F6-4F5B-B6D2-979A002FC2EE}"/>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40</xdr:row>
      <xdr:rowOff>165100</xdr:rowOff>
    </xdr:from>
    <xdr:to>
      <xdr:col>19</xdr:col>
      <xdr:colOff>901700</xdr:colOff>
      <xdr:row>40</xdr:row>
      <xdr:rowOff>419100</xdr:rowOff>
    </xdr:to>
    <xdr:sp macro="" textlink="">
      <xdr:nvSpPr>
        <xdr:cNvPr id="306" name="CheckBox25" hidden="1">
          <a:extLst>
            <a:ext uri="{63B3BB69-23CF-44E3-9099-C40C66FF867C}">
              <a14:compatExt xmlns:a14="http://schemas.microsoft.com/office/drawing/2010/main" spid="_x0000_s3097"/>
            </a:ext>
            <a:ext uri="{FF2B5EF4-FFF2-40B4-BE49-F238E27FC236}">
              <a16:creationId xmlns:a16="http://schemas.microsoft.com/office/drawing/2014/main" id="{3E4DFFD6-E921-4D39-98C8-C1DD19E4A7E0}"/>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41</xdr:row>
      <xdr:rowOff>165100</xdr:rowOff>
    </xdr:from>
    <xdr:to>
      <xdr:col>19</xdr:col>
      <xdr:colOff>901700</xdr:colOff>
      <xdr:row>41</xdr:row>
      <xdr:rowOff>419100</xdr:rowOff>
    </xdr:to>
    <xdr:sp macro="" textlink="">
      <xdr:nvSpPr>
        <xdr:cNvPr id="307" name="CheckBox26" hidden="1">
          <a:extLst>
            <a:ext uri="{63B3BB69-23CF-44E3-9099-C40C66FF867C}">
              <a14:compatExt xmlns:a14="http://schemas.microsoft.com/office/drawing/2010/main" spid="_x0000_s3098"/>
            </a:ext>
            <a:ext uri="{FF2B5EF4-FFF2-40B4-BE49-F238E27FC236}">
              <a16:creationId xmlns:a16="http://schemas.microsoft.com/office/drawing/2014/main" id="{4856ACDC-2D1E-4599-AE56-30DB3BE7A444}"/>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42</xdr:row>
      <xdr:rowOff>165100</xdr:rowOff>
    </xdr:from>
    <xdr:to>
      <xdr:col>19</xdr:col>
      <xdr:colOff>901700</xdr:colOff>
      <xdr:row>42</xdr:row>
      <xdr:rowOff>419100</xdr:rowOff>
    </xdr:to>
    <xdr:sp macro="" textlink="">
      <xdr:nvSpPr>
        <xdr:cNvPr id="308" name="CheckBox27" hidden="1">
          <a:extLst>
            <a:ext uri="{63B3BB69-23CF-44E3-9099-C40C66FF867C}">
              <a14:compatExt xmlns:a14="http://schemas.microsoft.com/office/drawing/2010/main" spid="_x0000_s3099"/>
            </a:ext>
            <a:ext uri="{FF2B5EF4-FFF2-40B4-BE49-F238E27FC236}">
              <a16:creationId xmlns:a16="http://schemas.microsoft.com/office/drawing/2014/main" id="{2ABDABC5-9168-4C10-9A0B-A3FEFF1235E1}"/>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43</xdr:row>
      <xdr:rowOff>165100</xdr:rowOff>
    </xdr:from>
    <xdr:to>
      <xdr:col>19</xdr:col>
      <xdr:colOff>901700</xdr:colOff>
      <xdr:row>44</xdr:row>
      <xdr:rowOff>133350</xdr:rowOff>
    </xdr:to>
    <xdr:sp macro="" textlink="">
      <xdr:nvSpPr>
        <xdr:cNvPr id="309" name="CheckBox28" hidden="1">
          <a:extLst>
            <a:ext uri="{63B3BB69-23CF-44E3-9099-C40C66FF867C}">
              <a14:compatExt xmlns:a14="http://schemas.microsoft.com/office/drawing/2010/main" spid="_x0000_s3100"/>
            </a:ext>
            <a:ext uri="{FF2B5EF4-FFF2-40B4-BE49-F238E27FC236}">
              <a16:creationId xmlns:a16="http://schemas.microsoft.com/office/drawing/2014/main" id="{C2F142D8-163F-440B-9ED1-08B391F201AC}"/>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44</xdr:row>
      <xdr:rowOff>165100</xdr:rowOff>
    </xdr:from>
    <xdr:to>
      <xdr:col>19</xdr:col>
      <xdr:colOff>901700</xdr:colOff>
      <xdr:row>45</xdr:row>
      <xdr:rowOff>142875</xdr:rowOff>
    </xdr:to>
    <xdr:sp macro="" textlink="">
      <xdr:nvSpPr>
        <xdr:cNvPr id="310" name="CheckBox29" hidden="1">
          <a:extLst>
            <a:ext uri="{63B3BB69-23CF-44E3-9099-C40C66FF867C}">
              <a14:compatExt xmlns:a14="http://schemas.microsoft.com/office/drawing/2010/main" spid="_x0000_s3101"/>
            </a:ext>
            <a:ext uri="{FF2B5EF4-FFF2-40B4-BE49-F238E27FC236}">
              <a16:creationId xmlns:a16="http://schemas.microsoft.com/office/drawing/2014/main" id="{5B13CBD3-C32D-4936-9184-78B5C2F6C024}"/>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45</xdr:row>
      <xdr:rowOff>165100</xdr:rowOff>
    </xdr:from>
    <xdr:to>
      <xdr:col>19</xdr:col>
      <xdr:colOff>901700</xdr:colOff>
      <xdr:row>46</xdr:row>
      <xdr:rowOff>142875</xdr:rowOff>
    </xdr:to>
    <xdr:sp macro="" textlink="">
      <xdr:nvSpPr>
        <xdr:cNvPr id="311" name="CheckBox30" hidden="1">
          <a:extLst>
            <a:ext uri="{63B3BB69-23CF-44E3-9099-C40C66FF867C}">
              <a14:compatExt xmlns:a14="http://schemas.microsoft.com/office/drawing/2010/main" spid="_x0000_s3102"/>
            </a:ext>
            <a:ext uri="{FF2B5EF4-FFF2-40B4-BE49-F238E27FC236}">
              <a16:creationId xmlns:a16="http://schemas.microsoft.com/office/drawing/2014/main" id="{D46B860B-DC88-4568-8959-A2C97B52CEC6}"/>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2" name="CheckBox31" hidden="1">
          <a:extLst>
            <a:ext uri="{63B3BB69-23CF-44E3-9099-C40C66FF867C}">
              <a14:compatExt xmlns:a14="http://schemas.microsoft.com/office/drawing/2010/main" spid="_x0000_s3103"/>
            </a:ext>
            <a:ext uri="{FF2B5EF4-FFF2-40B4-BE49-F238E27FC236}">
              <a16:creationId xmlns:a16="http://schemas.microsoft.com/office/drawing/2014/main" id="{15F48345-34EE-428B-9D5F-EA2618D3D2D1}"/>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3" name="CheckBox32" hidden="1">
          <a:extLst>
            <a:ext uri="{63B3BB69-23CF-44E3-9099-C40C66FF867C}">
              <a14:compatExt xmlns:a14="http://schemas.microsoft.com/office/drawing/2010/main" spid="_x0000_s3104"/>
            </a:ext>
            <a:ext uri="{FF2B5EF4-FFF2-40B4-BE49-F238E27FC236}">
              <a16:creationId xmlns:a16="http://schemas.microsoft.com/office/drawing/2014/main" id="{D54422C4-1FD3-4C4F-B35D-AE7763CDAC0A}"/>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4" name="CheckBox33" hidden="1">
          <a:extLst>
            <a:ext uri="{63B3BB69-23CF-44E3-9099-C40C66FF867C}">
              <a14:compatExt xmlns:a14="http://schemas.microsoft.com/office/drawing/2010/main" spid="_x0000_s3105"/>
            </a:ext>
            <a:ext uri="{FF2B5EF4-FFF2-40B4-BE49-F238E27FC236}">
              <a16:creationId xmlns:a16="http://schemas.microsoft.com/office/drawing/2014/main" id="{1B21AFA3-C154-4660-A973-4B1ED880FBD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5" name="CheckBox34" hidden="1">
          <a:extLst>
            <a:ext uri="{63B3BB69-23CF-44E3-9099-C40C66FF867C}">
              <a14:compatExt xmlns:a14="http://schemas.microsoft.com/office/drawing/2010/main" spid="_x0000_s3106"/>
            </a:ext>
            <a:ext uri="{FF2B5EF4-FFF2-40B4-BE49-F238E27FC236}">
              <a16:creationId xmlns:a16="http://schemas.microsoft.com/office/drawing/2014/main" id="{A47FFF35-3F26-49B7-AC49-0DFC171B1CF3}"/>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6" name="CheckBox35" hidden="1">
          <a:extLst>
            <a:ext uri="{63B3BB69-23CF-44E3-9099-C40C66FF867C}">
              <a14:compatExt xmlns:a14="http://schemas.microsoft.com/office/drawing/2010/main" spid="_x0000_s3107"/>
            </a:ext>
            <a:ext uri="{FF2B5EF4-FFF2-40B4-BE49-F238E27FC236}">
              <a16:creationId xmlns:a16="http://schemas.microsoft.com/office/drawing/2014/main" id="{CBE679F1-D74F-47AB-ACD9-EF3900A51F0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7" name="CheckBox36" hidden="1">
          <a:extLst>
            <a:ext uri="{63B3BB69-23CF-44E3-9099-C40C66FF867C}">
              <a14:compatExt xmlns:a14="http://schemas.microsoft.com/office/drawing/2010/main" spid="_x0000_s3108"/>
            </a:ext>
            <a:ext uri="{FF2B5EF4-FFF2-40B4-BE49-F238E27FC236}">
              <a16:creationId xmlns:a16="http://schemas.microsoft.com/office/drawing/2014/main" id="{669B8CD1-F41C-4B64-A5F8-7882781D158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8" name="CheckBox38" hidden="1">
          <a:extLst>
            <a:ext uri="{63B3BB69-23CF-44E3-9099-C40C66FF867C}">
              <a14:compatExt xmlns:a14="http://schemas.microsoft.com/office/drawing/2010/main" spid="_x0000_s3110"/>
            </a:ext>
            <a:ext uri="{FF2B5EF4-FFF2-40B4-BE49-F238E27FC236}">
              <a16:creationId xmlns:a16="http://schemas.microsoft.com/office/drawing/2014/main" id="{660525A3-F337-4122-B350-9DC17AEF1F4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19" name="CheckBox39" hidden="1">
          <a:extLst>
            <a:ext uri="{63B3BB69-23CF-44E3-9099-C40C66FF867C}">
              <a14:compatExt xmlns:a14="http://schemas.microsoft.com/office/drawing/2010/main" spid="_x0000_s3111"/>
            </a:ext>
            <a:ext uri="{FF2B5EF4-FFF2-40B4-BE49-F238E27FC236}">
              <a16:creationId xmlns:a16="http://schemas.microsoft.com/office/drawing/2014/main" id="{89D2B097-D278-4494-A16F-073EF87FE39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20" name="CheckBox40" hidden="1">
          <a:extLst>
            <a:ext uri="{63B3BB69-23CF-44E3-9099-C40C66FF867C}">
              <a14:compatExt xmlns:a14="http://schemas.microsoft.com/office/drawing/2010/main" spid="_x0000_s3112"/>
            </a:ext>
            <a:ext uri="{FF2B5EF4-FFF2-40B4-BE49-F238E27FC236}">
              <a16:creationId xmlns:a16="http://schemas.microsoft.com/office/drawing/2014/main" id="{8486B01C-919B-4180-8ABA-C4F53ABEE9B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21" name="CheckBox41" hidden="1">
          <a:extLst>
            <a:ext uri="{63B3BB69-23CF-44E3-9099-C40C66FF867C}">
              <a14:compatExt xmlns:a14="http://schemas.microsoft.com/office/drawing/2010/main" spid="_x0000_s3113"/>
            </a:ext>
            <a:ext uri="{FF2B5EF4-FFF2-40B4-BE49-F238E27FC236}">
              <a16:creationId xmlns:a16="http://schemas.microsoft.com/office/drawing/2014/main" id="{6ADFD048-7DC2-4310-95F1-E420A888615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22" name="CheckBox42" hidden="1">
          <a:extLst>
            <a:ext uri="{63B3BB69-23CF-44E3-9099-C40C66FF867C}">
              <a14:compatExt xmlns:a14="http://schemas.microsoft.com/office/drawing/2010/main" spid="_x0000_s3114"/>
            </a:ext>
            <a:ext uri="{FF2B5EF4-FFF2-40B4-BE49-F238E27FC236}">
              <a16:creationId xmlns:a16="http://schemas.microsoft.com/office/drawing/2014/main" id="{12F14B44-7825-48E8-8CD5-E345815AC7A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23" name="CheckBox43" hidden="1">
          <a:extLst>
            <a:ext uri="{63B3BB69-23CF-44E3-9099-C40C66FF867C}">
              <a14:compatExt xmlns:a14="http://schemas.microsoft.com/office/drawing/2010/main" spid="_x0000_s3115"/>
            </a:ext>
            <a:ext uri="{FF2B5EF4-FFF2-40B4-BE49-F238E27FC236}">
              <a16:creationId xmlns:a16="http://schemas.microsoft.com/office/drawing/2014/main" id="{58316C32-BEC2-4029-BF7C-E2D9AD20C1FF}"/>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24" name="CheckBox44" hidden="1">
          <a:extLst>
            <a:ext uri="{63B3BB69-23CF-44E3-9099-C40C66FF867C}">
              <a14:compatExt xmlns:a14="http://schemas.microsoft.com/office/drawing/2010/main" spid="_x0000_s3116"/>
            </a:ext>
            <a:ext uri="{FF2B5EF4-FFF2-40B4-BE49-F238E27FC236}">
              <a16:creationId xmlns:a16="http://schemas.microsoft.com/office/drawing/2014/main" id="{C0B4E501-9E8A-422A-A4B4-606D6D0EF94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25" name="CheckBox45" hidden="1">
          <a:extLst>
            <a:ext uri="{63B3BB69-23CF-44E3-9099-C40C66FF867C}">
              <a14:compatExt xmlns:a14="http://schemas.microsoft.com/office/drawing/2010/main" spid="_x0000_s3117"/>
            </a:ext>
            <a:ext uri="{FF2B5EF4-FFF2-40B4-BE49-F238E27FC236}">
              <a16:creationId xmlns:a16="http://schemas.microsoft.com/office/drawing/2014/main" id="{E7C2D0ED-D75A-4343-9D9C-9A3903BCD0C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326" name="CheckBox46" hidden="1">
          <a:extLst>
            <a:ext uri="{63B3BB69-23CF-44E3-9099-C40C66FF867C}">
              <a14:compatExt xmlns:a14="http://schemas.microsoft.com/office/drawing/2010/main" spid="_x0000_s3118"/>
            </a:ext>
            <a:ext uri="{FF2B5EF4-FFF2-40B4-BE49-F238E27FC236}">
              <a16:creationId xmlns:a16="http://schemas.microsoft.com/office/drawing/2014/main" id="{BBCE60C4-20DC-4511-AFAD-21DA0B4FE1B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372" name="CheckBox1" hidden="1">
          <a:extLst>
            <a:ext uri="{63B3BB69-23CF-44E3-9099-C40C66FF867C}">
              <a14:compatExt xmlns:a14="http://schemas.microsoft.com/office/drawing/2010/main" spid="_x0000_s3073"/>
            </a:ext>
            <a:ext uri="{FF2B5EF4-FFF2-40B4-BE49-F238E27FC236}">
              <a16:creationId xmlns:a16="http://schemas.microsoft.com/office/drawing/2014/main" id="{CBA97640-6132-4B40-9F9E-F8375CE054CF}"/>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373" name="CheckBox2" hidden="1">
          <a:extLst>
            <a:ext uri="{63B3BB69-23CF-44E3-9099-C40C66FF867C}">
              <a14:compatExt xmlns:a14="http://schemas.microsoft.com/office/drawing/2010/main" spid="_x0000_s3074"/>
            </a:ext>
            <a:ext uri="{FF2B5EF4-FFF2-40B4-BE49-F238E27FC236}">
              <a16:creationId xmlns:a16="http://schemas.microsoft.com/office/drawing/2014/main" id="{E2EFD9D5-1E35-41E1-B47D-790DD90561C1}"/>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374" name="CheckBox3" hidden="1">
          <a:extLst>
            <a:ext uri="{63B3BB69-23CF-44E3-9099-C40C66FF867C}">
              <a14:compatExt xmlns:a14="http://schemas.microsoft.com/office/drawing/2010/main" spid="_x0000_s3075"/>
            </a:ext>
            <a:ext uri="{FF2B5EF4-FFF2-40B4-BE49-F238E27FC236}">
              <a16:creationId xmlns:a16="http://schemas.microsoft.com/office/drawing/2014/main" id="{37FD96EA-A489-4BC6-AC14-2E942888801C}"/>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375" name="CheckBox4" hidden="1">
          <a:extLst>
            <a:ext uri="{63B3BB69-23CF-44E3-9099-C40C66FF867C}">
              <a14:compatExt xmlns:a14="http://schemas.microsoft.com/office/drawing/2010/main" spid="_x0000_s3076"/>
            </a:ext>
            <a:ext uri="{FF2B5EF4-FFF2-40B4-BE49-F238E27FC236}">
              <a16:creationId xmlns:a16="http://schemas.microsoft.com/office/drawing/2014/main" id="{3A1DBAA8-3030-4A3B-9FD7-BEA191CB5E80}"/>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376" name="CheckBox5" hidden="1">
          <a:extLst>
            <a:ext uri="{63B3BB69-23CF-44E3-9099-C40C66FF867C}">
              <a14:compatExt xmlns:a14="http://schemas.microsoft.com/office/drawing/2010/main" spid="_x0000_s3077"/>
            </a:ext>
            <a:ext uri="{FF2B5EF4-FFF2-40B4-BE49-F238E27FC236}">
              <a16:creationId xmlns:a16="http://schemas.microsoft.com/office/drawing/2014/main" id="{04139C11-332F-4507-868A-4E4A5358CF3E}"/>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769620</xdr:rowOff>
    </xdr:to>
    <xdr:sp macro="" textlink="">
      <xdr:nvSpPr>
        <xdr:cNvPr id="377" name="CheckBox6" hidden="1">
          <a:extLst>
            <a:ext uri="{63B3BB69-23CF-44E3-9099-C40C66FF867C}">
              <a14:compatExt xmlns:a14="http://schemas.microsoft.com/office/drawing/2010/main" spid="_x0000_s3078"/>
            </a:ext>
            <a:ext uri="{FF2B5EF4-FFF2-40B4-BE49-F238E27FC236}">
              <a16:creationId xmlns:a16="http://schemas.microsoft.com/office/drawing/2014/main" id="{38E470DF-1A0B-460A-88E1-291B07108380}"/>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192405</xdr:rowOff>
    </xdr:to>
    <xdr:sp macro="" textlink="">
      <xdr:nvSpPr>
        <xdr:cNvPr id="378" name="CheckBox7" hidden="1">
          <a:extLst>
            <a:ext uri="{63B3BB69-23CF-44E3-9099-C40C66FF867C}">
              <a14:compatExt xmlns:a14="http://schemas.microsoft.com/office/drawing/2010/main" spid="_x0000_s3079"/>
            </a:ext>
            <a:ext uri="{FF2B5EF4-FFF2-40B4-BE49-F238E27FC236}">
              <a16:creationId xmlns:a16="http://schemas.microsoft.com/office/drawing/2014/main" id="{A7683309-6F9E-467B-839D-30C2F7945DBC}"/>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21</xdr:row>
      <xdr:rowOff>76200</xdr:rowOff>
    </xdr:to>
    <xdr:sp macro="" textlink="">
      <xdr:nvSpPr>
        <xdr:cNvPr id="379" name="CheckBox8" hidden="1">
          <a:extLst>
            <a:ext uri="{63B3BB69-23CF-44E3-9099-C40C66FF867C}">
              <a14:compatExt xmlns:a14="http://schemas.microsoft.com/office/drawing/2010/main" spid="_x0000_s3080"/>
            </a:ext>
            <a:ext uri="{FF2B5EF4-FFF2-40B4-BE49-F238E27FC236}">
              <a16:creationId xmlns:a16="http://schemas.microsoft.com/office/drawing/2014/main" id="{9BAF71A0-3CE6-425B-96F5-99D0460E0DE9}"/>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20</xdr:row>
      <xdr:rowOff>262890</xdr:rowOff>
    </xdr:to>
    <xdr:sp macro="" textlink="">
      <xdr:nvSpPr>
        <xdr:cNvPr id="380" name="CheckBox9" hidden="1">
          <a:extLst>
            <a:ext uri="{63B3BB69-23CF-44E3-9099-C40C66FF867C}">
              <a14:compatExt xmlns:a14="http://schemas.microsoft.com/office/drawing/2010/main" spid="_x0000_s3081"/>
            </a:ext>
            <a:ext uri="{FF2B5EF4-FFF2-40B4-BE49-F238E27FC236}">
              <a16:creationId xmlns:a16="http://schemas.microsoft.com/office/drawing/2014/main" id="{0232B77B-BC50-4921-ACF3-6BC7886DE945}"/>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22</xdr:row>
      <xdr:rowOff>198120</xdr:rowOff>
    </xdr:to>
    <xdr:sp macro="" textlink="">
      <xdr:nvSpPr>
        <xdr:cNvPr id="381" name="CheckBox10" hidden="1">
          <a:extLst>
            <a:ext uri="{63B3BB69-23CF-44E3-9099-C40C66FF867C}">
              <a14:compatExt xmlns:a14="http://schemas.microsoft.com/office/drawing/2010/main" spid="_x0000_s3082"/>
            </a:ext>
            <a:ext uri="{FF2B5EF4-FFF2-40B4-BE49-F238E27FC236}">
              <a16:creationId xmlns:a16="http://schemas.microsoft.com/office/drawing/2014/main" id="{14C8640E-56CB-499A-BD78-6915B382AF42}"/>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24</xdr:row>
      <xdr:rowOff>59055</xdr:rowOff>
    </xdr:to>
    <xdr:sp macro="" textlink="">
      <xdr:nvSpPr>
        <xdr:cNvPr id="382" name="CheckBox11" hidden="1">
          <a:extLst>
            <a:ext uri="{63B3BB69-23CF-44E3-9099-C40C66FF867C}">
              <a14:compatExt xmlns:a14="http://schemas.microsoft.com/office/drawing/2010/main" spid="_x0000_s3083"/>
            </a:ext>
            <a:ext uri="{FF2B5EF4-FFF2-40B4-BE49-F238E27FC236}">
              <a16:creationId xmlns:a16="http://schemas.microsoft.com/office/drawing/2014/main" id="{C6BF4E5C-8CA9-4240-B2D7-8F26D4524272}"/>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188595</xdr:rowOff>
    </xdr:to>
    <xdr:sp macro="" textlink="">
      <xdr:nvSpPr>
        <xdr:cNvPr id="383" name="CheckBox12" hidden="1">
          <a:extLst>
            <a:ext uri="{63B3BB69-23CF-44E3-9099-C40C66FF867C}">
              <a14:compatExt xmlns:a14="http://schemas.microsoft.com/office/drawing/2010/main" spid="_x0000_s3084"/>
            </a:ext>
            <a:ext uri="{FF2B5EF4-FFF2-40B4-BE49-F238E27FC236}">
              <a16:creationId xmlns:a16="http://schemas.microsoft.com/office/drawing/2014/main" id="{A1C9DF11-0CD1-4F9B-8FE5-31B436E10400}"/>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592455</xdr:rowOff>
    </xdr:to>
    <xdr:sp macro="" textlink="">
      <xdr:nvSpPr>
        <xdr:cNvPr id="384" name="CheckBox13" hidden="1">
          <a:extLst>
            <a:ext uri="{63B3BB69-23CF-44E3-9099-C40C66FF867C}">
              <a14:compatExt xmlns:a14="http://schemas.microsoft.com/office/drawing/2010/main" spid="_x0000_s3085"/>
            </a:ext>
            <a:ext uri="{FF2B5EF4-FFF2-40B4-BE49-F238E27FC236}">
              <a16:creationId xmlns:a16="http://schemas.microsoft.com/office/drawing/2014/main" id="{3F979175-48F9-4DBB-8280-D01A8605A483}"/>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27</xdr:row>
      <xdr:rowOff>100965</xdr:rowOff>
    </xdr:to>
    <xdr:sp macro="" textlink="">
      <xdr:nvSpPr>
        <xdr:cNvPr id="385" name="CheckBox14" hidden="1">
          <a:extLst>
            <a:ext uri="{63B3BB69-23CF-44E3-9099-C40C66FF867C}">
              <a14:compatExt xmlns:a14="http://schemas.microsoft.com/office/drawing/2010/main" spid="_x0000_s3086"/>
            </a:ext>
            <a:ext uri="{FF2B5EF4-FFF2-40B4-BE49-F238E27FC236}">
              <a16:creationId xmlns:a16="http://schemas.microsoft.com/office/drawing/2014/main" id="{55C5CB72-A35F-4108-AAC3-1816C87C4ED0}"/>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28</xdr:row>
      <xdr:rowOff>116205</xdr:rowOff>
    </xdr:to>
    <xdr:sp macro="" textlink="">
      <xdr:nvSpPr>
        <xdr:cNvPr id="386" name="CheckBox15" hidden="1">
          <a:extLst>
            <a:ext uri="{63B3BB69-23CF-44E3-9099-C40C66FF867C}">
              <a14:compatExt xmlns:a14="http://schemas.microsoft.com/office/drawing/2010/main" spid="_x0000_s3087"/>
            </a:ext>
            <a:ext uri="{FF2B5EF4-FFF2-40B4-BE49-F238E27FC236}">
              <a16:creationId xmlns:a16="http://schemas.microsoft.com/office/drawing/2014/main" id="{44144B7E-5190-4911-AFF7-ED230591116F}"/>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1106805</xdr:rowOff>
    </xdr:to>
    <xdr:sp macro="" textlink="">
      <xdr:nvSpPr>
        <xdr:cNvPr id="387" name="CheckBox16" hidden="1">
          <a:extLst>
            <a:ext uri="{63B3BB69-23CF-44E3-9099-C40C66FF867C}">
              <a14:compatExt xmlns:a14="http://schemas.microsoft.com/office/drawing/2010/main" spid="_x0000_s3088"/>
            </a:ext>
            <a:ext uri="{FF2B5EF4-FFF2-40B4-BE49-F238E27FC236}">
              <a16:creationId xmlns:a16="http://schemas.microsoft.com/office/drawing/2014/main" id="{B8B50166-C58D-4B64-A485-496C57649BA4}"/>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34</xdr:row>
      <xdr:rowOff>554355</xdr:rowOff>
    </xdr:to>
    <xdr:sp macro="" textlink="">
      <xdr:nvSpPr>
        <xdr:cNvPr id="388" name="CheckBox17" hidden="1">
          <a:extLst>
            <a:ext uri="{63B3BB69-23CF-44E3-9099-C40C66FF867C}">
              <a14:compatExt xmlns:a14="http://schemas.microsoft.com/office/drawing/2010/main" spid="_x0000_s3089"/>
            </a:ext>
            <a:ext uri="{FF2B5EF4-FFF2-40B4-BE49-F238E27FC236}">
              <a16:creationId xmlns:a16="http://schemas.microsoft.com/office/drawing/2014/main" id="{F3ED0549-0252-4034-9417-A7C113AC329A}"/>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34</xdr:row>
      <xdr:rowOff>127635</xdr:rowOff>
    </xdr:to>
    <xdr:sp macro="" textlink="">
      <xdr:nvSpPr>
        <xdr:cNvPr id="389" name="CheckBox18" hidden="1">
          <a:extLst>
            <a:ext uri="{63B3BB69-23CF-44E3-9099-C40C66FF867C}">
              <a14:compatExt xmlns:a14="http://schemas.microsoft.com/office/drawing/2010/main" spid="_x0000_s3090"/>
            </a:ext>
            <a:ext uri="{FF2B5EF4-FFF2-40B4-BE49-F238E27FC236}">
              <a16:creationId xmlns:a16="http://schemas.microsoft.com/office/drawing/2014/main" id="{35F65DBF-5E03-4CDC-9FE1-613556021AF8}"/>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36</xdr:row>
      <xdr:rowOff>9525</xdr:rowOff>
    </xdr:to>
    <xdr:sp macro="" textlink="">
      <xdr:nvSpPr>
        <xdr:cNvPr id="390" name="CheckBox19" hidden="1">
          <a:extLst>
            <a:ext uri="{63B3BB69-23CF-44E3-9099-C40C66FF867C}">
              <a14:compatExt xmlns:a14="http://schemas.microsoft.com/office/drawing/2010/main" spid="_x0000_s3091"/>
            </a:ext>
            <a:ext uri="{FF2B5EF4-FFF2-40B4-BE49-F238E27FC236}">
              <a16:creationId xmlns:a16="http://schemas.microsoft.com/office/drawing/2014/main" id="{AE79A1B2-2BA0-431F-B9E6-C94AE197348B}"/>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37</xdr:row>
      <xdr:rowOff>295275</xdr:rowOff>
    </xdr:to>
    <xdr:sp macro="" textlink="">
      <xdr:nvSpPr>
        <xdr:cNvPr id="391" name="CheckBox20" hidden="1">
          <a:extLst>
            <a:ext uri="{63B3BB69-23CF-44E3-9099-C40C66FF867C}">
              <a14:compatExt xmlns:a14="http://schemas.microsoft.com/office/drawing/2010/main" spid="_x0000_s3092"/>
            </a:ext>
            <a:ext uri="{FF2B5EF4-FFF2-40B4-BE49-F238E27FC236}">
              <a16:creationId xmlns:a16="http://schemas.microsoft.com/office/drawing/2014/main" id="{730C8249-A136-49F9-8710-AFAFC8E85A73}"/>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37</xdr:row>
      <xdr:rowOff>156210</xdr:rowOff>
    </xdr:to>
    <xdr:sp macro="" textlink="">
      <xdr:nvSpPr>
        <xdr:cNvPr id="392" name="CheckBox21" hidden="1">
          <a:extLst>
            <a:ext uri="{63B3BB69-23CF-44E3-9099-C40C66FF867C}">
              <a14:compatExt xmlns:a14="http://schemas.microsoft.com/office/drawing/2010/main" spid="_x0000_s3093"/>
            </a:ext>
            <a:ext uri="{FF2B5EF4-FFF2-40B4-BE49-F238E27FC236}">
              <a16:creationId xmlns:a16="http://schemas.microsoft.com/office/drawing/2014/main" id="{EBE9EC0F-146C-4D81-83E2-4032577AB872}"/>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37</xdr:row>
      <xdr:rowOff>419100</xdr:rowOff>
    </xdr:to>
    <xdr:sp macro="" textlink="">
      <xdr:nvSpPr>
        <xdr:cNvPr id="393" name="CheckBox22" hidden="1">
          <a:extLst>
            <a:ext uri="{63B3BB69-23CF-44E3-9099-C40C66FF867C}">
              <a14:compatExt xmlns:a14="http://schemas.microsoft.com/office/drawing/2010/main" spid="_x0000_s3094"/>
            </a:ext>
            <a:ext uri="{FF2B5EF4-FFF2-40B4-BE49-F238E27FC236}">
              <a16:creationId xmlns:a16="http://schemas.microsoft.com/office/drawing/2014/main" id="{CA2B99B8-B807-476B-9335-79DE3668EFA9}"/>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38</xdr:row>
      <xdr:rowOff>419100</xdr:rowOff>
    </xdr:to>
    <xdr:sp macro="" textlink="">
      <xdr:nvSpPr>
        <xdr:cNvPr id="394" name="CheckBox23" hidden="1">
          <a:extLst>
            <a:ext uri="{63B3BB69-23CF-44E3-9099-C40C66FF867C}">
              <a14:compatExt xmlns:a14="http://schemas.microsoft.com/office/drawing/2010/main" spid="_x0000_s3095"/>
            </a:ext>
            <a:ext uri="{FF2B5EF4-FFF2-40B4-BE49-F238E27FC236}">
              <a16:creationId xmlns:a16="http://schemas.microsoft.com/office/drawing/2014/main" id="{E117FA48-7959-41FB-AAA8-985F777E8BA2}"/>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165100</xdr:rowOff>
    </xdr:from>
    <xdr:to>
      <xdr:col>19</xdr:col>
      <xdr:colOff>901700</xdr:colOff>
      <xdr:row>39</xdr:row>
      <xdr:rowOff>419100</xdr:rowOff>
    </xdr:to>
    <xdr:sp macro="" textlink="">
      <xdr:nvSpPr>
        <xdr:cNvPr id="395" name="CheckBox24" hidden="1">
          <a:extLst>
            <a:ext uri="{63B3BB69-23CF-44E3-9099-C40C66FF867C}">
              <a14:compatExt xmlns:a14="http://schemas.microsoft.com/office/drawing/2010/main" spid="_x0000_s3096"/>
            </a:ext>
            <a:ext uri="{FF2B5EF4-FFF2-40B4-BE49-F238E27FC236}">
              <a16:creationId xmlns:a16="http://schemas.microsoft.com/office/drawing/2014/main" id="{D7F74AAC-D05A-4350-BD51-1E74A63C2011}"/>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40</xdr:row>
      <xdr:rowOff>165100</xdr:rowOff>
    </xdr:from>
    <xdr:to>
      <xdr:col>19</xdr:col>
      <xdr:colOff>901700</xdr:colOff>
      <xdr:row>40</xdr:row>
      <xdr:rowOff>419100</xdr:rowOff>
    </xdr:to>
    <xdr:sp macro="" textlink="">
      <xdr:nvSpPr>
        <xdr:cNvPr id="396" name="CheckBox25" hidden="1">
          <a:extLst>
            <a:ext uri="{63B3BB69-23CF-44E3-9099-C40C66FF867C}">
              <a14:compatExt xmlns:a14="http://schemas.microsoft.com/office/drawing/2010/main" spid="_x0000_s3097"/>
            </a:ext>
            <a:ext uri="{FF2B5EF4-FFF2-40B4-BE49-F238E27FC236}">
              <a16:creationId xmlns:a16="http://schemas.microsoft.com/office/drawing/2014/main" id="{87F2B47E-E6A7-4E98-A0A9-8847F783D38A}"/>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41</xdr:row>
      <xdr:rowOff>165100</xdr:rowOff>
    </xdr:from>
    <xdr:to>
      <xdr:col>19</xdr:col>
      <xdr:colOff>901700</xdr:colOff>
      <xdr:row>41</xdr:row>
      <xdr:rowOff>419100</xdr:rowOff>
    </xdr:to>
    <xdr:sp macro="" textlink="">
      <xdr:nvSpPr>
        <xdr:cNvPr id="397" name="CheckBox26" hidden="1">
          <a:extLst>
            <a:ext uri="{63B3BB69-23CF-44E3-9099-C40C66FF867C}">
              <a14:compatExt xmlns:a14="http://schemas.microsoft.com/office/drawing/2010/main" spid="_x0000_s3098"/>
            </a:ext>
            <a:ext uri="{FF2B5EF4-FFF2-40B4-BE49-F238E27FC236}">
              <a16:creationId xmlns:a16="http://schemas.microsoft.com/office/drawing/2014/main" id="{8954A49E-FDED-4E57-B4DC-024A3B86062C}"/>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42</xdr:row>
      <xdr:rowOff>165100</xdr:rowOff>
    </xdr:from>
    <xdr:to>
      <xdr:col>19</xdr:col>
      <xdr:colOff>901700</xdr:colOff>
      <xdr:row>42</xdr:row>
      <xdr:rowOff>419100</xdr:rowOff>
    </xdr:to>
    <xdr:sp macro="" textlink="">
      <xdr:nvSpPr>
        <xdr:cNvPr id="398" name="CheckBox27" hidden="1">
          <a:extLst>
            <a:ext uri="{63B3BB69-23CF-44E3-9099-C40C66FF867C}">
              <a14:compatExt xmlns:a14="http://schemas.microsoft.com/office/drawing/2010/main" spid="_x0000_s3099"/>
            </a:ext>
            <a:ext uri="{FF2B5EF4-FFF2-40B4-BE49-F238E27FC236}">
              <a16:creationId xmlns:a16="http://schemas.microsoft.com/office/drawing/2014/main" id="{945A864A-90FE-486F-877A-0D3CD5B950B3}"/>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43</xdr:row>
      <xdr:rowOff>165100</xdr:rowOff>
    </xdr:from>
    <xdr:to>
      <xdr:col>19</xdr:col>
      <xdr:colOff>901700</xdr:colOff>
      <xdr:row>44</xdr:row>
      <xdr:rowOff>133350</xdr:rowOff>
    </xdr:to>
    <xdr:sp macro="" textlink="">
      <xdr:nvSpPr>
        <xdr:cNvPr id="399" name="CheckBox28" hidden="1">
          <a:extLst>
            <a:ext uri="{63B3BB69-23CF-44E3-9099-C40C66FF867C}">
              <a14:compatExt xmlns:a14="http://schemas.microsoft.com/office/drawing/2010/main" spid="_x0000_s3100"/>
            </a:ext>
            <a:ext uri="{FF2B5EF4-FFF2-40B4-BE49-F238E27FC236}">
              <a16:creationId xmlns:a16="http://schemas.microsoft.com/office/drawing/2014/main" id="{D7626AF8-2C69-48F3-8B1C-FFE613F68935}"/>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44</xdr:row>
      <xdr:rowOff>165100</xdr:rowOff>
    </xdr:from>
    <xdr:to>
      <xdr:col>19</xdr:col>
      <xdr:colOff>901700</xdr:colOff>
      <xdr:row>45</xdr:row>
      <xdr:rowOff>142875</xdr:rowOff>
    </xdr:to>
    <xdr:sp macro="" textlink="">
      <xdr:nvSpPr>
        <xdr:cNvPr id="400" name="CheckBox29" hidden="1">
          <a:extLst>
            <a:ext uri="{63B3BB69-23CF-44E3-9099-C40C66FF867C}">
              <a14:compatExt xmlns:a14="http://schemas.microsoft.com/office/drawing/2010/main" spid="_x0000_s3101"/>
            </a:ext>
            <a:ext uri="{FF2B5EF4-FFF2-40B4-BE49-F238E27FC236}">
              <a16:creationId xmlns:a16="http://schemas.microsoft.com/office/drawing/2014/main" id="{CC7A8AA8-91D3-47A0-BE83-12F58D70316E}"/>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45</xdr:row>
      <xdr:rowOff>165100</xdr:rowOff>
    </xdr:from>
    <xdr:to>
      <xdr:col>19</xdr:col>
      <xdr:colOff>901700</xdr:colOff>
      <xdr:row>46</xdr:row>
      <xdr:rowOff>142875</xdr:rowOff>
    </xdr:to>
    <xdr:sp macro="" textlink="">
      <xdr:nvSpPr>
        <xdr:cNvPr id="401" name="CheckBox30" hidden="1">
          <a:extLst>
            <a:ext uri="{63B3BB69-23CF-44E3-9099-C40C66FF867C}">
              <a14:compatExt xmlns:a14="http://schemas.microsoft.com/office/drawing/2010/main" spid="_x0000_s3102"/>
            </a:ext>
            <a:ext uri="{FF2B5EF4-FFF2-40B4-BE49-F238E27FC236}">
              <a16:creationId xmlns:a16="http://schemas.microsoft.com/office/drawing/2014/main" id="{2D3A64A3-20D1-4462-A632-B07B902F02EC}"/>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2" name="CheckBox31" hidden="1">
          <a:extLst>
            <a:ext uri="{63B3BB69-23CF-44E3-9099-C40C66FF867C}">
              <a14:compatExt xmlns:a14="http://schemas.microsoft.com/office/drawing/2010/main" spid="_x0000_s3103"/>
            </a:ext>
            <a:ext uri="{FF2B5EF4-FFF2-40B4-BE49-F238E27FC236}">
              <a16:creationId xmlns:a16="http://schemas.microsoft.com/office/drawing/2014/main" id="{293F0CE4-C15D-4FEF-AA83-9B0802362D1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3" name="CheckBox32" hidden="1">
          <a:extLst>
            <a:ext uri="{63B3BB69-23CF-44E3-9099-C40C66FF867C}">
              <a14:compatExt xmlns:a14="http://schemas.microsoft.com/office/drawing/2010/main" spid="_x0000_s3104"/>
            </a:ext>
            <a:ext uri="{FF2B5EF4-FFF2-40B4-BE49-F238E27FC236}">
              <a16:creationId xmlns:a16="http://schemas.microsoft.com/office/drawing/2014/main" id="{5D17FDFE-6A7D-4B3B-B283-822488BC470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4" name="CheckBox33" hidden="1">
          <a:extLst>
            <a:ext uri="{63B3BB69-23CF-44E3-9099-C40C66FF867C}">
              <a14:compatExt xmlns:a14="http://schemas.microsoft.com/office/drawing/2010/main" spid="_x0000_s3105"/>
            </a:ext>
            <a:ext uri="{FF2B5EF4-FFF2-40B4-BE49-F238E27FC236}">
              <a16:creationId xmlns:a16="http://schemas.microsoft.com/office/drawing/2014/main" id="{58E5C39B-C2C1-4294-B198-D9084DE32F9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5" name="CheckBox34" hidden="1">
          <a:extLst>
            <a:ext uri="{63B3BB69-23CF-44E3-9099-C40C66FF867C}">
              <a14:compatExt xmlns:a14="http://schemas.microsoft.com/office/drawing/2010/main" spid="_x0000_s3106"/>
            </a:ext>
            <a:ext uri="{FF2B5EF4-FFF2-40B4-BE49-F238E27FC236}">
              <a16:creationId xmlns:a16="http://schemas.microsoft.com/office/drawing/2014/main" id="{8BA4DFBB-27DD-4996-92DD-5ABE73DDBEF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6" name="CheckBox35" hidden="1">
          <a:extLst>
            <a:ext uri="{63B3BB69-23CF-44E3-9099-C40C66FF867C}">
              <a14:compatExt xmlns:a14="http://schemas.microsoft.com/office/drawing/2010/main" spid="_x0000_s3107"/>
            </a:ext>
            <a:ext uri="{FF2B5EF4-FFF2-40B4-BE49-F238E27FC236}">
              <a16:creationId xmlns:a16="http://schemas.microsoft.com/office/drawing/2014/main" id="{8415775B-22FA-438E-A83A-DA7446D13ED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7" name="CheckBox36" hidden="1">
          <a:extLst>
            <a:ext uri="{63B3BB69-23CF-44E3-9099-C40C66FF867C}">
              <a14:compatExt xmlns:a14="http://schemas.microsoft.com/office/drawing/2010/main" spid="_x0000_s3108"/>
            </a:ext>
            <a:ext uri="{FF2B5EF4-FFF2-40B4-BE49-F238E27FC236}">
              <a16:creationId xmlns:a16="http://schemas.microsoft.com/office/drawing/2014/main" id="{8C89DC00-7ABB-4282-A046-D2E1710C1E4D}"/>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8" name="CheckBox38" hidden="1">
          <a:extLst>
            <a:ext uri="{63B3BB69-23CF-44E3-9099-C40C66FF867C}">
              <a14:compatExt xmlns:a14="http://schemas.microsoft.com/office/drawing/2010/main" spid="_x0000_s3109"/>
            </a:ext>
            <a:ext uri="{FF2B5EF4-FFF2-40B4-BE49-F238E27FC236}">
              <a16:creationId xmlns:a16="http://schemas.microsoft.com/office/drawing/2014/main" id="{F579B26F-E6C8-4D90-9479-288108239AE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09" name="CheckBox39" hidden="1">
          <a:extLst>
            <a:ext uri="{63B3BB69-23CF-44E3-9099-C40C66FF867C}">
              <a14:compatExt xmlns:a14="http://schemas.microsoft.com/office/drawing/2010/main" spid="_x0000_s3110"/>
            </a:ext>
            <a:ext uri="{FF2B5EF4-FFF2-40B4-BE49-F238E27FC236}">
              <a16:creationId xmlns:a16="http://schemas.microsoft.com/office/drawing/2014/main" id="{ACF446F8-2748-41CB-AAA8-E1D2110DDA2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10" name="CheckBox40" hidden="1">
          <a:extLst>
            <a:ext uri="{63B3BB69-23CF-44E3-9099-C40C66FF867C}">
              <a14:compatExt xmlns:a14="http://schemas.microsoft.com/office/drawing/2010/main" spid="_x0000_s3111"/>
            </a:ext>
            <a:ext uri="{FF2B5EF4-FFF2-40B4-BE49-F238E27FC236}">
              <a16:creationId xmlns:a16="http://schemas.microsoft.com/office/drawing/2014/main" id="{73FB1FBB-1DD7-48A5-8D94-1523AA479CD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11" name="CheckBox41" hidden="1">
          <a:extLst>
            <a:ext uri="{63B3BB69-23CF-44E3-9099-C40C66FF867C}">
              <a14:compatExt xmlns:a14="http://schemas.microsoft.com/office/drawing/2010/main" spid="_x0000_s3112"/>
            </a:ext>
            <a:ext uri="{FF2B5EF4-FFF2-40B4-BE49-F238E27FC236}">
              <a16:creationId xmlns:a16="http://schemas.microsoft.com/office/drawing/2014/main" id="{60A5BF1C-703F-4CAF-8BF3-60363A703A2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12" name="CheckBox42" hidden="1">
          <a:extLst>
            <a:ext uri="{63B3BB69-23CF-44E3-9099-C40C66FF867C}">
              <a14:compatExt xmlns:a14="http://schemas.microsoft.com/office/drawing/2010/main" spid="_x0000_s3113"/>
            </a:ext>
            <a:ext uri="{FF2B5EF4-FFF2-40B4-BE49-F238E27FC236}">
              <a16:creationId xmlns:a16="http://schemas.microsoft.com/office/drawing/2014/main" id="{7552E7B5-0777-4E2E-88B6-CA2B52FFD60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13" name="CheckBox43" hidden="1">
          <a:extLst>
            <a:ext uri="{63B3BB69-23CF-44E3-9099-C40C66FF867C}">
              <a14:compatExt xmlns:a14="http://schemas.microsoft.com/office/drawing/2010/main" spid="_x0000_s3114"/>
            </a:ext>
            <a:ext uri="{FF2B5EF4-FFF2-40B4-BE49-F238E27FC236}">
              <a16:creationId xmlns:a16="http://schemas.microsoft.com/office/drawing/2014/main" id="{5140D173-8DCD-4FFE-B3FC-2E694F95297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14" name="CheckBox44" hidden="1">
          <a:extLst>
            <a:ext uri="{63B3BB69-23CF-44E3-9099-C40C66FF867C}">
              <a14:compatExt xmlns:a14="http://schemas.microsoft.com/office/drawing/2010/main" spid="_x0000_s3115"/>
            </a:ext>
            <a:ext uri="{FF2B5EF4-FFF2-40B4-BE49-F238E27FC236}">
              <a16:creationId xmlns:a16="http://schemas.microsoft.com/office/drawing/2014/main" id="{3E8AABFC-B7BD-4FB7-9E3A-370C4D70361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15" name="CheckBox45" hidden="1">
          <a:extLst>
            <a:ext uri="{63B3BB69-23CF-44E3-9099-C40C66FF867C}">
              <a14:compatExt xmlns:a14="http://schemas.microsoft.com/office/drawing/2010/main" spid="_x0000_s3116"/>
            </a:ext>
            <a:ext uri="{FF2B5EF4-FFF2-40B4-BE49-F238E27FC236}">
              <a16:creationId xmlns:a16="http://schemas.microsoft.com/office/drawing/2014/main" id="{6341406F-9BE8-4AAE-B7D2-3C049B83F996}"/>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16" name="CheckBox46" hidden="1">
          <a:extLst>
            <a:ext uri="{63B3BB69-23CF-44E3-9099-C40C66FF867C}">
              <a14:compatExt xmlns:a14="http://schemas.microsoft.com/office/drawing/2010/main" spid="_x0000_s3117"/>
            </a:ext>
            <a:ext uri="{FF2B5EF4-FFF2-40B4-BE49-F238E27FC236}">
              <a16:creationId xmlns:a16="http://schemas.microsoft.com/office/drawing/2014/main" id="{FEB90ED3-D323-4BFC-8085-ADC05752B2D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417" name="CheckBox1" hidden="1">
          <a:extLst>
            <a:ext uri="{63B3BB69-23CF-44E3-9099-C40C66FF867C}">
              <a14:compatExt xmlns:a14="http://schemas.microsoft.com/office/drawing/2010/main" spid="_x0000_s3118"/>
            </a:ext>
            <a:ext uri="{FF2B5EF4-FFF2-40B4-BE49-F238E27FC236}">
              <a16:creationId xmlns:a16="http://schemas.microsoft.com/office/drawing/2014/main" id="{EC7DE06D-DEAD-4A82-B73B-0371F3DA7F15}"/>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418" name="CheckBox2" hidden="1">
          <a:extLst>
            <a:ext uri="{63B3BB69-23CF-44E3-9099-C40C66FF867C}">
              <a14:compatExt xmlns:a14="http://schemas.microsoft.com/office/drawing/2010/main" spid="_x0000_s3119"/>
            </a:ext>
            <a:ext uri="{FF2B5EF4-FFF2-40B4-BE49-F238E27FC236}">
              <a16:creationId xmlns:a16="http://schemas.microsoft.com/office/drawing/2014/main" id="{5F76F041-40C0-433C-946D-552A219D56AF}"/>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419" name="CheckBox3" hidden="1">
          <a:extLst>
            <a:ext uri="{63B3BB69-23CF-44E3-9099-C40C66FF867C}">
              <a14:compatExt xmlns:a14="http://schemas.microsoft.com/office/drawing/2010/main" spid="_x0000_s3120"/>
            </a:ext>
            <a:ext uri="{FF2B5EF4-FFF2-40B4-BE49-F238E27FC236}">
              <a16:creationId xmlns:a16="http://schemas.microsoft.com/office/drawing/2014/main" id="{77CF0A33-408A-468F-85ED-8C9286FACD89}"/>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420" name="CheckBox4" hidden="1">
          <a:extLst>
            <a:ext uri="{63B3BB69-23CF-44E3-9099-C40C66FF867C}">
              <a14:compatExt xmlns:a14="http://schemas.microsoft.com/office/drawing/2010/main" spid="_x0000_s3121"/>
            </a:ext>
            <a:ext uri="{FF2B5EF4-FFF2-40B4-BE49-F238E27FC236}">
              <a16:creationId xmlns:a16="http://schemas.microsoft.com/office/drawing/2014/main" id="{2B3D6569-5460-456D-AF83-4B36E533029A}"/>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421" name="CheckBox5" hidden="1">
          <a:extLst>
            <a:ext uri="{63B3BB69-23CF-44E3-9099-C40C66FF867C}">
              <a14:compatExt xmlns:a14="http://schemas.microsoft.com/office/drawing/2010/main" spid="_x0000_s3122"/>
            </a:ext>
            <a:ext uri="{FF2B5EF4-FFF2-40B4-BE49-F238E27FC236}">
              <a16:creationId xmlns:a16="http://schemas.microsoft.com/office/drawing/2014/main" id="{B78E4C61-6F57-4749-B25A-12BE71F5104C}"/>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769620</xdr:rowOff>
    </xdr:to>
    <xdr:sp macro="" textlink="">
      <xdr:nvSpPr>
        <xdr:cNvPr id="422" name="CheckBox6" hidden="1">
          <a:extLst>
            <a:ext uri="{63B3BB69-23CF-44E3-9099-C40C66FF867C}">
              <a14:compatExt xmlns:a14="http://schemas.microsoft.com/office/drawing/2010/main" spid="_x0000_s3123"/>
            </a:ext>
            <a:ext uri="{FF2B5EF4-FFF2-40B4-BE49-F238E27FC236}">
              <a16:creationId xmlns:a16="http://schemas.microsoft.com/office/drawing/2014/main" id="{F93FD4B3-80DE-4101-B4C6-152DAFFD01C4}"/>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192405</xdr:rowOff>
    </xdr:to>
    <xdr:sp macro="" textlink="">
      <xdr:nvSpPr>
        <xdr:cNvPr id="423" name="CheckBox7" hidden="1">
          <a:extLst>
            <a:ext uri="{63B3BB69-23CF-44E3-9099-C40C66FF867C}">
              <a14:compatExt xmlns:a14="http://schemas.microsoft.com/office/drawing/2010/main" spid="_x0000_s3124"/>
            </a:ext>
            <a:ext uri="{FF2B5EF4-FFF2-40B4-BE49-F238E27FC236}">
              <a16:creationId xmlns:a16="http://schemas.microsoft.com/office/drawing/2014/main" id="{5B29652A-DB14-4369-BD9B-4010E2D5234D}"/>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21</xdr:row>
      <xdr:rowOff>76200</xdr:rowOff>
    </xdr:to>
    <xdr:sp macro="" textlink="">
      <xdr:nvSpPr>
        <xdr:cNvPr id="424" name="CheckBox8" hidden="1">
          <a:extLst>
            <a:ext uri="{63B3BB69-23CF-44E3-9099-C40C66FF867C}">
              <a14:compatExt xmlns:a14="http://schemas.microsoft.com/office/drawing/2010/main" spid="_x0000_s3125"/>
            </a:ext>
            <a:ext uri="{FF2B5EF4-FFF2-40B4-BE49-F238E27FC236}">
              <a16:creationId xmlns:a16="http://schemas.microsoft.com/office/drawing/2014/main" id="{3C286B16-5B58-4586-B096-0482D740535D}"/>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20</xdr:row>
      <xdr:rowOff>262890</xdr:rowOff>
    </xdr:to>
    <xdr:sp macro="" textlink="">
      <xdr:nvSpPr>
        <xdr:cNvPr id="425" name="CheckBox9" hidden="1">
          <a:extLst>
            <a:ext uri="{63B3BB69-23CF-44E3-9099-C40C66FF867C}">
              <a14:compatExt xmlns:a14="http://schemas.microsoft.com/office/drawing/2010/main" spid="_x0000_s3126"/>
            </a:ext>
            <a:ext uri="{FF2B5EF4-FFF2-40B4-BE49-F238E27FC236}">
              <a16:creationId xmlns:a16="http://schemas.microsoft.com/office/drawing/2014/main" id="{9A3DA8EC-B217-492D-B367-14F03EA5B38E}"/>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22</xdr:row>
      <xdr:rowOff>198120</xdr:rowOff>
    </xdr:to>
    <xdr:sp macro="" textlink="">
      <xdr:nvSpPr>
        <xdr:cNvPr id="426" name="CheckBox10" hidden="1">
          <a:extLst>
            <a:ext uri="{63B3BB69-23CF-44E3-9099-C40C66FF867C}">
              <a14:compatExt xmlns:a14="http://schemas.microsoft.com/office/drawing/2010/main" spid="_x0000_s3127"/>
            </a:ext>
            <a:ext uri="{FF2B5EF4-FFF2-40B4-BE49-F238E27FC236}">
              <a16:creationId xmlns:a16="http://schemas.microsoft.com/office/drawing/2014/main" id="{7763FF0B-F74C-4318-B69A-B6C30566E955}"/>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24</xdr:row>
      <xdr:rowOff>59055</xdr:rowOff>
    </xdr:to>
    <xdr:sp macro="" textlink="">
      <xdr:nvSpPr>
        <xdr:cNvPr id="427" name="CheckBox11" hidden="1">
          <a:extLst>
            <a:ext uri="{63B3BB69-23CF-44E3-9099-C40C66FF867C}">
              <a14:compatExt xmlns:a14="http://schemas.microsoft.com/office/drawing/2010/main" spid="_x0000_s3128"/>
            </a:ext>
            <a:ext uri="{FF2B5EF4-FFF2-40B4-BE49-F238E27FC236}">
              <a16:creationId xmlns:a16="http://schemas.microsoft.com/office/drawing/2014/main" id="{CC6DCE25-6841-4550-9B4B-A76FEE4E8CA4}"/>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188595</xdr:rowOff>
    </xdr:to>
    <xdr:sp macro="" textlink="">
      <xdr:nvSpPr>
        <xdr:cNvPr id="428" name="CheckBox12" hidden="1">
          <a:extLst>
            <a:ext uri="{63B3BB69-23CF-44E3-9099-C40C66FF867C}">
              <a14:compatExt xmlns:a14="http://schemas.microsoft.com/office/drawing/2010/main" spid="_x0000_s3129"/>
            </a:ext>
            <a:ext uri="{FF2B5EF4-FFF2-40B4-BE49-F238E27FC236}">
              <a16:creationId xmlns:a16="http://schemas.microsoft.com/office/drawing/2014/main" id="{BBBDBFAA-C061-472A-9E29-CD4D8F4661E8}"/>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592455</xdr:rowOff>
    </xdr:to>
    <xdr:sp macro="" textlink="">
      <xdr:nvSpPr>
        <xdr:cNvPr id="429" name="CheckBox13" hidden="1">
          <a:extLst>
            <a:ext uri="{63B3BB69-23CF-44E3-9099-C40C66FF867C}">
              <a14:compatExt xmlns:a14="http://schemas.microsoft.com/office/drawing/2010/main" spid="_x0000_s3130"/>
            </a:ext>
            <a:ext uri="{FF2B5EF4-FFF2-40B4-BE49-F238E27FC236}">
              <a16:creationId xmlns:a16="http://schemas.microsoft.com/office/drawing/2014/main" id="{60FCBCF5-9172-4AC0-B38C-514D2AE29297}"/>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27</xdr:row>
      <xdr:rowOff>100965</xdr:rowOff>
    </xdr:to>
    <xdr:sp macro="" textlink="">
      <xdr:nvSpPr>
        <xdr:cNvPr id="430" name="CheckBox14" hidden="1">
          <a:extLst>
            <a:ext uri="{63B3BB69-23CF-44E3-9099-C40C66FF867C}">
              <a14:compatExt xmlns:a14="http://schemas.microsoft.com/office/drawing/2010/main" spid="_x0000_s3131"/>
            </a:ext>
            <a:ext uri="{FF2B5EF4-FFF2-40B4-BE49-F238E27FC236}">
              <a16:creationId xmlns:a16="http://schemas.microsoft.com/office/drawing/2014/main" id="{9326A939-0925-4407-A4B4-C1C88D7185AD}"/>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28</xdr:row>
      <xdr:rowOff>116205</xdr:rowOff>
    </xdr:to>
    <xdr:sp macro="" textlink="">
      <xdr:nvSpPr>
        <xdr:cNvPr id="431" name="CheckBox15" hidden="1">
          <a:extLst>
            <a:ext uri="{63B3BB69-23CF-44E3-9099-C40C66FF867C}">
              <a14:compatExt xmlns:a14="http://schemas.microsoft.com/office/drawing/2010/main" spid="_x0000_s3132"/>
            </a:ext>
            <a:ext uri="{FF2B5EF4-FFF2-40B4-BE49-F238E27FC236}">
              <a16:creationId xmlns:a16="http://schemas.microsoft.com/office/drawing/2014/main" id="{895B1709-A5E6-472A-AC38-B1E45247E2A6}"/>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1106805</xdr:rowOff>
    </xdr:to>
    <xdr:sp macro="" textlink="">
      <xdr:nvSpPr>
        <xdr:cNvPr id="432" name="CheckBox16" hidden="1">
          <a:extLst>
            <a:ext uri="{63B3BB69-23CF-44E3-9099-C40C66FF867C}">
              <a14:compatExt xmlns:a14="http://schemas.microsoft.com/office/drawing/2010/main" spid="_x0000_s3133"/>
            </a:ext>
            <a:ext uri="{FF2B5EF4-FFF2-40B4-BE49-F238E27FC236}">
              <a16:creationId xmlns:a16="http://schemas.microsoft.com/office/drawing/2014/main" id="{C721FFF6-8D8A-4A1E-8450-455E39BB5B3B}"/>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34</xdr:row>
      <xdr:rowOff>554355</xdr:rowOff>
    </xdr:to>
    <xdr:sp macro="" textlink="">
      <xdr:nvSpPr>
        <xdr:cNvPr id="433" name="CheckBox17" hidden="1">
          <a:extLst>
            <a:ext uri="{63B3BB69-23CF-44E3-9099-C40C66FF867C}">
              <a14:compatExt xmlns:a14="http://schemas.microsoft.com/office/drawing/2010/main" spid="_x0000_s3134"/>
            </a:ext>
            <a:ext uri="{FF2B5EF4-FFF2-40B4-BE49-F238E27FC236}">
              <a16:creationId xmlns:a16="http://schemas.microsoft.com/office/drawing/2014/main" id="{2AC065DD-1D09-41DF-AB24-384680C6A6E1}"/>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34</xdr:row>
      <xdr:rowOff>127635</xdr:rowOff>
    </xdr:to>
    <xdr:sp macro="" textlink="">
      <xdr:nvSpPr>
        <xdr:cNvPr id="434" name="CheckBox18" hidden="1">
          <a:extLst>
            <a:ext uri="{63B3BB69-23CF-44E3-9099-C40C66FF867C}">
              <a14:compatExt xmlns:a14="http://schemas.microsoft.com/office/drawing/2010/main" spid="_x0000_s3135"/>
            </a:ext>
            <a:ext uri="{FF2B5EF4-FFF2-40B4-BE49-F238E27FC236}">
              <a16:creationId xmlns:a16="http://schemas.microsoft.com/office/drawing/2014/main" id="{13DDBDA4-0833-482A-97FA-69B2108E1461}"/>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36</xdr:row>
      <xdr:rowOff>9525</xdr:rowOff>
    </xdr:to>
    <xdr:sp macro="" textlink="">
      <xdr:nvSpPr>
        <xdr:cNvPr id="435" name="CheckBox19" hidden="1">
          <a:extLst>
            <a:ext uri="{63B3BB69-23CF-44E3-9099-C40C66FF867C}">
              <a14:compatExt xmlns:a14="http://schemas.microsoft.com/office/drawing/2010/main" spid="_x0000_s3136"/>
            </a:ext>
            <a:ext uri="{FF2B5EF4-FFF2-40B4-BE49-F238E27FC236}">
              <a16:creationId xmlns:a16="http://schemas.microsoft.com/office/drawing/2014/main" id="{95FDD432-098E-43AD-BEE6-2228FC26366F}"/>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37</xdr:row>
      <xdr:rowOff>295275</xdr:rowOff>
    </xdr:to>
    <xdr:sp macro="" textlink="">
      <xdr:nvSpPr>
        <xdr:cNvPr id="436" name="CheckBox20" hidden="1">
          <a:extLst>
            <a:ext uri="{63B3BB69-23CF-44E3-9099-C40C66FF867C}">
              <a14:compatExt xmlns:a14="http://schemas.microsoft.com/office/drawing/2010/main" spid="_x0000_s3137"/>
            </a:ext>
            <a:ext uri="{FF2B5EF4-FFF2-40B4-BE49-F238E27FC236}">
              <a16:creationId xmlns:a16="http://schemas.microsoft.com/office/drawing/2014/main" id="{77934586-B8C7-4DED-BDF5-DD3CC669AC8A}"/>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37</xdr:row>
      <xdr:rowOff>156210</xdr:rowOff>
    </xdr:to>
    <xdr:sp macro="" textlink="">
      <xdr:nvSpPr>
        <xdr:cNvPr id="437" name="CheckBox21" hidden="1">
          <a:extLst>
            <a:ext uri="{63B3BB69-23CF-44E3-9099-C40C66FF867C}">
              <a14:compatExt xmlns:a14="http://schemas.microsoft.com/office/drawing/2010/main" spid="_x0000_s3138"/>
            </a:ext>
            <a:ext uri="{FF2B5EF4-FFF2-40B4-BE49-F238E27FC236}">
              <a16:creationId xmlns:a16="http://schemas.microsoft.com/office/drawing/2014/main" id="{FC1F516B-1FDD-4AD7-95FA-C1CB6A2E231F}"/>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37</xdr:row>
      <xdr:rowOff>419100</xdr:rowOff>
    </xdr:to>
    <xdr:sp macro="" textlink="">
      <xdr:nvSpPr>
        <xdr:cNvPr id="438" name="CheckBox22" hidden="1">
          <a:extLst>
            <a:ext uri="{63B3BB69-23CF-44E3-9099-C40C66FF867C}">
              <a14:compatExt xmlns:a14="http://schemas.microsoft.com/office/drawing/2010/main" spid="_x0000_s3139"/>
            </a:ext>
            <a:ext uri="{FF2B5EF4-FFF2-40B4-BE49-F238E27FC236}">
              <a16:creationId xmlns:a16="http://schemas.microsoft.com/office/drawing/2014/main" id="{2BC947B0-CA07-4EEB-A887-7154C689E0E3}"/>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38</xdr:row>
      <xdr:rowOff>419100</xdr:rowOff>
    </xdr:to>
    <xdr:sp macro="" textlink="">
      <xdr:nvSpPr>
        <xdr:cNvPr id="439" name="CheckBox23" hidden="1">
          <a:extLst>
            <a:ext uri="{63B3BB69-23CF-44E3-9099-C40C66FF867C}">
              <a14:compatExt xmlns:a14="http://schemas.microsoft.com/office/drawing/2010/main" spid="_x0000_s3140"/>
            </a:ext>
            <a:ext uri="{FF2B5EF4-FFF2-40B4-BE49-F238E27FC236}">
              <a16:creationId xmlns:a16="http://schemas.microsoft.com/office/drawing/2014/main" id="{79B1B5D9-2582-4F13-AF87-85FD5CA56AE5}"/>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165100</xdr:rowOff>
    </xdr:from>
    <xdr:to>
      <xdr:col>19</xdr:col>
      <xdr:colOff>901700</xdr:colOff>
      <xdr:row>39</xdr:row>
      <xdr:rowOff>419100</xdr:rowOff>
    </xdr:to>
    <xdr:sp macro="" textlink="">
      <xdr:nvSpPr>
        <xdr:cNvPr id="440" name="CheckBox24" hidden="1">
          <a:extLst>
            <a:ext uri="{63B3BB69-23CF-44E3-9099-C40C66FF867C}">
              <a14:compatExt xmlns:a14="http://schemas.microsoft.com/office/drawing/2010/main" spid="_x0000_s3141"/>
            </a:ext>
            <a:ext uri="{FF2B5EF4-FFF2-40B4-BE49-F238E27FC236}">
              <a16:creationId xmlns:a16="http://schemas.microsoft.com/office/drawing/2014/main" id="{5CED10F1-3574-45DB-9E69-E690F8630B75}"/>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40</xdr:row>
      <xdr:rowOff>165100</xdr:rowOff>
    </xdr:from>
    <xdr:to>
      <xdr:col>19</xdr:col>
      <xdr:colOff>901700</xdr:colOff>
      <xdr:row>40</xdr:row>
      <xdr:rowOff>419100</xdr:rowOff>
    </xdr:to>
    <xdr:sp macro="" textlink="">
      <xdr:nvSpPr>
        <xdr:cNvPr id="441" name="CheckBox25" hidden="1">
          <a:extLst>
            <a:ext uri="{63B3BB69-23CF-44E3-9099-C40C66FF867C}">
              <a14:compatExt xmlns:a14="http://schemas.microsoft.com/office/drawing/2010/main" spid="_x0000_s3142"/>
            </a:ext>
            <a:ext uri="{FF2B5EF4-FFF2-40B4-BE49-F238E27FC236}">
              <a16:creationId xmlns:a16="http://schemas.microsoft.com/office/drawing/2014/main" id="{86A3113B-A1A8-4B32-894F-110115034C1E}"/>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41</xdr:row>
      <xdr:rowOff>165100</xdr:rowOff>
    </xdr:from>
    <xdr:to>
      <xdr:col>19</xdr:col>
      <xdr:colOff>901700</xdr:colOff>
      <xdr:row>41</xdr:row>
      <xdr:rowOff>419100</xdr:rowOff>
    </xdr:to>
    <xdr:sp macro="" textlink="">
      <xdr:nvSpPr>
        <xdr:cNvPr id="442" name="CheckBox26" hidden="1">
          <a:extLst>
            <a:ext uri="{63B3BB69-23CF-44E3-9099-C40C66FF867C}">
              <a14:compatExt xmlns:a14="http://schemas.microsoft.com/office/drawing/2010/main" spid="_x0000_s3143"/>
            </a:ext>
            <a:ext uri="{FF2B5EF4-FFF2-40B4-BE49-F238E27FC236}">
              <a16:creationId xmlns:a16="http://schemas.microsoft.com/office/drawing/2014/main" id="{5C77580B-AD2E-491E-8FB2-F8CBC9C72C3E}"/>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42</xdr:row>
      <xdr:rowOff>165100</xdr:rowOff>
    </xdr:from>
    <xdr:to>
      <xdr:col>19</xdr:col>
      <xdr:colOff>901700</xdr:colOff>
      <xdr:row>42</xdr:row>
      <xdr:rowOff>419100</xdr:rowOff>
    </xdr:to>
    <xdr:sp macro="" textlink="">
      <xdr:nvSpPr>
        <xdr:cNvPr id="443" name="CheckBox27" hidden="1">
          <a:extLst>
            <a:ext uri="{63B3BB69-23CF-44E3-9099-C40C66FF867C}">
              <a14:compatExt xmlns:a14="http://schemas.microsoft.com/office/drawing/2010/main" spid="_x0000_s3144"/>
            </a:ext>
            <a:ext uri="{FF2B5EF4-FFF2-40B4-BE49-F238E27FC236}">
              <a16:creationId xmlns:a16="http://schemas.microsoft.com/office/drawing/2014/main" id="{9C7C2173-D108-4D39-8070-2F2A12DD14CD}"/>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43</xdr:row>
      <xdr:rowOff>165100</xdr:rowOff>
    </xdr:from>
    <xdr:to>
      <xdr:col>19</xdr:col>
      <xdr:colOff>901700</xdr:colOff>
      <xdr:row>44</xdr:row>
      <xdr:rowOff>133350</xdr:rowOff>
    </xdr:to>
    <xdr:sp macro="" textlink="">
      <xdr:nvSpPr>
        <xdr:cNvPr id="444" name="CheckBox28" hidden="1">
          <a:extLst>
            <a:ext uri="{63B3BB69-23CF-44E3-9099-C40C66FF867C}">
              <a14:compatExt xmlns:a14="http://schemas.microsoft.com/office/drawing/2010/main" spid="_x0000_s3145"/>
            </a:ext>
            <a:ext uri="{FF2B5EF4-FFF2-40B4-BE49-F238E27FC236}">
              <a16:creationId xmlns:a16="http://schemas.microsoft.com/office/drawing/2014/main" id="{33C49FD7-0E0F-44FA-BD15-C64C21914E7E}"/>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44</xdr:row>
      <xdr:rowOff>165100</xdr:rowOff>
    </xdr:from>
    <xdr:to>
      <xdr:col>19</xdr:col>
      <xdr:colOff>901700</xdr:colOff>
      <xdr:row>45</xdr:row>
      <xdr:rowOff>142875</xdr:rowOff>
    </xdr:to>
    <xdr:sp macro="" textlink="">
      <xdr:nvSpPr>
        <xdr:cNvPr id="445" name="CheckBox29" hidden="1">
          <a:extLst>
            <a:ext uri="{63B3BB69-23CF-44E3-9099-C40C66FF867C}">
              <a14:compatExt xmlns:a14="http://schemas.microsoft.com/office/drawing/2010/main" spid="_x0000_s3146"/>
            </a:ext>
            <a:ext uri="{FF2B5EF4-FFF2-40B4-BE49-F238E27FC236}">
              <a16:creationId xmlns:a16="http://schemas.microsoft.com/office/drawing/2014/main" id="{635C3DEF-B882-47B7-B2F6-9FBE81DFD0D8}"/>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45</xdr:row>
      <xdr:rowOff>165100</xdr:rowOff>
    </xdr:from>
    <xdr:to>
      <xdr:col>19</xdr:col>
      <xdr:colOff>901700</xdr:colOff>
      <xdr:row>46</xdr:row>
      <xdr:rowOff>142875</xdr:rowOff>
    </xdr:to>
    <xdr:sp macro="" textlink="">
      <xdr:nvSpPr>
        <xdr:cNvPr id="446" name="CheckBox30" hidden="1">
          <a:extLst>
            <a:ext uri="{63B3BB69-23CF-44E3-9099-C40C66FF867C}">
              <a14:compatExt xmlns:a14="http://schemas.microsoft.com/office/drawing/2010/main" spid="_x0000_s3147"/>
            </a:ext>
            <a:ext uri="{FF2B5EF4-FFF2-40B4-BE49-F238E27FC236}">
              <a16:creationId xmlns:a16="http://schemas.microsoft.com/office/drawing/2014/main" id="{FDB41C7E-DDB7-48FA-96D8-A640C6FF676F}"/>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47" name="CheckBox31" hidden="1">
          <a:extLst>
            <a:ext uri="{63B3BB69-23CF-44E3-9099-C40C66FF867C}">
              <a14:compatExt xmlns:a14="http://schemas.microsoft.com/office/drawing/2010/main" spid="_x0000_s3148"/>
            </a:ext>
            <a:ext uri="{FF2B5EF4-FFF2-40B4-BE49-F238E27FC236}">
              <a16:creationId xmlns:a16="http://schemas.microsoft.com/office/drawing/2014/main" id="{FE719674-3949-49E1-81AD-6CC7C5F51FC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48" name="CheckBox32" hidden="1">
          <a:extLst>
            <a:ext uri="{63B3BB69-23CF-44E3-9099-C40C66FF867C}">
              <a14:compatExt xmlns:a14="http://schemas.microsoft.com/office/drawing/2010/main" spid="_x0000_s3149"/>
            </a:ext>
            <a:ext uri="{FF2B5EF4-FFF2-40B4-BE49-F238E27FC236}">
              <a16:creationId xmlns:a16="http://schemas.microsoft.com/office/drawing/2014/main" id="{9DCEBE1F-5980-4AC0-96C8-7DFA545DF506}"/>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49" name="CheckBox33" hidden="1">
          <a:extLst>
            <a:ext uri="{63B3BB69-23CF-44E3-9099-C40C66FF867C}">
              <a14:compatExt xmlns:a14="http://schemas.microsoft.com/office/drawing/2010/main" spid="_x0000_s3150"/>
            </a:ext>
            <a:ext uri="{FF2B5EF4-FFF2-40B4-BE49-F238E27FC236}">
              <a16:creationId xmlns:a16="http://schemas.microsoft.com/office/drawing/2014/main" id="{1F972791-2768-442F-A3E3-CAB7083A8CA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0" name="CheckBox34" hidden="1">
          <a:extLst>
            <a:ext uri="{63B3BB69-23CF-44E3-9099-C40C66FF867C}">
              <a14:compatExt xmlns:a14="http://schemas.microsoft.com/office/drawing/2010/main" spid="_x0000_s3151"/>
            </a:ext>
            <a:ext uri="{FF2B5EF4-FFF2-40B4-BE49-F238E27FC236}">
              <a16:creationId xmlns:a16="http://schemas.microsoft.com/office/drawing/2014/main" id="{E40BECCB-26C2-4A2D-A059-1D202FDFA19F}"/>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1" name="CheckBox35" hidden="1">
          <a:extLst>
            <a:ext uri="{63B3BB69-23CF-44E3-9099-C40C66FF867C}">
              <a14:compatExt xmlns:a14="http://schemas.microsoft.com/office/drawing/2010/main" spid="_x0000_s3152"/>
            </a:ext>
            <a:ext uri="{FF2B5EF4-FFF2-40B4-BE49-F238E27FC236}">
              <a16:creationId xmlns:a16="http://schemas.microsoft.com/office/drawing/2014/main" id="{27A356F8-3F94-4243-84F4-8F20792CFF9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2" name="CheckBox36" hidden="1">
          <a:extLst>
            <a:ext uri="{63B3BB69-23CF-44E3-9099-C40C66FF867C}">
              <a14:compatExt xmlns:a14="http://schemas.microsoft.com/office/drawing/2010/main" spid="_x0000_s3153"/>
            </a:ext>
            <a:ext uri="{FF2B5EF4-FFF2-40B4-BE49-F238E27FC236}">
              <a16:creationId xmlns:a16="http://schemas.microsoft.com/office/drawing/2014/main" id="{17A450B0-3BC0-4756-B80F-9ED3187D575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3" name="CheckBox38" hidden="1">
          <a:extLst>
            <a:ext uri="{63B3BB69-23CF-44E3-9099-C40C66FF867C}">
              <a14:compatExt xmlns:a14="http://schemas.microsoft.com/office/drawing/2010/main" spid="_x0000_s3154"/>
            </a:ext>
            <a:ext uri="{FF2B5EF4-FFF2-40B4-BE49-F238E27FC236}">
              <a16:creationId xmlns:a16="http://schemas.microsoft.com/office/drawing/2014/main" id="{B624B9B6-1FBB-4D3E-AF24-85706A568A7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4" name="CheckBox39" hidden="1">
          <a:extLst>
            <a:ext uri="{63B3BB69-23CF-44E3-9099-C40C66FF867C}">
              <a14:compatExt xmlns:a14="http://schemas.microsoft.com/office/drawing/2010/main" spid="_x0000_s3155"/>
            </a:ext>
            <a:ext uri="{FF2B5EF4-FFF2-40B4-BE49-F238E27FC236}">
              <a16:creationId xmlns:a16="http://schemas.microsoft.com/office/drawing/2014/main" id="{06B78F90-DF3B-42F8-A214-63687FBDFA1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5" name="CheckBox40" hidden="1">
          <a:extLst>
            <a:ext uri="{63B3BB69-23CF-44E3-9099-C40C66FF867C}">
              <a14:compatExt xmlns:a14="http://schemas.microsoft.com/office/drawing/2010/main" spid="_x0000_s3156"/>
            </a:ext>
            <a:ext uri="{FF2B5EF4-FFF2-40B4-BE49-F238E27FC236}">
              <a16:creationId xmlns:a16="http://schemas.microsoft.com/office/drawing/2014/main" id="{9D313F32-BB8C-4357-8458-210FD6C69E23}"/>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6" name="CheckBox41" hidden="1">
          <a:extLst>
            <a:ext uri="{63B3BB69-23CF-44E3-9099-C40C66FF867C}">
              <a14:compatExt xmlns:a14="http://schemas.microsoft.com/office/drawing/2010/main" spid="_x0000_s3157"/>
            </a:ext>
            <a:ext uri="{FF2B5EF4-FFF2-40B4-BE49-F238E27FC236}">
              <a16:creationId xmlns:a16="http://schemas.microsoft.com/office/drawing/2014/main" id="{C1079E8D-3E1B-4EE6-90DB-059C7BB8F9B1}"/>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7" name="CheckBox42" hidden="1">
          <a:extLst>
            <a:ext uri="{63B3BB69-23CF-44E3-9099-C40C66FF867C}">
              <a14:compatExt xmlns:a14="http://schemas.microsoft.com/office/drawing/2010/main" spid="_x0000_s3158"/>
            </a:ext>
            <a:ext uri="{FF2B5EF4-FFF2-40B4-BE49-F238E27FC236}">
              <a16:creationId xmlns:a16="http://schemas.microsoft.com/office/drawing/2014/main" id="{E2ADD7FC-AF2B-47B0-B7EE-C3BB34648847}"/>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8" name="CheckBox43" hidden="1">
          <a:extLst>
            <a:ext uri="{63B3BB69-23CF-44E3-9099-C40C66FF867C}">
              <a14:compatExt xmlns:a14="http://schemas.microsoft.com/office/drawing/2010/main" spid="_x0000_s3159"/>
            </a:ext>
            <a:ext uri="{FF2B5EF4-FFF2-40B4-BE49-F238E27FC236}">
              <a16:creationId xmlns:a16="http://schemas.microsoft.com/office/drawing/2014/main" id="{760720F8-A03A-43CF-9646-C1CA7E32D0D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59" name="CheckBox44" hidden="1">
          <a:extLst>
            <a:ext uri="{63B3BB69-23CF-44E3-9099-C40C66FF867C}">
              <a14:compatExt xmlns:a14="http://schemas.microsoft.com/office/drawing/2010/main" spid="_x0000_s3160"/>
            </a:ext>
            <a:ext uri="{FF2B5EF4-FFF2-40B4-BE49-F238E27FC236}">
              <a16:creationId xmlns:a16="http://schemas.microsoft.com/office/drawing/2014/main" id="{250D6732-5B8F-4F38-ABD7-5729F6FD5E4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60" name="CheckBox45" hidden="1">
          <a:extLst>
            <a:ext uri="{63B3BB69-23CF-44E3-9099-C40C66FF867C}">
              <a14:compatExt xmlns:a14="http://schemas.microsoft.com/office/drawing/2010/main" spid="_x0000_s3161"/>
            </a:ext>
            <a:ext uri="{FF2B5EF4-FFF2-40B4-BE49-F238E27FC236}">
              <a16:creationId xmlns:a16="http://schemas.microsoft.com/office/drawing/2014/main" id="{5DBDD01A-CFF3-4440-9977-BA2A8BA836C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46</xdr:row>
      <xdr:rowOff>0</xdr:rowOff>
    </xdr:from>
    <xdr:to>
      <xdr:col>19</xdr:col>
      <xdr:colOff>901700</xdr:colOff>
      <xdr:row>47</xdr:row>
      <xdr:rowOff>63500</xdr:rowOff>
    </xdr:to>
    <xdr:sp macro="" textlink="">
      <xdr:nvSpPr>
        <xdr:cNvPr id="461" name="CheckBox46" hidden="1">
          <a:extLst>
            <a:ext uri="{63B3BB69-23CF-44E3-9099-C40C66FF867C}">
              <a14:compatExt xmlns:a14="http://schemas.microsoft.com/office/drawing/2010/main" spid="_x0000_s3162"/>
            </a:ext>
            <a:ext uri="{FF2B5EF4-FFF2-40B4-BE49-F238E27FC236}">
              <a16:creationId xmlns:a16="http://schemas.microsoft.com/office/drawing/2014/main" id="{13DCBD77-9C7C-4F25-A3F3-349A8CD36DB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390525</xdr:colOff>
      <xdr:row>9</xdr:row>
      <xdr:rowOff>506730</xdr:rowOff>
    </xdr:from>
    <xdr:to>
      <xdr:col>19</xdr:col>
      <xdr:colOff>495300</xdr:colOff>
      <xdr:row>9</xdr:row>
      <xdr:rowOff>552449</xdr:rowOff>
    </xdr:to>
    <xdr:pic>
      <xdr:nvPicPr>
        <xdr:cNvPr id="507" name="Picture 46">
          <a:extLst>
            <a:ext uri="{FF2B5EF4-FFF2-40B4-BE49-F238E27FC236}">
              <a16:creationId xmlns:a16="http://schemas.microsoft.com/office/drawing/2014/main" id="{707E1A7B-A2EB-411A-86B1-75F275C71D23}"/>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6650" y="2059305"/>
          <a:ext cx="104775" cy="457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19</xdr:col>
      <xdr:colOff>622300</xdr:colOff>
      <xdr:row>17</xdr:row>
      <xdr:rowOff>165100</xdr:rowOff>
    </xdr:from>
    <xdr:ext cx="279400" cy="254000"/>
    <xdr:sp macro="" textlink="">
      <xdr:nvSpPr>
        <xdr:cNvPr id="552" name="CheckBox6" hidden="1">
          <a:extLst>
            <a:ext uri="{63B3BB69-23CF-44E3-9099-C40C66FF867C}">
              <a14:compatExt xmlns:a14="http://schemas.microsoft.com/office/drawing/2010/main" spid="_x0000_s3078"/>
            </a:ext>
            <a:ext uri="{FF2B5EF4-FFF2-40B4-BE49-F238E27FC236}">
              <a16:creationId xmlns:a16="http://schemas.microsoft.com/office/drawing/2014/main" id="{7A11E428-ED3E-4354-B691-E9A6AA838C4F}"/>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622300</xdr:colOff>
      <xdr:row>17</xdr:row>
      <xdr:rowOff>165100</xdr:rowOff>
    </xdr:from>
    <xdr:ext cx="279400" cy="254000"/>
    <xdr:sp macro="" textlink="">
      <xdr:nvSpPr>
        <xdr:cNvPr id="554" name="CheckBox6" hidden="1">
          <a:extLst>
            <a:ext uri="{63B3BB69-23CF-44E3-9099-C40C66FF867C}">
              <a14:compatExt xmlns:a14="http://schemas.microsoft.com/office/drawing/2010/main" spid="_x0000_s3078"/>
            </a:ext>
            <a:ext uri="{FF2B5EF4-FFF2-40B4-BE49-F238E27FC236}">
              <a16:creationId xmlns:a16="http://schemas.microsoft.com/office/drawing/2014/main" id="{AB958071-B261-44DB-99C2-42EEEF658468}"/>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622300</xdr:colOff>
      <xdr:row>17</xdr:row>
      <xdr:rowOff>165100</xdr:rowOff>
    </xdr:from>
    <xdr:ext cx="279400" cy="254000"/>
    <xdr:sp macro="" textlink="">
      <xdr:nvSpPr>
        <xdr:cNvPr id="555" name="CheckBox6" hidden="1">
          <a:extLst>
            <a:ext uri="{63B3BB69-23CF-44E3-9099-C40C66FF867C}">
              <a14:compatExt xmlns:a14="http://schemas.microsoft.com/office/drawing/2010/main" spid="_x0000_s3123"/>
            </a:ext>
            <a:ext uri="{FF2B5EF4-FFF2-40B4-BE49-F238E27FC236}">
              <a16:creationId xmlns:a16="http://schemas.microsoft.com/office/drawing/2014/main" id="{1B1039C3-B9BF-402A-81C1-1E410BC50BE7}"/>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19</xdr:col>
      <xdr:colOff>0</xdr:colOff>
      <xdr:row>12</xdr:row>
      <xdr:rowOff>0</xdr:rowOff>
    </xdr:from>
    <xdr:to>
      <xdr:col>19</xdr:col>
      <xdr:colOff>241300</xdr:colOff>
      <xdr:row>12</xdr:row>
      <xdr:rowOff>393700</xdr:rowOff>
    </xdr:to>
    <xdr:pic>
      <xdr:nvPicPr>
        <xdr:cNvPr id="563" name="Picture 46">
          <a:extLst>
            <a:ext uri="{FF2B5EF4-FFF2-40B4-BE49-F238E27FC236}">
              <a16:creationId xmlns:a16="http://schemas.microsoft.com/office/drawing/2014/main" id="{6A44A461-A77E-49D8-93D8-1E36782ABF0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33623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9525</xdr:colOff>
      <xdr:row>14</xdr:row>
      <xdr:rowOff>66675</xdr:rowOff>
    </xdr:from>
    <xdr:to>
      <xdr:col>19</xdr:col>
      <xdr:colOff>288925</xdr:colOff>
      <xdr:row>14</xdr:row>
      <xdr:rowOff>320675</xdr:rowOff>
    </xdr:to>
    <xdr:pic>
      <xdr:nvPicPr>
        <xdr:cNvPr id="565" name="Picture 51">
          <a:extLst>
            <a:ext uri="{FF2B5EF4-FFF2-40B4-BE49-F238E27FC236}">
              <a16:creationId xmlns:a16="http://schemas.microsoft.com/office/drawing/2014/main" id="{138329D8-1CE6-4FB7-9904-F3434A604CA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0" y="4333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19</xdr:col>
      <xdr:colOff>19050</xdr:colOff>
      <xdr:row>17</xdr:row>
      <xdr:rowOff>228600</xdr:rowOff>
    </xdr:from>
    <xdr:ext cx="279400" cy="254000"/>
    <xdr:pic>
      <xdr:nvPicPr>
        <xdr:cNvPr id="567" name="Picture 51">
          <a:extLst>
            <a:ext uri="{FF2B5EF4-FFF2-40B4-BE49-F238E27FC236}">
              <a16:creationId xmlns:a16="http://schemas.microsoft.com/office/drawing/2014/main" id="{8CA91ADC-D122-4497-AC46-E7E33F378C7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5175" y="5219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19</xdr:col>
      <xdr:colOff>0</xdr:colOff>
      <xdr:row>20</xdr:row>
      <xdr:rowOff>0</xdr:rowOff>
    </xdr:from>
    <xdr:to>
      <xdr:col>19</xdr:col>
      <xdr:colOff>279400</xdr:colOff>
      <xdr:row>20</xdr:row>
      <xdr:rowOff>254000</xdr:rowOff>
    </xdr:to>
    <xdr:pic>
      <xdr:nvPicPr>
        <xdr:cNvPr id="571" name="Picture 54">
          <a:extLst>
            <a:ext uri="{FF2B5EF4-FFF2-40B4-BE49-F238E27FC236}">
              <a16:creationId xmlns:a16="http://schemas.microsoft.com/office/drawing/2014/main" id="{A3FDB03C-BECE-441C-A629-4558A8F79304}"/>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6734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21</xdr:row>
      <xdr:rowOff>0</xdr:rowOff>
    </xdr:from>
    <xdr:to>
      <xdr:col>19</xdr:col>
      <xdr:colOff>279400</xdr:colOff>
      <xdr:row>21</xdr:row>
      <xdr:rowOff>254000</xdr:rowOff>
    </xdr:to>
    <xdr:pic>
      <xdr:nvPicPr>
        <xdr:cNvPr id="572" name="Picture 57">
          <a:extLst>
            <a:ext uri="{FF2B5EF4-FFF2-40B4-BE49-F238E27FC236}">
              <a16:creationId xmlns:a16="http://schemas.microsoft.com/office/drawing/2014/main" id="{AD7D8855-B184-46D9-A80B-F623B71A03B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72771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23</xdr:row>
      <xdr:rowOff>0</xdr:rowOff>
    </xdr:from>
    <xdr:to>
      <xdr:col>19</xdr:col>
      <xdr:colOff>279400</xdr:colOff>
      <xdr:row>23</xdr:row>
      <xdr:rowOff>254000</xdr:rowOff>
    </xdr:to>
    <xdr:pic>
      <xdr:nvPicPr>
        <xdr:cNvPr id="576" name="Picture 57">
          <a:extLst>
            <a:ext uri="{FF2B5EF4-FFF2-40B4-BE49-F238E27FC236}">
              <a16:creationId xmlns:a16="http://schemas.microsoft.com/office/drawing/2014/main" id="{DA0A4F48-7D28-4197-85D1-DFBF9BE6920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134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31</xdr:row>
      <xdr:rowOff>0</xdr:rowOff>
    </xdr:from>
    <xdr:to>
      <xdr:col>19</xdr:col>
      <xdr:colOff>279400</xdr:colOff>
      <xdr:row>31</xdr:row>
      <xdr:rowOff>254000</xdr:rowOff>
    </xdr:to>
    <xdr:pic>
      <xdr:nvPicPr>
        <xdr:cNvPr id="582" name="Picture 62">
          <a:extLst>
            <a:ext uri="{FF2B5EF4-FFF2-40B4-BE49-F238E27FC236}">
              <a16:creationId xmlns:a16="http://schemas.microsoft.com/office/drawing/2014/main" id="{00E95812-B03B-43C7-86EB-D72501269C8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9953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33</xdr:row>
      <xdr:rowOff>0</xdr:rowOff>
    </xdr:from>
    <xdr:to>
      <xdr:col>19</xdr:col>
      <xdr:colOff>279400</xdr:colOff>
      <xdr:row>33</xdr:row>
      <xdr:rowOff>254000</xdr:rowOff>
    </xdr:to>
    <xdr:pic>
      <xdr:nvPicPr>
        <xdr:cNvPr id="584" name="Picture 64">
          <a:extLst>
            <a:ext uri="{FF2B5EF4-FFF2-40B4-BE49-F238E27FC236}">
              <a16:creationId xmlns:a16="http://schemas.microsoft.com/office/drawing/2014/main" id="{54C97F96-3812-40C8-8DB1-BC2090C71C9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14014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34</xdr:row>
      <xdr:rowOff>0</xdr:rowOff>
    </xdr:from>
    <xdr:to>
      <xdr:col>19</xdr:col>
      <xdr:colOff>279400</xdr:colOff>
      <xdr:row>34</xdr:row>
      <xdr:rowOff>254000</xdr:rowOff>
    </xdr:to>
    <xdr:pic>
      <xdr:nvPicPr>
        <xdr:cNvPr id="585" name="Picture 64">
          <a:extLst>
            <a:ext uri="{FF2B5EF4-FFF2-40B4-BE49-F238E27FC236}">
              <a16:creationId xmlns:a16="http://schemas.microsoft.com/office/drawing/2014/main" id="{A84B2B18-9C22-4F68-A223-E97A972D970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2306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35</xdr:row>
      <xdr:rowOff>0</xdr:rowOff>
    </xdr:from>
    <xdr:to>
      <xdr:col>19</xdr:col>
      <xdr:colOff>279400</xdr:colOff>
      <xdr:row>35</xdr:row>
      <xdr:rowOff>254000</xdr:rowOff>
    </xdr:to>
    <xdr:pic>
      <xdr:nvPicPr>
        <xdr:cNvPr id="587" name="Picture 64">
          <a:extLst>
            <a:ext uri="{FF2B5EF4-FFF2-40B4-BE49-F238E27FC236}">
              <a16:creationId xmlns:a16="http://schemas.microsoft.com/office/drawing/2014/main" id="{A21C8DB2-3851-4BB1-9A39-7DE285F1DFD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321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43</xdr:row>
      <xdr:rowOff>0</xdr:rowOff>
    </xdr:from>
    <xdr:to>
      <xdr:col>19</xdr:col>
      <xdr:colOff>279400</xdr:colOff>
      <xdr:row>43</xdr:row>
      <xdr:rowOff>254000</xdr:rowOff>
    </xdr:to>
    <xdr:pic>
      <xdr:nvPicPr>
        <xdr:cNvPr id="597" name="Picture 63">
          <a:extLst>
            <a:ext uri="{FF2B5EF4-FFF2-40B4-BE49-F238E27FC236}">
              <a16:creationId xmlns:a16="http://schemas.microsoft.com/office/drawing/2014/main" id="{32CAD0CE-A8E0-4BC1-8ABE-C8B753A7A2C6}"/>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5830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44</xdr:row>
      <xdr:rowOff>0</xdr:rowOff>
    </xdr:from>
    <xdr:to>
      <xdr:col>19</xdr:col>
      <xdr:colOff>279400</xdr:colOff>
      <xdr:row>44</xdr:row>
      <xdr:rowOff>254000</xdr:rowOff>
    </xdr:to>
    <xdr:pic>
      <xdr:nvPicPr>
        <xdr:cNvPr id="599" name="Picture 63">
          <a:extLst>
            <a:ext uri="{FF2B5EF4-FFF2-40B4-BE49-F238E27FC236}">
              <a16:creationId xmlns:a16="http://schemas.microsoft.com/office/drawing/2014/main" id="{07D62F23-C5C8-479A-A0C6-F585FAB7940D}"/>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6116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45</xdr:row>
      <xdr:rowOff>0</xdr:rowOff>
    </xdr:from>
    <xdr:to>
      <xdr:col>19</xdr:col>
      <xdr:colOff>279400</xdr:colOff>
      <xdr:row>45</xdr:row>
      <xdr:rowOff>254000</xdr:rowOff>
    </xdr:to>
    <xdr:pic>
      <xdr:nvPicPr>
        <xdr:cNvPr id="600" name="Picture 63">
          <a:extLst>
            <a:ext uri="{FF2B5EF4-FFF2-40B4-BE49-F238E27FC236}">
              <a16:creationId xmlns:a16="http://schemas.microsoft.com/office/drawing/2014/main" id="{0EE4E21E-7871-4BD6-A26F-484AB81AFED9}"/>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6402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2222499</xdr:colOff>
      <xdr:row>0</xdr:row>
      <xdr:rowOff>0</xdr:rowOff>
    </xdr:from>
    <xdr:to>
      <xdr:col>19</xdr:col>
      <xdr:colOff>3030680</xdr:colOff>
      <xdr:row>3</xdr:row>
      <xdr:rowOff>187614</xdr:rowOff>
    </xdr:to>
    <xdr:sp macro="" textlink="">
      <xdr:nvSpPr>
        <xdr:cNvPr id="173" name="CuadroTexto 172">
          <a:extLst>
            <a:ext uri="{FF2B5EF4-FFF2-40B4-BE49-F238E27FC236}">
              <a16:creationId xmlns:a16="http://schemas.microsoft.com/office/drawing/2014/main" id="{EE668749-59F0-4B2B-9123-CEBCB39A6BF9}"/>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17</xdr:col>
      <xdr:colOff>310141</xdr:colOff>
      <xdr:row>0</xdr:row>
      <xdr:rowOff>47625</xdr:rowOff>
    </xdr:from>
    <xdr:to>
      <xdr:col>18</xdr:col>
      <xdr:colOff>434340</xdr:colOff>
      <xdr:row>3</xdr:row>
      <xdr:rowOff>148423</xdr:rowOff>
    </xdr:to>
    <xdr:pic>
      <xdr:nvPicPr>
        <xdr:cNvPr id="174" name="Imagen 173">
          <a:extLst>
            <a:ext uri="{FF2B5EF4-FFF2-40B4-BE49-F238E27FC236}">
              <a16:creationId xmlns:a16="http://schemas.microsoft.com/office/drawing/2014/main" id="{0B55E106-34E0-44AF-874B-86AFFD1DBFB9}"/>
            </a:ext>
          </a:extLst>
        </xdr:cNvPr>
        <xdr:cNvPicPr>
          <a:picLocks noChangeAspect="1"/>
        </xdr:cNvPicPr>
      </xdr:nvPicPr>
      <xdr:blipFill>
        <a:blip xmlns:r="http://schemas.openxmlformats.org/officeDocument/2006/relationships" r:embed="rId4"/>
        <a:stretch>
          <a:fillRect/>
        </a:stretch>
      </xdr:blipFill>
      <xdr:spPr>
        <a:xfrm>
          <a:off x="9385561" y="47625"/>
          <a:ext cx="573779" cy="999958"/>
        </a:xfrm>
        <a:prstGeom prst="rect">
          <a:avLst/>
        </a:prstGeom>
      </xdr:spPr>
    </xdr:pic>
    <xdr:clientData/>
  </xdr:twoCellAnchor>
  <xdr:twoCellAnchor editAs="oneCell">
    <xdr:from>
      <xdr:col>1</xdr:col>
      <xdr:colOff>228180</xdr:colOff>
      <xdr:row>0</xdr:row>
      <xdr:rowOff>144781</xdr:rowOff>
    </xdr:from>
    <xdr:to>
      <xdr:col>1</xdr:col>
      <xdr:colOff>1483636</xdr:colOff>
      <xdr:row>3</xdr:row>
      <xdr:rowOff>47765</xdr:rowOff>
    </xdr:to>
    <xdr:pic>
      <xdr:nvPicPr>
        <xdr:cNvPr id="175" name="Imagen 174">
          <a:extLst>
            <a:ext uri="{FF2B5EF4-FFF2-40B4-BE49-F238E27FC236}">
              <a16:creationId xmlns:a16="http://schemas.microsoft.com/office/drawing/2014/main" id="{1440F894-9021-4A4F-9A8D-80A16508431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2500" y="144781"/>
          <a:ext cx="1255456" cy="802144"/>
        </a:xfrm>
        <a:prstGeom prst="rect">
          <a:avLst/>
        </a:prstGeom>
      </xdr:spPr>
    </xdr:pic>
    <xdr:clientData/>
  </xdr:twoCellAnchor>
  <xdr:oneCellAnchor>
    <xdr:from>
      <xdr:col>19</xdr:col>
      <xdr:colOff>0</xdr:colOff>
      <xdr:row>18</xdr:row>
      <xdr:rowOff>0</xdr:rowOff>
    </xdr:from>
    <xdr:ext cx="279400" cy="254000"/>
    <xdr:pic>
      <xdr:nvPicPr>
        <xdr:cNvPr id="179" name="Picture 51">
          <a:extLst>
            <a:ext uri="{FF2B5EF4-FFF2-40B4-BE49-F238E27FC236}">
              <a16:creationId xmlns:a16="http://schemas.microsoft.com/office/drawing/2014/main" id="{B36897BE-4FB9-4C16-932B-BDD66B3BBBA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73152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19</xdr:col>
      <xdr:colOff>0</xdr:colOff>
      <xdr:row>22</xdr:row>
      <xdr:rowOff>0</xdr:rowOff>
    </xdr:from>
    <xdr:ext cx="279400" cy="254000"/>
    <xdr:pic>
      <xdr:nvPicPr>
        <xdr:cNvPr id="183" name="Picture 51">
          <a:extLst>
            <a:ext uri="{FF2B5EF4-FFF2-40B4-BE49-F238E27FC236}">
              <a16:creationId xmlns:a16="http://schemas.microsoft.com/office/drawing/2014/main" id="{7E23C4D8-CD49-47EE-BBE5-EE8189BADFD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9410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19</xdr:col>
      <xdr:colOff>0</xdr:colOff>
      <xdr:row>11</xdr:row>
      <xdr:rowOff>0</xdr:rowOff>
    </xdr:from>
    <xdr:to>
      <xdr:col>19</xdr:col>
      <xdr:colOff>280440</xdr:colOff>
      <xdr:row>11</xdr:row>
      <xdr:rowOff>249958</xdr:rowOff>
    </xdr:to>
    <xdr:pic>
      <xdr:nvPicPr>
        <xdr:cNvPr id="4" name="Imagen 3">
          <a:extLst>
            <a:ext uri="{FF2B5EF4-FFF2-40B4-BE49-F238E27FC236}">
              <a16:creationId xmlns:a16="http://schemas.microsoft.com/office/drawing/2014/main" id="{5652C8CE-FE4D-4D08-AFBB-CD7194D2CC3F}"/>
            </a:ext>
          </a:extLst>
        </xdr:cNvPr>
        <xdr:cNvPicPr>
          <a:picLocks noChangeAspect="1"/>
        </xdr:cNvPicPr>
      </xdr:nvPicPr>
      <xdr:blipFill>
        <a:blip xmlns:r="http://schemas.openxmlformats.org/officeDocument/2006/relationships" r:embed="rId6"/>
        <a:stretch>
          <a:fillRect/>
        </a:stretch>
      </xdr:blipFill>
      <xdr:spPr>
        <a:xfrm>
          <a:off x="9934575" y="3581400"/>
          <a:ext cx="280440" cy="249958"/>
        </a:xfrm>
        <a:prstGeom prst="rect">
          <a:avLst/>
        </a:prstGeom>
      </xdr:spPr>
    </xdr:pic>
    <xdr:clientData/>
  </xdr:twoCellAnchor>
  <xdr:twoCellAnchor editAs="oneCell">
    <xdr:from>
      <xdr:col>19</xdr:col>
      <xdr:colOff>0</xdr:colOff>
      <xdr:row>13</xdr:row>
      <xdr:rowOff>0</xdr:rowOff>
    </xdr:from>
    <xdr:to>
      <xdr:col>19</xdr:col>
      <xdr:colOff>280440</xdr:colOff>
      <xdr:row>13</xdr:row>
      <xdr:rowOff>249958</xdr:rowOff>
    </xdr:to>
    <xdr:pic>
      <xdr:nvPicPr>
        <xdr:cNvPr id="5" name="Imagen 4">
          <a:extLst>
            <a:ext uri="{FF2B5EF4-FFF2-40B4-BE49-F238E27FC236}">
              <a16:creationId xmlns:a16="http://schemas.microsoft.com/office/drawing/2014/main" id="{6722A7EF-F02D-43BD-A7DE-2D38912E4663}"/>
            </a:ext>
          </a:extLst>
        </xdr:cNvPr>
        <xdr:cNvPicPr>
          <a:picLocks noChangeAspect="1"/>
        </xdr:cNvPicPr>
      </xdr:nvPicPr>
      <xdr:blipFill>
        <a:blip xmlns:r="http://schemas.openxmlformats.org/officeDocument/2006/relationships" r:embed="rId6"/>
        <a:stretch>
          <a:fillRect/>
        </a:stretch>
      </xdr:blipFill>
      <xdr:spPr>
        <a:xfrm>
          <a:off x="9934575" y="4829175"/>
          <a:ext cx="280440" cy="249958"/>
        </a:xfrm>
        <a:prstGeom prst="rect">
          <a:avLst/>
        </a:prstGeom>
      </xdr:spPr>
    </xdr:pic>
    <xdr:clientData/>
  </xdr:twoCellAnchor>
  <xdr:twoCellAnchor editAs="oneCell">
    <xdr:from>
      <xdr:col>19</xdr:col>
      <xdr:colOff>0</xdr:colOff>
      <xdr:row>24</xdr:row>
      <xdr:rowOff>0</xdr:rowOff>
    </xdr:from>
    <xdr:to>
      <xdr:col>19</xdr:col>
      <xdr:colOff>280440</xdr:colOff>
      <xdr:row>24</xdr:row>
      <xdr:rowOff>249958</xdr:rowOff>
    </xdr:to>
    <xdr:pic>
      <xdr:nvPicPr>
        <xdr:cNvPr id="6" name="Imagen 5">
          <a:extLst>
            <a:ext uri="{FF2B5EF4-FFF2-40B4-BE49-F238E27FC236}">
              <a16:creationId xmlns:a16="http://schemas.microsoft.com/office/drawing/2014/main" id="{868A5FC9-338B-44EF-88C2-A3E52AE1AFC5}"/>
            </a:ext>
          </a:extLst>
        </xdr:cNvPr>
        <xdr:cNvPicPr>
          <a:picLocks noChangeAspect="1"/>
        </xdr:cNvPicPr>
      </xdr:nvPicPr>
      <xdr:blipFill>
        <a:blip xmlns:r="http://schemas.openxmlformats.org/officeDocument/2006/relationships" r:embed="rId6"/>
        <a:stretch>
          <a:fillRect/>
        </a:stretch>
      </xdr:blipFill>
      <xdr:spPr>
        <a:xfrm>
          <a:off x="9934575" y="10448925"/>
          <a:ext cx="280440" cy="249958"/>
        </a:xfrm>
        <a:prstGeom prst="rect">
          <a:avLst/>
        </a:prstGeom>
      </xdr:spPr>
    </xdr:pic>
    <xdr:clientData/>
  </xdr:twoCellAnchor>
  <xdr:twoCellAnchor editAs="oneCell">
    <xdr:from>
      <xdr:col>19</xdr:col>
      <xdr:colOff>0</xdr:colOff>
      <xdr:row>32</xdr:row>
      <xdr:rowOff>0</xdr:rowOff>
    </xdr:from>
    <xdr:to>
      <xdr:col>19</xdr:col>
      <xdr:colOff>280440</xdr:colOff>
      <xdr:row>32</xdr:row>
      <xdr:rowOff>249958</xdr:rowOff>
    </xdr:to>
    <xdr:pic>
      <xdr:nvPicPr>
        <xdr:cNvPr id="7" name="Imagen 6">
          <a:extLst>
            <a:ext uri="{FF2B5EF4-FFF2-40B4-BE49-F238E27FC236}">
              <a16:creationId xmlns:a16="http://schemas.microsoft.com/office/drawing/2014/main" id="{6137C577-BA43-4280-9228-8809BCF22C1E}"/>
            </a:ext>
          </a:extLst>
        </xdr:cNvPr>
        <xdr:cNvPicPr>
          <a:picLocks noChangeAspect="1"/>
        </xdr:cNvPicPr>
      </xdr:nvPicPr>
      <xdr:blipFill>
        <a:blip xmlns:r="http://schemas.openxmlformats.org/officeDocument/2006/relationships" r:embed="rId6"/>
        <a:stretch>
          <a:fillRect/>
        </a:stretch>
      </xdr:blipFill>
      <xdr:spPr>
        <a:xfrm>
          <a:off x="9934575" y="13125450"/>
          <a:ext cx="280440" cy="249958"/>
        </a:xfrm>
        <a:prstGeom prst="rect">
          <a:avLst/>
        </a:prstGeom>
      </xdr:spPr>
    </xdr:pic>
    <xdr:clientData/>
  </xdr:twoCellAnchor>
  <xdr:twoCellAnchor editAs="oneCell">
    <xdr:from>
      <xdr:col>19</xdr:col>
      <xdr:colOff>0</xdr:colOff>
      <xdr:row>9</xdr:row>
      <xdr:rowOff>0</xdr:rowOff>
    </xdr:from>
    <xdr:to>
      <xdr:col>19</xdr:col>
      <xdr:colOff>280440</xdr:colOff>
      <xdr:row>9</xdr:row>
      <xdr:rowOff>249958</xdr:rowOff>
    </xdr:to>
    <xdr:pic>
      <xdr:nvPicPr>
        <xdr:cNvPr id="8" name="Imagen 7">
          <a:extLst>
            <a:ext uri="{FF2B5EF4-FFF2-40B4-BE49-F238E27FC236}">
              <a16:creationId xmlns:a16="http://schemas.microsoft.com/office/drawing/2014/main" id="{ECB512BE-9052-41EE-94ED-F1BB0FA7A329}"/>
            </a:ext>
          </a:extLst>
        </xdr:cNvPr>
        <xdr:cNvPicPr>
          <a:picLocks noChangeAspect="1"/>
        </xdr:cNvPicPr>
      </xdr:nvPicPr>
      <xdr:blipFill>
        <a:blip xmlns:r="http://schemas.openxmlformats.org/officeDocument/2006/relationships" r:embed="rId6"/>
        <a:stretch>
          <a:fillRect/>
        </a:stretch>
      </xdr:blipFill>
      <xdr:spPr>
        <a:xfrm>
          <a:off x="9934575" y="2466975"/>
          <a:ext cx="280440" cy="249958"/>
        </a:xfrm>
        <a:prstGeom prst="rect">
          <a:avLst/>
        </a:prstGeom>
      </xdr:spPr>
    </xdr:pic>
    <xdr:clientData/>
  </xdr:twoCellAnchor>
  <xdr:twoCellAnchor editAs="oneCell">
    <xdr:from>
      <xdr:col>19</xdr:col>
      <xdr:colOff>0</xdr:colOff>
      <xdr:row>10</xdr:row>
      <xdr:rowOff>0</xdr:rowOff>
    </xdr:from>
    <xdr:to>
      <xdr:col>19</xdr:col>
      <xdr:colOff>280440</xdr:colOff>
      <xdr:row>10</xdr:row>
      <xdr:rowOff>249958</xdr:rowOff>
    </xdr:to>
    <xdr:pic>
      <xdr:nvPicPr>
        <xdr:cNvPr id="9" name="Imagen 8">
          <a:extLst>
            <a:ext uri="{FF2B5EF4-FFF2-40B4-BE49-F238E27FC236}">
              <a16:creationId xmlns:a16="http://schemas.microsoft.com/office/drawing/2014/main" id="{E53FBD1E-6190-40F6-8BB5-FAE717A07B36}"/>
            </a:ext>
          </a:extLst>
        </xdr:cNvPr>
        <xdr:cNvPicPr>
          <a:picLocks noChangeAspect="1"/>
        </xdr:cNvPicPr>
      </xdr:nvPicPr>
      <xdr:blipFill>
        <a:blip xmlns:r="http://schemas.openxmlformats.org/officeDocument/2006/relationships" r:embed="rId6"/>
        <a:stretch>
          <a:fillRect/>
        </a:stretch>
      </xdr:blipFill>
      <xdr:spPr>
        <a:xfrm>
          <a:off x="9934575" y="3048000"/>
          <a:ext cx="280440" cy="249958"/>
        </a:xfrm>
        <a:prstGeom prst="rect">
          <a:avLst/>
        </a:prstGeom>
      </xdr:spPr>
    </xdr:pic>
    <xdr:clientData/>
  </xdr:twoCellAnchor>
  <xdr:twoCellAnchor editAs="oneCell">
    <xdr:from>
      <xdr:col>19</xdr:col>
      <xdr:colOff>0</xdr:colOff>
      <xdr:row>15</xdr:row>
      <xdr:rowOff>0</xdr:rowOff>
    </xdr:from>
    <xdr:to>
      <xdr:col>19</xdr:col>
      <xdr:colOff>280440</xdr:colOff>
      <xdr:row>15</xdr:row>
      <xdr:rowOff>249958</xdr:rowOff>
    </xdr:to>
    <xdr:pic>
      <xdr:nvPicPr>
        <xdr:cNvPr id="10" name="Imagen 9">
          <a:extLst>
            <a:ext uri="{FF2B5EF4-FFF2-40B4-BE49-F238E27FC236}">
              <a16:creationId xmlns:a16="http://schemas.microsoft.com/office/drawing/2014/main" id="{1BB2A455-2466-4B79-B65E-05AFFDBB6C09}"/>
            </a:ext>
          </a:extLst>
        </xdr:cNvPr>
        <xdr:cNvPicPr>
          <a:picLocks noChangeAspect="1"/>
        </xdr:cNvPicPr>
      </xdr:nvPicPr>
      <xdr:blipFill>
        <a:blip xmlns:r="http://schemas.openxmlformats.org/officeDocument/2006/relationships" r:embed="rId6"/>
        <a:stretch>
          <a:fillRect/>
        </a:stretch>
      </xdr:blipFill>
      <xdr:spPr>
        <a:xfrm>
          <a:off x="9934575" y="5943600"/>
          <a:ext cx="280440" cy="249958"/>
        </a:xfrm>
        <a:prstGeom prst="rect">
          <a:avLst/>
        </a:prstGeom>
      </xdr:spPr>
    </xdr:pic>
    <xdr:clientData/>
  </xdr:twoCellAnchor>
  <xdr:twoCellAnchor editAs="oneCell">
    <xdr:from>
      <xdr:col>19</xdr:col>
      <xdr:colOff>0</xdr:colOff>
      <xdr:row>19</xdr:row>
      <xdr:rowOff>0</xdr:rowOff>
    </xdr:from>
    <xdr:to>
      <xdr:col>19</xdr:col>
      <xdr:colOff>280440</xdr:colOff>
      <xdr:row>19</xdr:row>
      <xdr:rowOff>256054</xdr:rowOff>
    </xdr:to>
    <xdr:pic>
      <xdr:nvPicPr>
        <xdr:cNvPr id="11" name="Imagen 10">
          <a:extLst>
            <a:ext uri="{FF2B5EF4-FFF2-40B4-BE49-F238E27FC236}">
              <a16:creationId xmlns:a16="http://schemas.microsoft.com/office/drawing/2014/main" id="{B21500DD-D6ED-4F67-B48A-0D2E8AD443F2}"/>
            </a:ext>
          </a:extLst>
        </xdr:cNvPr>
        <xdr:cNvPicPr>
          <a:picLocks noChangeAspect="1"/>
        </xdr:cNvPicPr>
      </xdr:nvPicPr>
      <xdr:blipFill>
        <a:blip xmlns:r="http://schemas.openxmlformats.org/officeDocument/2006/relationships" r:embed="rId7"/>
        <a:stretch>
          <a:fillRect/>
        </a:stretch>
      </xdr:blipFill>
      <xdr:spPr>
        <a:xfrm>
          <a:off x="9934575" y="7877175"/>
          <a:ext cx="280440" cy="256054"/>
        </a:xfrm>
        <a:prstGeom prst="rect">
          <a:avLst/>
        </a:prstGeom>
      </xdr:spPr>
    </xdr:pic>
    <xdr:clientData/>
  </xdr:twoCellAnchor>
  <xdr:oneCellAnchor>
    <xdr:from>
      <xdr:col>19</xdr:col>
      <xdr:colOff>0</xdr:colOff>
      <xdr:row>25</xdr:row>
      <xdr:rowOff>0</xdr:rowOff>
    </xdr:from>
    <xdr:ext cx="279400" cy="254000"/>
    <xdr:pic>
      <xdr:nvPicPr>
        <xdr:cNvPr id="194" name="Picture 51">
          <a:extLst>
            <a:ext uri="{FF2B5EF4-FFF2-40B4-BE49-F238E27FC236}">
              <a16:creationId xmlns:a16="http://schemas.microsoft.com/office/drawing/2014/main" id="{5B4A8DD0-05C9-48B2-9F1C-67423278C5F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11001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19</xdr:col>
      <xdr:colOff>0</xdr:colOff>
      <xdr:row>16</xdr:row>
      <xdr:rowOff>0</xdr:rowOff>
    </xdr:from>
    <xdr:to>
      <xdr:col>19</xdr:col>
      <xdr:colOff>280440</xdr:colOff>
      <xdr:row>16</xdr:row>
      <xdr:rowOff>249958</xdr:rowOff>
    </xdr:to>
    <xdr:pic>
      <xdr:nvPicPr>
        <xdr:cNvPr id="177" name="Imagen 176">
          <a:extLst>
            <a:ext uri="{FF2B5EF4-FFF2-40B4-BE49-F238E27FC236}">
              <a16:creationId xmlns:a16="http://schemas.microsoft.com/office/drawing/2014/main" id="{43A50FD8-71E5-407E-A8B5-215266087C5C}"/>
            </a:ext>
          </a:extLst>
        </xdr:cNvPr>
        <xdr:cNvPicPr>
          <a:picLocks noChangeAspect="1"/>
        </xdr:cNvPicPr>
      </xdr:nvPicPr>
      <xdr:blipFill>
        <a:blip xmlns:r="http://schemas.openxmlformats.org/officeDocument/2006/relationships" r:embed="rId6"/>
        <a:stretch>
          <a:fillRect/>
        </a:stretch>
      </xdr:blipFill>
      <xdr:spPr>
        <a:xfrm>
          <a:off x="9934575" y="6524625"/>
          <a:ext cx="280440" cy="249958"/>
        </a:xfrm>
        <a:prstGeom prst="rect">
          <a:avLst/>
        </a:prstGeom>
      </xdr:spPr>
    </xdr:pic>
    <xdr:clientData/>
  </xdr:twoCellAnchor>
  <xdr:oneCellAnchor>
    <xdr:from>
      <xdr:col>19</xdr:col>
      <xdr:colOff>0</xdr:colOff>
      <xdr:row>27</xdr:row>
      <xdr:rowOff>0</xdr:rowOff>
    </xdr:from>
    <xdr:ext cx="279400" cy="254000"/>
    <xdr:pic>
      <xdr:nvPicPr>
        <xdr:cNvPr id="181" name="Picture 51">
          <a:extLst>
            <a:ext uri="{FF2B5EF4-FFF2-40B4-BE49-F238E27FC236}">
              <a16:creationId xmlns:a16="http://schemas.microsoft.com/office/drawing/2014/main" id="{80F2BF02-62DB-458A-90D1-2E56B5B40C2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13163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19</xdr:col>
      <xdr:colOff>0</xdr:colOff>
      <xdr:row>28</xdr:row>
      <xdr:rowOff>0</xdr:rowOff>
    </xdr:from>
    <xdr:ext cx="279400" cy="254000"/>
    <xdr:pic>
      <xdr:nvPicPr>
        <xdr:cNvPr id="182" name="Picture 51">
          <a:extLst>
            <a:ext uri="{FF2B5EF4-FFF2-40B4-BE49-F238E27FC236}">
              <a16:creationId xmlns:a16="http://schemas.microsoft.com/office/drawing/2014/main" id="{86A213FD-7D22-4856-AE33-9B1FA181983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139541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19</xdr:col>
      <xdr:colOff>0</xdr:colOff>
      <xdr:row>29</xdr:row>
      <xdr:rowOff>0</xdr:rowOff>
    </xdr:from>
    <xdr:ext cx="279400" cy="254000"/>
    <xdr:pic>
      <xdr:nvPicPr>
        <xdr:cNvPr id="184" name="Picture 51">
          <a:extLst>
            <a:ext uri="{FF2B5EF4-FFF2-40B4-BE49-F238E27FC236}">
              <a16:creationId xmlns:a16="http://schemas.microsoft.com/office/drawing/2014/main" id="{A097D2D9-2865-482E-9972-42E9449E71B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14744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19</xdr:col>
      <xdr:colOff>0</xdr:colOff>
      <xdr:row>30</xdr:row>
      <xdr:rowOff>0</xdr:rowOff>
    </xdr:from>
    <xdr:ext cx="279400" cy="254000"/>
    <xdr:pic>
      <xdr:nvPicPr>
        <xdr:cNvPr id="185" name="Picture 51">
          <a:extLst>
            <a:ext uri="{FF2B5EF4-FFF2-40B4-BE49-F238E27FC236}">
              <a16:creationId xmlns:a16="http://schemas.microsoft.com/office/drawing/2014/main" id="{5A59D255-2862-4727-A8A0-895AA69418F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15535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19</xdr:col>
      <xdr:colOff>0</xdr:colOff>
      <xdr:row>26</xdr:row>
      <xdr:rowOff>0</xdr:rowOff>
    </xdr:from>
    <xdr:to>
      <xdr:col>19</xdr:col>
      <xdr:colOff>241300</xdr:colOff>
      <xdr:row>26</xdr:row>
      <xdr:rowOff>393700</xdr:rowOff>
    </xdr:to>
    <xdr:pic>
      <xdr:nvPicPr>
        <xdr:cNvPr id="186" name="Picture 46">
          <a:extLst>
            <a:ext uri="{FF2B5EF4-FFF2-40B4-BE49-F238E27FC236}">
              <a16:creationId xmlns:a16="http://schemas.microsoft.com/office/drawing/2014/main" id="{7791DD7F-B69E-4FC3-B6FF-E3B7A6F56AD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4575" y="1237297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37</xdr:row>
      <xdr:rowOff>0</xdr:rowOff>
    </xdr:from>
    <xdr:to>
      <xdr:col>19</xdr:col>
      <xdr:colOff>279400</xdr:colOff>
      <xdr:row>37</xdr:row>
      <xdr:rowOff>254000</xdr:rowOff>
    </xdr:to>
    <xdr:pic>
      <xdr:nvPicPr>
        <xdr:cNvPr id="188" name="Picture 64">
          <a:extLst>
            <a:ext uri="{FF2B5EF4-FFF2-40B4-BE49-F238E27FC236}">
              <a16:creationId xmlns:a16="http://schemas.microsoft.com/office/drawing/2014/main" id="{A546A417-8215-42CC-840D-4BD65C9ABFA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202596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38</xdr:row>
      <xdr:rowOff>0</xdr:rowOff>
    </xdr:from>
    <xdr:to>
      <xdr:col>19</xdr:col>
      <xdr:colOff>279400</xdr:colOff>
      <xdr:row>38</xdr:row>
      <xdr:rowOff>254000</xdr:rowOff>
    </xdr:to>
    <xdr:pic>
      <xdr:nvPicPr>
        <xdr:cNvPr id="189" name="Picture 64">
          <a:extLst>
            <a:ext uri="{FF2B5EF4-FFF2-40B4-BE49-F238E27FC236}">
              <a16:creationId xmlns:a16="http://schemas.microsoft.com/office/drawing/2014/main" id="{14FE4238-3BFE-450E-9E11-ACACDA562AB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21545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39</xdr:row>
      <xdr:rowOff>0</xdr:rowOff>
    </xdr:from>
    <xdr:to>
      <xdr:col>19</xdr:col>
      <xdr:colOff>279400</xdr:colOff>
      <xdr:row>39</xdr:row>
      <xdr:rowOff>254000</xdr:rowOff>
    </xdr:to>
    <xdr:pic>
      <xdr:nvPicPr>
        <xdr:cNvPr id="190" name="Picture 64">
          <a:extLst>
            <a:ext uri="{FF2B5EF4-FFF2-40B4-BE49-F238E27FC236}">
              <a16:creationId xmlns:a16="http://schemas.microsoft.com/office/drawing/2014/main" id="{96B237AC-94F2-4163-8448-2968DBAF092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228314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40</xdr:row>
      <xdr:rowOff>0</xdr:rowOff>
    </xdr:from>
    <xdr:to>
      <xdr:col>19</xdr:col>
      <xdr:colOff>279400</xdr:colOff>
      <xdr:row>40</xdr:row>
      <xdr:rowOff>254000</xdr:rowOff>
    </xdr:to>
    <xdr:pic>
      <xdr:nvPicPr>
        <xdr:cNvPr id="191" name="Picture 64">
          <a:extLst>
            <a:ext uri="{FF2B5EF4-FFF2-40B4-BE49-F238E27FC236}">
              <a16:creationId xmlns:a16="http://schemas.microsoft.com/office/drawing/2014/main" id="{8ABB11CC-BFDD-4182-BEBB-4FCCC13F0A0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2411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42</xdr:row>
      <xdr:rowOff>0</xdr:rowOff>
    </xdr:from>
    <xdr:to>
      <xdr:col>19</xdr:col>
      <xdr:colOff>279400</xdr:colOff>
      <xdr:row>42</xdr:row>
      <xdr:rowOff>254000</xdr:rowOff>
    </xdr:to>
    <xdr:pic>
      <xdr:nvPicPr>
        <xdr:cNvPr id="193" name="Picture 64">
          <a:extLst>
            <a:ext uri="{FF2B5EF4-FFF2-40B4-BE49-F238E27FC236}">
              <a16:creationId xmlns:a16="http://schemas.microsoft.com/office/drawing/2014/main" id="{2907DD76-60E3-41D9-86A3-90A25B60F95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26689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41</xdr:row>
      <xdr:rowOff>0</xdr:rowOff>
    </xdr:from>
    <xdr:to>
      <xdr:col>19</xdr:col>
      <xdr:colOff>279400</xdr:colOff>
      <xdr:row>41</xdr:row>
      <xdr:rowOff>254000</xdr:rowOff>
    </xdr:to>
    <xdr:pic>
      <xdr:nvPicPr>
        <xdr:cNvPr id="195" name="Picture 64">
          <a:extLst>
            <a:ext uri="{FF2B5EF4-FFF2-40B4-BE49-F238E27FC236}">
              <a16:creationId xmlns:a16="http://schemas.microsoft.com/office/drawing/2014/main" id="{DC28B1F9-B017-4366-8B1E-9FDE5D5B40E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261080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36</xdr:row>
      <xdr:rowOff>0</xdr:rowOff>
    </xdr:from>
    <xdr:to>
      <xdr:col>19</xdr:col>
      <xdr:colOff>279400</xdr:colOff>
      <xdr:row>36</xdr:row>
      <xdr:rowOff>254000</xdr:rowOff>
    </xdr:to>
    <xdr:pic>
      <xdr:nvPicPr>
        <xdr:cNvPr id="187" name="Picture 64">
          <a:extLst>
            <a:ext uri="{FF2B5EF4-FFF2-40B4-BE49-F238E27FC236}">
              <a16:creationId xmlns:a16="http://schemas.microsoft.com/office/drawing/2014/main" id="{C86E00C3-6C8E-4103-B4C1-99FF746DB93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4575" y="211550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197746</xdr:colOff>
      <xdr:row>0</xdr:row>
      <xdr:rowOff>0</xdr:rowOff>
    </xdr:from>
    <xdr:to>
      <xdr:col>9</xdr:col>
      <xdr:colOff>821706</xdr:colOff>
      <xdr:row>4</xdr:row>
      <xdr:rowOff>5240</xdr:rowOff>
    </xdr:to>
    <xdr:pic>
      <xdr:nvPicPr>
        <xdr:cNvPr id="2" name="Imagen 1">
          <a:extLst>
            <a:ext uri="{FF2B5EF4-FFF2-40B4-BE49-F238E27FC236}">
              <a16:creationId xmlns:a16="http://schemas.microsoft.com/office/drawing/2014/main" id="{7A45F3B7-5C15-480C-BE6C-397CF9758329}"/>
            </a:ext>
          </a:extLst>
        </xdr:cNvPr>
        <xdr:cNvPicPr>
          <a:picLocks noChangeAspect="1"/>
        </xdr:cNvPicPr>
      </xdr:nvPicPr>
      <xdr:blipFill>
        <a:blip xmlns:r="http://schemas.openxmlformats.org/officeDocument/2006/relationships" r:embed="rId1"/>
        <a:stretch>
          <a:fillRect/>
        </a:stretch>
      </xdr:blipFill>
      <xdr:spPr>
        <a:xfrm>
          <a:off x="13189846" y="0"/>
          <a:ext cx="623960" cy="767240"/>
        </a:xfrm>
        <a:prstGeom prst="rect">
          <a:avLst/>
        </a:prstGeom>
      </xdr:spPr>
    </xdr:pic>
    <xdr:clientData/>
  </xdr:twoCellAnchor>
  <xdr:twoCellAnchor editAs="oneCell">
    <xdr:from>
      <xdr:col>0</xdr:col>
      <xdr:colOff>83820</xdr:colOff>
      <xdr:row>0</xdr:row>
      <xdr:rowOff>87442</xdr:rowOff>
    </xdr:from>
    <xdr:to>
      <xdr:col>1</xdr:col>
      <xdr:colOff>732646</xdr:colOff>
      <xdr:row>3</xdr:row>
      <xdr:rowOff>118062</xdr:rowOff>
    </xdr:to>
    <xdr:pic>
      <xdr:nvPicPr>
        <xdr:cNvPr id="3" name="Imagen 2">
          <a:extLst>
            <a:ext uri="{FF2B5EF4-FFF2-40B4-BE49-F238E27FC236}">
              <a16:creationId xmlns:a16="http://schemas.microsoft.com/office/drawing/2014/main" id="{25AA1768-F817-4A67-8517-CA8569632E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 y="87442"/>
          <a:ext cx="1441306" cy="60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ENCION%20CIUDADANO\Desktop\Mapa%20para%20ajus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5"/>
  <sheetViews>
    <sheetView zoomScaleNormal="10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81" t="s">
        <v>154</v>
      </c>
      <c r="C2" s="282"/>
      <c r="D2" s="282"/>
      <c r="E2" s="282"/>
      <c r="F2" s="282"/>
      <c r="G2" s="282"/>
      <c r="H2" s="283"/>
    </row>
    <row r="3" spans="2:8" x14ac:dyDescent="0.3">
      <c r="B3" s="68"/>
      <c r="C3" s="69"/>
      <c r="D3" s="69"/>
      <c r="E3" s="69"/>
      <c r="F3" s="69"/>
      <c r="G3" s="69"/>
      <c r="H3" s="70"/>
    </row>
    <row r="4" spans="2:8" ht="63" customHeight="1" x14ac:dyDescent="0.3">
      <c r="B4" s="284" t="s">
        <v>197</v>
      </c>
      <c r="C4" s="285"/>
      <c r="D4" s="285"/>
      <c r="E4" s="285"/>
      <c r="F4" s="285"/>
      <c r="G4" s="285"/>
      <c r="H4" s="286"/>
    </row>
    <row r="5" spans="2:8" ht="63" customHeight="1" x14ac:dyDescent="0.3">
      <c r="B5" s="287"/>
      <c r="C5" s="288"/>
      <c r="D5" s="288"/>
      <c r="E5" s="288"/>
      <c r="F5" s="288"/>
      <c r="G5" s="288"/>
      <c r="H5" s="289"/>
    </row>
    <row r="6" spans="2:8" x14ac:dyDescent="0.3">
      <c r="B6" s="290" t="s">
        <v>152</v>
      </c>
      <c r="C6" s="291"/>
      <c r="D6" s="291"/>
      <c r="E6" s="291"/>
      <c r="F6" s="291"/>
      <c r="G6" s="291"/>
      <c r="H6" s="292"/>
    </row>
    <row r="7" spans="2:8" ht="95.25" customHeight="1" x14ac:dyDescent="0.3">
      <c r="B7" s="300" t="s">
        <v>157</v>
      </c>
      <c r="C7" s="301"/>
      <c r="D7" s="301"/>
      <c r="E7" s="301"/>
      <c r="F7" s="301"/>
      <c r="G7" s="301"/>
      <c r="H7" s="302"/>
    </row>
    <row r="8" spans="2:8" x14ac:dyDescent="0.3">
      <c r="B8" s="102"/>
      <c r="C8" s="103"/>
      <c r="D8" s="103"/>
      <c r="E8" s="103"/>
      <c r="F8" s="103"/>
      <c r="G8" s="103"/>
      <c r="H8" s="104"/>
    </row>
    <row r="9" spans="2:8" ht="16.5" customHeight="1" x14ac:dyDescent="0.3">
      <c r="B9" s="293" t="s">
        <v>190</v>
      </c>
      <c r="C9" s="294"/>
      <c r="D9" s="294"/>
      <c r="E9" s="294"/>
      <c r="F9" s="294"/>
      <c r="G9" s="294"/>
      <c r="H9" s="295"/>
    </row>
    <row r="10" spans="2:8" ht="44.25" customHeight="1" x14ac:dyDescent="0.3">
      <c r="B10" s="293"/>
      <c r="C10" s="294"/>
      <c r="D10" s="294"/>
      <c r="E10" s="294"/>
      <c r="F10" s="294"/>
      <c r="G10" s="294"/>
      <c r="H10" s="295"/>
    </row>
    <row r="11" spans="2:8" ht="15" thickBot="1" x14ac:dyDescent="0.35">
      <c r="B11" s="91"/>
      <c r="C11" s="94"/>
      <c r="D11" s="99"/>
      <c r="E11" s="100"/>
      <c r="F11" s="100"/>
      <c r="G11" s="101"/>
      <c r="H11" s="95"/>
    </row>
    <row r="12" spans="2:8" ht="15" thickTop="1" x14ac:dyDescent="0.3">
      <c r="B12" s="91"/>
      <c r="C12" s="296" t="s">
        <v>153</v>
      </c>
      <c r="D12" s="297"/>
      <c r="E12" s="298" t="s">
        <v>191</v>
      </c>
      <c r="F12" s="299"/>
      <c r="G12" s="94"/>
      <c r="H12" s="95"/>
    </row>
    <row r="13" spans="2:8" ht="35.25" customHeight="1" x14ac:dyDescent="0.3">
      <c r="B13" s="91"/>
      <c r="C13" s="268" t="s">
        <v>184</v>
      </c>
      <c r="D13" s="269"/>
      <c r="E13" s="270" t="s">
        <v>189</v>
      </c>
      <c r="F13" s="271"/>
      <c r="G13" s="94"/>
      <c r="H13" s="95"/>
    </row>
    <row r="14" spans="2:8" ht="17.25" customHeight="1" x14ac:dyDescent="0.3">
      <c r="B14" s="91"/>
      <c r="C14" s="268" t="s">
        <v>185</v>
      </c>
      <c r="D14" s="269"/>
      <c r="E14" s="270" t="s">
        <v>187</v>
      </c>
      <c r="F14" s="271"/>
      <c r="G14" s="94"/>
      <c r="H14" s="95"/>
    </row>
    <row r="15" spans="2:8" ht="19.5" customHeight="1" x14ac:dyDescent="0.3">
      <c r="B15" s="91"/>
      <c r="C15" s="268" t="s">
        <v>186</v>
      </c>
      <c r="D15" s="269"/>
      <c r="E15" s="270" t="s">
        <v>188</v>
      </c>
      <c r="F15" s="271"/>
      <c r="G15" s="94"/>
      <c r="H15" s="95"/>
    </row>
    <row r="16" spans="2:8" ht="69.75" customHeight="1" x14ac:dyDescent="0.3">
      <c r="B16" s="91"/>
      <c r="C16" s="268" t="s">
        <v>155</v>
      </c>
      <c r="D16" s="269"/>
      <c r="E16" s="270" t="s">
        <v>156</v>
      </c>
      <c r="F16" s="271"/>
      <c r="G16" s="94"/>
      <c r="H16" s="95"/>
    </row>
    <row r="17" spans="2:8" ht="34.5" customHeight="1" x14ac:dyDescent="0.3">
      <c r="B17" s="91"/>
      <c r="C17" s="272" t="s">
        <v>2</v>
      </c>
      <c r="D17" s="273"/>
      <c r="E17" s="264" t="s">
        <v>198</v>
      </c>
      <c r="F17" s="265"/>
      <c r="G17" s="94"/>
      <c r="H17" s="95"/>
    </row>
    <row r="18" spans="2:8" ht="27.75" customHeight="1" x14ac:dyDescent="0.3">
      <c r="B18" s="91"/>
      <c r="C18" s="272" t="s">
        <v>3</v>
      </c>
      <c r="D18" s="273"/>
      <c r="E18" s="264" t="s">
        <v>199</v>
      </c>
      <c r="F18" s="265"/>
      <c r="G18" s="94"/>
      <c r="H18" s="95"/>
    </row>
    <row r="19" spans="2:8" ht="28.5" customHeight="1" x14ac:dyDescent="0.3">
      <c r="B19" s="91"/>
      <c r="C19" s="272" t="s">
        <v>41</v>
      </c>
      <c r="D19" s="273"/>
      <c r="E19" s="264" t="s">
        <v>200</v>
      </c>
      <c r="F19" s="265"/>
      <c r="G19" s="94"/>
      <c r="H19" s="95"/>
    </row>
    <row r="20" spans="2:8" ht="72.75" customHeight="1" x14ac:dyDescent="0.3">
      <c r="B20" s="91"/>
      <c r="C20" s="272" t="s">
        <v>1</v>
      </c>
      <c r="D20" s="273"/>
      <c r="E20" s="264" t="s">
        <v>201</v>
      </c>
      <c r="F20" s="265"/>
      <c r="G20" s="94"/>
      <c r="H20" s="95"/>
    </row>
    <row r="21" spans="2:8" ht="64.5" customHeight="1" x14ac:dyDescent="0.3">
      <c r="B21" s="91"/>
      <c r="C21" s="272" t="s">
        <v>49</v>
      </c>
      <c r="D21" s="273"/>
      <c r="E21" s="264" t="s">
        <v>159</v>
      </c>
      <c r="F21" s="265"/>
      <c r="G21" s="94"/>
      <c r="H21" s="95"/>
    </row>
    <row r="22" spans="2:8" ht="71.25" customHeight="1" x14ac:dyDescent="0.3">
      <c r="B22" s="91"/>
      <c r="C22" s="272" t="s">
        <v>158</v>
      </c>
      <c r="D22" s="273"/>
      <c r="E22" s="264" t="s">
        <v>160</v>
      </c>
      <c r="F22" s="265"/>
      <c r="G22" s="94"/>
      <c r="H22" s="95"/>
    </row>
    <row r="23" spans="2:8" ht="55.5" customHeight="1" x14ac:dyDescent="0.3">
      <c r="B23" s="91"/>
      <c r="C23" s="266" t="s">
        <v>161</v>
      </c>
      <c r="D23" s="267"/>
      <c r="E23" s="264" t="s">
        <v>162</v>
      </c>
      <c r="F23" s="265"/>
      <c r="G23" s="94"/>
      <c r="H23" s="95"/>
    </row>
    <row r="24" spans="2:8" ht="42" customHeight="1" x14ac:dyDescent="0.3">
      <c r="B24" s="91"/>
      <c r="C24" s="266" t="s">
        <v>47</v>
      </c>
      <c r="D24" s="267"/>
      <c r="E24" s="264" t="s">
        <v>163</v>
      </c>
      <c r="F24" s="265"/>
      <c r="G24" s="94"/>
      <c r="H24" s="95"/>
    </row>
    <row r="25" spans="2:8" ht="59.25" customHeight="1" x14ac:dyDescent="0.3">
      <c r="B25" s="91"/>
      <c r="C25" s="266" t="s">
        <v>151</v>
      </c>
      <c r="D25" s="267"/>
      <c r="E25" s="264" t="s">
        <v>164</v>
      </c>
      <c r="F25" s="265"/>
      <c r="G25" s="94"/>
      <c r="H25" s="95"/>
    </row>
    <row r="26" spans="2:8" ht="23.25" customHeight="1" x14ac:dyDescent="0.3">
      <c r="B26" s="91"/>
      <c r="C26" s="266" t="s">
        <v>12</v>
      </c>
      <c r="D26" s="267"/>
      <c r="E26" s="264" t="s">
        <v>165</v>
      </c>
      <c r="F26" s="265"/>
      <c r="G26" s="94"/>
      <c r="H26" s="95"/>
    </row>
    <row r="27" spans="2:8" ht="30.75" customHeight="1" x14ac:dyDescent="0.3">
      <c r="B27" s="91"/>
      <c r="C27" s="266" t="s">
        <v>169</v>
      </c>
      <c r="D27" s="267"/>
      <c r="E27" s="264" t="s">
        <v>166</v>
      </c>
      <c r="F27" s="265"/>
      <c r="G27" s="94"/>
      <c r="H27" s="95"/>
    </row>
    <row r="28" spans="2:8" ht="35.25" customHeight="1" x14ac:dyDescent="0.3">
      <c r="B28" s="91"/>
      <c r="C28" s="266" t="s">
        <v>170</v>
      </c>
      <c r="D28" s="267"/>
      <c r="E28" s="264" t="s">
        <v>167</v>
      </c>
      <c r="F28" s="265"/>
      <c r="G28" s="94"/>
      <c r="H28" s="95"/>
    </row>
    <row r="29" spans="2:8" ht="33" customHeight="1" x14ac:dyDescent="0.3">
      <c r="B29" s="91"/>
      <c r="C29" s="266" t="s">
        <v>170</v>
      </c>
      <c r="D29" s="267"/>
      <c r="E29" s="264" t="s">
        <v>167</v>
      </c>
      <c r="F29" s="265"/>
      <c r="G29" s="94"/>
      <c r="H29" s="95"/>
    </row>
    <row r="30" spans="2:8" ht="30" customHeight="1" x14ac:dyDescent="0.3">
      <c r="B30" s="91"/>
      <c r="C30" s="266" t="s">
        <v>171</v>
      </c>
      <c r="D30" s="267"/>
      <c r="E30" s="264" t="s">
        <v>168</v>
      </c>
      <c r="F30" s="265"/>
      <c r="G30" s="94"/>
      <c r="H30" s="95"/>
    </row>
    <row r="31" spans="2:8" ht="35.25" customHeight="1" x14ac:dyDescent="0.3">
      <c r="B31" s="91"/>
      <c r="C31" s="266" t="s">
        <v>172</v>
      </c>
      <c r="D31" s="267"/>
      <c r="E31" s="264" t="s">
        <v>173</v>
      </c>
      <c r="F31" s="265"/>
      <c r="G31" s="94"/>
      <c r="H31" s="95"/>
    </row>
    <row r="32" spans="2:8" ht="31.5" customHeight="1" x14ac:dyDescent="0.3">
      <c r="B32" s="91"/>
      <c r="C32" s="266" t="s">
        <v>174</v>
      </c>
      <c r="D32" s="267"/>
      <c r="E32" s="264" t="s">
        <v>175</v>
      </c>
      <c r="F32" s="265"/>
      <c r="G32" s="94"/>
      <c r="H32" s="95"/>
    </row>
    <row r="33" spans="2:8" ht="35.25" customHeight="1" x14ac:dyDescent="0.3">
      <c r="B33" s="91"/>
      <c r="C33" s="266" t="s">
        <v>176</v>
      </c>
      <c r="D33" s="267"/>
      <c r="E33" s="264" t="s">
        <v>177</v>
      </c>
      <c r="F33" s="265"/>
      <c r="G33" s="94"/>
      <c r="H33" s="95"/>
    </row>
    <row r="34" spans="2:8" ht="59.25" customHeight="1" x14ac:dyDescent="0.3">
      <c r="B34" s="91"/>
      <c r="C34" s="266" t="s">
        <v>178</v>
      </c>
      <c r="D34" s="267"/>
      <c r="E34" s="264" t="s">
        <v>179</v>
      </c>
      <c r="F34" s="265"/>
      <c r="G34" s="94"/>
      <c r="H34" s="95"/>
    </row>
    <row r="35" spans="2:8" ht="29.25" customHeight="1" x14ac:dyDescent="0.3">
      <c r="B35" s="91"/>
      <c r="C35" s="266" t="s">
        <v>29</v>
      </c>
      <c r="D35" s="267"/>
      <c r="E35" s="264" t="s">
        <v>180</v>
      </c>
      <c r="F35" s="265"/>
      <c r="G35" s="94"/>
      <c r="H35" s="95"/>
    </row>
    <row r="36" spans="2:8" ht="82.5" customHeight="1" x14ac:dyDescent="0.3">
      <c r="B36" s="91"/>
      <c r="C36" s="266" t="s">
        <v>182</v>
      </c>
      <c r="D36" s="267"/>
      <c r="E36" s="264" t="s">
        <v>181</v>
      </c>
      <c r="F36" s="265"/>
      <c r="G36" s="94"/>
      <c r="H36" s="95"/>
    </row>
    <row r="37" spans="2:8" ht="46.5" customHeight="1" x14ac:dyDescent="0.3">
      <c r="B37" s="91"/>
      <c r="C37" s="266" t="s">
        <v>38</v>
      </c>
      <c r="D37" s="267"/>
      <c r="E37" s="264" t="s">
        <v>183</v>
      </c>
      <c r="F37" s="265"/>
      <c r="G37" s="94"/>
      <c r="H37" s="95"/>
    </row>
    <row r="38" spans="2:8" ht="6.75" customHeight="1" thickBot="1" x14ac:dyDescent="0.35">
      <c r="B38" s="91"/>
      <c r="C38" s="277"/>
      <c r="D38" s="278"/>
      <c r="E38" s="279"/>
      <c r="F38" s="280"/>
      <c r="G38" s="94"/>
      <c r="H38" s="95"/>
    </row>
    <row r="39" spans="2:8" ht="15" thickTop="1" x14ac:dyDescent="0.3">
      <c r="B39" s="91"/>
      <c r="C39" s="92"/>
      <c r="D39" s="92"/>
      <c r="E39" s="93"/>
      <c r="F39" s="93"/>
      <c r="G39" s="94"/>
      <c r="H39" s="95"/>
    </row>
    <row r="40" spans="2:8" ht="21" customHeight="1" x14ac:dyDescent="0.3">
      <c r="B40" s="274" t="s">
        <v>192</v>
      </c>
      <c r="C40" s="275"/>
      <c r="D40" s="275"/>
      <c r="E40" s="275"/>
      <c r="F40" s="275"/>
      <c r="G40" s="275"/>
      <c r="H40" s="276"/>
    </row>
    <row r="41" spans="2:8" ht="20.25" customHeight="1" x14ac:dyDescent="0.3">
      <c r="B41" s="274" t="s">
        <v>193</v>
      </c>
      <c r="C41" s="275"/>
      <c r="D41" s="275"/>
      <c r="E41" s="275"/>
      <c r="F41" s="275"/>
      <c r="G41" s="275"/>
      <c r="H41" s="276"/>
    </row>
    <row r="42" spans="2:8" ht="20.25" customHeight="1" x14ac:dyDescent="0.3">
      <c r="B42" s="274" t="s">
        <v>194</v>
      </c>
      <c r="C42" s="275"/>
      <c r="D42" s="275"/>
      <c r="E42" s="275"/>
      <c r="F42" s="275"/>
      <c r="G42" s="275"/>
      <c r="H42" s="276"/>
    </row>
    <row r="43" spans="2:8" ht="20.25" customHeight="1" x14ac:dyDescent="0.3">
      <c r="B43" s="274" t="s">
        <v>195</v>
      </c>
      <c r="C43" s="275"/>
      <c r="D43" s="275"/>
      <c r="E43" s="275"/>
      <c r="F43" s="275"/>
      <c r="G43" s="275"/>
      <c r="H43" s="276"/>
    </row>
    <row r="44" spans="2:8" x14ac:dyDescent="0.3">
      <c r="B44" s="274" t="s">
        <v>196</v>
      </c>
      <c r="C44" s="275"/>
      <c r="D44" s="275"/>
      <c r="E44" s="275"/>
      <c r="F44" s="275"/>
      <c r="G44" s="275"/>
      <c r="H44" s="276"/>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theme="7" tint="-0.249977111117893"/>
  </sheetPr>
  <dimension ref="B1:F16"/>
  <sheetViews>
    <sheetView zoomScale="85" zoomScaleNormal="85" workbookViewId="0">
      <selection activeCell="H7" sqref="H7"/>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54" t="s">
        <v>76</v>
      </c>
      <c r="C1" s="655"/>
      <c r="D1" s="655"/>
      <c r="E1" s="655"/>
      <c r="F1" s="656"/>
    </row>
    <row r="2" spans="2:6" ht="16.2" thickBot="1" x14ac:dyDescent="0.35">
      <c r="B2" s="73"/>
      <c r="C2" s="73"/>
      <c r="D2" s="73"/>
      <c r="E2" s="73"/>
      <c r="F2" s="73"/>
    </row>
    <row r="3" spans="2:6" ht="16.2" thickBot="1" x14ac:dyDescent="0.35">
      <c r="B3" s="658" t="s">
        <v>62</v>
      </c>
      <c r="C3" s="659"/>
      <c r="D3" s="659"/>
      <c r="E3" s="85" t="s">
        <v>63</v>
      </c>
      <c r="F3" s="86" t="s">
        <v>64</v>
      </c>
    </row>
    <row r="4" spans="2:6" ht="31.2" x14ac:dyDescent="0.3">
      <c r="B4" s="660" t="s">
        <v>65</v>
      </c>
      <c r="C4" s="662" t="s">
        <v>13</v>
      </c>
      <c r="D4" s="74" t="s">
        <v>14</v>
      </c>
      <c r="E4" s="75" t="s">
        <v>66</v>
      </c>
      <c r="F4" s="76">
        <v>0.25</v>
      </c>
    </row>
    <row r="5" spans="2:6" ht="46.8" x14ac:dyDescent="0.3">
      <c r="B5" s="661"/>
      <c r="C5" s="663"/>
      <c r="D5" s="77" t="s">
        <v>15</v>
      </c>
      <c r="E5" s="78" t="s">
        <v>67</v>
      </c>
      <c r="F5" s="79">
        <v>0.15</v>
      </c>
    </row>
    <row r="6" spans="2:6" ht="46.8" x14ac:dyDescent="0.3">
      <c r="B6" s="661"/>
      <c r="C6" s="663"/>
      <c r="D6" s="77" t="s">
        <v>16</v>
      </c>
      <c r="E6" s="78" t="s">
        <v>68</v>
      </c>
      <c r="F6" s="79">
        <v>0.1</v>
      </c>
    </row>
    <row r="7" spans="2:6" ht="62.4" x14ac:dyDescent="0.3">
      <c r="B7" s="661"/>
      <c r="C7" s="663" t="s">
        <v>17</v>
      </c>
      <c r="D7" s="77" t="s">
        <v>10</v>
      </c>
      <c r="E7" s="78" t="s">
        <v>69</v>
      </c>
      <c r="F7" s="79">
        <v>0.25</v>
      </c>
    </row>
    <row r="8" spans="2:6" ht="31.2" x14ac:dyDescent="0.3">
      <c r="B8" s="661"/>
      <c r="C8" s="663"/>
      <c r="D8" s="77" t="s">
        <v>9</v>
      </c>
      <c r="E8" s="78" t="s">
        <v>70</v>
      </c>
      <c r="F8" s="79">
        <v>0.15</v>
      </c>
    </row>
    <row r="9" spans="2:6" ht="46.8" x14ac:dyDescent="0.3">
      <c r="B9" s="661" t="s">
        <v>150</v>
      </c>
      <c r="C9" s="663" t="s">
        <v>18</v>
      </c>
      <c r="D9" s="77" t="s">
        <v>19</v>
      </c>
      <c r="E9" s="78" t="s">
        <v>71</v>
      </c>
      <c r="F9" s="80" t="s">
        <v>72</v>
      </c>
    </row>
    <row r="10" spans="2:6" ht="46.8" x14ac:dyDescent="0.3">
      <c r="B10" s="661"/>
      <c r="C10" s="663"/>
      <c r="D10" s="77" t="s">
        <v>20</v>
      </c>
      <c r="E10" s="78" t="s">
        <v>73</v>
      </c>
      <c r="F10" s="80" t="s">
        <v>72</v>
      </c>
    </row>
    <row r="11" spans="2:6" ht="46.8" x14ac:dyDescent="0.3">
      <c r="B11" s="661"/>
      <c r="C11" s="663" t="s">
        <v>21</v>
      </c>
      <c r="D11" s="77" t="s">
        <v>22</v>
      </c>
      <c r="E11" s="78" t="s">
        <v>74</v>
      </c>
      <c r="F11" s="80" t="s">
        <v>72</v>
      </c>
    </row>
    <row r="12" spans="2:6" ht="46.8" x14ac:dyDescent="0.3">
      <c r="B12" s="661"/>
      <c r="C12" s="663"/>
      <c r="D12" s="77" t="s">
        <v>23</v>
      </c>
      <c r="E12" s="78" t="s">
        <v>75</v>
      </c>
      <c r="F12" s="80" t="s">
        <v>72</v>
      </c>
    </row>
    <row r="13" spans="2:6" ht="31.2" x14ac:dyDescent="0.3">
      <c r="B13" s="661"/>
      <c r="C13" s="663" t="s">
        <v>24</v>
      </c>
      <c r="D13" s="77" t="s">
        <v>113</v>
      </c>
      <c r="E13" s="78" t="s">
        <v>116</v>
      </c>
      <c r="F13" s="80" t="s">
        <v>72</v>
      </c>
    </row>
    <row r="14" spans="2:6" ht="16.2" thickBot="1" x14ac:dyDescent="0.35">
      <c r="B14" s="664"/>
      <c r="C14" s="665"/>
      <c r="D14" s="81" t="s">
        <v>114</v>
      </c>
      <c r="E14" s="82" t="s">
        <v>115</v>
      </c>
      <c r="F14" s="83" t="s">
        <v>72</v>
      </c>
    </row>
    <row r="15" spans="2:6" ht="49.5" customHeight="1" x14ac:dyDescent="0.3">
      <c r="B15" s="657" t="s">
        <v>147</v>
      </c>
      <c r="C15" s="657"/>
      <c r="D15" s="657"/>
      <c r="E15" s="657"/>
      <c r="F15" s="657"/>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F9E6-1A9F-49F8-99F7-2909AD21D4F0}">
  <sheetPr codeName="Hoja3"/>
  <dimension ref="A1:AB26"/>
  <sheetViews>
    <sheetView zoomScale="70" zoomScaleNormal="70" workbookViewId="0">
      <selection activeCell="F12" sqref="F12"/>
    </sheetView>
  </sheetViews>
  <sheetFormatPr baseColWidth="10" defaultRowHeight="14.4" x14ac:dyDescent="0.3"/>
  <cols>
    <col min="1" max="6" width="35.88671875" customWidth="1"/>
    <col min="26" max="26" width="37.109375" customWidth="1"/>
    <col min="27" max="27" width="40.5546875" customWidth="1"/>
    <col min="28" max="28" width="39.6640625" customWidth="1"/>
  </cols>
  <sheetData>
    <row r="1" spans="1:28" s="209" customFormat="1" ht="15" customHeight="1" x14ac:dyDescent="0.25">
      <c r="A1" s="307"/>
      <c r="B1" s="309" t="s">
        <v>348</v>
      </c>
      <c r="C1" s="309"/>
      <c r="D1" s="309"/>
      <c r="E1" s="207" t="s">
        <v>337</v>
      </c>
      <c r="F1" s="311"/>
      <c r="G1" s="208"/>
      <c r="J1" s="313"/>
    </row>
    <row r="2" spans="1:28" s="209" customFormat="1" ht="15" customHeight="1" x14ac:dyDescent="0.25">
      <c r="A2" s="308"/>
      <c r="B2" s="310"/>
      <c r="C2" s="310"/>
      <c r="D2" s="310"/>
      <c r="E2" s="210" t="s">
        <v>338</v>
      </c>
      <c r="F2" s="312"/>
      <c r="G2" s="208"/>
      <c r="J2" s="313"/>
    </row>
    <row r="3" spans="1:28" s="209" customFormat="1" ht="15" customHeight="1" x14ac:dyDescent="0.25">
      <c r="A3" s="308"/>
      <c r="B3" s="310" t="s">
        <v>339</v>
      </c>
      <c r="C3" s="310"/>
      <c r="D3" s="310"/>
      <c r="E3" s="210" t="s">
        <v>340</v>
      </c>
      <c r="F3" s="312"/>
      <c r="G3" s="208"/>
      <c r="J3" s="313"/>
    </row>
    <row r="4" spans="1:28" s="209" customFormat="1" ht="21" customHeight="1" x14ac:dyDescent="0.25">
      <c r="A4" s="308"/>
      <c r="B4" s="310"/>
      <c r="C4" s="310"/>
      <c r="D4" s="310"/>
      <c r="E4" s="210" t="s">
        <v>341</v>
      </c>
      <c r="F4" s="312"/>
      <c r="G4" s="208"/>
      <c r="J4" s="313"/>
    </row>
    <row r="5" spans="1:28" s="209" customFormat="1" ht="15.75" customHeight="1" x14ac:dyDescent="0.25">
      <c r="A5" s="314"/>
      <c r="B5" s="315"/>
      <c r="C5" s="315"/>
      <c r="D5" s="315"/>
      <c r="E5" s="315"/>
      <c r="F5" s="316"/>
      <c r="G5" s="208"/>
      <c r="J5" s="211"/>
    </row>
    <row r="6" spans="1:28" x14ac:dyDescent="0.3">
      <c r="A6" s="317" t="s">
        <v>228</v>
      </c>
      <c r="B6" s="318"/>
      <c r="C6" s="318"/>
      <c r="D6" s="318"/>
      <c r="E6" s="318"/>
      <c r="F6" s="319"/>
    </row>
    <row r="7" spans="1:28" x14ac:dyDescent="0.3">
      <c r="A7" s="317"/>
      <c r="B7" s="318"/>
      <c r="C7" s="318"/>
      <c r="D7" s="318"/>
      <c r="E7" s="318"/>
      <c r="F7" s="319"/>
    </row>
    <row r="8" spans="1:28" ht="24" customHeight="1" x14ac:dyDescent="0.3">
      <c r="A8" s="320" t="s">
        <v>229</v>
      </c>
      <c r="B8" s="321"/>
      <c r="C8" s="321"/>
      <c r="D8" s="321"/>
      <c r="E8" s="321"/>
      <c r="F8" s="322"/>
    </row>
    <row r="9" spans="1:28" ht="37.200000000000003" customHeight="1" thickBot="1" x14ac:dyDescent="0.35">
      <c r="A9" s="303" t="s">
        <v>230</v>
      </c>
      <c r="B9" s="304"/>
      <c r="C9" s="304"/>
      <c r="D9" s="304"/>
      <c r="E9" s="304"/>
      <c r="F9" s="305"/>
    </row>
    <row r="10" spans="1:28" ht="15" thickBot="1" x14ac:dyDescent="0.35">
      <c r="A10" s="306"/>
      <c r="B10" s="306"/>
      <c r="C10" s="306"/>
      <c r="D10" s="306"/>
      <c r="E10" s="306"/>
      <c r="F10" s="306"/>
    </row>
    <row r="11" spans="1:28" ht="16.2" thickBot="1" x14ac:dyDescent="0.35">
      <c r="A11" s="167" t="s">
        <v>231</v>
      </c>
      <c r="B11" s="168" t="s">
        <v>232</v>
      </c>
      <c r="C11" s="168" t="s">
        <v>233</v>
      </c>
      <c r="D11" s="168" t="s">
        <v>232</v>
      </c>
      <c r="E11" s="168" t="s">
        <v>234</v>
      </c>
      <c r="F11" s="169" t="s">
        <v>232</v>
      </c>
    </row>
    <row r="12" spans="1:28" ht="87.6" customHeight="1" thickBot="1" x14ac:dyDescent="0.35">
      <c r="A12" s="170" t="s">
        <v>235</v>
      </c>
      <c r="B12" s="216" t="s">
        <v>236</v>
      </c>
      <c r="C12" s="171" t="s">
        <v>237</v>
      </c>
      <c r="D12" s="219" t="s">
        <v>349</v>
      </c>
      <c r="E12" s="171" t="s">
        <v>238</v>
      </c>
      <c r="F12" s="223" t="s">
        <v>350</v>
      </c>
      <c r="Z12" t="s">
        <v>235</v>
      </c>
      <c r="AA12" t="s">
        <v>251</v>
      </c>
      <c r="AB12" t="s">
        <v>238</v>
      </c>
    </row>
    <row r="13" spans="1:28" ht="71.400000000000006" customHeight="1" thickBot="1" x14ac:dyDescent="0.35">
      <c r="A13" s="170" t="s">
        <v>239</v>
      </c>
      <c r="B13" s="217" t="s">
        <v>240</v>
      </c>
      <c r="C13" s="171" t="s">
        <v>237</v>
      </c>
      <c r="D13" s="221" t="s">
        <v>241</v>
      </c>
      <c r="E13" s="171" t="s">
        <v>242</v>
      </c>
      <c r="F13" s="225" t="s">
        <v>351</v>
      </c>
      <c r="Z13" t="s">
        <v>243</v>
      </c>
      <c r="AA13" s="181" t="s">
        <v>237</v>
      </c>
      <c r="AB13" t="s">
        <v>242</v>
      </c>
    </row>
    <row r="14" spans="1:28" ht="71.400000000000006" customHeight="1" thickBot="1" x14ac:dyDescent="0.35">
      <c r="A14" s="170" t="s">
        <v>243</v>
      </c>
      <c r="B14" s="218" t="s">
        <v>244</v>
      </c>
      <c r="C14" s="171" t="s">
        <v>237</v>
      </c>
      <c r="D14" s="221" t="s">
        <v>245</v>
      </c>
      <c r="E14" s="171" t="s">
        <v>246</v>
      </c>
      <c r="F14" s="225" t="s">
        <v>331</v>
      </c>
      <c r="Z14" t="s">
        <v>239</v>
      </c>
      <c r="AA14" t="s">
        <v>264</v>
      </c>
      <c r="AB14" t="s">
        <v>246</v>
      </c>
    </row>
    <row r="15" spans="1:28" ht="73.95" customHeight="1" thickBot="1" x14ac:dyDescent="0.35">
      <c r="A15" s="170" t="s">
        <v>243</v>
      </c>
      <c r="B15" s="217" t="s">
        <v>247</v>
      </c>
      <c r="C15" s="171" t="s">
        <v>237</v>
      </c>
      <c r="D15" s="221" t="s">
        <v>352</v>
      </c>
      <c r="E15" s="171" t="s">
        <v>242</v>
      </c>
      <c r="F15" s="225" t="s">
        <v>248</v>
      </c>
      <c r="Z15" t="s">
        <v>256</v>
      </c>
      <c r="AA15" s="181" t="s">
        <v>258</v>
      </c>
      <c r="AB15" t="s">
        <v>267</v>
      </c>
    </row>
    <row r="16" spans="1:28" ht="60" customHeight="1" thickBot="1" x14ac:dyDescent="0.35">
      <c r="A16" s="170" t="s">
        <v>249</v>
      </c>
      <c r="B16" s="217" t="s">
        <v>250</v>
      </c>
      <c r="C16" s="171" t="s">
        <v>251</v>
      </c>
      <c r="D16" s="221" t="s">
        <v>252</v>
      </c>
      <c r="E16" s="171" t="s">
        <v>242</v>
      </c>
      <c r="F16" s="225" t="s">
        <v>253</v>
      </c>
      <c r="Z16" t="s">
        <v>263</v>
      </c>
      <c r="AA16" t="s">
        <v>261</v>
      </c>
      <c r="AB16" t="s">
        <v>254</v>
      </c>
    </row>
    <row r="17" spans="1:28" ht="60.6" customHeight="1" thickBot="1" x14ac:dyDescent="0.35">
      <c r="A17" s="170" t="s">
        <v>254</v>
      </c>
      <c r="B17" s="218" t="s">
        <v>218</v>
      </c>
      <c r="C17" s="171" t="s">
        <v>251</v>
      </c>
      <c r="D17" s="221" t="s">
        <v>255</v>
      </c>
      <c r="E17" s="171" t="s">
        <v>246</v>
      </c>
      <c r="F17" s="225" t="s">
        <v>218</v>
      </c>
      <c r="Z17" t="s">
        <v>254</v>
      </c>
      <c r="AA17" s="181" t="s">
        <v>254</v>
      </c>
      <c r="AB17" t="s">
        <v>268</v>
      </c>
    </row>
    <row r="18" spans="1:28" ht="80.400000000000006" customHeight="1" thickBot="1" x14ac:dyDescent="0.35">
      <c r="A18" s="170" t="s">
        <v>256</v>
      </c>
      <c r="B18" s="218" t="s">
        <v>257</v>
      </c>
      <c r="C18" s="171" t="s">
        <v>258</v>
      </c>
      <c r="D18" s="221" t="s">
        <v>259</v>
      </c>
      <c r="E18" s="171" t="s">
        <v>246</v>
      </c>
      <c r="F18" s="225" t="s">
        <v>363</v>
      </c>
      <c r="Z18" t="s">
        <v>249</v>
      </c>
      <c r="AA18" t="s">
        <v>265</v>
      </c>
      <c r="AB18" t="s">
        <v>269</v>
      </c>
    </row>
    <row r="19" spans="1:28" ht="104.25" customHeight="1" thickBot="1" x14ac:dyDescent="0.35">
      <c r="A19" s="170" t="s">
        <v>249</v>
      </c>
      <c r="B19" s="218" t="s">
        <v>357</v>
      </c>
      <c r="C19" s="171" t="s">
        <v>258</v>
      </c>
      <c r="D19" s="221" t="s">
        <v>260</v>
      </c>
      <c r="E19" s="171" t="s">
        <v>246</v>
      </c>
      <c r="F19" s="225" t="s">
        <v>364</v>
      </c>
      <c r="AA19" s="181" t="s">
        <v>266</v>
      </c>
      <c r="AB19" t="s">
        <v>270</v>
      </c>
    </row>
    <row r="20" spans="1:28" ht="55.2" customHeight="1" thickBot="1" x14ac:dyDescent="0.35">
      <c r="A20" s="172"/>
      <c r="B20" s="174"/>
      <c r="C20" s="171" t="s">
        <v>261</v>
      </c>
      <c r="D20" s="222" t="s">
        <v>262</v>
      </c>
      <c r="E20" s="171" t="s">
        <v>246</v>
      </c>
      <c r="F20" s="225" t="s">
        <v>365</v>
      </c>
      <c r="AB20" s="181" t="s">
        <v>271</v>
      </c>
    </row>
    <row r="21" spans="1:28" ht="42" thickBot="1" x14ac:dyDescent="0.35">
      <c r="A21" s="172"/>
      <c r="B21" s="174"/>
      <c r="C21" s="171" t="s">
        <v>254</v>
      </c>
      <c r="D21" s="222" t="s">
        <v>358</v>
      </c>
      <c r="E21" s="171" t="s">
        <v>242</v>
      </c>
      <c r="F21" s="225" t="s">
        <v>366</v>
      </c>
    </row>
    <row r="22" spans="1:28" ht="69.599999999999994" thickBot="1" x14ac:dyDescent="0.35">
      <c r="A22" s="172"/>
      <c r="B22" s="174"/>
      <c r="C22" s="171" t="s">
        <v>265</v>
      </c>
      <c r="D22" s="222" t="s">
        <v>359</v>
      </c>
      <c r="E22" s="171" t="s">
        <v>242</v>
      </c>
      <c r="F22" s="225" t="s">
        <v>367</v>
      </c>
    </row>
    <row r="23" spans="1:28" ht="42" thickBot="1" x14ac:dyDescent="0.35">
      <c r="A23" s="172"/>
      <c r="B23" s="174"/>
      <c r="C23" s="171" t="s">
        <v>265</v>
      </c>
      <c r="D23" s="222" t="s">
        <v>360</v>
      </c>
      <c r="E23" s="171" t="s">
        <v>242</v>
      </c>
      <c r="F23" s="225" t="s">
        <v>368</v>
      </c>
    </row>
    <row r="24" spans="1:28" ht="97.2" thickBot="1" x14ac:dyDescent="0.35">
      <c r="A24" s="172"/>
      <c r="B24" s="174"/>
      <c r="C24" s="171" t="s">
        <v>265</v>
      </c>
      <c r="D24" s="222" t="s">
        <v>361</v>
      </c>
      <c r="E24" s="173"/>
      <c r="F24" s="175"/>
    </row>
    <row r="25" spans="1:28" ht="55.2" x14ac:dyDescent="0.3">
      <c r="A25" s="172"/>
      <c r="B25" s="174"/>
      <c r="C25" s="171" t="s">
        <v>265</v>
      </c>
      <c r="D25" s="222" t="s">
        <v>362</v>
      </c>
      <c r="E25" s="173"/>
      <c r="F25" s="175"/>
    </row>
    <row r="26" spans="1:28" ht="15" thickBot="1" x14ac:dyDescent="0.35">
      <c r="A26" s="176"/>
      <c r="B26" s="177"/>
      <c r="C26" s="178"/>
      <c r="D26" s="179"/>
      <c r="E26" s="178"/>
      <c r="F26" s="180"/>
    </row>
  </sheetData>
  <mergeCells count="10">
    <mergeCell ref="J1:J4"/>
    <mergeCell ref="B3:D4"/>
    <mergeCell ref="A5:F5"/>
    <mergeCell ref="A6:F7"/>
    <mergeCell ref="A8:F8"/>
    <mergeCell ref="A9:F9"/>
    <mergeCell ref="A10:F10"/>
    <mergeCell ref="A1:A4"/>
    <mergeCell ref="B1:D2"/>
    <mergeCell ref="F1:F4"/>
  </mergeCells>
  <dataValidations count="3">
    <dataValidation type="list" allowBlank="1" showInputMessage="1" showErrorMessage="1" sqref="A12:A19" xr:uid="{B1D350D6-38D7-4FA2-8379-2E190F68B8EC}">
      <formula1>$Z$12:$Z$18</formula1>
    </dataValidation>
    <dataValidation type="list" allowBlank="1" showInputMessage="1" showErrorMessage="1" sqref="C12:C25" xr:uid="{53C22A0E-7066-4766-9450-B6CE70FBF787}">
      <formula1>$AA$12:$AA$19</formula1>
    </dataValidation>
    <dataValidation type="list" allowBlank="1" showInputMessage="1" showErrorMessage="1" sqref="E12:E23" xr:uid="{4AA56EC4-406C-4407-B283-7A488F9B4DA4}">
      <formula1>$AB$12:$AB$20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FD1DDA-8D82-4032-A2D5-A90AA0096CC4}">
          <x14:formula1>
            <xm:f>'C:\Users\ATENCION CIUDADANO\Desktop\[Mapa para ajustar.xlsx]LISTAS CONTEXTO'!#REF!</xm:f>
          </x14:formula1>
          <xm:sqref>C26 A20:A26 E24:E26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5290-7608-4B1D-9F81-27E167BC01A4}">
  <sheetPr codeName="Hoja4"/>
  <dimension ref="A1:X48"/>
  <sheetViews>
    <sheetView workbookViewId="0">
      <selection activeCell="Y10" sqref="Y10"/>
    </sheetView>
  </sheetViews>
  <sheetFormatPr baseColWidth="10" defaultRowHeight="14.4" x14ac:dyDescent="0.3"/>
  <cols>
    <col min="1" max="1" width="4" bestFit="1" customWidth="1"/>
    <col min="2" max="2" width="30" customWidth="1"/>
    <col min="3" max="18" width="6.5546875" customWidth="1"/>
    <col min="19" max="19" width="9.88671875" customWidth="1"/>
    <col min="20" max="20" width="19.6640625" customWidth="1"/>
    <col min="21" max="21" width="1.44140625" customWidth="1"/>
    <col min="22" max="22" width="2" customWidth="1"/>
    <col min="23" max="23" width="1" customWidth="1"/>
  </cols>
  <sheetData>
    <row r="1" spans="1:24" ht="30.75" customHeight="1" x14ac:dyDescent="0.3">
      <c r="A1" s="310"/>
      <c r="B1" s="310"/>
      <c r="C1" s="310" t="s">
        <v>348</v>
      </c>
      <c r="D1" s="310"/>
      <c r="E1" s="310"/>
      <c r="F1" s="310"/>
      <c r="G1" s="310"/>
      <c r="H1" s="310"/>
      <c r="I1" s="310"/>
      <c r="J1" s="310"/>
      <c r="K1" s="310"/>
      <c r="L1" s="310"/>
      <c r="M1" s="310"/>
      <c r="N1" s="310"/>
      <c r="O1" s="310"/>
      <c r="P1" s="310"/>
      <c r="Q1" s="310"/>
      <c r="R1" s="310"/>
      <c r="S1" s="310"/>
      <c r="T1" s="212" t="s">
        <v>337</v>
      </c>
      <c r="U1" s="214"/>
      <c r="V1" s="214"/>
      <c r="W1" s="214"/>
    </row>
    <row r="2" spans="1:24" ht="25.5" customHeight="1" x14ac:dyDescent="0.3">
      <c r="A2" s="310"/>
      <c r="B2" s="310"/>
      <c r="C2" s="310"/>
      <c r="D2" s="310"/>
      <c r="E2" s="310"/>
      <c r="F2" s="310"/>
      <c r="G2" s="310"/>
      <c r="H2" s="310"/>
      <c r="I2" s="310"/>
      <c r="J2" s="310"/>
      <c r="K2" s="310"/>
      <c r="L2" s="310"/>
      <c r="M2" s="310"/>
      <c r="N2" s="310"/>
      <c r="O2" s="310"/>
      <c r="P2" s="310"/>
      <c r="Q2" s="310"/>
      <c r="R2" s="310"/>
      <c r="S2" s="310"/>
      <c r="T2" s="213" t="s">
        <v>338</v>
      </c>
      <c r="U2" s="214"/>
      <c r="V2" s="214"/>
      <c r="W2" s="214"/>
    </row>
    <row r="3" spans="1:24" ht="15" customHeight="1" x14ac:dyDescent="0.3">
      <c r="A3" s="310"/>
      <c r="B3" s="310"/>
      <c r="C3" s="329" t="s">
        <v>342</v>
      </c>
      <c r="D3" s="329"/>
      <c r="E3" s="329"/>
      <c r="F3" s="329"/>
      <c r="G3" s="329"/>
      <c r="H3" s="329"/>
      <c r="I3" s="329"/>
      <c r="J3" s="329"/>
      <c r="K3" s="329"/>
      <c r="L3" s="329"/>
      <c r="M3" s="329"/>
      <c r="N3" s="329"/>
      <c r="O3" s="329"/>
      <c r="P3" s="329"/>
      <c r="Q3" s="329"/>
      <c r="R3" s="310"/>
      <c r="S3" s="310"/>
      <c r="T3" s="213" t="s">
        <v>343</v>
      </c>
      <c r="U3" s="214"/>
      <c r="V3" s="214"/>
      <c r="W3" s="214"/>
    </row>
    <row r="4" spans="1:24" ht="15.75" customHeight="1" x14ac:dyDescent="0.3">
      <c r="A4" s="310"/>
      <c r="B4" s="310"/>
      <c r="C4" s="330"/>
      <c r="D4" s="330"/>
      <c r="E4" s="330"/>
      <c r="F4" s="330"/>
      <c r="G4" s="330"/>
      <c r="H4" s="330"/>
      <c r="I4" s="330"/>
      <c r="J4" s="330"/>
      <c r="K4" s="330"/>
      <c r="L4" s="330"/>
      <c r="M4" s="330"/>
      <c r="N4" s="330"/>
      <c r="O4" s="330"/>
      <c r="P4" s="330"/>
      <c r="Q4" s="330"/>
      <c r="R4" s="310"/>
      <c r="S4" s="310"/>
      <c r="T4" s="213" t="s">
        <v>341</v>
      </c>
      <c r="U4" s="214"/>
      <c r="V4" s="214"/>
      <c r="W4" s="214"/>
    </row>
    <row r="5" spans="1:24" ht="21" customHeight="1" x14ac:dyDescent="0.3">
      <c r="A5" s="328" t="str">
        <f>Contexto!A8</f>
        <v>PROCESO: GESTIÓN DEL SERVICIO Y ATENCIÓN AL CIUDADANO</v>
      </c>
      <c r="B5" s="328"/>
      <c r="C5" s="328"/>
      <c r="D5" s="328"/>
      <c r="E5" s="328"/>
      <c r="F5" s="328"/>
      <c r="G5" s="328"/>
      <c r="H5" s="328"/>
      <c r="I5" s="328"/>
      <c r="J5" s="328"/>
      <c r="K5" s="328"/>
      <c r="L5" s="328"/>
      <c r="M5" s="328"/>
      <c r="N5" s="328"/>
      <c r="O5" s="328"/>
      <c r="P5" s="328"/>
      <c r="Q5" s="328"/>
      <c r="R5" s="328"/>
      <c r="S5" s="328"/>
      <c r="T5" s="328"/>
    </row>
    <row r="6" spans="1:24" ht="30" customHeight="1" x14ac:dyDescent="0.3">
      <c r="A6" s="328" t="str">
        <f>Contexto!A9</f>
        <v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v>
      </c>
      <c r="B6" s="328"/>
      <c r="C6" s="328"/>
      <c r="D6" s="328"/>
      <c r="E6" s="328"/>
      <c r="F6" s="328"/>
      <c r="G6" s="328"/>
      <c r="H6" s="328"/>
      <c r="I6" s="328"/>
      <c r="J6" s="328"/>
      <c r="K6" s="328"/>
      <c r="L6" s="328"/>
      <c r="M6" s="328"/>
      <c r="N6" s="328"/>
      <c r="O6" s="328"/>
      <c r="P6" s="328"/>
      <c r="Q6" s="328"/>
      <c r="R6" s="328"/>
      <c r="S6" s="328"/>
      <c r="T6" s="328"/>
    </row>
    <row r="7" spans="1:24" ht="15" thickBot="1" x14ac:dyDescent="0.35">
      <c r="A7" s="182"/>
      <c r="B7" s="182"/>
      <c r="C7" s="182"/>
      <c r="D7" s="182"/>
      <c r="E7" s="182"/>
      <c r="F7" s="182"/>
      <c r="G7" s="182"/>
      <c r="H7" s="182"/>
      <c r="I7" s="182"/>
      <c r="J7" s="182"/>
      <c r="K7" s="182"/>
      <c r="L7" s="182"/>
      <c r="M7" s="182"/>
      <c r="N7" s="182"/>
      <c r="O7" s="182"/>
      <c r="P7" s="182"/>
      <c r="Q7" s="182"/>
      <c r="R7" s="182"/>
      <c r="S7" s="182"/>
      <c r="T7" s="198"/>
    </row>
    <row r="8" spans="1:24" ht="15" thickBot="1" x14ac:dyDescent="0.35">
      <c r="A8" s="331"/>
      <c r="B8" s="331"/>
      <c r="C8" s="331" t="b">
        <v>0</v>
      </c>
      <c r="D8" s="331"/>
      <c r="E8" s="331"/>
      <c r="F8" s="331"/>
      <c r="G8" s="331"/>
      <c r="H8" s="331"/>
      <c r="I8" s="331"/>
      <c r="J8" s="331"/>
      <c r="K8" s="331"/>
      <c r="L8" s="331"/>
      <c r="M8" s="331"/>
      <c r="N8" s="331"/>
      <c r="O8" s="331"/>
      <c r="P8" s="331"/>
      <c r="Q8" s="331"/>
      <c r="R8" s="331"/>
      <c r="S8" s="331"/>
      <c r="T8" s="332"/>
    </row>
    <row r="9" spans="1:24" ht="24.6" thickBot="1" x14ac:dyDescent="0.35">
      <c r="A9" s="183" t="s">
        <v>272</v>
      </c>
      <c r="B9" s="184" t="s">
        <v>273</v>
      </c>
      <c r="C9" s="184" t="s">
        <v>274</v>
      </c>
      <c r="D9" s="184" t="s">
        <v>275</v>
      </c>
      <c r="E9" s="184" t="s">
        <v>276</v>
      </c>
      <c r="F9" s="184" t="s">
        <v>277</v>
      </c>
      <c r="G9" s="184" t="s">
        <v>278</v>
      </c>
      <c r="H9" s="184" t="s">
        <v>279</v>
      </c>
      <c r="I9" s="184" t="s">
        <v>280</v>
      </c>
      <c r="J9" s="184" t="s">
        <v>281</v>
      </c>
      <c r="K9" s="184" t="s">
        <v>282</v>
      </c>
      <c r="L9" s="184" t="s">
        <v>283</v>
      </c>
      <c r="M9" s="184" t="s">
        <v>284</v>
      </c>
      <c r="N9" s="184" t="s">
        <v>285</v>
      </c>
      <c r="O9" s="184" t="s">
        <v>286</v>
      </c>
      <c r="P9" s="184" t="s">
        <v>287</v>
      </c>
      <c r="Q9" s="184" t="s">
        <v>288</v>
      </c>
      <c r="R9" s="185" t="s">
        <v>289</v>
      </c>
      <c r="S9" s="186" t="s">
        <v>290</v>
      </c>
      <c r="T9" s="199" t="s">
        <v>291</v>
      </c>
    </row>
    <row r="10" spans="1:24" ht="45.75" customHeight="1" x14ac:dyDescent="0.3">
      <c r="A10" s="215">
        <v>1</v>
      </c>
      <c r="B10" s="174" t="str">
        <f>Contexto!B12</f>
        <v>Constantes cambios y actualizaciones normativas</v>
      </c>
      <c r="C10" s="188">
        <v>5</v>
      </c>
      <c r="D10" s="188">
        <v>4</v>
      </c>
      <c r="E10" s="188">
        <v>4</v>
      </c>
      <c r="F10" s="188"/>
      <c r="G10" s="188"/>
      <c r="H10" s="188"/>
      <c r="I10" s="188"/>
      <c r="J10" s="188"/>
      <c r="K10" s="188"/>
      <c r="L10" s="188"/>
      <c r="M10" s="188"/>
      <c r="N10" s="188"/>
      <c r="O10" s="188"/>
      <c r="P10" s="188"/>
      <c r="Q10" s="188"/>
      <c r="R10" s="187">
        <f>SUM(C10:Q10)</f>
        <v>13</v>
      </c>
      <c r="S10" s="189">
        <f>SUM(C10:E10)/3</f>
        <v>4.333333333333333</v>
      </c>
      <c r="T10" s="200"/>
    </row>
    <row r="11" spans="1:24" ht="42" customHeight="1" x14ac:dyDescent="0.3">
      <c r="A11" s="215">
        <v>2</v>
      </c>
      <c r="B11" s="174" t="str">
        <f>Contexto!B13</f>
        <v>Cambio de gobierno</v>
      </c>
      <c r="C11" s="188">
        <v>4</v>
      </c>
      <c r="D11" s="188">
        <v>5</v>
      </c>
      <c r="E11" s="188">
        <v>4</v>
      </c>
      <c r="F11" s="188"/>
      <c r="G11" s="188"/>
      <c r="H11" s="188"/>
      <c r="I11" s="188"/>
      <c r="J11" s="188"/>
      <c r="K11" s="188"/>
      <c r="L11" s="188"/>
      <c r="M11" s="188"/>
      <c r="N11" s="188"/>
      <c r="O11" s="188"/>
      <c r="P11" s="188"/>
      <c r="Q11" s="188"/>
      <c r="R11" s="187">
        <f>SUM(C11:Q11)</f>
        <v>13</v>
      </c>
      <c r="S11" s="189">
        <f t="shared" ref="S11:S43" si="0">SUM(C11:E11)/3</f>
        <v>4.333333333333333</v>
      </c>
      <c r="T11" s="190"/>
    </row>
    <row r="12" spans="1:24" ht="56.4" customHeight="1" x14ac:dyDescent="0.3">
      <c r="A12" s="215">
        <v>3</v>
      </c>
      <c r="B12" s="174" t="str">
        <f>Contexto!B14</f>
        <v>Baja satisfacción del ciudadano frente a los servicios y atención prestada por la entidad</v>
      </c>
      <c r="C12" s="188">
        <v>4</v>
      </c>
      <c r="D12" s="188">
        <v>4</v>
      </c>
      <c r="E12" s="188">
        <v>5</v>
      </c>
      <c r="F12" s="188"/>
      <c r="G12" s="188"/>
      <c r="H12" s="188"/>
      <c r="I12" s="188"/>
      <c r="J12" s="188"/>
      <c r="K12" s="188"/>
      <c r="L12" s="188"/>
      <c r="M12" s="188"/>
      <c r="N12" s="188"/>
      <c r="O12" s="188"/>
      <c r="P12" s="188"/>
      <c r="Q12" s="188"/>
      <c r="R12" s="187">
        <f t="shared" ref="R12:R43" si="1">SUM(C12:Q12)</f>
        <v>13</v>
      </c>
      <c r="S12" s="189">
        <f t="shared" si="0"/>
        <v>4.333333333333333</v>
      </c>
      <c r="T12" s="201"/>
    </row>
    <row r="13" spans="1:24" ht="42" customHeight="1" x14ac:dyDescent="0.3">
      <c r="A13" s="215">
        <v>4</v>
      </c>
      <c r="B13" s="174" t="str">
        <f>Contexto!B15</f>
        <v>Idiosincrasia de los ciudadanos</v>
      </c>
      <c r="C13" s="188">
        <v>1</v>
      </c>
      <c r="D13" s="188">
        <v>2</v>
      </c>
      <c r="E13" s="188">
        <v>1</v>
      </c>
      <c r="F13" s="188"/>
      <c r="G13" s="188"/>
      <c r="H13" s="188"/>
      <c r="I13" s="188"/>
      <c r="J13" s="188"/>
      <c r="K13" s="188"/>
      <c r="L13" s="188"/>
      <c r="M13" s="188"/>
      <c r="N13" s="188"/>
      <c r="O13" s="188"/>
      <c r="P13" s="188"/>
      <c r="Q13" s="188"/>
      <c r="R13" s="187">
        <f t="shared" si="1"/>
        <v>4</v>
      </c>
      <c r="S13" s="189">
        <f t="shared" si="0"/>
        <v>1.3333333333333333</v>
      </c>
      <c r="T13" s="201"/>
      <c r="X13" s="67"/>
    </row>
    <row r="14" spans="1:24" ht="42" customHeight="1" x14ac:dyDescent="0.3">
      <c r="A14" s="215">
        <v>5</v>
      </c>
      <c r="B14" s="174" t="str">
        <f>Contexto!B16</f>
        <v>Avances Tecnológicos</v>
      </c>
      <c r="C14" s="188">
        <v>4</v>
      </c>
      <c r="D14" s="188">
        <v>5</v>
      </c>
      <c r="E14" s="188">
        <v>5</v>
      </c>
      <c r="F14" s="188"/>
      <c r="G14" s="188"/>
      <c r="H14" s="188"/>
      <c r="I14" s="188"/>
      <c r="J14" s="188"/>
      <c r="K14" s="188"/>
      <c r="L14" s="188"/>
      <c r="M14" s="188"/>
      <c r="N14" s="188"/>
      <c r="O14" s="188"/>
      <c r="P14" s="188"/>
      <c r="Q14" s="188"/>
      <c r="R14" s="187">
        <f t="shared" si="1"/>
        <v>14</v>
      </c>
      <c r="S14" s="189">
        <f t="shared" si="0"/>
        <v>4.666666666666667</v>
      </c>
      <c r="T14" s="201"/>
    </row>
    <row r="15" spans="1:24" ht="46.2" customHeight="1" x14ac:dyDescent="0.3">
      <c r="A15" s="215">
        <v>6</v>
      </c>
      <c r="B15" s="174" t="str">
        <f>Contexto!B17</f>
        <v>Falta de socialización de los mecanismos de comunicación para con los ciudadanos</v>
      </c>
      <c r="C15" s="188">
        <v>5</v>
      </c>
      <c r="D15" s="188">
        <v>4</v>
      </c>
      <c r="E15" s="188">
        <v>5</v>
      </c>
      <c r="F15" s="188"/>
      <c r="G15" s="188"/>
      <c r="H15" s="188"/>
      <c r="I15" s="188"/>
      <c r="J15" s="188"/>
      <c r="K15" s="188"/>
      <c r="L15" s="188"/>
      <c r="M15" s="188"/>
      <c r="N15" s="188"/>
      <c r="O15" s="188"/>
      <c r="P15" s="188"/>
      <c r="Q15" s="188"/>
      <c r="R15" s="187">
        <f t="shared" si="1"/>
        <v>14</v>
      </c>
      <c r="S15" s="189">
        <f t="shared" si="0"/>
        <v>4.666666666666667</v>
      </c>
      <c r="T15" s="201"/>
    </row>
    <row r="16" spans="1:24" ht="46.2" customHeight="1" x14ac:dyDescent="0.3">
      <c r="A16" s="215">
        <v>7</v>
      </c>
      <c r="B16" s="174" t="str">
        <f>Contexto!B18</f>
        <v>Declaratoria de emergencias por Pandemias o catastrofes naturales.</v>
      </c>
      <c r="C16" s="188">
        <v>4</v>
      </c>
      <c r="D16" s="188">
        <v>5</v>
      </c>
      <c r="E16" s="188">
        <v>5</v>
      </c>
      <c r="F16" s="188"/>
      <c r="G16" s="188"/>
      <c r="H16" s="188"/>
      <c r="I16" s="188"/>
      <c r="J16" s="188"/>
      <c r="K16" s="188"/>
      <c r="L16" s="188"/>
      <c r="M16" s="188"/>
      <c r="N16" s="188"/>
      <c r="O16" s="188"/>
      <c r="P16" s="188"/>
      <c r="Q16" s="188"/>
      <c r="R16" s="187">
        <f t="shared" si="1"/>
        <v>14</v>
      </c>
      <c r="S16" s="189">
        <f t="shared" si="0"/>
        <v>4.666666666666667</v>
      </c>
      <c r="T16" s="201"/>
      <c r="X16" s="67"/>
    </row>
    <row r="17" spans="1:24" ht="46.2" customHeight="1" x14ac:dyDescent="0.3">
      <c r="A17" s="215">
        <v>8</v>
      </c>
      <c r="B17" s="174" t="s">
        <v>357</v>
      </c>
      <c r="C17" s="188">
        <v>4</v>
      </c>
      <c r="D17" s="188">
        <v>5</v>
      </c>
      <c r="E17" s="188">
        <v>5</v>
      </c>
      <c r="F17" s="188"/>
      <c r="G17" s="188"/>
      <c r="H17" s="188"/>
      <c r="I17" s="188"/>
      <c r="J17" s="188"/>
      <c r="K17" s="188"/>
      <c r="L17" s="188"/>
      <c r="M17" s="188"/>
      <c r="N17" s="188"/>
      <c r="O17" s="188"/>
      <c r="P17" s="188"/>
      <c r="Q17" s="188"/>
      <c r="R17" s="187">
        <f t="shared" si="1"/>
        <v>14</v>
      </c>
      <c r="S17" s="189">
        <f t="shared" si="0"/>
        <v>4.666666666666667</v>
      </c>
      <c r="T17" s="201"/>
      <c r="X17" s="67"/>
    </row>
    <row r="18" spans="1:24" ht="62.4" customHeight="1" x14ac:dyDescent="0.3">
      <c r="A18" s="220">
        <v>9</v>
      </c>
      <c r="B18" s="174" t="str">
        <f>Contexto!D12</f>
        <v>Baja competencia del personal frente al manejo de las PQRSD, orientación y atención al ciudadano</v>
      </c>
      <c r="C18" s="188">
        <v>4</v>
      </c>
      <c r="D18" s="188">
        <v>4</v>
      </c>
      <c r="E18" s="188">
        <v>5</v>
      </c>
      <c r="F18" s="188"/>
      <c r="G18" s="188"/>
      <c r="H18" s="188"/>
      <c r="I18" s="188"/>
      <c r="J18" s="188"/>
      <c r="K18" s="188"/>
      <c r="L18" s="188"/>
      <c r="M18" s="188"/>
      <c r="N18" s="188"/>
      <c r="O18" s="188"/>
      <c r="P18" s="188"/>
      <c r="Q18" s="188"/>
      <c r="R18" s="187">
        <f t="shared" si="1"/>
        <v>13</v>
      </c>
      <c r="S18" s="189">
        <f t="shared" si="0"/>
        <v>4.333333333333333</v>
      </c>
      <c r="T18" s="201"/>
    </row>
    <row r="19" spans="1:24" ht="44.4" customHeight="1" x14ac:dyDescent="0.3">
      <c r="A19" s="220">
        <v>10</v>
      </c>
      <c r="B19" s="174" t="str">
        <f>Contexto!D13</f>
        <v>Personal insuficiente para realizar las actividades del Proceso</v>
      </c>
      <c r="C19" s="188">
        <v>4</v>
      </c>
      <c r="D19" s="188">
        <v>5</v>
      </c>
      <c r="E19" s="188">
        <v>4</v>
      </c>
      <c r="F19" s="188"/>
      <c r="G19" s="188"/>
      <c r="H19" s="188"/>
      <c r="I19" s="188"/>
      <c r="J19" s="188"/>
      <c r="K19" s="188"/>
      <c r="L19" s="188"/>
      <c r="M19" s="188"/>
      <c r="N19" s="188"/>
      <c r="O19" s="188"/>
      <c r="P19" s="188"/>
      <c r="Q19" s="188"/>
      <c r="R19" s="187">
        <f t="shared" si="1"/>
        <v>13</v>
      </c>
      <c r="S19" s="189">
        <f t="shared" si="0"/>
        <v>4.333333333333333</v>
      </c>
      <c r="T19" s="201"/>
    </row>
    <row r="20" spans="1:24" ht="36" customHeight="1" x14ac:dyDescent="0.3">
      <c r="A20" s="220">
        <v>11</v>
      </c>
      <c r="B20" s="174" t="str">
        <f>Contexto!D14</f>
        <v>Insuficiente capacitación del personal</v>
      </c>
      <c r="C20" s="188">
        <v>4</v>
      </c>
      <c r="D20" s="188">
        <v>4</v>
      </c>
      <c r="E20" s="188">
        <v>5</v>
      </c>
      <c r="F20" s="188"/>
      <c r="G20" s="188"/>
      <c r="H20" s="188"/>
      <c r="I20" s="188"/>
      <c r="J20" s="188"/>
      <c r="K20" s="188"/>
      <c r="L20" s="188"/>
      <c r="M20" s="188"/>
      <c r="N20" s="188"/>
      <c r="O20" s="188"/>
      <c r="P20" s="188"/>
      <c r="Q20" s="188"/>
      <c r="R20" s="187">
        <f t="shared" si="1"/>
        <v>13</v>
      </c>
      <c r="S20" s="189">
        <f t="shared" si="0"/>
        <v>4.333333333333333</v>
      </c>
      <c r="T20" s="201"/>
    </row>
    <row r="21" spans="1:24" ht="51.6" customHeight="1" x14ac:dyDescent="0.3">
      <c r="A21" s="220">
        <v>12</v>
      </c>
      <c r="B21" s="174" t="str">
        <f>Contexto!D15</f>
        <v>Falta de comportamientos de integridad de lo público del Servidor que recibe la PQRSD</v>
      </c>
      <c r="C21" s="188">
        <v>1</v>
      </c>
      <c r="D21" s="188">
        <v>1</v>
      </c>
      <c r="E21" s="188">
        <v>1</v>
      </c>
      <c r="F21" s="188"/>
      <c r="G21" s="188"/>
      <c r="H21" s="188"/>
      <c r="I21" s="188"/>
      <c r="J21" s="188"/>
      <c r="K21" s="188"/>
      <c r="L21" s="188"/>
      <c r="M21" s="188"/>
      <c r="N21" s="188"/>
      <c r="O21" s="188"/>
      <c r="P21" s="188"/>
      <c r="Q21" s="188"/>
      <c r="R21" s="187">
        <f t="shared" si="1"/>
        <v>3</v>
      </c>
      <c r="S21" s="189">
        <f t="shared" si="0"/>
        <v>1</v>
      </c>
      <c r="T21" s="201"/>
      <c r="X21" s="67"/>
    </row>
    <row r="22" spans="1:24" ht="33.75" customHeight="1" x14ac:dyDescent="0.3">
      <c r="A22" s="220">
        <v>13</v>
      </c>
      <c r="B22" s="174" t="str">
        <f>Contexto!D16</f>
        <v>Bajo presupuesto de funcionamiento.</v>
      </c>
      <c r="C22" s="188">
        <v>4</v>
      </c>
      <c r="D22" s="188">
        <v>5</v>
      </c>
      <c r="E22" s="188">
        <v>4</v>
      </c>
      <c r="F22" s="188"/>
      <c r="G22" s="188"/>
      <c r="H22" s="188"/>
      <c r="I22" s="188"/>
      <c r="J22" s="188"/>
      <c r="K22" s="188"/>
      <c r="L22" s="188"/>
      <c r="M22" s="188"/>
      <c r="N22" s="188"/>
      <c r="O22" s="188"/>
      <c r="P22" s="188"/>
      <c r="Q22" s="188"/>
      <c r="R22" s="187">
        <f t="shared" si="1"/>
        <v>13</v>
      </c>
      <c r="S22" s="189">
        <f t="shared" si="0"/>
        <v>4.333333333333333</v>
      </c>
      <c r="T22" s="201"/>
    </row>
    <row r="23" spans="1:24" ht="33.75" customHeight="1" x14ac:dyDescent="0.3">
      <c r="A23" s="220">
        <v>14</v>
      </c>
      <c r="B23" s="174" t="str">
        <f>Contexto!D17</f>
        <v xml:space="preserve">Falta de Infraestructura, capacidad instalada </v>
      </c>
      <c r="C23" s="188">
        <v>4</v>
      </c>
      <c r="D23" s="188">
        <v>4</v>
      </c>
      <c r="E23" s="188">
        <v>5</v>
      </c>
      <c r="F23" s="188"/>
      <c r="G23" s="188"/>
      <c r="H23" s="188"/>
      <c r="I23" s="188"/>
      <c r="J23" s="188"/>
      <c r="K23" s="188"/>
      <c r="L23" s="188"/>
      <c r="M23" s="188"/>
      <c r="N23" s="188"/>
      <c r="O23" s="188"/>
      <c r="P23" s="188"/>
      <c r="Q23" s="188"/>
      <c r="R23" s="187">
        <f t="shared" si="1"/>
        <v>13</v>
      </c>
      <c r="S23" s="189">
        <f t="shared" si="0"/>
        <v>4.333333333333333</v>
      </c>
      <c r="T23" s="201"/>
    </row>
    <row r="24" spans="1:24" ht="48" customHeight="1" x14ac:dyDescent="0.3">
      <c r="A24" s="220">
        <v>15</v>
      </c>
      <c r="B24" s="174" t="str">
        <f>Contexto!D18</f>
        <v>Falta de equipos tecnologicos optimos en algunos de los puntos de atención</v>
      </c>
      <c r="C24" s="188">
        <v>4</v>
      </c>
      <c r="D24" s="188">
        <v>5</v>
      </c>
      <c r="E24" s="188">
        <v>4</v>
      </c>
      <c r="F24" s="188"/>
      <c r="G24" s="188"/>
      <c r="H24" s="188"/>
      <c r="I24" s="188"/>
      <c r="J24" s="188"/>
      <c r="K24" s="188"/>
      <c r="L24" s="188"/>
      <c r="M24" s="188"/>
      <c r="N24" s="188"/>
      <c r="O24" s="188"/>
      <c r="P24" s="188"/>
      <c r="Q24" s="188"/>
      <c r="R24" s="187">
        <f t="shared" si="1"/>
        <v>13</v>
      </c>
      <c r="S24" s="189">
        <f t="shared" si="0"/>
        <v>4.333333333333333</v>
      </c>
      <c r="T24" s="201"/>
    </row>
    <row r="25" spans="1:24" ht="43.95" customHeight="1" x14ac:dyDescent="0.3">
      <c r="A25" s="220">
        <v>16</v>
      </c>
      <c r="B25" s="174" t="str">
        <f>Contexto!D19</f>
        <v xml:space="preserve">Baja cobertura de acceso de internet en los puntos de atención. </v>
      </c>
      <c r="C25" s="188">
        <v>4</v>
      </c>
      <c r="D25" s="188">
        <v>4</v>
      </c>
      <c r="E25" s="188">
        <v>5</v>
      </c>
      <c r="F25" s="188"/>
      <c r="G25" s="188"/>
      <c r="H25" s="188"/>
      <c r="I25" s="188"/>
      <c r="J25" s="188"/>
      <c r="K25" s="188"/>
      <c r="L25" s="188"/>
      <c r="M25" s="188"/>
      <c r="N25" s="188"/>
      <c r="O25" s="188"/>
      <c r="P25" s="188"/>
      <c r="Q25" s="188"/>
      <c r="R25" s="187">
        <f t="shared" si="1"/>
        <v>13</v>
      </c>
      <c r="S25" s="189">
        <f t="shared" si="0"/>
        <v>4.333333333333333</v>
      </c>
      <c r="T25" s="201"/>
    </row>
    <row r="26" spans="1:24" ht="62.25" customHeight="1" x14ac:dyDescent="0.3">
      <c r="A26" s="220">
        <v>17</v>
      </c>
      <c r="B26" s="174" t="str">
        <f>Contexto!D20</f>
        <v>Baja efectividad y fluidez en los canales de información, necesarios para el desarrollo de las operaciones</v>
      </c>
      <c r="C26" s="188">
        <v>4</v>
      </c>
      <c r="D26" s="188">
        <v>5</v>
      </c>
      <c r="E26" s="188">
        <v>4</v>
      </c>
      <c r="F26" s="188"/>
      <c r="G26" s="188"/>
      <c r="H26" s="188"/>
      <c r="I26" s="188"/>
      <c r="J26" s="188"/>
      <c r="K26" s="188"/>
      <c r="L26" s="188"/>
      <c r="M26" s="188"/>
      <c r="N26" s="188"/>
      <c r="O26" s="188"/>
      <c r="P26" s="188"/>
      <c r="Q26" s="188"/>
      <c r="R26" s="187">
        <f t="shared" si="1"/>
        <v>13</v>
      </c>
      <c r="S26" s="189">
        <f t="shared" si="0"/>
        <v>4.333333333333333</v>
      </c>
      <c r="T26" s="201"/>
    </row>
    <row r="27" spans="1:24" ht="62.25" customHeight="1" x14ac:dyDescent="0.3">
      <c r="A27" s="220">
        <v>18</v>
      </c>
      <c r="B27" s="232" t="s">
        <v>358</v>
      </c>
      <c r="C27" s="188">
        <v>3</v>
      </c>
      <c r="D27" s="188">
        <v>2</v>
      </c>
      <c r="E27" s="188">
        <v>3</v>
      </c>
      <c r="F27" s="188"/>
      <c r="G27" s="188"/>
      <c r="H27" s="188"/>
      <c r="I27" s="188"/>
      <c r="J27" s="188"/>
      <c r="K27" s="188"/>
      <c r="L27" s="188"/>
      <c r="M27" s="188"/>
      <c r="N27" s="188"/>
      <c r="O27" s="188"/>
      <c r="P27" s="188"/>
      <c r="Q27" s="188"/>
      <c r="R27" s="187">
        <f t="shared" si="1"/>
        <v>8</v>
      </c>
      <c r="S27" s="189">
        <f t="shared" si="0"/>
        <v>2.6666666666666665</v>
      </c>
      <c r="T27" s="201"/>
    </row>
    <row r="28" spans="1:24" ht="62.25" customHeight="1" x14ac:dyDescent="0.3">
      <c r="A28" s="220">
        <v>19</v>
      </c>
      <c r="B28" s="232" t="s">
        <v>359</v>
      </c>
      <c r="C28" s="188">
        <v>5</v>
      </c>
      <c r="D28" s="188">
        <v>5</v>
      </c>
      <c r="E28" s="188">
        <v>5</v>
      </c>
      <c r="F28" s="188"/>
      <c r="G28" s="188"/>
      <c r="H28" s="188"/>
      <c r="I28" s="188"/>
      <c r="J28" s="188"/>
      <c r="K28" s="188"/>
      <c r="L28" s="188"/>
      <c r="M28" s="188"/>
      <c r="N28" s="188"/>
      <c r="O28" s="188"/>
      <c r="P28" s="188"/>
      <c r="Q28" s="188"/>
      <c r="R28" s="187">
        <f t="shared" si="1"/>
        <v>15</v>
      </c>
      <c r="S28" s="189">
        <f t="shared" si="0"/>
        <v>5</v>
      </c>
      <c r="T28" s="201"/>
    </row>
    <row r="29" spans="1:24" ht="62.25" customHeight="1" x14ac:dyDescent="0.3">
      <c r="A29" s="220">
        <v>20</v>
      </c>
      <c r="B29" s="232" t="s">
        <v>360</v>
      </c>
      <c r="C29" s="188">
        <v>5</v>
      </c>
      <c r="D29" s="188">
        <v>5</v>
      </c>
      <c r="E29" s="188">
        <v>4</v>
      </c>
      <c r="F29" s="188"/>
      <c r="G29" s="188"/>
      <c r="H29" s="188"/>
      <c r="I29" s="188"/>
      <c r="J29" s="188"/>
      <c r="K29" s="188"/>
      <c r="L29" s="188"/>
      <c r="M29" s="188"/>
      <c r="N29" s="188"/>
      <c r="O29" s="188"/>
      <c r="P29" s="188"/>
      <c r="Q29" s="188"/>
      <c r="R29" s="187">
        <f t="shared" si="1"/>
        <v>14</v>
      </c>
      <c r="S29" s="189">
        <f t="shared" si="0"/>
        <v>4.666666666666667</v>
      </c>
      <c r="T29" s="201"/>
    </row>
    <row r="30" spans="1:24" ht="117.75" customHeight="1" x14ac:dyDescent="0.3">
      <c r="A30" s="220">
        <v>21</v>
      </c>
      <c r="B30" s="232" t="s">
        <v>361</v>
      </c>
      <c r="C30" s="188">
        <v>4</v>
      </c>
      <c r="D30" s="188">
        <v>5</v>
      </c>
      <c r="E30" s="188">
        <v>5</v>
      </c>
      <c r="F30" s="188"/>
      <c r="G30" s="188"/>
      <c r="H30" s="188"/>
      <c r="I30" s="188"/>
      <c r="J30" s="188"/>
      <c r="K30" s="188"/>
      <c r="L30" s="188"/>
      <c r="M30" s="188"/>
      <c r="N30" s="188"/>
      <c r="O30" s="188"/>
      <c r="P30" s="188"/>
      <c r="Q30" s="188"/>
      <c r="R30" s="187">
        <f t="shared" si="1"/>
        <v>14</v>
      </c>
      <c r="S30" s="189">
        <f t="shared" si="0"/>
        <v>4.666666666666667</v>
      </c>
      <c r="T30" s="201"/>
    </row>
    <row r="31" spans="1:24" ht="62.25" customHeight="1" x14ac:dyDescent="0.3">
      <c r="A31" s="220">
        <v>22</v>
      </c>
      <c r="B31" s="232" t="s">
        <v>362</v>
      </c>
      <c r="C31" s="188">
        <v>5</v>
      </c>
      <c r="D31" s="188">
        <v>5</v>
      </c>
      <c r="E31" s="188">
        <v>4</v>
      </c>
      <c r="F31" s="188"/>
      <c r="G31" s="188"/>
      <c r="H31" s="188"/>
      <c r="I31" s="188"/>
      <c r="J31" s="188"/>
      <c r="K31" s="188"/>
      <c r="L31" s="188"/>
      <c r="M31" s="188"/>
      <c r="N31" s="188"/>
      <c r="O31" s="188"/>
      <c r="P31" s="188"/>
      <c r="Q31" s="188"/>
      <c r="R31" s="187">
        <f t="shared" si="1"/>
        <v>14</v>
      </c>
      <c r="S31" s="189">
        <f t="shared" si="0"/>
        <v>4.666666666666667</v>
      </c>
      <c r="T31" s="201"/>
    </row>
    <row r="32" spans="1:24" ht="105.6" customHeight="1" x14ac:dyDescent="0.3">
      <c r="A32" s="224">
        <v>23</v>
      </c>
      <c r="B32" s="174" t="str">
        <f>Contexto!F12</f>
        <v>Incumplimiento en los términos establecidos por la ley de algunas unidades administrativas para dar respuesta a las PQRSD - Derechos de Petición realizadas por los ciudadanos</v>
      </c>
      <c r="C32" s="188">
        <v>4</v>
      </c>
      <c r="D32" s="188">
        <v>5</v>
      </c>
      <c r="E32" s="188">
        <v>4</v>
      </c>
      <c r="F32" s="188"/>
      <c r="G32" s="188"/>
      <c r="H32" s="188"/>
      <c r="I32" s="188"/>
      <c r="J32" s="188"/>
      <c r="K32" s="188"/>
      <c r="L32" s="188"/>
      <c r="M32" s="188"/>
      <c r="N32" s="188"/>
      <c r="O32" s="188"/>
      <c r="P32" s="188"/>
      <c r="Q32" s="188"/>
      <c r="R32" s="187">
        <f t="shared" si="1"/>
        <v>13</v>
      </c>
      <c r="S32" s="189">
        <f t="shared" si="0"/>
        <v>4.333333333333333</v>
      </c>
      <c r="T32" s="201"/>
    </row>
    <row r="33" spans="1:20" ht="51.6" customHeight="1" x14ac:dyDescent="0.3">
      <c r="A33" s="224">
        <v>24</v>
      </c>
      <c r="B33" s="174" t="str">
        <f>Contexto!F13</f>
        <v>Demora en el direcionamiento de las PQRSD para su respectivas respuestas</v>
      </c>
      <c r="C33" s="188">
        <v>4</v>
      </c>
      <c r="D33" s="188">
        <v>5</v>
      </c>
      <c r="E33" s="188">
        <v>4</v>
      </c>
      <c r="F33" s="188"/>
      <c r="G33" s="188"/>
      <c r="H33" s="188"/>
      <c r="I33" s="188"/>
      <c r="J33" s="188"/>
      <c r="K33" s="188"/>
      <c r="L33" s="188"/>
      <c r="M33" s="188"/>
      <c r="N33" s="188"/>
      <c r="O33" s="188"/>
      <c r="P33" s="188"/>
      <c r="Q33" s="188"/>
      <c r="R33" s="187">
        <f t="shared" si="1"/>
        <v>13</v>
      </c>
      <c r="S33" s="189">
        <f t="shared" si="0"/>
        <v>4.333333333333333</v>
      </c>
      <c r="T33" s="201"/>
    </row>
    <row r="34" spans="1:20" ht="79.5" customHeight="1" x14ac:dyDescent="0.3">
      <c r="A34" s="224">
        <v>25</v>
      </c>
      <c r="B34" s="174" t="str">
        <f>Contexto!F14</f>
        <v>Falta de seguimiento a los tiempos de respuestas de las PQRSD - Derechos de Petición formuladas a la entidad</v>
      </c>
      <c r="C34" s="188">
        <v>5</v>
      </c>
      <c r="D34" s="188">
        <v>5</v>
      </c>
      <c r="E34" s="188">
        <v>5</v>
      </c>
      <c r="F34" s="188"/>
      <c r="G34" s="188"/>
      <c r="H34" s="188"/>
      <c r="I34" s="188"/>
      <c r="J34" s="188"/>
      <c r="K34" s="188"/>
      <c r="L34" s="188"/>
      <c r="M34" s="188"/>
      <c r="N34" s="188"/>
      <c r="O34" s="188"/>
      <c r="P34" s="188"/>
      <c r="Q34" s="188"/>
      <c r="R34" s="187">
        <f t="shared" si="1"/>
        <v>15</v>
      </c>
      <c r="S34" s="189">
        <f t="shared" si="0"/>
        <v>5</v>
      </c>
      <c r="T34" s="201"/>
    </row>
    <row r="35" spans="1:20" ht="44.4" customHeight="1" x14ac:dyDescent="0.3">
      <c r="A35" s="224">
        <v>26</v>
      </c>
      <c r="B35" s="174" t="str">
        <f>Contexto!F15</f>
        <v>Errores en la clasificación del tipo de petición - Derechos de Petición.</v>
      </c>
      <c r="C35" s="188">
        <v>4</v>
      </c>
      <c r="D35" s="188">
        <v>5</v>
      </c>
      <c r="E35" s="188">
        <v>5</v>
      </c>
      <c r="F35" s="188"/>
      <c r="G35" s="188"/>
      <c r="H35" s="188"/>
      <c r="I35" s="188"/>
      <c r="J35" s="188"/>
      <c r="K35" s="188"/>
      <c r="L35" s="188"/>
      <c r="M35" s="188"/>
      <c r="N35" s="188"/>
      <c r="O35" s="188"/>
      <c r="P35" s="188"/>
      <c r="Q35" s="188"/>
      <c r="R35" s="187">
        <f t="shared" si="1"/>
        <v>14</v>
      </c>
      <c r="S35" s="189">
        <f t="shared" si="0"/>
        <v>4.666666666666667</v>
      </c>
      <c r="T35" s="201"/>
    </row>
    <row r="36" spans="1:20" ht="45" customHeight="1" x14ac:dyDescent="0.3">
      <c r="A36" s="224">
        <v>27</v>
      </c>
      <c r="B36" s="174" t="str">
        <f>Contexto!F16</f>
        <v>Errores en el direccionamiento del tipo de petición - Derechos de Petición.</v>
      </c>
      <c r="C36" s="188">
        <v>4</v>
      </c>
      <c r="D36" s="188">
        <v>5</v>
      </c>
      <c r="E36" s="188">
        <v>5</v>
      </c>
      <c r="F36" s="188"/>
      <c r="G36" s="188"/>
      <c r="H36" s="188"/>
      <c r="I36" s="188"/>
      <c r="J36" s="188"/>
      <c r="K36" s="188"/>
      <c r="L36" s="188"/>
      <c r="M36" s="188"/>
      <c r="N36" s="188"/>
      <c r="O36" s="188"/>
      <c r="P36" s="188"/>
      <c r="Q36" s="188"/>
      <c r="R36" s="187">
        <f t="shared" si="1"/>
        <v>14</v>
      </c>
      <c r="S36" s="189">
        <f t="shared" si="0"/>
        <v>4.666666666666667</v>
      </c>
      <c r="T36" s="201"/>
    </row>
    <row r="37" spans="1:20" ht="45" customHeight="1" x14ac:dyDescent="0.3">
      <c r="A37" s="224">
        <v>28</v>
      </c>
      <c r="B37" s="174" t="s">
        <v>218</v>
      </c>
      <c r="C37" s="235">
        <v>5</v>
      </c>
      <c r="D37" s="236">
        <v>4</v>
      </c>
      <c r="E37" s="236">
        <v>4</v>
      </c>
      <c r="F37" s="188"/>
      <c r="G37" s="188"/>
      <c r="H37" s="188"/>
      <c r="I37" s="188"/>
      <c r="J37" s="188"/>
      <c r="K37" s="188"/>
      <c r="L37" s="188"/>
      <c r="M37" s="188"/>
      <c r="N37" s="188"/>
      <c r="O37" s="188"/>
      <c r="P37" s="188"/>
      <c r="Q37" s="188"/>
      <c r="R37" s="187">
        <f t="shared" si="1"/>
        <v>13</v>
      </c>
      <c r="S37" s="189">
        <f t="shared" si="0"/>
        <v>4.333333333333333</v>
      </c>
      <c r="T37" s="201"/>
    </row>
    <row r="38" spans="1:20" ht="101.25" customHeight="1" x14ac:dyDescent="0.3">
      <c r="A38" s="224">
        <v>29</v>
      </c>
      <c r="B38" s="234" t="s">
        <v>363</v>
      </c>
      <c r="C38" s="233">
        <v>5</v>
      </c>
      <c r="D38" s="188">
        <v>5</v>
      </c>
      <c r="E38" s="188">
        <v>4</v>
      </c>
      <c r="F38" s="188"/>
      <c r="G38" s="188"/>
      <c r="H38" s="188"/>
      <c r="I38" s="188"/>
      <c r="J38" s="188"/>
      <c r="K38" s="188"/>
      <c r="L38" s="188"/>
      <c r="M38" s="188"/>
      <c r="N38" s="188"/>
      <c r="O38" s="188"/>
      <c r="P38" s="188"/>
      <c r="Q38" s="188"/>
      <c r="R38" s="187">
        <f t="shared" si="1"/>
        <v>14</v>
      </c>
      <c r="S38" s="191">
        <f t="shared" si="0"/>
        <v>4.666666666666667</v>
      </c>
      <c r="T38" s="201"/>
    </row>
    <row r="39" spans="1:20" ht="101.25" customHeight="1" x14ac:dyDescent="0.3">
      <c r="A39" s="224">
        <v>30</v>
      </c>
      <c r="B39" s="234" t="s">
        <v>364</v>
      </c>
      <c r="C39" s="233">
        <v>5</v>
      </c>
      <c r="D39" s="188">
        <v>4</v>
      </c>
      <c r="E39" s="188">
        <v>5</v>
      </c>
      <c r="F39" s="188"/>
      <c r="G39" s="188"/>
      <c r="H39" s="188"/>
      <c r="I39" s="188"/>
      <c r="J39" s="188"/>
      <c r="K39" s="188"/>
      <c r="L39" s="188"/>
      <c r="M39" s="188"/>
      <c r="N39" s="188"/>
      <c r="O39" s="188"/>
      <c r="P39" s="188"/>
      <c r="Q39" s="188"/>
      <c r="R39" s="187">
        <f t="shared" si="1"/>
        <v>14</v>
      </c>
      <c r="S39" s="191">
        <f t="shared" si="0"/>
        <v>4.666666666666667</v>
      </c>
      <c r="T39" s="201"/>
    </row>
    <row r="40" spans="1:20" ht="101.25" customHeight="1" x14ac:dyDescent="0.3">
      <c r="A40" s="224">
        <v>31</v>
      </c>
      <c r="B40" s="234" t="s">
        <v>365</v>
      </c>
      <c r="C40" s="233">
        <v>5</v>
      </c>
      <c r="D40" s="188">
        <v>5</v>
      </c>
      <c r="E40" s="188">
        <v>5</v>
      </c>
      <c r="F40" s="188"/>
      <c r="G40" s="188"/>
      <c r="H40" s="188"/>
      <c r="I40" s="188"/>
      <c r="J40" s="188"/>
      <c r="K40" s="188"/>
      <c r="L40" s="188"/>
      <c r="M40" s="188"/>
      <c r="N40" s="188"/>
      <c r="O40" s="188"/>
      <c r="P40" s="188"/>
      <c r="Q40" s="188"/>
      <c r="R40" s="187">
        <f t="shared" si="1"/>
        <v>15</v>
      </c>
      <c r="S40" s="191">
        <f t="shared" si="0"/>
        <v>5</v>
      </c>
      <c r="T40" s="201"/>
    </row>
    <row r="41" spans="1:20" ht="101.25" customHeight="1" x14ac:dyDescent="0.3">
      <c r="A41" s="224">
        <v>32</v>
      </c>
      <c r="B41" s="234" t="s">
        <v>369</v>
      </c>
      <c r="C41" s="233">
        <v>5</v>
      </c>
      <c r="D41" s="188">
        <v>4</v>
      </c>
      <c r="E41" s="188">
        <v>5</v>
      </c>
      <c r="F41" s="188"/>
      <c r="G41" s="188"/>
      <c r="H41" s="188"/>
      <c r="I41" s="188"/>
      <c r="J41" s="188"/>
      <c r="K41" s="188"/>
      <c r="L41" s="188"/>
      <c r="M41" s="188"/>
      <c r="N41" s="188"/>
      <c r="O41" s="188"/>
      <c r="P41" s="188"/>
      <c r="Q41" s="188"/>
      <c r="R41" s="187">
        <f t="shared" si="1"/>
        <v>14</v>
      </c>
      <c r="S41" s="191">
        <f t="shared" si="0"/>
        <v>4.666666666666667</v>
      </c>
      <c r="T41" s="201"/>
    </row>
    <row r="42" spans="1:20" ht="101.25" customHeight="1" x14ac:dyDescent="0.3">
      <c r="A42" s="224">
        <v>33</v>
      </c>
      <c r="B42" s="234" t="s">
        <v>370</v>
      </c>
      <c r="C42" s="233">
        <v>5</v>
      </c>
      <c r="D42" s="188">
        <v>5</v>
      </c>
      <c r="E42" s="188">
        <v>4</v>
      </c>
      <c r="F42" s="188"/>
      <c r="G42" s="188"/>
      <c r="H42" s="188"/>
      <c r="I42" s="188"/>
      <c r="J42" s="188"/>
      <c r="K42" s="188"/>
      <c r="L42" s="188"/>
      <c r="M42" s="188"/>
      <c r="N42" s="188"/>
      <c r="O42" s="188"/>
      <c r="P42" s="188"/>
      <c r="Q42" s="188"/>
      <c r="R42" s="187">
        <f t="shared" si="1"/>
        <v>14</v>
      </c>
      <c r="S42" s="191">
        <f t="shared" si="0"/>
        <v>4.666666666666667</v>
      </c>
      <c r="T42" s="201"/>
    </row>
    <row r="43" spans="1:20" ht="101.25" customHeight="1" x14ac:dyDescent="0.3">
      <c r="A43" s="224">
        <v>34</v>
      </c>
      <c r="B43" s="234" t="s">
        <v>368</v>
      </c>
      <c r="C43" s="233">
        <v>4</v>
      </c>
      <c r="D43" s="188">
        <v>5</v>
      </c>
      <c r="E43" s="188">
        <v>5</v>
      </c>
      <c r="F43" s="188"/>
      <c r="G43" s="188"/>
      <c r="H43" s="188"/>
      <c r="I43" s="188"/>
      <c r="J43" s="188"/>
      <c r="K43" s="188"/>
      <c r="L43" s="188"/>
      <c r="M43" s="188"/>
      <c r="N43" s="188"/>
      <c r="O43" s="188"/>
      <c r="P43" s="188"/>
      <c r="Q43" s="188"/>
      <c r="R43" s="187">
        <f t="shared" si="1"/>
        <v>14</v>
      </c>
      <c r="S43" s="191">
        <f t="shared" si="0"/>
        <v>4.666666666666667</v>
      </c>
      <c r="T43" s="201"/>
    </row>
    <row r="44" spans="1:20" ht="22.5" customHeight="1" x14ac:dyDescent="0.3">
      <c r="A44" s="187">
        <v>35</v>
      </c>
      <c r="B44" s="174"/>
      <c r="C44" s="188"/>
      <c r="D44" s="188"/>
      <c r="E44" s="188"/>
      <c r="F44" s="188"/>
      <c r="G44" s="188"/>
      <c r="H44" s="188"/>
      <c r="I44" s="188"/>
      <c r="J44" s="188"/>
      <c r="K44" s="188"/>
      <c r="L44" s="188"/>
      <c r="M44" s="188"/>
      <c r="N44" s="188"/>
      <c r="O44" s="188"/>
      <c r="P44" s="188"/>
      <c r="Q44" s="188"/>
      <c r="R44" s="187"/>
      <c r="S44" s="191"/>
      <c r="T44" s="201"/>
    </row>
    <row r="45" spans="1:20" ht="22.5" customHeight="1" x14ac:dyDescent="0.3">
      <c r="A45" s="187">
        <v>36</v>
      </c>
      <c r="B45" s="174"/>
      <c r="C45" s="188"/>
      <c r="D45" s="188"/>
      <c r="E45" s="188"/>
      <c r="F45" s="188"/>
      <c r="G45" s="188"/>
      <c r="H45" s="188"/>
      <c r="I45" s="188"/>
      <c r="J45" s="188"/>
      <c r="K45" s="188"/>
      <c r="L45" s="188"/>
      <c r="M45" s="188"/>
      <c r="N45" s="188"/>
      <c r="O45" s="188"/>
      <c r="P45" s="188"/>
      <c r="Q45" s="188"/>
      <c r="R45" s="187"/>
      <c r="S45" s="191"/>
      <c r="T45" s="201"/>
    </row>
    <row r="46" spans="1:20" ht="22.5" customHeight="1" thickBot="1" x14ac:dyDescent="0.35">
      <c r="A46" s="192">
        <v>37</v>
      </c>
      <c r="B46" s="193"/>
      <c r="C46" s="194"/>
      <c r="D46" s="194"/>
      <c r="E46" s="194"/>
      <c r="F46" s="194"/>
      <c r="G46" s="194"/>
      <c r="H46" s="194"/>
      <c r="I46" s="194"/>
      <c r="J46" s="194"/>
      <c r="K46" s="194"/>
      <c r="L46" s="194"/>
      <c r="M46" s="194"/>
      <c r="N46" s="194"/>
      <c r="O46" s="194"/>
      <c r="P46" s="194"/>
      <c r="Q46" s="194"/>
      <c r="R46" s="192"/>
      <c r="S46" s="195"/>
      <c r="T46" s="202"/>
    </row>
    <row r="47" spans="1:20" x14ac:dyDescent="0.3">
      <c r="A47" s="323" t="s">
        <v>292</v>
      </c>
      <c r="B47" s="324"/>
      <c r="C47" s="324"/>
      <c r="D47" s="324"/>
      <c r="E47" s="324"/>
      <c r="F47" s="324"/>
      <c r="G47" s="324"/>
      <c r="H47" s="324"/>
      <c r="I47" s="324"/>
      <c r="J47" s="324"/>
      <c r="K47" s="324"/>
      <c r="L47" s="324"/>
      <c r="M47" s="324"/>
      <c r="N47" s="324"/>
      <c r="O47" s="324"/>
      <c r="P47" s="324"/>
      <c r="Q47" s="324"/>
      <c r="R47" s="325"/>
      <c r="S47" s="196">
        <f>SUM(S10:S43)</f>
        <v>146</v>
      </c>
    </row>
    <row r="48" spans="1:20" ht="15" thickBot="1" x14ac:dyDescent="0.35">
      <c r="A48" s="326" t="s">
        <v>290</v>
      </c>
      <c r="B48" s="327"/>
      <c r="C48" s="327"/>
      <c r="D48" s="327"/>
      <c r="E48" s="327"/>
      <c r="F48" s="327"/>
      <c r="G48" s="327"/>
      <c r="H48" s="327"/>
      <c r="I48" s="327"/>
      <c r="J48" s="327"/>
      <c r="K48" s="327"/>
      <c r="L48" s="327"/>
      <c r="M48" s="327"/>
      <c r="N48" s="327"/>
      <c r="O48" s="327"/>
      <c r="P48" s="327"/>
      <c r="Q48" s="327"/>
      <c r="R48" s="327"/>
      <c r="S48" s="197">
        <f>S47/A43</f>
        <v>4.2941176470588234</v>
      </c>
    </row>
  </sheetData>
  <mergeCells count="9">
    <mergeCell ref="A47:R47"/>
    <mergeCell ref="A48:R48"/>
    <mergeCell ref="A5:T5"/>
    <mergeCell ref="A6:T6"/>
    <mergeCell ref="C1:Q2"/>
    <mergeCell ref="C3:Q4"/>
    <mergeCell ref="A1:B4"/>
    <mergeCell ref="R1:S4"/>
    <mergeCell ref="A8:T8"/>
  </mergeCells>
  <dataValidations count="1">
    <dataValidation type="whole" showErrorMessage="1" error="DATO INVÁLIDO_x000a_Tenga en cuenta que la escala de calificación va de 1 a 5" sqref="C10:Q46" xr:uid="{1C4DBD56-1C65-4BA1-B76B-45B6ECFCA380}">
      <formula1>1</formula1>
      <formula2>5</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A7540-0A57-4934-A4E4-60C022905C37}">
  <sheetPr codeName="Hoja5"/>
  <dimension ref="A1:N61"/>
  <sheetViews>
    <sheetView workbookViewId="0">
      <selection activeCell="E43" sqref="E43:F43"/>
    </sheetView>
  </sheetViews>
  <sheetFormatPr baseColWidth="10" defaultRowHeight="14.4" x14ac:dyDescent="0.3"/>
  <cols>
    <col min="4" max="4" width="22.33203125" customWidth="1"/>
    <col min="5" max="6" width="27.109375" customWidth="1"/>
    <col min="7" max="8" width="13.5546875" customWidth="1"/>
    <col min="9" max="9" width="15.109375" customWidth="1"/>
    <col min="10" max="10" width="13.5546875" customWidth="1"/>
  </cols>
  <sheetData>
    <row r="1" spans="1:14" s="209" customFormat="1" ht="15" customHeight="1" x14ac:dyDescent="0.25">
      <c r="A1" s="403"/>
      <c r="B1" s="404"/>
      <c r="C1" s="310" t="s">
        <v>348</v>
      </c>
      <c r="D1" s="310"/>
      <c r="E1" s="310"/>
      <c r="F1" s="310"/>
      <c r="G1" s="310"/>
      <c r="H1" s="392" t="s">
        <v>344</v>
      </c>
      <c r="I1" s="393"/>
      <c r="J1" s="394"/>
      <c r="K1" s="208"/>
      <c r="N1" s="313"/>
    </row>
    <row r="2" spans="1:14" s="209" customFormat="1" ht="15" customHeight="1" x14ac:dyDescent="0.25">
      <c r="A2" s="405"/>
      <c r="B2" s="406"/>
      <c r="C2" s="310"/>
      <c r="D2" s="310"/>
      <c r="E2" s="310"/>
      <c r="F2" s="310"/>
      <c r="G2" s="310"/>
      <c r="H2" s="397" t="s">
        <v>338</v>
      </c>
      <c r="I2" s="398"/>
      <c r="J2" s="395"/>
      <c r="K2" s="208"/>
      <c r="N2" s="313"/>
    </row>
    <row r="3" spans="1:14" s="209" customFormat="1" ht="15" customHeight="1" x14ac:dyDescent="0.25">
      <c r="A3" s="405"/>
      <c r="B3" s="406"/>
      <c r="C3" s="402" t="s">
        <v>345</v>
      </c>
      <c r="D3" s="402"/>
      <c r="E3" s="402"/>
      <c r="F3" s="402"/>
      <c r="G3" s="402"/>
      <c r="H3" s="397" t="s">
        <v>340</v>
      </c>
      <c r="I3" s="398"/>
      <c r="J3" s="395"/>
      <c r="K3" s="208"/>
      <c r="N3" s="313"/>
    </row>
    <row r="4" spans="1:14" s="209" customFormat="1" ht="15.75" customHeight="1" x14ac:dyDescent="0.25">
      <c r="A4" s="407"/>
      <c r="B4" s="408"/>
      <c r="C4" s="402"/>
      <c r="D4" s="402"/>
      <c r="E4" s="402"/>
      <c r="F4" s="402"/>
      <c r="G4" s="402"/>
      <c r="H4" s="397" t="s">
        <v>341</v>
      </c>
      <c r="I4" s="398"/>
      <c r="J4" s="396"/>
      <c r="K4" s="208"/>
      <c r="N4" s="313"/>
    </row>
    <row r="5" spans="1:14" s="209" customFormat="1" ht="15.75" customHeight="1" x14ac:dyDescent="0.25">
      <c r="A5" s="399"/>
      <c r="B5" s="400"/>
      <c r="C5" s="400"/>
      <c r="D5" s="400"/>
      <c r="E5" s="400"/>
      <c r="F5" s="400"/>
      <c r="G5" s="400"/>
      <c r="H5" s="400"/>
      <c r="I5" s="400"/>
      <c r="J5" s="401"/>
      <c r="K5" s="208"/>
      <c r="N5" s="211"/>
    </row>
    <row r="6" spans="1:14" x14ac:dyDescent="0.3">
      <c r="A6" s="333" t="str">
        <f>Contexto!A8</f>
        <v>PROCESO: GESTIÓN DEL SERVICIO Y ATENCIÓN AL CIUDADANO</v>
      </c>
      <c r="B6" s="334"/>
      <c r="C6" s="334"/>
      <c r="D6" s="334"/>
      <c r="E6" s="334"/>
      <c r="F6" s="334"/>
      <c r="G6" s="334"/>
      <c r="H6" s="334"/>
      <c r="I6" s="334"/>
      <c r="J6" s="335"/>
    </row>
    <row r="7" spans="1:14" ht="15" thickBot="1" x14ac:dyDescent="0.35">
      <c r="A7" s="336"/>
      <c r="B7" s="337"/>
      <c r="C7" s="337"/>
      <c r="D7" s="337"/>
      <c r="E7" s="337"/>
      <c r="F7" s="337"/>
      <c r="G7" s="337"/>
      <c r="H7" s="337"/>
      <c r="I7" s="337"/>
      <c r="J7" s="338"/>
    </row>
    <row r="8" spans="1:14" ht="17.399999999999999" x14ac:dyDescent="0.3">
      <c r="A8" s="339" t="s">
        <v>293</v>
      </c>
      <c r="B8" s="339"/>
      <c r="C8" s="339"/>
      <c r="D8" s="339"/>
      <c r="E8" s="340" t="s">
        <v>233</v>
      </c>
      <c r="F8" s="341"/>
      <c r="G8" s="341"/>
      <c r="H8" s="341"/>
      <c r="I8" s="341"/>
      <c r="J8" s="342"/>
    </row>
    <row r="9" spans="1:14" ht="17.399999999999999" x14ac:dyDescent="0.3">
      <c r="A9" s="339"/>
      <c r="B9" s="339"/>
      <c r="C9" s="339"/>
      <c r="D9" s="339"/>
      <c r="E9" s="343" t="s">
        <v>294</v>
      </c>
      <c r="F9" s="343"/>
      <c r="G9" s="343" t="s">
        <v>295</v>
      </c>
      <c r="H9" s="343"/>
      <c r="I9" s="343"/>
      <c r="J9" s="343"/>
    </row>
    <row r="10" spans="1:14" ht="17.399999999999999" x14ac:dyDescent="0.3">
      <c r="A10" s="339"/>
      <c r="B10" s="339"/>
      <c r="C10" s="339"/>
      <c r="D10" s="339"/>
      <c r="E10" s="344" t="s">
        <v>296</v>
      </c>
      <c r="F10" s="344"/>
      <c r="G10" s="345" t="s">
        <v>297</v>
      </c>
      <c r="H10" s="346"/>
      <c r="I10" s="346"/>
      <c r="J10" s="347"/>
    </row>
    <row r="11" spans="1:14" ht="57" customHeight="1" x14ac:dyDescent="0.3">
      <c r="A11" s="339"/>
      <c r="B11" s="339"/>
      <c r="C11" s="339"/>
      <c r="D11" s="339"/>
      <c r="E11" s="348" t="s">
        <v>353</v>
      </c>
      <c r="F11" s="349"/>
      <c r="G11" s="350" t="s">
        <v>298</v>
      </c>
      <c r="H11" s="351"/>
      <c r="I11" s="351"/>
      <c r="J11" s="352"/>
    </row>
    <row r="12" spans="1:14" ht="57" customHeight="1" x14ac:dyDescent="0.3">
      <c r="A12" s="339"/>
      <c r="B12" s="339"/>
      <c r="C12" s="339"/>
      <c r="D12" s="339"/>
      <c r="E12" s="348" t="s">
        <v>299</v>
      </c>
      <c r="F12" s="349"/>
      <c r="G12" s="353" t="s">
        <v>300</v>
      </c>
      <c r="H12" s="353"/>
      <c r="I12" s="353"/>
      <c r="J12" s="353"/>
    </row>
    <row r="13" spans="1:14" ht="57" customHeight="1" x14ac:dyDescent="0.3">
      <c r="A13" s="339"/>
      <c r="B13" s="339"/>
      <c r="C13" s="339"/>
      <c r="D13" s="339"/>
      <c r="E13" s="348" t="s">
        <v>402</v>
      </c>
      <c r="F13" s="349"/>
      <c r="G13" s="353" t="s">
        <v>301</v>
      </c>
      <c r="H13" s="353"/>
      <c r="I13" s="353"/>
      <c r="J13" s="353"/>
    </row>
    <row r="14" spans="1:14" ht="57" customHeight="1" x14ac:dyDescent="0.3">
      <c r="A14" s="339"/>
      <c r="B14" s="339"/>
      <c r="C14" s="339"/>
      <c r="D14" s="339"/>
      <c r="E14" s="348" t="s">
        <v>381</v>
      </c>
      <c r="F14" s="349"/>
      <c r="G14" s="355" t="s">
        <v>302</v>
      </c>
      <c r="H14" s="356"/>
      <c r="I14" s="356"/>
      <c r="J14" s="357"/>
    </row>
    <row r="15" spans="1:14" ht="57" customHeight="1" x14ac:dyDescent="0.3">
      <c r="A15" s="339"/>
      <c r="B15" s="339"/>
      <c r="C15" s="339"/>
      <c r="D15" s="339"/>
      <c r="E15" s="348" t="s">
        <v>382</v>
      </c>
      <c r="F15" s="349"/>
      <c r="G15" s="353" t="s">
        <v>303</v>
      </c>
      <c r="H15" s="353"/>
      <c r="I15" s="353"/>
      <c r="J15" s="353"/>
    </row>
    <row r="16" spans="1:14" ht="57" customHeight="1" x14ac:dyDescent="0.3">
      <c r="A16" s="339"/>
      <c r="B16" s="339"/>
      <c r="C16" s="339"/>
      <c r="D16" s="339"/>
      <c r="E16" s="348" t="s">
        <v>383</v>
      </c>
      <c r="F16" s="349"/>
      <c r="G16" s="354" t="s">
        <v>304</v>
      </c>
      <c r="H16" s="354"/>
      <c r="I16" s="354"/>
      <c r="J16" s="354"/>
    </row>
    <row r="17" spans="1:10" ht="57" customHeight="1" x14ac:dyDescent="0.3">
      <c r="A17" s="339"/>
      <c r="B17" s="339"/>
      <c r="C17" s="339"/>
      <c r="D17" s="339"/>
      <c r="E17" s="348" t="s">
        <v>384</v>
      </c>
      <c r="F17" s="349"/>
      <c r="G17" s="353" t="s">
        <v>305</v>
      </c>
      <c r="H17" s="353"/>
      <c r="I17" s="353"/>
      <c r="J17" s="353"/>
    </row>
    <row r="18" spans="1:10" ht="57" customHeight="1" x14ac:dyDescent="0.3">
      <c r="A18" s="339"/>
      <c r="B18" s="339"/>
      <c r="C18" s="339"/>
      <c r="D18" s="339"/>
      <c r="E18" s="348" t="s">
        <v>385</v>
      </c>
      <c r="F18" s="349"/>
      <c r="G18" s="353" t="s">
        <v>306</v>
      </c>
      <c r="H18" s="353"/>
      <c r="I18" s="353"/>
      <c r="J18" s="353"/>
    </row>
    <row r="19" spans="1:10" ht="57" customHeight="1" x14ac:dyDescent="0.3">
      <c r="A19" s="339"/>
      <c r="B19" s="339"/>
      <c r="C19" s="339"/>
      <c r="D19" s="339"/>
      <c r="E19" s="361" t="s">
        <v>386</v>
      </c>
      <c r="F19" s="362"/>
      <c r="G19" s="414" t="s">
        <v>371</v>
      </c>
      <c r="H19" s="415"/>
      <c r="I19" s="415"/>
      <c r="J19" s="416"/>
    </row>
    <row r="20" spans="1:10" ht="57" customHeight="1" x14ac:dyDescent="0.3">
      <c r="A20" s="339"/>
      <c r="B20" s="339"/>
      <c r="C20" s="339"/>
      <c r="D20" s="339"/>
      <c r="E20" s="361" t="s">
        <v>387</v>
      </c>
      <c r="F20" s="362"/>
      <c r="G20" s="417" t="s">
        <v>372</v>
      </c>
      <c r="H20" s="418"/>
      <c r="I20" s="418"/>
      <c r="J20" s="419"/>
    </row>
    <row r="21" spans="1:10" ht="57" customHeight="1" x14ac:dyDescent="0.3">
      <c r="A21" s="339"/>
      <c r="B21" s="339"/>
      <c r="C21" s="339"/>
      <c r="D21" s="339"/>
      <c r="E21" s="361" t="s">
        <v>388</v>
      </c>
      <c r="F21" s="362"/>
      <c r="G21" s="420" t="s">
        <v>373</v>
      </c>
      <c r="H21" s="421"/>
      <c r="I21" s="421"/>
      <c r="J21" s="422"/>
    </row>
    <row r="22" spans="1:10" ht="57" customHeight="1" x14ac:dyDescent="0.3">
      <c r="A22" s="339"/>
      <c r="B22" s="339"/>
      <c r="C22" s="339"/>
      <c r="D22" s="339"/>
      <c r="E22" s="361" t="s">
        <v>389</v>
      </c>
      <c r="F22" s="362"/>
      <c r="G22" s="409"/>
      <c r="H22" s="410"/>
      <c r="I22" s="410"/>
      <c r="J22" s="411"/>
    </row>
    <row r="23" spans="1:10" ht="57" customHeight="1" x14ac:dyDescent="0.3">
      <c r="A23" s="339"/>
      <c r="B23" s="339"/>
      <c r="C23" s="339"/>
      <c r="D23" s="339"/>
      <c r="E23" s="358" t="s">
        <v>390</v>
      </c>
      <c r="F23" s="359"/>
      <c r="G23" s="360"/>
      <c r="H23" s="360"/>
      <c r="I23" s="360"/>
      <c r="J23" s="360"/>
    </row>
    <row r="24" spans="1:10" ht="57" customHeight="1" x14ac:dyDescent="0.3">
      <c r="A24" s="339"/>
      <c r="B24" s="339"/>
      <c r="C24" s="339"/>
      <c r="D24" s="339"/>
      <c r="E24" s="358" t="s">
        <v>391</v>
      </c>
      <c r="F24" s="359"/>
      <c r="G24" s="350"/>
      <c r="H24" s="351"/>
      <c r="I24" s="351"/>
      <c r="J24" s="352"/>
    </row>
    <row r="25" spans="1:10" ht="57" customHeight="1" x14ac:dyDescent="0.3">
      <c r="A25" s="339"/>
      <c r="B25" s="339"/>
      <c r="C25" s="339"/>
      <c r="D25" s="339"/>
      <c r="E25" s="358" t="s">
        <v>392</v>
      </c>
      <c r="F25" s="359"/>
      <c r="G25" s="350"/>
      <c r="H25" s="351"/>
      <c r="I25" s="351"/>
      <c r="J25" s="352"/>
    </row>
    <row r="26" spans="1:10" ht="57" customHeight="1" x14ac:dyDescent="0.3">
      <c r="A26" s="339"/>
      <c r="B26" s="339"/>
      <c r="C26" s="339"/>
      <c r="D26" s="339"/>
      <c r="E26" s="358" t="s">
        <v>393</v>
      </c>
      <c r="F26" s="359"/>
      <c r="G26" s="350"/>
      <c r="H26" s="351"/>
      <c r="I26" s="351"/>
      <c r="J26" s="352"/>
    </row>
    <row r="27" spans="1:10" ht="57" customHeight="1" x14ac:dyDescent="0.3">
      <c r="A27" s="339"/>
      <c r="B27" s="339"/>
      <c r="C27" s="339"/>
      <c r="D27" s="339"/>
      <c r="E27" s="358" t="s">
        <v>394</v>
      </c>
      <c r="F27" s="359"/>
      <c r="G27" s="350"/>
      <c r="H27" s="351"/>
      <c r="I27" s="351"/>
      <c r="J27" s="352"/>
    </row>
    <row r="28" spans="1:10" ht="57" customHeight="1" x14ac:dyDescent="0.3">
      <c r="A28" s="339"/>
      <c r="B28" s="339"/>
      <c r="C28" s="339"/>
      <c r="D28" s="339"/>
      <c r="E28" s="423" t="s">
        <v>395</v>
      </c>
      <c r="F28" s="424"/>
      <c r="G28" s="409"/>
      <c r="H28" s="410"/>
      <c r="I28" s="410"/>
      <c r="J28" s="411"/>
    </row>
    <row r="29" spans="1:10" ht="57" customHeight="1" x14ac:dyDescent="0.3">
      <c r="A29" s="339"/>
      <c r="B29" s="339"/>
      <c r="C29" s="339"/>
      <c r="D29" s="339"/>
      <c r="E29" s="412" t="s">
        <v>396</v>
      </c>
      <c r="F29" s="413"/>
      <c r="G29" s="409"/>
      <c r="H29" s="410"/>
      <c r="I29" s="410"/>
      <c r="J29" s="411"/>
    </row>
    <row r="30" spans="1:10" ht="57" customHeight="1" x14ac:dyDescent="0.3">
      <c r="A30" s="339"/>
      <c r="B30" s="339"/>
      <c r="C30" s="339"/>
      <c r="D30" s="339"/>
      <c r="E30" s="412" t="s">
        <v>397</v>
      </c>
      <c r="F30" s="413"/>
      <c r="G30" s="409"/>
      <c r="H30" s="410"/>
      <c r="I30" s="410"/>
      <c r="J30" s="411"/>
    </row>
    <row r="31" spans="1:10" ht="57" customHeight="1" x14ac:dyDescent="0.3">
      <c r="A31" s="339"/>
      <c r="B31" s="339"/>
      <c r="C31" s="339"/>
      <c r="D31" s="339"/>
      <c r="E31" s="412" t="s">
        <v>398</v>
      </c>
      <c r="F31" s="413"/>
      <c r="G31" s="409"/>
      <c r="H31" s="410"/>
      <c r="I31" s="410"/>
      <c r="J31" s="411"/>
    </row>
    <row r="32" spans="1:10" ht="57" customHeight="1" x14ac:dyDescent="0.3">
      <c r="A32" s="339"/>
      <c r="B32" s="339"/>
      <c r="C32" s="339"/>
      <c r="D32" s="339"/>
      <c r="E32" s="412" t="s">
        <v>399</v>
      </c>
      <c r="F32" s="413"/>
      <c r="G32" s="409"/>
      <c r="H32" s="410"/>
      <c r="I32" s="410"/>
      <c r="J32" s="411"/>
    </row>
    <row r="33" spans="1:10" ht="57" customHeight="1" x14ac:dyDescent="0.3">
      <c r="A33" s="339"/>
      <c r="B33" s="339"/>
      <c r="C33" s="339"/>
      <c r="D33" s="339"/>
      <c r="E33" s="412" t="s">
        <v>400</v>
      </c>
      <c r="F33" s="413"/>
      <c r="G33" s="409"/>
      <c r="H33" s="410"/>
      <c r="I33" s="410"/>
      <c r="J33" s="411"/>
    </row>
    <row r="34" spans="1:10" ht="57" customHeight="1" x14ac:dyDescent="0.3">
      <c r="A34" s="339"/>
      <c r="B34" s="339"/>
      <c r="C34" s="339"/>
      <c r="D34" s="339"/>
      <c r="E34" s="412" t="s">
        <v>401</v>
      </c>
      <c r="F34" s="413"/>
      <c r="G34" s="409"/>
      <c r="H34" s="410"/>
      <c r="I34" s="410"/>
      <c r="J34" s="411"/>
    </row>
    <row r="35" spans="1:10" ht="57" customHeight="1" x14ac:dyDescent="0.3">
      <c r="A35" s="363" t="s">
        <v>231</v>
      </c>
      <c r="B35" s="363" t="s">
        <v>295</v>
      </c>
      <c r="C35" s="344" t="s">
        <v>307</v>
      </c>
      <c r="D35" s="344"/>
      <c r="E35" s="343" t="s">
        <v>308</v>
      </c>
      <c r="F35" s="344"/>
      <c r="G35" s="340" t="s">
        <v>309</v>
      </c>
      <c r="H35" s="364"/>
      <c r="I35" s="364"/>
      <c r="J35" s="365"/>
    </row>
    <row r="36" spans="1:10" ht="81.75" customHeight="1" x14ac:dyDescent="0.3">
      <c r="A36" s="363"/>
      <c r="B36" s="363"/>
      <c r="C36" s="366" t="s">
        <v>310</v>
      </c>
      <c r="D36" s="367"/>
      <c r="E36" s="366" t="s">
        <v>311</v>
      </c>
      <c r="F36" s="367"/>
      <c r="G36" s="366" t="s">
        <v>312</v>
      </c>
      <c r="H36" s="368"/>
      <c r="I36" s="368"/>
      <c r="J36" s="367"/>
    </row>
    <row r="37" spans="1:10" ht="57" customHeight="1" x14ac:dyDescent="0.3">
      <c r="A37" s="363"/>
      <c r="B37" s="363"/>
      <c r="C37" s="366" t="s">
        <v>313</v>
      </c>
      <c r="D37" s="367"/>
      <c r="E37" s="366" t="s">
        <v>379</v>
      </c>
      <c r="F37" s="367"/>
      <c r="G37" s="366" t="s">
        <v>314</v>
      </c>
      <c r="H37" s="368"/>
      <c r="I37" s="368"/>
      <c r="J37" s="367"/>
    </row>
    <row r="38" spans="1:10" ht="57" customHeight="1" x14ac:dyDescent="0.3">
      <c r="A38" s="363"/>
      <c r="B38" s="363"/>
      <c r="C38" s="366" t="s">
        <v>315</v>
      </c>
      <c r="D38" s="367"/>
      <c r="E38" s="371" t="s">
        <v>420</v>
      </c>
      <c r="F38" s="372"/>
      <c r="G38" s="366" t="s">
        <v>409</v>
      </c>
      <c r="H38" s="368"/>
      <c r="I38" s="368"/>
      <c r="J38" s="367"/>
    </row>
    <row r="39" spans="1:10" ht="57" customHeight="1" x14ac:dyDescent="0.3">
      <c r="A39" s="363"/>
      <c r="B39" s="363"/>
      <c r="C39" s="369" t="s">
        <v>316</v>
      </c>
      <c r="D39" s="370"/>
      <c r="E39" s="371" t="s">
        <v>422</v>
      </c>
      <c r="F39" s="372"/>
      <c r="G39" s="366"/>
      <c r="H39" s="368"/>
      <c r="I39" s="368"/>
      <c r="J39" s="367"/>
    </row>
    <row r="40" spans="1:10" ht="69.75" customHeight="1" x14ac:dyDescent="0.3">
      <c r="A40" s="363"/>
      <c r="B40" s="363"/>
      <c r="C40" s="366" t="s">
        <v>317</v>
      </c>
      <c r="D40" s="367"/>
      <c r="E40" s="371" t="s">
        <v>419</v>
      </c>
      <c r="F40" s="372"/>
      <c r="G40" s="373"/>
      <c r="H40" s="374"/>
      <c r="I40" s="374"/>
      <c r="J40" s="375"/>
    </row>
    <row r="41" spans="1:10" ht="57" customHeight="1" x14ac:dyDescent="0.3">
      <c r="A41" s="363"/>
      <c r="B41" s="363"/>
      <c r="C41" s="366" t="s">
        <v>354</v>
      </c>
      <c r="D41" s="367"/>
      <c r="E41" s="371" t="s">
        <v>421</v>
      </c>
      <c r="F41" s="372"/>
      <c r="G41" s="373"/>
      <c r="H41" s="373"/>
      <c r="I41" s="373"/>
      <c r="J41" s="373"/>
    </row>
    <row r="42" spans="1:10" ht="57" customHeight="1" x14ac:dyDescent="0.3">
      <c r="A42" s="363"/>
      <c r="B42" s="363"/>
      <c r="C42" s="366" t="s">
        <v>318</v>
      </c>
      <c r="D42" s="367"/>
      <c r="E42" s="371" t="s">
        <v>423</v>
      </c>
      <c r="F42" s="372"/>
      <c r="G42" s="382"/>
      <c r="H42" s="374"/>
      <c r="I42" s="374"/>
      <c r="J42" s="375"/>
    </row>
    <row r="43" spans="1:10" ht="57" customHeight="1" x14ac:dyDescent="0.3">
      <c r="A43" s="363"/>
      <c r="B43" s="363"/>
      <c r="C43" s="366" t="s">
        <v>319</v>
      </c>
      <c r="D43" s="367"/>
      <c r="E43" s="376" t="s">
        <v>424</v>
      </c>
      <c r="F43" s="376"/>
      <c r="G43" s="373"/>
      <c r="H43" s="373"/>
      <c r="I43" s="373"/>
      <c r="J43" s="373"/>
    </row>
    <row r="44" spans="1:10" ht="57" customHeight="1" x14ac:dyDescent="0.3">
      <c r="A44" s="363"/>
      <c r="B44" s="363"/>
      <c r="C44" s="377" t="s">
        <v>374</v>
      </c>
      <c r="D44" s="377"/>
      <c r="E44" s="386" t="s">
        <v>415</v>
      </c>
      <c r="F44" s="386"/>
      <c r="G44" s="373"/>
      <c r="H44" s="373"/>
      <c r="I44" s="373"/>
      <c r="J44" s="373"/>
    </row>
    <row r="45" spans="1:10" ht="57" customHeight="1" x14ac:dyDescent="0.3">
      <c r="A45" s="363"/>
      <c r="B45" s="363"/>
      <c r="C45" s="377" t="s">
        <v>375</v>
      </c>
      <c r="D45" s="377"/>
      <c r="E45" s="380" t="s">
        <v>416</v>
      </c>
      <c r="F45" s="381"/>
      <c r="G45" s="382"/>
      <c r="H45" s="374"/>
      <c r="I45" s="374"/>
      <c r="J45" s="375"/>
    </row>
    <row r="46" spans="1:10" ht="57" customHeight="1" x14ac:dyDescent="0.3">
      <c r="A46" s="363"/>
      <c r="B46" s="363"/>
      <c r="C46" s="383" t="s">
        <v>376</v>
      </c>
      <c r="D46" s="384"/>
      <c r="E46" s="380" t="s">
        <v>418</v>
      </c>
      <c r="F46" s="381"/>
      <c r="G46" s="382"/>
      <c r="H46" s="374"/>
      <c r="I46" s="374"/>
      <c r="J46" s="375"/>
    </row>
    <row r="47" spans="1:10" ht="57" customHeight="1" x14ac:dyDescent="0.3">
      <c r="A47" s="363"/>
      <c r="B47" s="363"/>
      <c r="C47" s="373"/>
      <c r="D47" s="373"/>
      <c r="E47" s="385"/>
      <c r="F47" s="385"/>
      <c r="G47" s="385"/>
      <c r="H47" s="385"/>
      <c r="I47" s="385"/>
      <c r="J47" s="385"/>
    </row>
    <row r="48" spans="1:10" ht="90.75" customHeight="1" x14ac:dyDescent="0.3">
      <c r="A48" s="363"/>
      <c r="B48" s="363" t="s">
        <v>294</v>
      </c>
      <c r="C48" s="344" t="s">
        <v>320</v>
      </c>
      <c r="D48" s="344"/>
      <c r="E48" s="343" t="s">
        <v>321</v>
      </c>
      <c r="F48" s="344"/>
      <c r="G48" s="340" t="s">
        <v>322</v>
      </c>
      <c r="H48" s="364"/>
      <c r="I48" s="364"/>
      <c r="J48" s="365"/>
    </row>
    <row r="49" spans="1:10" ht="57" customHeight="1" x14ac:dyDescent="0.3">
      <c r="A49" s="363"/>
      <c r="B49" s="363"/>
      <c r="C49" s="378" t="s">
        <v>323</v>
      </c>
      <c r="D49" s="379"/>
      <c r="E49" s="366" t="s">
        <v>403</v>
      </c>
      <c r="F49" s="367"/>
      <c r="G49" s="366" t="s">
        <v>405</v>
      </c>
      <c r="H49" s="368"/>
      <c r="I49" s="368"/>
      <c r="J49" s="367"/>
    </row>
    <row r="50" spans="1:10" ht="57" customHeight="1" x14ac:dyDescent="0.3">
      <c r="A50" s="363"/>
      <c r="B50" s="363"/>
      <c r="C50" s="378" t="s">
        <v>324</v>
      </c>
      <c r="D50" s="379"/>
      <c r="E50" s="366" t="s">
        <v>404</v>
      </c>
      <c r="F50" s="367"/>
      <c r="G50" s="366" t="s">
        <v>406</v>
      </c>
      <c r="H50" s="368"/>
      <c r="I50" s="368"/>
      <c r="J50" s="367"/>
    </row>
    <row r="51" spans="1:10" ht="57" customHeight="1" x14ac:dyDescent="0.3">
      <c r="A51" s="363"/>
      <c r="B51" s="363"/>
      <c r="C51" s="378" t="s">
        <v>325</v>
      </c>
      <c r="D51" s="379"/>
      <c r="E51" s="386" t="s">
        <v>417</v>
      </c>
      <c r="F51" s="386"/>
      <c r="G51" s="366" t="s">
        <v>407</v>
      </c>
      <c r="H51" s="368"/>
      <c r="I51" s="368"/>
      <c r="J51" s="367"/>
    </row>
    <row r="52" spans="1:10" ht="57" customHeight="1" x14ac:dyDescent="0.3">
      <c r="A52" s="363"/>
      <c r="B52" s="363"/>
      <c r="C52" s="378" t="s">
        <v>377</v>
      </c>
      <c r="D52" s="379"/>
      <c r="E52" s="373"/>
      <c r="F52" s="373"/>
      <c r="G52" s="376" t="s">
        <v>408</v>
      </c>
      <c r="H52" s="376"/>
      <c r="I52" s="376"/>
      <c r="J52" s="376"/>
    </row>
    <row r="53" spans="1:10" ht="57" customHeight="1" x14ac:dyDescent="0.3">
      <c r="A53" s="363"/>
      <c r="B53" s="363"/>
      <c r="C53" s="378" t="s">
        <v>378</v>
      </c>
      <c r="D53" s="379"/>
      <c r="E53" s="373"/>
      <c r="F53" s="373"/>
      <c r="G53" s="373"/>
      <c r="H53" s="373"/>
      <c r="I53" s="373"/>
      <c r="J53" s="373"/>
    </row>
    <row r="54" spans="1:10" ht="41.25" customHeight="1" x14ac:dyDescent="0.3">
      <c r="A54" s="363"/>
      <c r="B54" s="363"/>
      <c r="C54" s="390" t="s">
        <v>380</v>
      </c>
      <c r="D54" s="391"/>
      <c r="E54" s="382"/>
      <c r="F54" s="375"/>
      <c r="G54" s="382"/>
      <c r="H54" s="374"/>
      <c r="I54" s="374"/>
      <c r="J54" s="375"/>
    </row>
    <row r="55" spans="1:10" x14ac:dyDescent="0.3">
      <c r="A55" s="363"/>
      <c r="B55" s="363"/>
      <c r="C55" s="366"/>
      <c r="D55" s="367"/>
      <c r="E55" s="387"/>
      <c r="F55" s="388"/>
      <c r="G55" s="387"/>
      <c r="H55" s="389"/>
      <c r="I55" s="389"/>
      <c r="J55" s="388"/>
    </row>
    <row r="56" spans="1:10" x14ac:dyDescent="0.3">
      <c r="A56" s="363"/>
      <c r="B56" s="363"/>
      <c r="C56" s="366"/>
      <c r="D56" s="367"/>
      <c r="E56" s="382"/>
      <c r="F56" s="375"/>
      <c r="G56" s="382"/>
      <c r="H56" s="374"/>
      <c r="I56" s="374"/>
      <c r="J56" s="375"/>
    </row>
    <row r="57" spans="1:10" x14ac:dyDescent="0.3">
      <c r="A57" s="363"/>
      <c r="B57" s="363"/>
      <c r="C57" s="366"/>
      <c r="D57" s="367"/>
      <c r="E57" s="387"/>
      <c r="F57" s="388"/>
      <c r="G57" s="387"/>
      <c r="H57" s="389"/>
      <c r="I57" s="389"/>
      <c r="J57" s="388"/>
    </row>
    <row r="58" spans="1:10" x14ac:dyDescent="0.3">
      <c r="A58" s="363"/>
      <c r="B58" s="363"/>
      <c r="C58" s="366"/>
      <c r="D58" s="367"/>
      <c r="E58" s="382"/>
      <c r="F58" s="375"/>
      <c r="G58" s="382"/>
      <c r="H58" s="374"/>
      <c r="I58" s="374"/>
      <c r="J58" s="375"/>
    </row>
    <row r="59" spans="1:10" x14ac:dyDescent="0.3">
      <c r="A59" s="363"/>
      <c r="B59" s="363"/>
      <c r="C59" s="366"/>
      <c r="D59" s="367"/>
      <c r="E59" s="382"/>
      <c r="F59" s="375"/>
      <c r="G59" s="382"/>
      <c r="H59" s="374"/>
      <c r="I59" s="374"/>
      <c r="J59" s="375"/>
    </row>
    <row r="60" spans="1:10" x14ac:dyDescent="0.3">
      <c r="A60" s="363"/>
      <c r="B60" s="363"/>
      <c r="C60" s="373"/>
      <c r="D60" s="373"/>
      <c r="E60" s="373"/>
      <c r="F60" s="373"/>
      <c r="G60" s="373"/>
      <c r="H60" s="373"/>
      <c r="I60" s="373"/>
      <c r="J60" s="373"/>
    </row>
    <row r="61" spans="1:10" x14ac:dyDescent="0.3">
      <c r="A61" s="363"/>
      <c r="B61" s="363"/>
      <c r="C61" s="373"/>
      <c r="D61" s="373"/>
      <c r="E61" s="373"/>
      <c r="F61" s="373"/>
      <c r="G61" s="373"/>
      <c r="H61" s="373"/>
      <c r="I61" s="373"/>
      <c r="J61" s="373"/>
    </row>
  </sheetData>
  <mergeCells count="149">
    <mergeCell ref="G28:J28"/>
    <mergeCell ref="E34:F34"/>
    <mergeCell ref="G29:J29"/>
    <mergeCell ref="G30:J30"/>
    <mergeCell ref="G31:J31"/>
    <mergeCell ref="G32:J32"/>
    <mergeCell ref="G33:J33"/>
    <mergeCell ref="G34:J34"/>
    <mergeCell ref="G19:J19"/>
    <mergeCell ref="E29:F29"/>
    <mergeCell ref="E30:F30"/>
    <mergeCell ref="E31:F31"/>
    <mergeCell ref="E32:F32"/>
    <mergeCell ref="E33:F33"/>
    <mergeCell ref="G20:J20"/>
    <mergeCell ref="G21:J21"/>
    <mergeCell ref="G22:J22"/>
    <mergeCell ref="G25:J25"/>
    <mergeCell ref="E26:F26"/>
    <mergeCell ref="G26:J26"/>
    <mergeCell ref="E27:F27"/>
    <mergeCell ref="G27:J27"/>
    <mergeCell ref="E28:F28"/>
    <mergeCell ref="E23:F23"/>
    <mergeCell ref="H1:I1"/>
    <mergeCell ref="J1:J4"/>
    <mergeCell ref="N1:N4"/>
    <mergeCell ref="H2:I2"/>
    <mergeCell ref="H3:I3"/>
    <mergeCell ref="H4:I4"/>
    <mergeCell ref="A5:J5"/>
    <mergeCell ref="C3:G4"/>
    <mergeCell ref="C1:G2"/>
    <mergeCell ref="A1:B4"/>
    <mergeCell ref="C60:D60"/>
    <mergeCell ref="E60:F60"/>
    <mergeCell ref="G60:J60"/>
    <mergeCell ref="C61:D61"/>
    <mergeCell ref="E61:F61"/>
    <mergeCell ref="G61:J61"/>
    <mergeCell ref="C58:D58"/>
    <mergeCell ref="E58:F58"/>
    <mergeCell ref="G58:J58"/>
    <mergeCell ref="C59:D59"/>
    <mergeCell ref="E59:F59"/>
    <mergeCell ref="G59:J59"/>
    <mergeCell ref="C56:D56"/>
    <mergeCell ref="E56:F56"/>
    <mergeCell ref="G56:J56"/>
    <mergeCell ref="C51:D51"/>
    <mergeCell ref="E51:F51"/>
    <mergeCell ref="G51:J51"/>
    <mergeCell ref="C57:D57"/>
    <mergeCell ref="E57:F57"/>
    <mergeCell ref="G57:J57"/>
    <mergeCell ref="C54:D54"/>
    <mergeCell ref="E54:F54"/>
    <mergeCell ref="G54:J54"/>
    <mergeCell ref="C55:D55"/>
    <mergeCell ref="E55:F55"/>
    <mergeCell ref="G55:J55"/>
    <mergeCell ref="E47:F47"/>
    <mergeCell ref="G47:J47"/>
    <mergeCell ref="C53:D53"/>
    <mergeCell ref="E53:F53"/>
    <mergeCell ref="G53:J53"/>
    <mergeCell ref="E44:F44"/>
    <mergeCell ref="G44:J44"/>
    <mergeCell ref="C41:D41"/>
    <mergeCell ref="E41:F41"/>
    <mergeCell ref="G41:J41"/>
    <mergeCell ref="C42:D42"/>
    <mergeCell ref="E42:F42"/>
    <mergeCell ref="G42:J42"/>
    <mergeCell ref="C52:D52"/>
    <mergeCell ref="E52:F52"/>
    <mergeCell ref="G52:J52"/>
    <mergeCell ref="C38:D38"/>
    <mergeCell ref="E38:F38"/>
    <mergeCell ref="G38:J38"/>
    <mergeCell ref="C43:D43"/>
    <mergeCell ref="E43:F43"/>
    <mergeCell ref="G43:J43"/>
    <mergeCell ref="C44:D44"/>
    <mergeCell ref="B48:B61"/>
    <mergeCell ref="C48:D48"/>
    <mergeCell ref="E48:F48"/>
    <mergeCell ref="G48:J48"/>
    <mergeCell ref="C49:D49"/>
    <mergeCell ref="E49:F49"/>
    <mergeCell ref="G49:J49"/>
    <mergeCell ref="C45:D45"/>
    <mergeCell ref="E45:F45"/>
    <mergeCell ref="G45:J45"/>
    <mergeCell ref="C46:D46"/>
    <mergeCell ref="E46:F46"/>
    <mergeCell ref="G46:J46"/>
    <mergeCell ref="C50:D50"/>
    <mergeCell ref="E50:F50"/>
    <mergeCell ref="G50:J50"/>
    <mergeCell ref="C47:D47"/>
    <mergeCell ref="G23:J23"/>
    <mergeCell ref="E24:F24"/>
    <mergeCell ref="G24:J24"/>
    <mergeCell ref="E19:F19"/>
    <mergeCell ref="E20:F20"/>
    <mergeCell ref="E21:F21"/>
    <mergeCell ref="E22:F22"/>
    <mergeCell ref="A35:A61"/>
    <mergeCell ref="B35:B47"/>
    <mergeCell ref="C35:D35"/>
    <mergeCell ref="E35:F35"/>
    <mergeCell ref="G35:J35"/>
    <mergeCell ref="C36:D36"/>
    <mergeCell ref="E36:F36"/>
    <mergeCell ref="G36:J36"/>
    <mergeCell ref="C39:D39"/>
    <mergeCell ref="E39:F39"/>
    <mergeCell ref="G39:J39"/>
    <mergeCell ref="C40:D40"/>
    <mergeCell ref="E40:F40"/>
    <mergeCell ref="G40:J40"/>
    <mergeCell ref="C37:D37"/>
    <mergeCell ref="E37:F37"/>
    <mergeCell ref="G37:J37"/>
    <mergeCell ref="A6:J7"/>
    <mergeCell ref="A8:D34"/>
    <mergeCell ref="E8:J8"/>
    <mergeCell ref="E9:F9"/>
    <mergeCell ref="G9:J9"/>
    <mergeCell ref="E10:F10"/>
    <mergeCell ref="G10:J10"/>
    <mergeCell ref="E11:F11"/>
    <mergeCell ref="G11:J11"/>
    <mergeCell ref="E12:F12"/>
    <mergeCell ref="E15:F15"/>
    <mergeCell ref="G15:J15"/>
    <mergeCell ref="E16:F16"/>
    <mergeCell ref="G16:J16"/>
    <mergeCell ref="E17:F17"/>
    <mergeCell ref="G17:J17"/>
    <mergeCell ref="G12:J12"/>
    <mergeCell ref="E13:F13"/>
    <mergeCell ref="G13:J13"/>
    <mergeCell ref="E14:F14"/>
    <mergeCell ref="G14:J14"/>
    <mergeCell ref="E25:F25"/>
    <mergeCell ref="E18:F18"/>
    <mergeCell ref="G18:J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002060"/>
    <pageSetUpPr fitToPage="1"/>
  </sheetPr>
  <dimension ref="A1:BM58"/>
  <sheetViews>
    <sheetView tabSelected="1" zoomScale="55" zoomScaleNormal="55" workbookViewId="0">
      <selection sqref="A1:AM19"/>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15.109375" style="1" customWidth="1"/>
    <col min="13" max="13" width="24.44140625" style="1" bestFit="1" customWidth="1"/>
    <col min="14" max="14" width="28.33203125" style="1" hidden="1" customWidth="1"/>
    <col min="15" max="15" width="17.44140625" style="1" customWidth="1"/>
    <col min="16" max="16" width="9.109375" style="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44140625" style="1" customWidth="1"/>
    <col min="24" max="24" width="7.109375" style="1" customWidth="1"/>
    <col min="25" max="25" width="6.6640625" style="1" customWidth="1"/>
    <col min="26" max="26" width="4.6640625" style="1" bestFit="1" customWidth="1"/>
    <col min="27" max="27" width="38.4414062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9.33203125" style="1" customWidth="1"/>
    <col min="35" max="35" width="18.88671875" style="1" customWidth="1"/>
    <col min="36" max="36" width="16.88671875" style="1" customWidth="1"/>
    <col min="37" max="37" width="14.88671875" style="1" customWidth="1"/>
    <col min="38" max="38" width="21" style="1" customWidth="1"/>
    <col min="39" max="39" width="57.33203125" style="1" customWidth="1"/>
    <col min="40" max="44" width="56.109375" style="1" customWidth="1"/>
    <col min="45" max="16384" width="11.44140625" style="1"/>
  </cols>
  <sheetData>
    <row r="1" spans="1:65" ht="16.5" customHeight="1" x14ac:dyDescent="0.25">
      <c r="A1" s="487" t="s">
        <v>138</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8"/>
      <c r="AN1" s="8"/>
      <c r="AO1" s="8"/>
      <c r="AP1" s="8"/>
      <c r="AQ1" s="8"/>
      <c r="AR1" s="8"/>
      <c r="AS1" s="8"/>
      <c r="AT1" s="8"/>
      <c r="AU1" s="8"/>
      <c r="AV1" s="8"/>
      <c r="AW1" s="8"/>
      <c r="AX1" s="8"/>
      <c r="AY1" s="8"/>
      <c r="AZ1" s="8"/>
      <c r="BA1" s="8"/>
      <c r="BB1" s="8"/>
      <c r="BC1" s="8"/>
      <c r="BD1" s="8"/>
      <c r="BE1" s="8"/>
      <c r="BF1" s="8"/>
      <c r="BG1" s="8"/>
      <c r="BH1" s="8"/>
      <c r="BI1" s="8"/>
      <c r="BJ1" s="8"/>
      <c r="BK1" s="8"/>
      <c r="BL1" s="8"/>
      <c r="BM1" s="8"/>
    </row>
    <row r="2" spans="1:65" ht="24" customHeight="1" x14ac:dyDescent="0.25">
      <c r="A2" s="487"/>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8"/>
      <c r="AN2" s="8"/>
      <c r="AO2" s="8"/>
      <c r="AP2" s="8"/>
      <c r="AQ2" s="8"/>
      <c r="AR2" s="8"/>
      <c r="AS2" s="8"/>
      <c r="AT2" s="8"/>
      <c r="AU2" s="8"/>
      <c r="AV2" s="8"/>
      <c r="AW2" s="8"/>
      <c r="AX2" s="8"/>
      <c r="AY2" s="8"/>
      <c r="AZ2" s="8"/>
      <c r="BA2" s="8"/>
      <c r="BB2" s="8"/>
      <c r="BC2" s="8"/>
      <c r="BD2" s="8"/>
      <c r="BE2" s="8"/>
      <c r="BF2" s="8"/>
      <c r="BG2" s="8"/>
      <c r="BH2" s="8"/>
      <c r="BI2" s="8"/>
      <c r="BJ2" s="8"/>
      <c r="BK2" s="8"/>
      <c r="BL2" s="8"/>
      <c r="BM2" s="8"/>
    </row>
    <row r="3" spans="1:65"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row>
    <row r="4" spans="1:65" ht="26.25" customHeight="1" x14ac:dyDescent="0.25">
      <c r="A4" s="495" t="s">
        <v>42</v>
      </c>
      <c r="B4" s="496"/>
      <c r="C4" s="511" t="s">
        <v>214</v>
      </c>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8"/>
      <c r="AN4" s="8"/>
      <c r="AO4" s="8"/>
      <c r="AP4" s="8"/>
      <c r="AQ4" s="8"/>
      <c r="AR4" s="8"/>
      <c r="AS4" s="8"/>
      <c r="AT4" s="8"/>
      <c r="AU4" s="8"/>
      <c r="AV4" s="8"/>
      <c r="AW4" s="8"/>
      <c r="AX4" s="8"/>
      <c r="AY4" s="8"/>
      <c r="AZ4" s="8"/>
      <c r="BA4" s="8"/>
      <c r="BB4" s="8"/>
      <c r="BC4" s="8"/>
      <c r="BD4" s="8"/>
      <c r="BE4" s="8"/>
      <c r="BF4" s="8"/>
      <c r="BG4" s="8"/>
      <c r="BH4" s="8"/>
      <c r="BI4" s="8"/>
      <c r="BJ4" s="8"/>
      <c r="BK4" s="8"/>
      <c r="BL4" s="8"/>
      <c r="BM4" s="8"/>
    </row>
    <row r="5" spans="1:65" ht="30" customHeight="1" x14ac:dyDescent="0.25">
      <c r="A5" s="495" t="s">
        <v>124</v>
      </c>
      <c r="B5" s="496"/>
      <c r="C5" s="501" t="s">
        <v>215</v>
      </c>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8"/>
      <c r="AN5" s="8"/>
      <c r="AO5" s="8"/>
      <c r="AP5" s="8"/>
      <c r="AQ5" s="8"/>
      <c r="AR5" s="8"/>
      <c r="AS5" s="8"/>
      <c r="AT5" s="8"/>
      <c r="AU5" s="8"/>
      <c r="AV5" s="8"/>
      <c r="AW5" s="8"/>
      <c r="AX5" s="8"/>
      <c r="AY5" s="8"/>
      <c r="AZ5" s="8"/>
      <c r="BA5" s="8"/>
      <c r="BB5" s="8"/>
      <c r="BC5" s="8"/>
      <c r="BD5" s="8"/>
      <c r="BE5" s="8"/>
      <c r="BF5" s="8"/>
      <c r="BG5" s="8"/>
      <c r="BH5" s="8"/>
      <c r="BI5" s="8"/>
      <c r="BJ5" s="8"/>
      <c r="BK5" s="8"/>
      <c r="BL5" s="8"/>
      <c r="BM5" s="8"/>
    </row>
    <row r="6" spans="1:65" ht="49.5" customHeight="1" x14ac:dyDescent="0.25">
      <c r="A6" s="495" t="s">
        <v>43</v>
      </c>
      <c r="B6" s="496"/>
      <c r="C6" s="501" t="s">
        <v>216</v>
      </c>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8"/>
      <c r="AN6" s="8"/>
      <c r="AO6" s="8"/>
      <c r="AP6" s="8"/>
      <c r="AQ6" s="8"/>
      <c r="AR6" s="8"/>
      <c r="AS6" s="8"/>
      <c r="AT6" s="8"/>
      <c r="AU6" s="8"/>
      <c r="AV6" s="8"/>
      <c r="AW6" s="8"/>
      <c r="AX6" s="8"/>
      <c r="AY6" s="8"/>
      <c r="AZ6" s="8"/>
      <c r="BA6" s="8"/>
      <c r="BB6" s="8"/>
      <c r="BC6" s="8"/>
      <c r="BD6" s="8"/>
      <c r="BE6" s="8"/>
      <c r="BF6" s="8"/>
      <c r="BG6" s="8"/>
      <c r="BH6" s="8"/>
      <c r="BI6" s="8"/>
      <c r="BJ6" s="8"/>
      <c r="BK6" s="8"/>
      <c r="BL6" s="8"/>
      <c r="BM6" s="8"/>
    </row>
    <row r="7" spans="1:65" x14ac:dyDescent="0.25">
      <c r="A7" s="159" t="s">
        <v>133</v>
      </c>
      <c r="B7" s="160"/>
      <c r="C7" s="158"/>
      <c r="D7" s="158"/>
      <c r="E7" s="158"/>
      <c r="F7" s="158"/>
      <c r="G7" s="158"/>
      <c r="H7" s="158"/>
      <c r="I7" s="158"/>
      <c r="J7" s="161"/>
      <c r="K7" s="157" t="s">
        <v>134</v>
      </c>
      <c r="L7" s="158"/>
      <c r="M7" s="158"/>
      <c r="N7" s="158"/>
      <c r="O7" s="158"/>
      <c r="P7" s="158"/>
      <c r="Q7" s="161"/>
      <c r="R7" s="157" t="s">
        <v>135</v>
      </c>
      <c r="S7" s="158"/>
      <c r="T7" s="158"/>
      <c r="U7" s="158"/>
      <c r="V7" s="158"/>
      <c r="W7" s="158"/>
      <c r="X7" s="158"/>
      <c r="Y7" s="158"/>
      <c r="Z7" s="161"/>
      <c r="AA7" s="157" t="s">
        <v>136</v>
      </c>
      <c r="AB7" s="158"/>
      <c r="AC7" s="158"/>
      <c r="AD7" s="158"/>
      <c r="AE7" s="158"/>
      <c r="AF7" s="158"/>
      <c r="AG7" s="161"/>
      <c r="AH7" s="157" t="s">
        <v>34</v>
      </c>
      <c r="AI7" s="158"/>
      <c r="AJ7" s="158"/>
      <c r="AK7" s="158"/>
      <c r="AL7" s="158"/>
      <c r="AM7" s="8"/>
      <c r="AN7" s="8"/>
      <c r="AO7" s="8"/>
      <c r="AP7" s="8"/>
      <c r="AQ7" s="8"/>
      <c r="AR7" s="8"/>
      <c r="AS7" s="8"/>
      <c r="AT7" s="8"/>
      <c r="AU7" s="8"/>
      <c r="AV7" s="8"/>
      <c r="AW7" s="8"/>
      <c r="AX7" s="8"/>
      <c r="AY7" s="8"/>
      <c r="AZ7" s="8"/>
      <c r="BA7" s="8"/>
      <c r="BB7" s="8"/>
      <c r="BC7" s="8"/>
      <c r="BD7" s="8"/>
      <c r="BE7" s="8"/>
      <c r="BF7" s="8"/>
      <c r="BG7" s="8"/>
      <c r="BH7" s="8"/>
      <c r="BI7" s="8"/>
      <c r="BJ7" s="8"/>
      <c r="BK7" s="8"/>
      <c r="BL7" s="8"/>
      <c r="BM7" s="8"/>
    </row>
    <row r="8" spans="1:65" ht="16.5" customHeight="1" x14ac:dyDescent="0.25">
      <c r="A8" s="497" t="s">
        <v>0</v>
      </c>
      <c r="B8" s="503" t="s">
        <v>2</v>
      </c>
      <c r="C8" s="489" t="s">
        <v>3</v>
      </c>
      <c r="D8" s="489" t="s">
        <v>41</v>
      </c>
      <c r="E8" s="499" t="s">
        <v>202</v>
      </c>
      <c r="F8" s="506" t="s">
        <v>1</v>
      </c>
      <c r="G8" s="142"/>
      <c r="H8" s="142"/>
      <c r="I8" s="499" t="s">
        <v>49</v>
      </c>
      <c r="J8" s="489" t="s">
        <v>129</v>
      </c>
      <c r="K8" s="491" t="s">
        <v>33</v>
      </c>
      <c r="L8" s="492" t="s">
        <v>5</v>
      </c>
      <c r="M8" s="499" t="s">
        <v>85</v>
      </c>
      <c r="N8" s="499" t="s">
        <v>90</v>
      </c>
      <c r="O8" s="494" t="s">
        <v>44</v>
      </c>
      <c r="P8" s="492" t="s">
        <v>5</v>
      </c>
      <c r="Q8" s="489" t="s">
        <v>47</v>
      </c>
      <c r="R8" s="515" t="s">
        <v>11</v>
      </c>
      <c r="S8" s="490" t="s">
        <v>151</v>
      </c>
      <c r="T8" s="499" t="s">
        <v>12</v>
      </c>
      <c r="U8" s="490" t="s">
        <v>8</v>
      </c>
      <c r="V8" s="490"/>
      <c r="W8" s="490"/>
      <c r="X8" s="490"/>
      <c r="Y8" s="490"/>
      <c r="Z8" s="490"/>
      <c r="AA8" s="508" t="s">
        <v>132</v>
      </c>
      <c r="AB8" s="508" t="s">
        <v>45</v>
      </c>
      <c r="AC8" s="508" t="s">
        <v>5</v>
      </c>
      <c r="AD8" s="508" t="s">
        <v>46</v>
      </c>
      <c r="AE8" s="508" t="s">
        <v>5</v>
      </c>
      <c r="AF8" s="508" t="s">
        <v>48</v>
      </c>
      <c r="AG8" s="515" t="s">
        <v>29</v>
      </c>
      <c r="AH8" s="490" t="s">
        <v>34</v>
      </c>
      <c r="AI8" s="490" t="s">
        <v>35</v>
      </c>
      <c r="AJ8" s="490" t="s">
        <v>36</v>
      </c>
      <c r="AK8" s="490" t="s">
        <v>37</v>
      </c>
      <c r="AL8" s="499"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row>
    <row r="9" spans="1:65" s="4" customFormat="1" ht="94.5" customHeight="1" x14ac:dyDescent="0.3">
      <c r="A9" s="498"/>
      <c r="B9" s="503"/>
      <c r="C9" s="490"/>
      <c r="D9" s="490"/>
      <c r="E9" s="491"/>
      <c r="F9" s="507"/>
      <c r="G9" s="142" t="s">
        <v>346</v>
      </c>
      <c r="H9" s="142" t="s">
        <v>203</v>
      </c>
      <c r="I9" s="489"/>
      <c r="J9" s="490"/>
      <c r="K9" s="489"/>
      <c r="L9" s="493"/>
      <c r="M9" s="489"/>
      <c r="N9" s="489"/>
      <c r="O9" s="493"/>
      <c r="P9" s="493"/>
      <c r="Q9" s="490"/>
      <c r="R9" s="516"/>
      <c r="S9" s="490"/>
      <c r="T9" s="489"/>
      <c r="U9" s="7" t="s">
        <v>13</v>
      </c>
      <c r="V9" s="7" t="s">
        <v>17</v>
      </c>
      <c r="W9" s="7" t="s">
        <v>28</v>
      </c>
      <c r="X9" s="7" t="s">
        <v>18</v>
      </c>
      <c r="Y9" s="7" t="s">
        <v>21</v>
      </c>
      <c r="Z9" s="7" t="s">
        <v>24</v>
      </c>
      <c r="AA9" s="508"/>
      <c r="AB9" s="508"/>
      <c r="AC9" s="508"/>
      <c r="AD9" s="508"/>
      <c r="AE9" s="508"/>
      <c r="AF9" s="508"/>
      <c r="AG9" s="516"/>
      <c r="AH9" s="490"/>
      <c r="AI9" s="490"/>
      <c r="AJ9" s="490"/>
      <c r="AK9" s="490"/>
      <c r="AL9" s="500"/>
      <c r="AM9" s="164" t="s">
        <v>223</v>
      </c>
      <c r="AN9" s="164" t="s">
        <v>224</v>
      </c>
      <c r="AO9" s="164" t="s">
        <v>225</v>
      </c>
      <c r="AP9" s="164" t="s">
        <v>226</v>
      </c>
      <c r="AQ9" s="164" t="s">
        <v>227</v>
      </c>
      <c r="AR9" s="164" t="s">
        <v>326</v>
      </c>
      <c r="AS9" s="25"/>
      <c r="AT9" s="25"/>
      <c r="AU9" s="25"/>
      <c r="AV9" s="25"/>
      <c r="AW9" s="25"/>
      <c r="AX9" s="25"/>
      <c r="AY9" s="25"/>
      <c r="AZ9" s="25"/>
      <c r="BA9" s="25"/>
      <c r="BB9" s="25"/>
      <c r="BC9" s="25"/>
      <c r="BD9" s="25"/>
      <c r="BE9" s="25"/>
      <c r="BF9" s="25"/>
      <c r="BG9" s="25"/>
      <c r="BH9" s="25"/>
      <c r="BI9" s="25"/>
      <c r="BJ9" s="25"/>
      <c r="BK9" s="25"/>
      <c r="BL9" s="25"/>
      <c r="BM9" s="25"/>
    </row>
    <row r="10" spans="1:65" s="3" customFormat="1" ht="279.75" customHeight="1" x14ac:dyDescent="0.3">
      <c r="A10" s="439">
        <v>1</v>
      </c>
      <c r="B10" s="442" t="s">
        <v>128</v>
      </c>
      <c r="C10" s="442" t="s">
        <v>221</v>
      </c>
      <c r="D10" s="475" t="s">
        <v>336</v>
      </c>
      <c r="E10" s="153" t="s">
        <v>331</v>
      </c>
      <c r="F10" s="467" t="s">
        <v>333</v>
      </c>
      <c r="G10" s="484" t="s">
        <v>347</v>
      </c>
      <c r="H10" s="467" t="s">
        <v>334</v>
      </c>
      <c r="I10" s="478" t="s">
        <v>117</v>
      </c>
      <c r="J10" s="481">
        <f>(4570+1875+1042)</f>
        <v>7487</v>
      </c>
      <c r="K10" s="462" t="str">
        <f>IF(J10&lt;=0,"",IF(J10&lt;=2,"Muy Baja",IF(J10&lt;=24,"Baja",IF(J10&lt;=500,"Media",IF(J10&lt;=5000,"Alta","Muy Alta")))))</f>
        <v>Muy Alta</v>
      </c>
      <c r="L10" s="459">
        <f>IF(K10="","",IF(K10="Muy Baja",0.2,IF(K10="Baja",0.4,IF(K10="Media",0.6,IF(K10="Alta",0.8,IF(K10="Muy Alta",1,))))))</f>
        <v>1</v>
      </c>
      <c r="M10" s="469" t="s">
        <v>145</v>
      </c>
      <c r="N10" s="459"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62" t="str">
        <f>IF(OR(N10='Tabla Impacto'!$C$11,N10='Tabla Impacto'!$D$11),"Leve",IF(OR(N10='Tabla Impacto'!$C$12,N10='Tabla Impacto'!$D$12),"Menor",IF(OR(N10='Tabla Impacto'!$C$13,N10='Tabla Impacto'!$D$13),"Moderado",IF(OR(N10='Tabla Impacto'!$C$14,N10='Tabla Impacto'!$D$14),"Mayor",IF(OR(N10='Tabla Impacto'!$C$15,N10='Tabla Impacto'!$D$15),"Catastrófico","")))))</f>
        <v>Mayor</v>
      </c>
      <c r="P10" s="459">
        <f>IF(O10="","",IF(O10="Leve",0.2,IF(O10="Menor",0.4,IF(O10="Moderado",0.6,IF(O10="Mayor",0.8,IF(O10="Catastrófico",1,))))))</f>
        <v>0.8</v>
      </c>
      <c r="Q10" s="45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248">
        <v>1</v>
      </c>
      <c r="S10" s="154" t="s">
        <v>335</v>
      </c>
      <c r="T10" s="249" t="str">
        <f>IF(OR(U10="Preventivo",U10="Detectivo"),"Probabilidad",IF(U10="Correctivo","Impacto",""))</f>
        <v>Impacto</v>
      </c>
      <c r="U10" s="119" t="s">
        <v>16</v>
      </c>
      <c r="V10" s="119" t="s">
        <v>9</v>
      </c>
      <c r="W10" s="120" t="str">
        <f>IF(AND(U10="Preventivo",V10="Automático"),"50%",IF(AND(U10="Preventivo",V10="Manual"),"40%",IF(AND(U10="Detectivo",V10="Automático"),"40%",IF(AND(U10="Detectivo",V10="Manual"),"30%",IF(AND(U10="Correctivo",V10="Automático"),"35%",IF(AND(U10="Correctivo",V10="Manual"),"25%",""))))))</f>
        <v>25%</v>
      </c>
      <c r="X10" s="119" t="s">
        <v>19</v>
      </c>
      <c r="Y10" s="119" t="s">
        <v>22</v>
      </c>
      <c r="Z10" s="119" t="s">
        <v>113</v>
      </c>
      <c r="AA10" s="250">
        <f>IFERROR(IF(T10="Probabilidad",(L10-(+L10*W10)),IF(T10="Impacto",L10,"")),"")</f>
        <v>1</v>
      </c>
      <c r="AB10" s="122" t="str">
        <f>IFERROR(IF(AA10="","",IF(AA10&lt;=0.2,"Muy Baja",IF(AA10&lt;=0.4,"Baja",IF(AA10&lt;=0.6,"Media",IF(AA10&lt;=0.8,"Alta","Muy Alta"))))),"")</f>
        <v>Muy Alta</v>
      </c>
      <c r="AC10" s="123">
        <f>+AA10</f>
        <v>1</v>
      </c>
      <c r="AD10" s="122" t="str">
        <f>IFERROR(IF(AE10="","",IF(AE10&lt;=0.2,"Leve",IF(AE10&lt;=0.4,"Menor",IF(AE10&lt;=0.6,"Moderado",IF(AE10&lt;=0.8,"Mayor","Catastrófico"))))),"")</f>
        <v>Moderado</v>
      </c>
      <c r="AE10" s="123">
        <f>IFERROR(IF(T10="Impacto",(P10-(+P10*W10)),IF(T10="Probabilidad",P10,"")),"")</f>
        <v>0.60000000000000009</v>
      </c>
      <c r="AF10" s="124"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125" t="s">
        <v>130</v>
      </c>
      <c r="AH10" s="203" t="s">
        <v>419</v>
      </c>
      <c r="AI10" s="156" t="s">
        <v>222</v>
      </c>
      <c r="AJ10" s="155">
        <v>45658</v>
      </c>
      <c r="AK10" s="155">
        <v>46022</v>
      </c>
      <c r="AL10" s="162" t="s">
        <v>40</v>
      </c>
      <c r="AM10" s="166" t="s">
        <v>425</v>
      </c>
      <c r="AN10" s="165"/>
      <c r="AO10" s="165"/>
      <c r="AP10" s="165"/>
      <c r="AQ10" s="165"/>
      <c r="AR10" s="165"/>
      <c r="AS10" s="26"/>
      <c r="AT10" s="26"/>
      <c r="AU10" s="26"/>
      <c r="AV10" s="26"/>
      <c r="AW10" s="26"/>
      <c r="AX10" s="26"/>
      <c r="AY10" s="26"/>
      <c r="AZ10" s="26"/>
      <c r="BA10" s="26"/>
      <c r="BB10" s="26"/>
      <c r="BC10" s="26"/>
      <c r="BD10" s="26"/>
      <c r="BE10" s="26"/>
      <c r="BF10" s="26"/>
      <c r="BG10" s="26"/>
      <c r="BH10" s="26"/>
      <c r="BI10" s="26"/>
      <c r="BJ10" s="26"/>
      <c r="BK10" s="26"/>
      <c r="BL10" s="26"/>
      <c r="BM10" s="26"/>
    </row>
    <row r="11" spans="1:65" s="3" customFormat="1" ht="279.75" customHeight="1" x14ac:dyDescent="0.3">
      <c r="A11" s="440"/>
      <c r="B11" s="443"/>
      <c r="C11" s="443"/>
      <c r="D11" s="476"/>
      <c r="E11" s="504" t="s">
        <v>217</v>
      </c>
      <c r="F11" s="467"/>
      <c r="G11" s="485"/>
      <c r="H11" s="467"/>
      <c r="I11" s="479"/>
      <c r="J11" s="482"/>
      <c r="K11" s="463"/>
      <c r="L11" s="460"/>
      <c r="M11" s="470"/>
      <c r="N11" s="460"/>
      <c r="O11" s="463"/>
      <c r="P11" s="460"/>
      <c r="Q11" s="458"/>
      <c r="R11" s="509">
        <v>2</v>
      </c>
      <c r="S11" s="442" t="s">
        <v>355</v>
      </c>
      <c r="T11" s="254" t="str">
        <f>IF(OR(U11="Preventivo",U11="Detectivo"),"Probabilidad",IF(U11="Correctivo","Impacto",""))</f>
        <v>Impacto</v>
      </c>
      <c r="U11" s="255" t="s">
        <v>16</v>
      </c>
      <c r="V11" s="255" t="s">
        <v>9</v>
      </c>
      <c r="W11" s="256" t="str">
        <f>IF(AND(U11="Preventivo",V11="Automático"),"50%",IF(AND(U11="Preventivo",V11="Manual"),"40%",IF(AND(U11="Detectivo",V11="Automático"),"40%",IF(AND(U11="Detectivo",V11="Manual"),"30%",IF(AND(U11="Correctivo",V11="Automático"),"35%",IF(AND(U11="Correctivo",V11="Manual"),"25%",""))))))</f>
        <v>25%</v>
      </c>
      <c r="X11" s="255" t="s">
        <v>19</v>
      </c>
      <c r="Y11" s="255" t="s">
        <v>22</v>
      </c>
      <c r="Z11" s="255" t="s">
        <v>113</v>
      </c>
      <c r="AA11" s="250">
        <f>IFERROR(IF(T11="Probabilidad",(L10-(+L10*W11)),IF(T11="Impacto",L10,"")),"")</f>
        <v>1</v>
      </c>
      <c r="AB11" s="122" t="str">
        <f t="shared" ref="AB11:AB19" si="0">IFERROR(IF(AA11="","",IF(AA11&lt;=0.2,"Muy Baja",IF(AA11&lt;=0.4,"Baja",IF(AA11&lt;=0.6,"Media",IF(AA11&lt;=0.8,"Alta","Muy Alta"))))),"")</f>
        <v>Muy Alta</v>
      </c>
      <c r="AC11" s="123">
        <f t="shared" ref="AC11:AC19" si="1">+AA11</f>
        <v>1</v>
      </c>
      <c r="AD11" s="122" t="str">
        <f t="shared" ref="AD11:AD19" si="2">IFERROR(IF(AE11="","",IF(AE11&lt;=0.2,"Leve",IF(AE11&lt;=0.4,"Menor",IF(AE11&lt;=0.6,"Moderado",IF(AE11&lt;=0.8,"Mayor","Catastrófico"))))),"")</f>
        <v>Moderado</v>
      </c>
      <c r="AE11" s="123">
        <f>IFERROR(IF(AND(T10="Impacto",T11="Impacto"),(AE10-(+AE10*W11)),IF(AND(T10="Probabilidad",T11="Impacto"),(P10-(+P10*W11)),IF(T11="Probabilidad",AE10,""))),"")</f>
        <v>0.45000000000000007</v>
      </c>
      <c r="AF11" s="124" t="str">
        <f t="shared" ref="AF11:AF19"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125" t="s">
        <v>130</v>
      </c>
      <c r="AH11" s="228" t="s">
        <v>421</v>
      </c>
      <c r="AI11" s="229" t="s">
        <v>222</v>
      </c>
      <c r="AJ11" s="230">
        <v>45658</v>
      </c>
      <c r="AK11" s="230">
        <v>46022</v>
      </c>
      <c r="AL11" s="163" t="s">
        <v>40</v>
      </c>
      <c r="AM11" s="165" t="s">
        <v>426</v>
      </c>
      <c r="AN11" s="165"/>
      <c r="AO11" s="165"/>
      <c r="AP11" s="165"/>
      <c r="AQ11" s="165"/>
      <c r="AR11" s="165"/>
      <c r="AS11" s="26"/>
      <c r="AT11" s="26"/>
      <c r="AU11" s="26"/>
      <c r="AV11" s="26"/>
      <c r="AW11" s="26"/>
      <c r="AX11" s="26"/>
      <c r="AY11" s="26"/>
      <c r="AZ11" s="26"/>
      <c r="BA11" s="26"/>
      <c r="BB11" s="26"/>
      <c r="BC11" s="26"/>
      <c r="BD11" s="26"/>
      <c r="BE11" s="26"/>
      <c r="BF11" s="26"/>
      <c r="BG11" s="26"/>
      <c r="BH11" s="26"/>
      <c r="BI11" s="26"/>
      <c r="BJ11" s="26"/>
      <c r="BK11" s="26"/>
      <c r="BL11" s="26"/>
      <c r="BM11" s="26"/>
    </row>
    <row r="12" spans="1:65" ht="378" customHeight="1" x14ac:dyDescent="0.25">
      <c r="A12" s="440"/>
      <c r="B12" s="443"/>
      <c r="C12" s="443"/>
      <c r="D12" s="476"/>
      <c r="E12" s="505"/>
      <c r="F12" s="467"/>
      <c r="G12" s="485"/>
      <c r="H12" s="467"/>
      <c r="I12" s="479"/>
      <c r="J12" s="482"/>
      <c r="K12" s="463"/>
      <c r="L12" s="460"/>
      <c r="M12" s="470"/>
      <c r="N12" s="460">
        <f>IF(NOT(ISERROR(MATCH(M12,_xlfn.ANCHORARRAY(F16),0))),L18&amp;"Por favor no seleccionar los criterios de impacto",M12)</f>
        <v>0</v>
      </c>
      <c r="O12" s="463"/>
      <c r="P12" s="460"/>
      <c r="Q12" s="458"/>
      <c r="R12" s="510"/>
      <c r="S12" s="444"/>
      <c r="T12" s="254" t="str">
        <f>IF(OR(U12="Preventivo",U12="Detectivo"),"Probabilidad",IF(U12="Correctivo","Impacto",""))</f>
        <v>Impacto</v>
      </c>
      <c r="U12" s="255" t="s">
        <v>16</v>
      </c>
      <c r="V12" s="255" t="s">
        <v>9</v>
      </c>
      <c r="W12" s="256" t="str">
        <f>IF(AND(U12="Preventivo",V12="Automático"),"50%",IF(AND(U12="Preventivo",V12="Manual"),"40%",IF(AND(U12="Detectivo",V12="Automático"),"40%",IF(AND(U12="Detectivo",V12="Manual"),"30%",IF(AND(U12="Correctivo",V12="Automático"),"35%",IF(AND(U12="Correctivo",V12="Manual"),"25%",""))))))</f>
        <v>25%</v>
      </c>
      <c r="X12" s="255" t="s">
        <v>19</v>
      </c>
      <c r="Y12" s="255" t="s">
        <v>22</v>
      </c>
      <c r="Z12" s="255" t="s">
        <v>113</v>
      </c>
      <c r="AA12" s="250">
        <f>IFERROR(IF(T12="Probabilidad",(L10-(+L10*W12)),IF(T12="Impacto",L10,"")),"")</f>
        <v>1</v>
      </c>
      <c r="AB12" s="122" t="str">
        <f t="shared" si="0"/>
        <v>Muy Alta</v>
      </c>
      <c r="AC12" s="123">
        <f t="shared" si="1"/>
        <v>1</v>
      </c>
      <c r="AD12" s="122" t="str">
        <f t="shared" si="2"/>
        <v>Menor</v>
      </c>
      <c r="AE12" s="123">
        <f>IFERROR(IF(AND(T11="Impacto",T12="Impacto"),(AE11-(+AE11*W12)),IF(AND(T11="Probabilidad",T12="Impacto"),(AE10-(+AE10*W12)),IF(T12="Probabilidad",AE11,""))),"")</f>
        <v>0.33750000000000002</v>
      </c>
      <c r="AF12" s="124" t="str">
        <f t="shared" si="3"/>
        <v>Alto</v>
      </c>
      <c r="AG12" s="125" t="s">
        <v>130</v>
      </c>
      <c r="AH12" s="228" t="s">
        <v>428</v>
      </c>
      <c r="AI12" s="229" t="s">
        <v>222</v>
      </c>
      <c r="AJ12" s="230">
        <v>45658</v>
      </c>
      <c r="AK12" s="230">
        <v>46022</v>
      </c>
      <c r="AL12" s="163" t="s">
        <v>40</v>
      </c>
      <c r="AM12" s="226" t="s">
        <v>427</v>
      </c>
      <c r="AN12" s="226"/>
      <c r="AO12" s="227"/>
      <c r="AP12" s="226"/>
      <c r="AQ12" s="226"/>
      <c r="AR12" s="231"/>
      <c r="AS12" s="8"/>
      <c r="AT12" s="8"/>
      <c r="AU12" s="8"/>
      <c r="AV12" s="8"/>
      <c r="AW12" s="8"/>
      <c r="AX12" s="8"/>
      <c r="AY12" s="8"/>
      <c r="AZ12" s="8"/>
      <c r="BA12" s="8"/>
      <c r="BB12" s="8"/>
      <c r="BC12" s="8"/>
      <c r="BD12" s="8"/>
      <c r="BE12" s="8"/>
      <c r="BF12" s="8"/>
      <c r="BG12" s="8"/>
      <c r="BH12" s="8"/>
      <c r="BI12" s="8"/>
      <c r="BJ12" s="8"/>
      <c r="BK12" s="8"/>
      <c r="BL12" s="8"/>
      <c r="BM12" s="8"/>
    </row>
    <row r="13" spans="1:65" ht="366" customHeight="1" x14ac:dyDescent="0.25">
      <c r="A13" s="440"/>
      <c r="B13" s="443"/>
      <c r="C13" s="443"/>
      <c r="D13" s="476"/>
      <c r="E13" s="152" t="s">
        <v>219</v>
      </c>
      <c r="F13" s="467"/>
      <c r="G13" s="485"/>
      <c r="H13" s="467"/>
      <c r="I13" s="479"/>
      <c r="J13" s="482"/>
      <c r="K13" s="463"/>
      <c r="L13" s="460"/>
      <c r="M13" s="470"/>
      <c r="N13" s="460">
        <f>IF(NOT(ISERROR(MATCH(M13,_xlfn.ANCHORARRAY(F18),0))),#REF!&amp;"Por favor no seleccionar los criterios de impacto",M13)</f>
        <v>0</v>
      </c>
      <c r="O13" s="463"/>
      <c r="P13" s="460"/>
      <c r="Q13" s="458"/>
      <c r="R13" s="248">
        <v>4</v>
      </c>
      <c r="S13" s="154" t="s">
        <v>220</v>
      </c>
      <c r="T13" s="249" t="str">
        <f t="shared" ref="T13" si="4">IF(OR(U13="Preventivo",U13="Detectivo"),"Probabilidad",IF(U13="Correctivo","Impacto",""))</f>
        <v>Impacto</v>
      </c>
      <c r="U13" s="119" t="s">
        <v>16</v>
      </c>
      <c r="V13" s="119" t="s">
        <v>9</v>
      </c>
      <c r="W13" s="120" t="str">
        <f t="shared" ref="W13:W15" si="5">IF(AND(U13="Preventivo",V13="Automático"),"50%",IF(AND(U13="Preventivo",V13="Manual"),"40%",IF(AND(U13="Detectivo",V13="Automático"),"40%",IF(AND(U13="Detectivo",V13="Manual"),"30%",IF(AND(U13="Correctivo",V13="Automático"),"35%",IF(AND(U13="Correctivo",V13="Manual"),"25%",""))))))</f>
        <v>25%</v>
      </c>
      <c r="X13" s="119" t="s">
        <v>19</v>
      </c>
      <c r="Y13" s="119" t="s">
        <v>22</v>
      </c>
      <c r="Z13" s="119" t="s">
        <v>113</v>
      </c>
      <c r="AA13" s="250">
        <f>IFERROR(IF(T13="Probabilidad",(L10-(+L10*W13)),IF(T13="Impacto",L10,"")),"")</f>
        <v>1</v>
      </c>
      <c r="AB13" s="122" t="str">
        <f t="shared" si="0"/>
        <v>Muy Alta</v>
      </c>
      <c r="AC13" s="123">
        <f t="shared" si="1"/>
        <v>1</v>
      </c>
      <c r="AD13" s="122" t="str">
        <f t="shared" si="2"/>
        <v>Menor</v>
      </c>
      <c r="AE13" s="123">
        <f>IFERROR(IF(AND(T12="Impacto",T13="Impacto"),(AE12-(+AE12*W13)),IF(AND(T12="Probabilidad",T13="Impacto"),(AE11-(+AE11*W13)),IF(T13="Probabilidad",AE12,""))),"")</f>
        <v>0.25312500000000004</v>
      </c>
      <c r="AF13" s="124" t="str">
        <f t="shared" si="3"/>
        <v>Alto</v>
      </c>
      <c r="AG13" s="125" t="s">
        <v>130</v>
      </c>
      <c r="AH13" s="203" t="s">
        <v>422</v>
      </c>
      <c r="AI13" s="156" t="s">
        <v>222</v>
      </c>
      <c r="AJ13" s="155">
        <v>45658</v>
      </c>
      <c r="AK13" s="155">
        <v>46022</v>
      </c>
      <c r="AL13" s="162" t="s">
        <v>40</v>
      </c>
      <c r="AM13" s="165" t="s">
        <v>429</v>
      </c>
      <c r="AN13" s="165"/>
      <c r="AO13" s="166"/>
      <c r="AP13" s="165"/>
      <c r="AQ13" s="165"/>
      <c r="AR13" s="165"/>
      <c r="AS13" s="8"/>
      <c r="AT13" s="8"/>
      <c r="AU13" s="8"/>
      <c r="AV13" s="8"/>
      <c r="AW13" s="8"/>
      <c r="AX13" s="8"/>
      <c r="AY13" s="8"/>
      <c r="AZ13" s="8"/>
      <c r="BA13" s="8"/>
      <c r="BB13" s="8"/>
      <c r="BC13" s="8"/>
      <c r="BD13" s="8"/>
      <c r="BE13" s="8"/>
      <c r="BF13" s="8"/>
      <c r="BG13" s="8"/>
      <c r="BH13" s="8"/>
      <c r="BI13" s="8"/>
      <c r="BJ13" s="8"/>
      <c r="BK13" s="8"/>
      <c r="BL13" s="8"/>
      <c r="BM13" s="8"/>
    </row>
    <row r="14" spans="1:65" ht="399" customHeight="1" x14ac:dyDescent="0.25">
      <c r="A14" s="439">
        <v>2</v>
      </c>
      <c r="B14" s="442" t="s">
        <v>126</v>
      </c>
      <c r="C14" s="442" t="s">
        <v>328</v>
      </c>
      <c r="D14" s="465" t="s">
        <v>330</v>
      </c>
      <c r="E14" s="205" t="s">
        <v>218</v>
      </c>
      <c r="F14" s="467" t="s">
        <v>327</v>
      </c>
      <c r="G14" s="485"/>
      <c r="H14" s="513" t="s">
        <v>329</v>
      </c>
      <c r="I14" s="478" t="s">
        <v>122</v>
      </c>
      <c r="J14" s="481">
        <f>(4570+1875+1042)</f>
        <v>7487</v>
      </c>
      <c r="K14" s="462" t="str">
        <f>IF(J14&lt;=0,"",IF(J14&lt;=2,"Muy Baja",IF(J14&lt;=24,"Baja",IF(J14&lt;=500,"Media",IF(J14&lt;=5000,"Alta","Muy Alta")))))</f>
        <v>Muy Alta</v>
      </c>
      <c r="L14" s="459">
        <f>IF(K14="","",IF(K14="Muy Baja",0.2,IF(K14="Baja",0.4,IF(K14="Media",0.6,IF(K14="Alta",0.8,IF(K14="Muy Alta",1,))))))</f>
        <v>1</v>
      </c>
      <c r="M14" s="469" t="s">
        <v>207</v>
      </c>
      <c r="N14" s="459" t="str">
        <f>IF(NOT(ISERROR(MATCH(M14,'Tabla Impacto'!$B$221:$B$223,0))),'Tabla Impacto'!$F$223&amp;"Por favor no seleccionar los criterios de impacto(Afectación Económica o presupuestal y Pérdida Reputacional)",M14)</f>
        <v xml:space="preserve">     Entre 200 y 1000 SMLMV</v>
      </c>
      <c r="O14" s="462" t="str">
        <f>IF(OR(N14='Tabla Impacto'!$C$11,N14='Tabla Impacto'!$D$11),"Leve",IF(OR(N14='Tabla Impacto'!$C$12,N14='Tabla Impacto'!$D$12),"Menor",IF(OR(N14='Tabla Impacto'!$C$13,N14='Tabla Impacto'!$D$13),"Moderado",IF(OR(N14='Tabla Impacto'!$C$14,N14='Tabla Impacto'!$D$14),"Mayor",IF(OR(N14='Tabla Impacto'!$C$15,N14='Tabla Impacto'!$D$15),"Catastrófico","")))))</f>
        <v>Menor</v>
      </c>
      <c r="P14" s="459">
        <f>IF(O14="","",IF(O14="Leve",0.2,IF(O14="Menor",0.4,IF(O14="Moderado",0.6,IF(O14="Mayor",0.8,IF(O14="Catastrófico",1,))))))</f>
        <v>0.4</v>
      </c>
      <c r="Q14" s="457"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Alto</v>
      </c>
      <c r="R14" s="248">
        <v>1</v>
      </c>
      <c r="S14" s="206" t="s">
        <v>356</v>
      </c>
      <c r="T14" s="249" t="str">
        <f>IF(OR(U14="Preventivo",U14="Detectivo"),"Probabilidad",IF(U14="Correctivo","Impacto",""))</f>
        <v>Impacto</v>
      </c>
      <c r="U14" s="119" t="s">
        <v>16</v>
      </c>
      <c r="V14" s="119" t="s">
        <v>9</v>
      </c>
      <c r="W14" s="120" t="str">
        <f t="shared" si="5"/>
        <v>25%</v>
      </c>
      <c r="X14" s="119" t="s">
        <v>19</v>
      </c>
      <c r="Y14" s="119" t="s">
        <v>22</v>
      </c>
      <c r="Z14" s="119" t="s">
        <v>113</v>
      </c>
      <c r="AA14" s="250">
        <f>IFERROR(IF(T14="Probabilidad",(L14-(+L14*W14)),IF(T14="Impacto",L14,"")),"")</f>
        <v>1</v>
      </c>
      <c r="AB14" s="122" t="str">
        <f t="shared" si="0"/>
        <v>Muy Alta</v>
      </c>
      <c r="AC14" s="123">
        <f t="shared" si="1"/>
        <v>1</v>
      </c>
      <c r="AD14" s="122" t="str">
        <f t="shared" si="2"/>
        <v>Leve</v>
      </c>
      <c r="AE14" s="123">
        <f>IFERROR(IF(AND(T13="Impacto",T14="Impacto"),(AE13-(+AE13*W14)),IF(AND(T13="Probabilidad",T14="Impacto"),(AE12-(+AE12*W14)),IF(T14="Probabilidad",AE13,""))),"")</f>
        <v>0.18984375000000003</v>
      </c>
      <c r="AF14" s="124" t="str">
        <f t="shared" si="3"/>
        <v>Alto</v>
      </c>
      <c r="AG14" s="125" t="s">
        <v>130</v>
      </c>
      <c r="AH14" s="203" t="s">
        <v>423</v>
      </c>
      <c r="AI14" s="156" t="s">
        <v>222</v>
      </c>
      <c r="AJ14" s="155">
        <v>45658</v>
      </c>
      <c r="AK14" s="155">
        <v>46022</v>
      </c>
      <c r="AL14" s="162" t="s">
        <v>40</v>
      </c>
      <c r="AM14" s="166" t="s">
        <v>434</v>
      </c>
      <c r="AN14" s="165"/>
      <c r="AO14" s="165"/>
      <c r="AP14" s="165"/>
      <c r="AQ14" s="165"/>
      <c r="AR14" s="165"/>
      <c r="AS14" s="8"/>
      <c r="AT14" s="8"/>
      <c r="AU14" s="8"/>
      <c r="AV14" s="8"/>
      <c r="AW14" s="8"/>
      <c r="AX14" s="8"/>
      <c r="AY14" s="8"/>
      <c r="AZ14" s="8"/>
      <c r="BA14" s="8"/>
      <c r="BB14" s="8"/>
      <c r="BC14" s="8"/>
      <c r="BD14" s="8"/>
      <c r="BE14" s="8"/>
      <c r="BF14" s="8"/>
      <c r="BG14" s="8"/>
      <c r="BH14" s="8"/>
      <c r="BI14" s="8"/>
      <c r="BJ14" s="8"/>
      <c r="BK14" s="8"/>
      <c r="BL14" s="8"/>
      <c r="BM14" s="8"/>
    </row>
    <row r="15" spans="1:65" ht="408.75" customHeight="1" x14ac:dyDescent="0.25">
      <c r="A15" s="440"/>
      <c r="B15" s="443"/>
      <c r="C15" s="443"/>
      <c r="D15" s="466"/>
      <c r="E15" s="204" t="s">
        <v>332</v>
      </c>
      <c r="F15" s="467"/>
      <c r="G15" s="485"/>
      <c r="H15" s="514"/>
      <c r="I15" s="479"/>
      <c r="J15" s="482"/>
      <c r="K15" s="463"/>
      <c r="L15" s="460"/>
      <c r="M15" s="470"/>
      <c r="N15" s="460">
        <f>IF(NOT(ISERROR(MATCH(M15,_xlfn.ANCHORARRAY(F19),0))),#REF!&amp;"Por favor no seleccionar los criterios de impacto",M15)</f>
        <v>0</v>
      </c>
      <c r="O15" s="463"/>
      <c r="P15" s="460"/>
      <c r="Q15" s="458"/>
      <c r="R15" s="248">
        <v>2</v>
      </c>
      <c r="S15" s="154" t="s">
        <v>444</v>
      </c>
      <c r="T15" s="249" t="str">
        <f>IF(OR(U15="Preventivo",U15="Detectivo"),"Probabilidad",IF(U15="Correctivo","Impacto",""))</f>
        <v>Impacto</v>
      </c>
      <c r="U15" s="119" t="s">
        <v>16</v>
      </c>
      <c r="V15" s="119" t="s">
        <v>9</v>
      </c>
      <c r="W15" s="120" t="str">
        <f t="shared" si="5"/>
        <v>25%</v>
      </c>
      <c r="X15" s="119" t="s">
        <v>19</v>
      </c>
      <c r="Y15" s="119" t="s">
        <v>22</v>
      </c>
      <c r="Z15" s="119" t="s">
        <v>113</v>
      </c>
      <c r="AA15" s="250">
        <f>IFERROR(IF(T15="Probabilidad",(L14-(+L14*W15)),IF(T15="Impacto",L14,"")),"")</f>
        <v>1</v>
      </c>
      <c r="AB15" s="122" t="str">
        <f t="shared" si="0"/>
        <v>Muy Alta</v>
      </c>
      <c r="AC15" s="123">
        <f t="shared" si="1"/>
        <v>1</v>
      </c>
      <c r="AD15" s="122" t="str">
        <f t="shared" si="2"/>
        <v>Leve</v>
      </c>
      <c r="AE15" s="123">
        <f>IFERROR(IF(AND(T14="Impacto",T15="Impacto"),(AE14-(+AE14*W15)),IF(AND(T14="Probabilidad",T15="Impacto"),(AE13-(+AE13*W15)),IF(T15="Probabilidad",AE14,""))),"")</f>
        <v>0.14238281250000001</v>
      </c>
      <c r="AF15" s="124" t="str">
        <f t="shared" si="3"/>
        <v>Alto</v>
      </c>
      <c r="AG15" s="125" t="s">
        <v>130</v>
      </c>
      <c r="AH15" s="203" t="s">
        <v>424</v>
      </c>
      <c r="AI15" s="156" t="s">
        <v>222</v>
      </c>
      <c r="AJ15" s="155">
        <v>45658</v>
      </c>
      <c r="AK15" s="155">
        <v>46022</v>
      </c>
      <c r="AL15" s="162" t="s">
        <v>40</v>
      </c>
      <c r="AM15" s="165" t="s">
        <v>430</v>
      </c>
      <c r="AN15" s="165"/>
      <c r="AO15" s="165"/>
      <c r="AP15" s="165"/>
      <c r="AQ15" s="165"/>
      <c r="AR15" s="165"/>
      <c r="AS15" s="8"/>
      <c r="AT15" s="8"/>
      <c r="AU15" s="8"/>
      <c r="AV15" s="8"/>
      <c r="AW15" s="8"/>
      <c r="AX15" s="8"/>
      <c r="AY15" s="8"/>
      <c r="AZ15" s="8"/>
      <c r="BA15" s="8"/>
      <c r="BB15" s="8"/>
      <c r="BC15" s="8"/>
      <c r="BD15" s="8"/>
      <c r="BE15" s="8"/>
      <c r="BF15" s="8"/>
      <c r="BG15" s="8"/>
      <c r="BH15" s="8"/>
      <c r="BI15" s="8"/>
      <c r="BJ15" s="8"/>
      <c r="BK15" s="8"/>
      <c r="BL15" s="8"/>
      <c r="BM15" s="8"/>
    </row>
    <row r="16" spans="1:65" ht="209.25" customHeight="1" x14ac:dyDescent="0.25">
      <c r="A16" s="439">
        <v>3</v>
      </c>
      <c r="B16" s="442" t="s">
        <v>128</v>
      </c>
      <c r="C16" s="442" t="s">
        <v>410</v>
      </c>
      <c r="D16" s="475" t="s">
        <v>363</v>
      </c>
      <c r="E16" s="152" t="s">
        <v>369</v>
      </c>
      <c r="F16" s="467" t="s">
        <v>436</v>
      </c>
      <c r="G16" s="484" t="s">
        <v>412</v>
      </c>
      <c r="H16" s="484" t="s">
        <v>437</v>
      </c>
      <c r="I16" s="478" t="s">
        <v>117</v>
      </c>
      <c r="J16" s="481">
        <f>(54*7)</f>
        <v>378</v>
      </c>
      <c r="K16" s="462" t="str">
        <f t="shared" ref="K16" si="6">IF(J16&lt;=0,"",IF(J16&lt;=2,"Muy Baja",IF(J16&lt;=24,"Baja",IF(J16&lt;=500,"Media",IF(J16&lt;=5000,"Alta","Muy Alta")))))</f>
        <v>Media</v>
      </c>
      <c r="L16" s="459">
        <f t="shared" ref="L16" si="7">IF(K16="","",IF(K16="Muy Baja",0.2,IF(K16="Baja",0.4,IF(K16="Media",0.6,IF(K16="Alta",0.8,IF(K16="Muy Alta",1,))))))</f>
        <v>0.6</v>
      </c>
      <c r="M16" s="469" t="s">
        <v>143</v>
      </c>
      <c r="N16" s="459" t="str">
        <f>IF(NOT(ISERROR(MATCH(M16,'Tabla Impacto'!$B$221:$B$223,0))),'Tabla Impacto'!$F$223&amp;"Por favor no seleccionar los criterios de impacto(Afectación Económica o presupuestal y Pérdida Reputacional)",M16)</f>
        <v xml:space="preserve">     El riesgo afecta la imagen de la entidad internamente, de conocimiento general, nivel interno, de junta dircetiva y accionistas y/o de provedores</v>
      </c>
      <c r="O16" s="462" t="str">
        <f>IF(OR(N16='Tabla Impacto'!$C$11,N16='Tabla Impacto'!$D$11),"Leve",IF(OR(N16='Tabla Impacto'!$C$12,N16='Tabla Impacto'!$D$12),"Menor",IF(OR(N16='Tabla Impacto'!$C$13,N16='Tabla Impacto'!$D$13),"Moderado",IF(OR(N16='Tabla Impacto'!$C$14,N16='Tabla Impacto'!$D$14),"Mayor",IF(OR(N16='Tabla Impacto'!$C$15,N16='Tabla Impacto'!$D$15),"Catastrófico","")))))</f>
        <v>Menor</v>
      </c>
      <c r="P16" s="459">
        <f t="shared" ref="P16" si="8">IF(O16="","",IF(O16="Leve",0.2,IF(O16="Menor",0.4,IF(O16="Moderado",0.6,IF(O16="Mayor",0.8,IF(O16="Catastrófico",1,))))))</f>
        <v>0.4</v>
      </c>
      <c r="Q16" s="457" t="str">
        <f t="shared" ref="Q16" si="9">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248">
        <v>1</v>
      </c>
      <c r="S16" s="154" t="s">
        <v>413</v>
      </c>
      <c r="T16" s="249" t="str">
        <f t="shared" ref="T16:T19" si="10">IF(OR(U16="Preventivo",U16="Detectivo"),"Probabilidad",IF(U16="Correctivo","Impacto",""))</f>
        <v>Impacto</v>
      </c>
      <c r="U16" s="119" t="s">
        <v>16</v>
      </c>
      <c r="V16" s="119" t="s">
        <v>9</v>
      </c>
      <c r="W16" s="120" t="str">
        <f t="shared" ref="W16:W18" si="11">IF(AND(U16="Preventivo",V16="Automático"),"50%",IF(AND(U16="Preventivo",V16="Manual"),"40%",IF(AND(U16="Detectivo",V16="Automático"),"40%",IF(AND(U16="Detectivo",V16="Manual"),"30%",IF(AND(U16="Correctivo",V16="Automático"),"35%",IF(AND(U16="Correctivo",V16="Manual"),"25%",""))))))</f>
        <v>25%</v>
      </c>
      <c r="X16" s="119" t="s">
        <v>19</v>
      </c>
      <c r="Y16" s="119" t="s">
        <v>22</v>
      </c>
      <c r="Z16" s="119" t="s">
        <v>113</v>
      </c>
      <c r="AA16" s="250">
        <f>IFERROR(IF(T16="Probabilidad",(L16-(+L16*W16)),IF(T16="Impacto",L16,"")),"")</f>
        <v>0.6</v>
      </c>
      <c r="AB16" s="122" t="str">
        <f t="shared" si="0"/>
        <v>Media</v>
      </c>
      <c r="AC16" s="123">
        <f t="shared" si="1"/>
        <v>0.6</v>
      </c>
      <c r="AD16" s="122" t="str">
        <f t="shared" si="2"/>
        <v>Menor</v>
      </c>
      <c r="AE16" s="123">
        <f>IFERROR(IF(T16="Impacto",(P16-(+P16*W16)),IF(T16="Probabilidad",P16,"")),"")</f>
        <v>0.30000000000000004</v>
      </c>
      <c r="AF16" s="124" t="str">
        <f t="shared" si="3"/>
        <v>Moderado</v>
      </c>
      <c r="AG16" s="125" t="s">
        <v>130</v>
      </c>
      <c r="AH16" s="156" t="s">
        <v>415</v>
      </c>
      <c r="AI16" s="156" t="s">
        <v>222</v>
      </c>
      <c r="AJ16" s="155">
        <v>45658</v>
      </c>
      <c r="AK16" s="155">
        <v>46022</v>
      </c>
      <c r="AL16" s="162" t="s">
        <v>40</v>
      </c>
      <c r="AM16" s="165" t="s">
        <v>433</v>
      </c>
      <c r="AN16" s="247"/>
      <c r="AO16" s="247"/>
      <c r="AP16" s="247"/>
      <c r="AQ16" s="247"/>
      <c r="AR16" s="247"/>
      <c r="AS16" s="8"/>
      <c r="AT16" s="8"/>
      <c r="AU16" s="8"/>
      <c r="AV16" s="8"/>
      <c r="AW16" s="8"/>
      <c r="AX16" s="8"/>
      <c r="AY16" s="8"/>
      <c r="AZ16" s="8"/>
      <c r="BA16" s="8"/>
      <c r="BB16" s="8"/>
      <c r="BC16" s="8"/>
      <c r="BD16" s="8"/>
      <c r="BE16" s="8"/>
      <c r="BF16" s="8"/>
      <c r="BG16" s="8"/>
      <c r="BH16" s="8"/>
      <c r="BI16" s="8"/>
      <c r="BJ16" s="8"/>
      <c r="BK16" s="8"/>
      <c r="BL16" s="8"/>
      <c r="BM16" s="8"/>
    </row>
    <row r="17" spans="1:65" ht="252.75" customHeight="1" x14ac:dyDescent="0.25">
      <c r="A17" s="440"/>
      <c r="B17" s="443"/>
      <c r="C17" s="443"/>
      <c r="D17" s="476"/>
      <c r="E17" s="152" t="s">
        <v>411</v>
      </c>
      <c r="F17" s="467"/>
      <c r="G17" s="485"/>
      <c r="H17" s="485"/>
      <c r="I17" s="479"/>
      <c r="J17" s="482"/>
      <c r="K17" s="463"/>
      <c r="L17" s="460"/>
      <c r="M17" s="470"/>
      <c r="N17" s="460">
        <f>IF(NOT(ISERROR(MATCH(M17,_xlfn.ANCHORARRAY(F20),0))),L22&amp;"Por favor no seleccionar los criterios de impacto",M17)</f>
        <v>0</v>
      </c>
      <c r="O17" s="463"/>
      <c r="P17" s="460"/>
      <c r="Q17" s="458"/>
      <c r="R17" s="248">
        <v>2</v>
      </c>
      <c r="S17" s="154" t="s">
        <v>438</v>
      </c>
      <c r="T17" s="249" t="str">
        <f t="shared" si="10"/>
        <v>Impacto</v>
      </c>
      <c r="U17" s="119" t="s">
        <v>16</v>
      </c>
      <c r="V17" s="119" t="s">
        <v>9</v>
      </c>
      <c r="W17" s="120" t="str">
        <f t="shared" si="11"/>
        <v>25%</v>
      </c>
      <c r="X17" s="119" t="s">
        <v>19</v>
      </c>
      <c r="Y17" s="119" t="s">
        <v>22</v>
      </c>
      <c r="Z17" s="119" t="s">
        <v>113</v>
      </c>
      <c r="AA17" s="250">
        <f>IFERROR(IF(T17="Probabilidad",(L16-(+L16*W17)),IF(T17="Impacto",L16,"")),"")</f>
        <v>0.6</v>
      </c>
      <c r="AB17" s="122" t="str">
        <f t="shared" si="0"/>
        <v>Media</v>
      </c>
      <c r="AC17" s="123">
        <f t="shared" si="1"/>
        <v>0.6</v>
      </c>
      <c r="AD17" s="122" t="str">
        <f t="shared" si="2"/>
        <v>Menor</v>
      </c>
      <c r="AE17" s="123">
        <f>IFERROR(IF(AND(T16="Impacto",T17="Impacto"),(AE16-(+AE16*W17)),IF(AND(T16="Probabilidad",T17="Impacto"),(P16-(+P16*W17)),IF(T17="Probabilidad",AE16,""))),"")</f>
        <v>0.22500000000000003</v>
      </c>
      <c r="AF17" s="124" t="str">
        <f t="shared" si="3"/>
        <v>Moderado</v>
      </c>
      <c r="AG17" s="125" t="s">
        <v>130</v>
      </c>
      <c r="AH17" s="156" t="s">
        <v>416</v>
      </c>
      <c r="AI17" s="156" t="s">
        <v>222</v>
      </c>
      <c r="AJ17" s="155">
        <v>45658</v>
      </c>
      <c r="AK17" s="155">
        <v>46022</v>
      </c>
      <c r="AL17" s="162" t="s">
        <v>40</v>
      </c>
      <c r="AM17" s="165" t="s">
        <v>431</v>
      </c>
      <c r="AN17" s="247"/>
      <c r="AO17" s="247"/>
      <c r="AP17" s="247"/>
      <c r="AQ17" s="247"/>
      <c r="AR17" s="247"/>
      <c r="AS17" s="8"/>
      <c r="AT17" s="8"/>
      <c r="AU17" s="8"/>
      <c r="AV17" s="8"/>
      <c r="AW17" s="8"/>
      <c r="AX17" s="8"/>
      <c r="AY17" s="8"/>
      <c r="AZ17" s="8"/>
      <c r="BA17" s="8"/>
      <c r="BB17" s="8"/>
      <c r="BC17" s="8"/>
      <c r="BD17" s="8"/>
      <c r="BE17" s="8"/>
      <c r="BF17" s="8"/>
      <c r="BG17" s="8"/>
      <c r="BH17" s="8"/>
      <c r="BI17" s="8"/>
      <c r="BJ17" s="8"/>
      <c r="BK17" s="8"/>
      <c r="BL17" s="8"/>
      <c r="BM17" s="8"/>
    </row>
    <row r="18" spans="1:65" ht="170.25" customHeight="1" x14ac:dyDescent="0.25">
      <c r="A18" s="440"/>
      <c r="B18" s="443"/>
      <c r="C18" s="443"/>
      <c r="D18" s="476"/>
      <c r="E18" s="259" t="s">
        <v>368</v>
      </c>
      <c r="F18" s="467"/>
      <c r="G18" s="485"/>
      <c r="H18" s="485"/>
      <c r="I18" s="479"/>
      <c r="J18" s="482"/>
      <c r="K18" s="463"/>
      <c r="L18" s="460"/>
      <c r="M18" s="470"/>
      <c r="N18" s="460">
        <f>IF(NOT(ISERROR(MATCH(M18,_xlfn.ANCHORARRAY(F21),0))),L23&amp;"Por favor no seleccionar los criterios de impacto",M18)</f>
        <v>0</v>
      </c>
      <c r="O18" s="463"/>
      <c r="P18" s="460"/>
      <c r="Q18" s="458"/>
      <c r="R18" s="248">
        <v>3</v>
      </c>
      <c r="S18" s="260" t="s">
        <v>439</v>
      </c>
      <c r="T18" s="249" t="str">
        <f t="shared" si="10"/>
        <v>Impacto</v>
      </c>
      <c r="U18" s="119" t="s">
        <v>16</v>
      </c>
      <c r="V18" s="119" t="s">
        <v>9</v>
      </c>
      <c r="W18" s="120" t="str">
        <f t="shared" si="11"/>
        <v>25%</v>
      </c>
      <c r="X18" s="119" t="s">
        <v>19</v>
      </c>
      <c r="Y18" s="119" t="s">
        <v>22</v>
      </c>
      <c r="Z18" s="119" t="s">
        <v>113</v>
      </c>
      <c r="AA18" s="250">
        <f>IFERROR(IF(T18="Probabilidad",(L16-(+L16*W18)),IF(T18="Impacto",L16,"")),"")</f>
        <v>0.6</v>
      </c>
      <c r="AB18" s="122" t="str">
        <f t="shared" si="0"/>
        <v>Media</v>
      </c>
      <c r="AC18" s="123">
        <f t="shared" si="1"/>
        <v>0.6</v>
      </c>
      <c r="AD18" s="122" t="str">
        <f t="shared" si="2"/>
        <v>Leve</v>
      </c>
      <c r="AE18" s="123">
        <f>IFERROR(IF(AND(T17="Impacto",T18="Impacto"),(AE17-(+AE17*W18)),IF(AND(T17="Probabilidad",T18="Impacto"),(AE16-(+AE16*W18)),IF(T18="Probabilidad",AE17,""))),"")</f>
        <v>0.16875000000000001</v>
      </c>
      <c r="AF18" s="124" t="str">
        <f t="shared" si="3"/>
        <v>Moderado</v>
      </c>
      <c r="AG18" s="125" t="s">
        <v>130</v>
      </c>
      <c r="AH18" s="156" t="s">
        <v>417</v>
      </c>
      <c r="AI18" s="156" t="s">
        <v>222</v>
      </c>
      <c r="AJ18" s="155">
        <v>45658</v>
      </c>
      <c r="AK18" s="155">
        <v>46022</v>
      </c>
      <c r="AL18" s="162" t="s">
        <v>40</v>
      </c>
      <c r="AM18" s="258" t="s">
        <v>435</v>
      </c>
      <c r="AN18" s="247"/>
      <c r="AO18" s="247"/>
      <c r="AP18" s="247"/>
      <c r="AQ18" s="247"/>
      <c r="AR18" s="247"/>
      <c r="AS18" s="8"/>
      <c r="AT18" s="8"/>
      <c r="AU18" s="8"/>
      <c r="AV18" s="8"/>
      <c r="AW18" s="8"/>
      <c r="AX18" s="8"/>
      <c r="AY18" s="8"/>
      <c r="AZ18" s="8"/>
      <c r="BA18" s="8"/>
      <c r="BB18" s="8"/>
      <c r="BC18" s="8"/>
      <c r="BD18" s="8"/>
      <c r="BE18" s="8"/>
      <c r="BF18" s="8"/>
      <c r="BG18" s="8"/>
      <c r="BH18" s="8"/>
      <c r="BI18" s="8"/>
      <c r="BJ18" s="8"/>
      <c r="BK18" s="8"/>
      <c r="BL18" s="8"/>
      <c r="BM18" s="8"/>
    </row>
    <row r="19" spans="1:65" ht="228.75" customHeight="1" x14ac:dyDescent="0.25">
      <c r="A19" s="237">
        <v>4</v>
      </c>
      <c r="B19" s="238" t="s">
        <v>128</v>
      </c>
      <c r="C19" s="238" t="s">
        <v>410</v>
      </c>
      <c r="D19" s="243" t="s">
        <v>440</v>
      </c>
      <c r="E19" s="251" t="s">
        <v>414</v>
      </c>
      <c r="F19" s="242" t="s">
        <v>441</v>
      </c>
      <c r="G19" s="486"/>
      <c r="H19" s="242" t="s">
        <v>442</v>
      </c>
      <c r="I19" s="244" t="s">
        <v>117</v>
      </c>
      <c r="J19" s="245">
        <v>54</v>
      </c>
      <c r="K19" s="241" t="str">
        <f t="shared" ref="K19" si="12">IF(J19&lt;=0,"",IF(J19&lt;=2,"Muy Baja",IF(J19&lt;=24,"Baja",IF(J19&lt;=500,"Media",IF(J19&lt;=5000,"Alta","Muy Alta")))))</f>
        <v>Media</v>
      </c>
      <c r="L19" s="240">
        <f t="shared" ref="L19" si="13">IF(K19="","",IF(K19="Muy Baja",0.2,IF(K19="Baja",0.4,IF(K19="Media",0.6,IF(K19="Alta",0.8,IF(K19="Muy Alta",1,))))))</f>
        <v>0.6</v>
      </c>
      <c r="M19" s="261" t="s">
        <v>143</v>
      </c>
      <c r="N19" s="240" t="str">
        <f>IF(NOT(ISERROR(MATCH(M19,'Tabla Impacto'!$B$221:$B$223,0))),'Tabla Impacto'!$F$223&amp;"Por favor no seleccionar los criterios de impacto(Afectación Económica o presupuestal y Pérdida Reputacional)",M19)</f>
        <v xml:space="preserve">     El riesgo afecta la imagen de la entidad internamente, de conocimiento general, nivel interno, de junta dircetiva y accionistas y/o de provedores</v>
      </c>
      <c r="O19" s="241" t="str">
        <f>IF(OR(N19='Tabla Impacto'!$C$11,N19='Tabla Impacto'!$D$11),"Leve",IF(OR(N19='Tabla Impacto'!$C$12,N19='Tabla Impacto'!$D$12),"Menor",IF(OR(N19='Tabla Impacto'!$C$13,N19='Tabla Impacto'!$D$13),"Moderado",IF(OR(N19='Tabla Impacto'!$C$14,N19='Tabla Impacto'!$D$14),"Mayor",IF(OR(N19='Tabla Impacto'!$C$15,N19='Tabla Impacto'!$D$15),"Catastrófico","")))))</f>
        <v>Menor</v>
      </c>
      <c r="P19" s="240">
        <f t="shared" ref="P19" si="14">IF(O19="","",IF(O19="Leve",0.2,IF(O19="Menor",0.4,IF(O19="Moderado",0.6,IF(O19="Mayor",0.8,IF(O19="Catastrófico",1,))))))</f>
        <v>0.4</v>
      </c>
      <c r="Q19" s="239" t="str">
        <f t="shared" ref="Q19" si="15">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Moderado</v>
      </c>
      <c r="R19" s="248">
        <v>1</v>
      </c>
      <c r="S19" s="154" t="s">
        <v>443</v>
      </c>
      <c r="T19" s="249" t="str">
        <f t="shared" si="10"/>
        <v>Impacto</v>
      </c>
      <c r="U19" s="119" t="s">
        <v>16</v>
      </c>
      <c r="V19" s="119" t="s">
        <v>9</v>
      </c>
      <c r="W19" s="120" t="str">
        <f t="shared" ref="W19" si="16">IF(AND(U19="Preventivo",V19="Automático"),"50%",IF(AND(U19="Preventivo",V19="Manual"),"40%",IF(AND(U19="Detectivo",V19="Automático"),"40%",IF(AND(U19="Detectivo",V19="Manual"),"30%",IF(AND(U19="Correctivo",V19="Automático"),"35%",IF(AND(U19="Correctivo",V19="Manual"),"25%",""))))))</f>
        <v>25%</v>
      </c>
      <c r="X19" s="119" t="s">
        <v>19</v>
      </c>
      <c r="Y19" s="119" t="s">
        <v>22</v>
      </c>
      <c r="Z19" s="119" t="s">
        <v>113</v>
      </c>
      <c r="AA19" s="250">
        <f>IFERROR(IF(T19="Probabilidad",(L19-(+L19*W19)),IF(T19="Impacto",L19,"")),"")</f>
        <v>0.6</v>
      </c>
      <c r="AB19" s="122" t="str">
        <f t="shared" si="0"/>
        <v>Media</v>
      </c>
      <c r="AC19" s="123">
        <f t="shared" si="1"/>
        <v>0.6</v>
      </c>
      <c r="AD19" s="122" t="str">
        <f t="shared" si="2"/>
        <v>Leve</v>
      </c>
      <c r="AE19" s="123">
        <f>IFERROR(IF(AND(T18="Impacto",T19="Impacto"),(AE18-(+AE18*W19)),IF(AND(T18="Probabilidad",T19="Impacto"),(AE17-(+AE17*W19)),IF(T19="Probabilidad",AE18,""))),"")</f>
        <v>0.12656250000000002</v>
      </c>
      <c r="AF19" s="124" t="str">
        <f t="shared" si="3"/>
        <v>Moderado</v>
      </c>
      <c r="AG19" s="125" t="s">
        <v>130</v>
      </c>
      <c r="AH19" s="156" t="s">
        <v>418</v>
      </c>
      <c r="AI19" s="156" t="s">
        <v>222</v>
      </c>
      <c r="AJ19" s="155">
        <v>45658</v>
      </c>
      <c r="AK19" s="155">
        <v>46022</v>
      </c>
      <c r="AL19" s="162" t="s">
        <v>40</v>
      </c>
      <c r="AM19" s="165" t="s">
        <v>432</v>
      </c>
      <c r="AN19" s="247"/>
      <c r="AO19" s="247"/>
      <c r="AP19" s="247"/>
      <c r="AQ19" s="247"/>
      <c r="AR19" s="247"/>
      <c r="AS19" s="8"/>
      <c r="AT19" s="8"/>
      <c r="AU19" s="8"/>
      <c r="AV19" s="8"/>
      <c r="AW19" s="8"/>
      <c r="AX19" s="8"/>
      <c r="AY19" s="8"/>
      <c r="AZ19" s="8"/>
      <c r="BA19" s="8"/>
      <c r="BB19" s="8"/>
      <c r="BC19" s="8"/>
      <c r="BD19" s="8"/>
      <c r="BE19" s="8"/>
      <c r="BF19" s="8"/>
      <c r="BG19" s="8"/>
      <c r="BH19" s="8"/>
      <c r="BI19" s="8"/>
      <c r="BJ19" s="8"/>
      <c r="BK19" s="8"/>
      <c r="BL19" s="8"/>
      <c r="BM19" s="8"/>
    </row>
    <row r="20" spans="1:65" ht="26.25" customHeight="1" x14ac:dyDescent="0.25">
      <c r="A20" s="439">
        <v>5</v>
      </c>
      <c r="B20" s="442"/>
      <c r="C20" s="442"/>
      <c r="D20" s="475"/>
      <c r="E20" s="251"/>
      <c r="F20" s="467"/>
      <c r="G20" s="242"/>
      <c r="H20" s="242"/>
      <c r="I20" s="478"/>
      <c r="J20" s="481"/>
      <c r="K20" s="462" t="str">
        <f t="shared" ref="K20" si="17">IF(J20&lt;=0,"",IF(J20&lt;=2,"Muy Baja",IF(J20&lt;=24,"Baja",IF(J20&lt;=500,"Media",IF(J20&lt;=5000,"Alta","Muy Alta")))))</f>
        <v/>
      </c>
      <c r="L20" s="459" t="str">
        <f t="shared" ref="L20" si="18">IF(K20="","",IF(K20="Muy Baja",0.2,IF(K20="Baja",0.4,IF(K20="Media",0.6,IF(K20="Alta",0.8,IF(K20="Muy Alta",1,))))))</f>
        <v/>
      </c>
      <c r="M20" s="262"/>
      <c r="N20" s="459">
        <f>IF(NOT(ISERROR(MATCH(M20,'Tabla Impacto'!$B$221:$B$223,0))),'Tabla Impacto'!$F$223&amp;"Por favor no seleccionar los criterios de impacto(Afectación Económica o presupuestal y Pérdida Reputacional)",M20)</f>
        <v>0</v>
      </c>
      <c r="O20" s="462" t="str">
        <f>IF(OR(N20='Tabla Impacto'!$C$11,N20='Tabla Impacto'!$D$11),"Leve",IF(OR(N20='Tabla Impacto'!$C$12,N20='Tabla Impacto'!$D$12),"Menor",IF(OR(N20='Tabla Impacto'!$C$13,N20='Tabla Impacto'!$D$13),"Moderado",IF(OR(N20='Tabla Impacto'!$C$14,N20='Tabla Impacto'!$D$14),"Mayor",IF(OR(N20='Tabla Impacto'!$C$15,N20='Tabla Impacto'!$D$15),"Catastrófico","")))))</f>
        <v>Leve</v>
      </c>
      <c r="P20" s="459">
        <f t="shared" ref="P20" si="19">IF(O20="","",IF(O20="Leve",0.2,IF(O20="Menor",0.4,IF(O20="Moderado",0.6,IF(O20="Mayor",0.8,IF(O20="Catastrófico",1,))))))</f>
        <v>0.2</v>
      </c>
      <c r="Q20" s="457" t="str">
        <f t="shared" ref="Q20" si="20">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
      </c>
      <c r="R20" s="248">
        <v>1</v>
      </c>
      <c r="S20" s="154"/>
      <c r="T20" s="249" t="s">
        <v>213</v>
      </c>
      <c r="U20" s="119"/>
      <c r="V20" s="119"/>
      <c r="W20" s="120" t="s">
        <v>213</v>
      </c>
      <c r="X20" s="119"/>
      <c r="Y20" s="119"/>
      <c r="Z20" s="119"/>
      <c r="AA20" s="250" t="s">
        <v>213</v>
      </c>
      <c r="AB20" s="111" t="s">
        <v>213</v>
      </c>
      <c r="AC20" s="112" t="s">
        <v>213</v>
      </c>
      <c r="AD20" s="111" t="s">
        <v>213</v>
      </c>
      <c r="AE20" s="112" t="s">
        <v>213</v>
      </c>
      <c r="AF20" s="113" t="s">
        <v>213</v>
      </c>
      <c r="AG20" s="114"/>
      <c r="AH20" s="121"/>
      <c r="AI20" s="252"/>
      <c r="AJ20" s="253"/>
      <c r="AK20" s="253"/>
      <c r="AL20" s="252"/>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row>
    <row r="21" spans="1:65" ht="26.25" customHeight="1" x14ac:dyDescent="0.25">
      <c r="A21" s="440"/>
      <c r="B21" s="443"/>
      <c r="C21" s="443"/>
      <c r="D21" s="476"/>
      <c r="E21" s="251"/>
      <c r="F21" s="467"/>
      <c r="G21" s="242"/>
      <c r="H21" s="242"/>
      <c r="I21" s="479"/>
      <c r="J21" s="482"/>
      <c r="K21" s="463"/>
      <c r="L21" s="460"/>
      <c r="M21" s="262"/>
      <c r="N21" s="460">
        <f>IF(NOT(ISERROR(MATCH(M21,_xlfn.ANCHORARRAY(F32),0))),L34&amp;"Por favor no seleccionar los criterios de impacto",M21)</f>
        <v>0</v>
      </c>
      <c r="O21" s="463"/>
      <c r="P21" s="460"/>
      <c r="Q21" s="458"/>
      <c r="R21" s="248">
        <v>2</v>
      </c>
      <c r="S21" s="154"/>
      <c r="T21" s="249" t="s">
        <v>213</v>
      </c>
      <c r="U21" s="119"/>
      <c r="V21" s="119"/>
      <c r="W21" s="120" t="s">
        <v>213</v>
      </c>
      <c r="X21" s="119"/>
      <c r="Y21" s="119"/>
      <c r="Z21" s="119"/>
      <c r="AA21" s="250" t="s">
        <v>213</v>
      </c>
      <c r="AB21" s="111" t="s">
        <v>213</v>
      </c>
      <c r="AC21" s="112" t="s">
        <v>213</v>
      </c>
      <c r="AD21" s="111" t="s">
        <v>213</v>
      </c>
      <c r="AE21" s="112" t="s">
        <v>213</v>
      </c>
      <c r="AF21" s="113" t="s">
        <v>213</v>
      </c>
      <c r="AG21" s="114"/>
      <c r="AH21" s="115"/>
      <c r="AI21" s="116"/>
      <c r="AJ21" s="117"/>
      <c r="AK21" s="117"/>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row>
    <row r="22" spans="1:65" ht="26.25" customHeight="1" x14ac:dyDescent="0.25">
      <c r="A22" s="440"/>
      <c r="B22" s="443"/>
      <c r="C22" s="443"/>
      <c r="D22" s="476"/>
      <c r="E22" s="251"/>
      <c r="F22" s="467"/>
      <c r="G22" s="242"/>
      <c r="H22" s="242"/>
      <c r="I22" s="479"/>
      <c r="J22" s="482"/>
      <c r="K22" s="463"/>
      <c r="L22" s="460"/>
      <c r="M22" s="262"/>
      <c r="N22" s="460">
        <f>IF(NOT(ISERROR(MATCH(M22,_xlfn.ANCHORARRAY(F33),0))),L35&amp;"Por favor no seleccionar los criterios de impacto",M22)</f>
        <v>0</v>
      </c>
      <c r="O22" s="463"/>
      <c r="P22" s="460"/>
      <c r="Q22" s="458"/>
      <c r="R22" s="248">
        <v>3</v>
      </c>
      <c r="S22" s="246"/>
      <c r="T22" s="249" t="s">
        <v>213</v>
      </c>
      <c r="U22" s="119"/>
      <c r="V22" s="119"/>
      <c r="W22" s="120" t="s">
        <v>213</v>
      </c>
      <c r="X22" s="119"/>
      <c r="Y22" s="119"/>
      <c r="Z22" s="119"/>
      <c r="AA22" s="250" t="s">
        <v>213</v>
      </c>
      <c r="AB22" s="111" t="s">
        <v>213</v>
      </c>
      <c r="AC22" s="112" t="s">
        <v>213</v>
      </c>
      <c r="AD22" s="111" t="s">
        <v>213</v>
      </c>
      <c r="AE22" s="112" t="s">
        <v>213</v>
      </c>
      <c r="AF22" s="113" t="s">
        <v>213</v>
      </c>
      <c r="AG22" s="114"/>
      <c r="AH22" s="115"/>
      <c r="AI22" s="116"/>
      <c r="AJ22" s="117"/>
      <c r="AK22" s="117"/>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row>
    <row r="23" spans="1:65" ht="26.25" customHeight="1" x14ac:dyDescent="0.25">
      <c r="A23" s="440"/>
      <c r="B23" s="443"/>
      <c r="C23" s="443"/>
      <c r="D23" s="476"/>
      <c r="E23" s="251"/>
      <c r="F23" s="467"/>
      <c r="G23" s="242"/>
      <c r="H23" s="242"/>
      <c r="I23" s="479"/>
      <c r="J23" s="482"/>
      <c r="K23" s="463"/>
      <c r="L23" s="460"/>
      <c r="M23" s="262"/>
      <c r="N23" s="460">
        <f>IF(NOT(ISERROR(MATCH(M23,_xlfn.ANCHORARRAY(F34),0))),L36&amp;"Por favor no seleccionar los criterios de impacto",M23)</f>
        <v>0</v>
      </c>
      <c r="O23" s="463"/>
      <c r="P23" s="460"/>
      <c r="Q23" s="458"/>
      <c r="R23" s="248">
        <v>4</v>
      </c>
      <c r="S23" s="154"/>
      <c r="T23" s="249" t="s">
        <v>213</v>
      </c>
      <c r="U23" s="119"/>
      <c r="V23" s="119"/>
      <c r="W23" s="120" t="s">
        <v>213</v>
      </c>
      <c r="X23" s="119"/>
      <c r="Y23" s="119"/>
      <c r="Z23" s="119"/>
      <c r="AA23" s="250" t="s">
        <v>213</v>
      </c>
      <c r="AB23" s="111" t="s">
        <v>213</v>
      </c>
      <c r="AC23" s="112" t="s">
        <v>213</v>
      </c>
      <c r="AD23" s="111" t="s">
        <v>213</v>
      </c>
      <c r="AE23" s="112" t="s">
        <v>213</v>
      </c>
      <c r="AF23" s="113" t="s">
        <v>213</v>
      </c>
      <c r="AG23" s="114"/>
      <c r="AH23" s="115"/>
      <c r="AI23" s="116"/>
      <c r="AJ23" s="117"/>
      <c r="AK23" s="117"/>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row>
    <row r="24" spans="1:65" ht="26.25" customHeight="1" x14ac:dyDescent="0.25">
      <c r="A24" s="440"/>
      <c r="B24" s="443"/>
      <c r="C24" s="443"/>
      <c r="D24" s="476"/>
      <c r="E24" s="251"/>
      <c r="F24" s="467"/>
      <c r="G24" s="242"/>
      <c r="H24" s="242"/>
      <c r="I24" s="479"/>
      <c r="J24" s="482"/>
      <c r="K24" s="463"/>
      <c r="L24" s="460"/>
      <c r="M24" s="263"/>
      <c r="N24" s="460">
        <f>IF(NOT(ISERROR(MATCH(M24,_xlfn.ANCHORARRAY(F35),0))),L37&amp;"Por favor no seleccionar los criterios de impacto",M24)</f>
        <v>0</v>
      </c>
      <c r="O24" s="463"/>
      <c r="P24" s="460"/>
      <c r="Q24" s="458"/>
      <c r="R24" s="248">
        <v>5</v>
      </c>
      <c r="S24" s="154"/>
      <c r="T24" s="249" t="s">
        <v>213</v>
      </c>
      <c r="U24" s="119"/>
      <c r="V24" s="119"/>
      <c r="W24" s="120" t="s">
        <v>213</v>
      </c>
      <c r="X24" s="119"/>
      <c r="Y24" s="119"/>
      <c r="Z24" s="119"/>
      <c r="AA24" s="250" t="s">
        <v>213</v>
      </c>
      <c r="AB24" s="111" t="s">
        <v>213</v>
      </c>
      <c r="AC24" s="112" t="s">
        <v>213</v>
      </c>
      <c r="AD24" s="111" t="s">
        <v>213</v>
      </c>
      <c r="AE24" s="112" t="s">
        <v>213</v>
      </c>
      <c r="AF24" s="113" t="s">
        <v>213</v>
      </c>
      <c r="AG24" s="114"/>
      <c r="AH24" s="115"/>
      <c r="AI24" s="116"/>
      <c r="AJ24" s="117"/>
      <c r="AK24" s="117"/>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row>
    <row r="25" spans="1:65" ht="26.25" customHeight="1" x14ac:dyDescent="0.25">
      <c r="A25" s="441"/>
      <c r="B25" s="444"/>
      <c r="C25" s="444"/>
      <c r="D25" s="477"/>
      <c r="E25" s="251"/>
      <c r="F25" s="467"/>
      <c r="G25" s="242"/>
      <c r="H25" s="242"/>
      <c r="I25" s="480"/>
      <c r="J25" s="483"/>
      <c r="K25" s="464"/>
      <c r="L25" s="461"/>
      <c r="M25" s="257"/>
      <c r="N25" s="461">
        <f>IF(NOT(ISERROR(MATCH(M25,_xlfn.ANCHORARRAY(F36),0))),L38&amp;"Por favor no seleccionar los criterios de impacto",M25)</f>
        <v>0</v>
      </c>
      <c r="O25" s="464"/>
      <c r="P25" s="461"/>
      <c r="Q25" s="468"/>
      <c r="R25" s="248">
        <v>6</v>
      </c>
      <c r="S25" s="154"/>
      <c r="T25" s="249" t="s">
        <v>213</v>
      </c>
      <c r="U25" s="119"/>
      <c r="V25" s="119"/>
      <c r="W25" s="120" t="s">
        <v>213</v>
      </c>
      <c r="X25" s="119"/>
      <c r="Y25" s="119"/>
      <c r="Z25" s="119"/>
      <c r="AA25" s="250" t="s">
        <v>213</v>
      </c>
      <c r="AB25" s="111" t="s">
        <v>213</v>
      </c>
      <c r="AC25" s="112" t="s">
        <v>213</v>
      </c>
      <c r="AD25" s="111" t="s">
        <v>213</v>
      </c>
      <c r="AE25" s="112" t="s">
        <v>213</v>
      </c>
      <c r="AF25" s="113" t="s">
        <v>213</v>
      </c>
      <c r="AG25" s="114"/>
      <c r="AH25" s="115"/>
      <c r="AI25" s="116"/>
      <c r="AJ25" s="117"/>
      <c r="AK25" s="117"/>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row>
    <row r="26" spans="1:65" ht="26.25" customHeight="1" x14ac:dyDescent="0.25">
      <c r="A26" s="439">
        <v>6</v>
      </c>
      <c r="B26" s="445"/>
      <c r="C26" s="445"/>
      <c r="D26" s="454"/>
      <c r="E26" s="143"/>
      <c r="F26" s="471"/>
      <c r="G26" s="144"/>
      <c r="H26" s="144"/>
      <c r="I26" s="472"/>
      <c r="J26" s="451"/>
      <c r="K26" s="436" t="str">
        <f t="shared" ref="K26" si="21">IF(J26&lt;=0,"",IF(J26&lt;=2,"Muy Baja",IF(J26&lt;=24,"Baja",IF(J26&lt;=500,"Media",IF(J26&lt;=5000,"Alta","Muy Alta")))))</f>
        <v/>
      </c>
      <c r="L26" s="427" t="str">
        <f t="shared" ref="L26" si="22">IF(K26="","",IF(K26="Muy Baja",0.2,IF(K26="Baja",0.4,IF(K26="Media",0.6,IF(K26="Alta",0.8,IF(K26="Muy Alta",1,))))))</f>
        <v/>
      </c>
      <c r="M26" s="433"/>
      <c r="N26" s="427">
        <f>IF(NOT(ISERROR(MATCH(M26,'Tabla Impacto'!$B$221:$B$223,0))),'Tabla Impacto'!$F$223&amp;"Por favor no seleccionar los criterios de impacto(Afectación Económica o presupuestal y Pérdida Reputacional)",M26)</f>
        <v>0</v>
      </c>
      <c r="O26" s="436" t="str">
        <f>IF(OR(N26='Tabla Impacto'!$C$11,N26='Tabla Impacto'!$D$11),"Leve",IF(OR(N26='Tabla Impacto'!$C$12,N26='Tabla Impacto'!$D$12),"Menor",IF(OR(N26='Tabla Impacto'!$C$13,N26='Tabla Impacto'!$D$13),"Moderado",IF(OR(N26='Tabla Impacto'!$C$14,N26='Tabla Impacto'!$D$14),"Mayor",IF(OR(N26='Tabla Impacto'!$C$15,N26='Tabla Impacto'!$D$15),"Catastrófico","")))))</f>
        <v>Leve</v>
      </c>
      <c r="P26" s="427">
        <f t="shared" ref="P26" si="23">IF(O26="","",IF(O26="Leve",0.2,IF(O26="Menor",0.4,IF(O26="Moderado",0.6,IF(O26="Mayor",0.8,IF(O26="Catastrófico",1,))))))</f>
        <v>0.2</v>
      </c>
      <c r="Q26" s="430" t="str">
        <f t="shared" ref="Q26" si="24">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
      </c>
      <c r="R26" s="105">
        <v>1</v>
      </c>
      <c r="S26" s="106"/>
      <c r="T26" s="107" t="s">
        <v>213</v>
      </c>
      <c r="U26" s="108"/>
      <c r="V26" s="108"/>
      <c r="W26" s="109" t="s">
        <v>213</v>
      </c>
      <c r="X26" s="108"/>
      <c r="Y26" s="108"/>
      <c r="Z26" s="108"/>
      <c r="AA26" s="110" t="s">
        <v>213</v>
      </c>
      <c r="AB26" s="111" t="s">
        <v>213</v>
      </c>
      <c r="AC26" s="112" t="s">
        <v>213</v>
      </c>
      <c r="AD26" s="111" t="s">
        <v>213</v>
      </c>
      <c r="AE26" s="112" t="s">
        <v>213</v>
      </c>
      <c r="AF26" s="113" t="s">
        <v>213</v>
      </c>
      <c r="AG26" s="114"/>
      <c r="AH26" s="115"/>
      <c r="AI26" s="116"/>
      <c r="AJ26" s="117"/>
      <c r="AK26" s="117"/>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row>
    <row r="27" spans="1:65" ht="26.25" customHeight="1" x14ac:dyDescent="0.25">
      <c r="A27" s="440"/>
      <c r="B27" s="446"/>
      <c r="C27" s="446"/>
      <c r="D27" s="455"/>
      <c r="E27" s="143"/>
      <c r="F27" s="471"/>
      <c r="G27" s="144"/>
      <c r="H27" s="144"/>
      <c r="I27" s="473"/>
      <c r="J27" s="452"/>
      <c r="K27" s="437"/>
      <c r="L27" s="428"/>
      <c r="M27" s="434"/>
      <c r="N27" s="428">
        <f>IF(NOT(ISERROR(MATCH(M27,_xlfn.ANCHORARRAY(F38),0))),L40&amp;"Por favor no seleccionar los criterios de impacto",M27)</f>
        <v>0</v>
      </c>
      <c r="O27" s="437"/>
      <c r="P27" s="428"/>
      <c r="Q27" s="431"/>
      <c r="R27" s="105">
        <v>2</v>
      </c>
      <c r="S27" s="106"/>
      <c r="T27" s="107" t="s">
        <v>213</v>
      </c>
      <c r="U27" s="108"/>
      <c r="V27" s="108"/>
      <c r="W27" s="109" t="s">
        <v>213</v>
      </c>
      <c r="X27" s="108"/>
      <c r="Y27" s="108"/>
      <c r="Z27" s="108"/>
      <c r="AA27" s="110" t="s">
        <v>213</v>
      </c>
      <c r="AB27" s="111" t="s">
        <v>213</v>
      </c>
      <c r="AC27" s="112" t="s">
        <v>213</v>
      </c>
      <c r="AD27" s="111" t="s">
        <v>213</v>
      </c>
      <c r="AE27" s="112" t="s">
        <v>213</v>
      </c>
      <c r="AF27" s="113" t="s">
        <v>213</v>
      </c>
      <c r="AG27" s="114"/>
      <c r="AH27" s="115"/>
      <c r="AI27" s="116"/>
      <c r="AJ27" s="117"/>
      <c r="AK27" s="117"/>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row>
    <row r="28" spans="1:65" ht="26.25" customHeight="1" x14ac:dyDescent="0.25">
      <c r="A28" s="440"/>
      <c r="B28" s="446"/>
      <c r="C28" s="446"/>
      <c r="D28" s="455"/>
      <c r="E28" s="143"/>
      <c r="F28" s="471"/>
      <c r="G28" s="144"/>
      <c r="H28" s="144"/>
      <c r="I28" s="473"/>
      <c r="J28" s="452"/>
      <c r="K28" s="437"/>
      <c r="L28" s="428"/>
      <c r="M28" s="434"/>
      <c r="N28" s="428">
        <f>IF(NOT(ISERROR(MATCH(M28,_xlfn.ANCHORARRAY(F39),0))),L41&amp;"Por favor no seleccionar los criterios de impacto",M28)</f>
        <v>0</v>
      </c>
      <c r="O28" s="437"/>
      <c r="P28" s="428"/>
      <c r="Q28" s="431"/>
      <c r="R28" s="105">
        <v>3</v>
      </c>
      <c r="S28" s="118"/>
      <c r="T28" s="107" t="s">
        <v>213</v>
      </c>
      <c r="U28" s="108"/>
      <c r="V28" s="108"/>
      <c r="W28" s="109" t="s">
        <v>213</v>
      </c>
      <c r="X28" s="108"/>
      <c r="Y28" s="108"/>
      <c r="Z28" s="108"/>
      <c r="AA28" s="110" t="s">
        <v>213</v>
      </c>
      <c r="AB28" s="111" t="s">
        <v>213</v>
      </c>
      <c r="AC28" s="112" t="s">
        <v>213</v>
      </c>
      <c r="AD28" s="111" t="s">
        <v>213</v>
      </c>
      <c r="AE28" s="112" t="s">
        <v>213</v>
      </c>
      <c r="AF28" s="113" t="s">
        <v>213</v>
      </c>
      <c r="AG28" s="114"/>
      <c r="AH28" s="115"/>
      <c r="AI28" s="116"/>
      <c r="AJ28" s="117"/>
      <c r="AK28" s="117"/>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row>
    <row r="29" spans="1:65" ht="26.25" customHeight="1" x14ac:dyDescent="0.25">
      <c r="A29" s="440"/>
      <c r="B29" s="446"/>
      <c r="C29" s="446"/>
      <c r="D29" s="455"/>
      <c r="E29" s="143"/>
      <c r="F29" s="471"/>
      <c r="G29" s="144"/>
      <c r="H29" s="144"/>
      <c r="I29" s="473"/>
      <c r="J29" s="452"/>
      <c r="K29" s="437"/>
      <c r="L29" s="428"/>
      <c r="M29" s="434"/>
      <c r="N29" s="428">
        <f>IF(NOT(ISERROR(MATCH(M29,_xlfn.ANCHORARRAY(F40),0))),L42&amp;"Por favor no seleccionar los criterios de impacto",M29)</f>
        <v>0</v>
      </c>
      <c r="O29" s="437"/>
      <c r="P29" s="428"/>
      <c r="Q29" s="431"/>
      <c r="R29" s="105">
        <v>4</v>
      </c>
      <c r="S29" s="106"/>
      <c r="T29" s="107" t="s">
        <v>213</v>
      </c>
      <c r="U29" s="108"/>
      <c r="V29" s="108"/>
      <c r="W29" s="109" t="s">
        <v>213</v>
      </c>
      <c r="X29" s="108"/>
      <c r="Y29" s="108"/>
      <c r="Z29" s="108"/>
      <c r="AA29" s="110" t="s">
        <v>213</v>
      </c>
      <c r="AB29" s="111" t="s">
        <v>213</v>
      </c>
      <c r="AC29" s="112" t="s">
        <v>213</v>
      </c>
      <c r="AD29" s="111" t="s">
        <v>213</v>
      </c>
      <c r="AE29" s="112" t="s">
        <v>213</v>
      </c>
      <c r="AF29" s="113" t="s">
        <v>213</v>
      </c>
      <c r="AG29" s="114"/>
      <c r="AH29" s="115"/>
      <c r="AI29" s="116"/>
      <c r="AJ29" s="117"/>
      <c r="AK29" s="117"/>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row>
    <row r="30" spans="1:65" ht="26.25" customHeight="1" x14ac:dyDescent="0.25">
      <c r="A30" s="440"/>
      <c r="B30" s="446"/>
      <c r="C30" s="446"/>
      <c r="D30" s="455"/>
      <c r="E30" s="143"/>
      <c r="F30" s="471"/>
      <c r="G30" s="144"/>
      <c r="H30" s="144"/>
      <c r="I30" s="473"/>
      <c r="J30" s="452"/>
      <c r="K30" s="437"/>
      <c r="L30" s="428"/>
      <c r="M30" s="434"/>
      <c r="N30" s="428">
        <f>IF(NOT(ISERROR(MATCH(M30,_xlfn.ANCHORARRAY(F41),0))),L43&amp;"Por favor no seleccionar los criterios de impacto",M30)</f>
        <v>0</v>
      </c>
      <c r="O30" s="437"/>
      <c r="P30" s="428"/>
      <c r="Q30" s="431"/>
      <c r="R30" s="105">
        <v>5</v>
      </c>
      <c r="S30" s="106"/>
      <c r="T30" s="107" t="s">
        <v>213</v>
      </c>
      <c r="U30" s="108"/>
      <c r="V30" s="108"/>
      <c r="W30" s="109" t="s">
        <v>213</v>
      </c>
      <c r="X30" s="108"/>
      <c r="Y30" s="108"/>
      <c r="Z30" s="108"/>
      <c r="AA30" s="110" t="s">
        <v>213</v>
      </c>
      <c r="AB30" s="111" t="s">
        <v>213</v>
      </c>
      <c r="AC30" s="112" t="s">
        <v>213</v>
      </c>
      <c r="AD30" s="111" t="s">
        <v>213</v>
      </c>
      <c r="AE30" s="112" t="s">
        <v>213</v>
      </c>
      <c r="AF30" s="113" t="s">
        <v>213</v>
      </c>
      <c r="AG30" s="114"/>
      <c r="AH30" s="115"/>
      <c r="AI30" s="116"/>
      <c r="AJ30" s="117"/>
      <c r="AK30" s="117"/>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row>
    <row r="31" spans="1:65" ht="26.25" customHeight="1" x14ac:dyDescent="0.25">
      <c r="A31" s="441"/>
      <c r="B31" s="447"/>
      <c r="C31" s="447"/>
      <c r="D31" s="456"/>
      <c r="E31" s="143"/>
      <c r="F31" s="471"/>
      <c r="G31" s="144"/>
      <c r="H31" s="144"/>
      <c r="I31" s="474"/>
      <c r="J31" s="453"/>
      <c r="K31" s="438"/>
      <c r="L31" s="429"/>
      <c r="M31" s="435"/>
      <c r="N31" s="429">
        <f>IF(NOT(ISERROR(MATCH(M31,_xlfn.ANCHORARRAY(F42),0))),L44&amp;"Por favor no seleccionar los criterios de impacto",M31)</f>
        <v>0</v>
      </c>
      <c r="O31" s="438"/>
      <c r="P31" s="429"/>
      <c r="Q31" s="432"/>
      <c r="R31" s="105">
        <v>6</v>
      </c>
      <c r="S31" s="106"/>
      <c r="T31" s="107" t="s">
        <v>213</v>
      </c>
      <c r="U31" s="108"/>
      <c r="V31" s="108"/>
      <c r="W31" s="109" t="s">
        <v>213</v>
      </c>
      <c r="X31" s="108"/>
      <c r="Y31" s="108"/>
      <c r="Z31" s="108"/>
      <c r="AA31" s="110" t="s">
        <v>213</v>
      </c>
      <c r="AB31" s="111" t="s">
        <v>213</v>
      </c>
      <c r="AC31" s="112" t="s">
        <v>213</v>
      </c>
      <c r="AD31" s="111" t="s">
        <v>213</v>
      </c>
      <c r="AE31" s="112" t="s">
        <v>213</v>
      </c>
      <c r="AF31" s="113" t="s">
        <v>213</v>
      </c>
      <c r="AG31" s="114"/>
      <c r="AH31" s="115"/>
      <c r="AI31" s="116"/>
      <c r="AJ31" s="117"/>
      <c r="AK31" s="117"/>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row>
    <row r="32" spans="1:65" ht="26.25" customHeight="1" x14ac:dyDescent="0.25">
      <c r="A32" s="439">
        <v>7</v>
      </c>
      <c r="B32" s="445"/>
      <c r="C32" s="445"/>
      <c r="D32" s="445"/>
      <c r="E32" s="127"/>
      <c r="F32" s="449"/>
      <c r="G32" s="130"/>
      <c r="H32" s="130"/>
      <c r="I32" s="445"/>
      <c r="J32" s="451"/>
      <c r="K32" s="436" t="str">
        <f t="shared" ref="K32" si="25">IF(J32&lt;=0,"",IF(J32&lt;=2,"Muy Baja",IF(J32&lt;=24,"Baja",IF(J32&lt;=500,"Media",IF(J32&lt;=5000,"Alta","Muy Alta")))))</f>
        <v/>
      </c>
      <c r="L32" s="427" t="str">
        <f t="shared" ref="L32" si="26">IF(K32="","",IF(K32="Muy Baja",0.2,IF(K32="Baja",0.4,IF(K32="Media",0.6,IF(K32="Alta",0.8,IF(K32="Muy Alta",1,))))))</f>
        <v/>
      </c>
      <c r="M32" s="433"/>
      <c r="N32" s="427">
        <f>IF(NOT(ISERROR(MATCH(M32,'Tabla Impacto'!$B$221:$B$223,0))),'Tabla Impacto'!$F$223&amp;"Por favor no seleccionar los criterios de impacto(Afectación Económica o presupuestal y Pérdida Reputacional)",M32)</f>
        <v>0</v>
      </c>
      <c r="O32" s="436" t="str">
        <f>IF(OR(N32='Tabla Impacto'!$C$11,N32='Tabla Impacto'!$D$11),"Leve",IF(OR(N32='Tabla Impacto'!$C$12,N32='Tabla Impacto'!$D$12),"Menor",IF(OR(N32='Tabla Impacto'!$C$13,N32='Tabla Impacto'!$D$13),"Moderado",IF(OR(N32='Tabla Impacto'!$C$14,N32='Tabla Impacto'!$D$14),"Mayor",IF(OR(N32='Tabla Impacto'!$C$15,N32='Tabla Impacto'!$D$15),"Catastrófico","")))))</f>
        <v>Leve</v>
      </c>
      <c r="P32" s="427">
        <f t="shared" ref="P32" si="27">IF(O32="","",IF(O32="Leve",0.2,IF(O32="Menor",0.4,IF(O32="Moderado",0.6,IF(O32="Mayor",0.8,IF(O32="Catastrófico",1,))))))</f>
        <v>0.2</v>
      </c>
      <c r="Q32" s="430" t="str">
        <f t="shared" ref="Q32" si="28">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
      </c>
      <c r="R32" s="105">
        <v>1</v>
      </c>
      <c r="S32" s="106"/>
      <c r="T32" s="107" t="s">
        <v>213</v>
      </c>
      <c r="U32" s="108"/>
      <c r="V32" s="108"/>
      <c r="W32" s="109" t="s">
        <v>213</v>
      </c>
      <c r="X32" s="108"/>
      <c r="Y32" s="108"/>
      <c r="Z32" s="108"/>
      <c r="AA32" s="110" t="s">
        <v>213</v>
      </c>
      <c r="AB32" s="111" t="s">
        <v>213</v>
      </c>
      <c r="AC32" s="112" t="s">
        <v>213</v>
      </c>
      <c r="AD32" s="111" t="s">
        <v>213</v>
      </c>
      <c r="AE32" s="112" t="s">
        <v>213</v>
      </c>
      <c r="AF32" s="113" t="s">
        <v>213</v>
      </c>
      <c r="AG32" s="114"/>
      <c r="AH32" s="115"/>
      <c r="AI32" s="116"/>
      <c r="AJ32" s="117"/>
      <c r="AK32" s="117"/>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row>
    <row r="33" spans="1:65" ht="26.25" customHeight="1" x14ac:dyDescent="0.25">
      <c r="A33" s="440"/>
      <c r="B33" s="446"/>
      <c r="C33" s="446"/>
      <c r="D33" s="446"/>
      <c r="E33" s="127"/>
      <c r="F33" s="449"/>
      <c r="G33" s="130"/>
      <c r="H33" s="130"/>
      <c r="I33" s="446"/>
      <c r="J33" s="452"/>
      <c r="K33" s="437"/>
      <c r="L33" s="428"/>
      <c r="M33" s="434"/>
      <c r="N33" s="428">
        <f>IF(NOT(ISERROR(MATCH(M33,_xlfn.ANCHORARRAY(F44),0))),L46&amp;"Por favor no seleccionar los criterios de impacto",M33)</f>
        <v>0</v>
      </c>
      <c r="O33" s="437"/>
      <c r="P33" s="428"/>
      <c r="Q33" s="431"/>
      <c r="R33" s="105">
        <v>2</v>
      </c>
      <c r="S33" s="106"/>
      <c r="T33" s="107" t="s">
        <v>213</v>
      </c>
      <c r="U33" s="108"/>
      <c r="V33" s="108"/>
      <c r="W33" s="109" t="s">
        <v>213</v>
      </c>
      <c r="X33" s="108"/>
      <c r="Y33" s="108"/>
      <c r="Z33" s="108"/>
      <c r="AA33" s="110" t="s">
        <v>213</v>
      </c>
      <c r="AB33" s="111" t="s">
        <v>213</v>
      </c>
      <c r="AC33" s="112" t="s">
        <v>213</v>
      </c>
      <c r="AD33" s="111" t="s">
        <v>213</v>
      </c>
      <c r="AE33" s="112" t="s">
        <v>213</v>
      </c>
      <c r="AF33" s="113" t="s">
        <v>213</v>
      </c>
      <c r="AG33" s="114"/>
      <c r="AH33" s="115"/>
      <c r="AI33" s="116"/>
      <c r="AJ33" s="117"/>
      <c r="AK33" s="117"/>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row>
    <row r="34" spans="1:65" ht="26.25" customHeight="1" x14ac:dyDescent="0.25">
      <c r="A34" s="440"/>
      <c r="B34" s="446"/>
      <c r="C34" s="446"/>
      <c r="D34" s="446"/>
      <c r="E34" s="127"/>
      <c r="F34" s="449"/>
      <c r="G34" s="130"/>
      <c r="H34" s="130"/>
      <c r="I34" s="446"/>
      <c r="J34" s="452"/>
      <c r="K34" s="437"/>
      <c r="L34" s="428"/>
      <c r="M34" s="434"/>
      <c r="N34" s="428">
        <f>IF(NOT(ISERROR(MATCH(M34,_xlfn.ANCHORARRAY(F45),0))),L47&amp;"Por favor no seleccionar los criterios de impacto",M34)</f>
        <v>0</v>
      </c>
      <c r="O34" s="437"/>
      <c r="P34" s="428"/>
      <c r="Q34" s="431"/>
      <c r="R34" s="105">
        <v>3</v>
      </c>
      <c r="S34" s="118"/>
      <c r="T34" s="107" t="s">
        <v>213</v>
      </c>
      <c r="U34" s="108"/>
      <c r="V34" s="108"/>
      <c r="W34" s="109" t="s">
        <v>213</v>
      </c>
      <c r="X34" s="108"/>
      <c r="Y34" s="108"/>
      <c r="Z34" s="108"/>
      <c r="AA34" s="110" t="s">
        <v>213</v>
      </c>
      <c r="AB34" s="111" t="s">
        <v>213</v>
      </c>
      <c r="AC34" s="112" t="s">
        <v>213</v>
      </c>
      <c r="AD34" s="111" t="s">
        <v>213</v>
      </c>
      <c r="AE34" s="112" t="s">
        <v>213</v>
      </c>
      <c r="AF34" s="113" t="s">
        <v>213</v>
      </c>
      <c r="AG34" s="114"/>
      <c r="AH34" s="115"/>
      <c r="AI34" s="116"/>
      <c r="AJ34" s="117"/>
      <c r="AK34" s="117"/>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row>
    <row r="35" spans="1:65" ht="26.25" customHeight="1" x14ac:dyDescent="0.25">
      <c r="A35" s="440"/>
      <c r="B35" s="446"/>
      <c r="C35" s="446"/>
      <c r="D35" s="446"/>
      <c r="E35" s="127"/>
      <c r="F35" s="449"/>
      <c r="G35" s="130"/>
      <c r="H35" s="130"/>
      <c r="I35" s="446"/>
      <c r="J35" s="452"/>
      <c r="K35" s="437"/>
      <c r="L35" s="428"/>
      <c r="M35" s="434"/>
      <c r="N35" s="428">
        <f>IF(NOT(ISERROR(MATCH(M35,_xlfn.ANCHORARRAY(F46),0))),L48&amp;"Por favor no seleccionar los criterios de impacto",M35)</f>
        <v>0</v>
      </c>
      <c r="O35" s="437"/>
      <c r="P35" s="428"/>
      <c r="Q35" s="431"/>
      <c r="R35" s="105">
        <v>4</v>
      </c>
      <c r="S35" s="106"/>
      <c r="T35" s="107" t="s">
        <v>213</v>
      </c>
      <c r="U35" s="108"/>
      <c r="V35" s="108"/>
      <c r="W35" s="109" t="s">
        <v>213</v>
      </c>
      <c r="X35" s="108"/>
      <c r="Y35" s="108"/>
      <c r="Z35" s="108"/>
      <c r="AA35" s="110" t="s">
        <v>213</v>
      </c>
      <c r="AB35" s="111" t="s">
        <v>213</v>
      </c>
      <c r="AC35" s="112" t="s">
        <v>213</v>
      </c>
      <c r="AD35" s="111" t="s">
        <v>213</v>
      </c>
      <c r="AE35" s="112" t="s">
        <v>213</v>
      </c>
      <c r="AF35" s="113" t="s">
        <v>213</v>
      </c>
      <c r="AG35" s="114"/>
      <c r="AH35" s="115"/>
      <c r="AI35" s="116"/>
      <c r="AJ35" s="117"/>
      <c r="AK35" s="117"/>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row>
    <row r="36" spans="1:65" ht="26.25" customHeight="1" x14ac:dyDescent="0.25">
      <c r="A36" s="440"/>
      <c r="B36" s="446"/>
      <c r="C36" s="446"/>
      <c r="D36" s="446"/>
      <c r="E36" s="127"/>
      <c r="F36" s="449"/>
      <c r="G36" s="130"/>
      <c r="H36" s="130"/>
      <c r="I36" s="446"/>
      <c r="J36" s="452"/>
      <c r="K36" s="437"/>
      <c r="L36" s="428"/>
      <c r="M36" s="434"/>
      <c r="N36" s="428">
        <f>IF(NOT(ISERROR(MATCH(M36,_xlfn.ANCHORARRAY(F47),0))),L49&amp;"Por favor no seleccionar los criterios de impacto",M36)</f>
        <v>0</v>
      </c>
      <c r="O36" s="437"/>
      <c r="P36" s="428"/>
      <c r="Q36" s="431"/>
      <c r="R36" s="105">
        <v>5</v>
      </c>
      <c r="S36" s="106"/>
      <c r="T36" s="107" t="s">
        <v>213</v>
      </c>
      <c r="U36" s="108"/>
      <c r="V36" s="108"/>
      <c r="W36" s="109" t="s">
        <v>213</v>
      </c>
      <c r="X36" s="108"/>
      <c r="Y36" s="108"/>
      <c r="Z36" s="108"/>
      <c r="AA36" s="110" t="s">
        <v>213</v>
      </c>
      <c r="AB36" s="111" t="s">
        <v>213</v>
      </c>
      <c r="AC36" s="112" t="s">
        <v>213</v>
      </c>
      <c r="AD36" s="111" t="s">
        <v>213</v>
      </c>
      <c r="AE36" s="112" t="s">
        <v>213</v>
      </c>
      <c r="AF36" s="113" t="s">
        <v>213</v>
      </c>
      <c r="AG36" s="114"/>
      <c r="AH36" s="115"/>
      <c r="AI36" s="116"/>
      <c r="AJ36" s="117"/>
      <c r="AK36" s="117"/>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row>
    <row r="37" spans="1:65" ht="26.25" customHeight="1" x14ac:dyDescent="0.25">
      <c r="A37" s="441"/>
      <c r="B37" s="447"/>
      <c r="C37" s="447"/>
      <c r="D37" s="447"/>
      <c r="E37" s="128"/>
      <c r="F37" s="450"/>
      <c r="G37" s="131"/>
      <c r="H37" s="131"/>
      <c r="I37" s="447"/>
      <c r="J37" s="453"/>
      <c r="K37" s="438"/>
      <c r="L37" s="429"/>
      <c r="M37" s="435"/>
      <c r="N37" s="429">
        <f>IF(NOT(ISERROR(MATCH(M37,_xlfn.ANCHORARRAY(F48),0))),L50&amp;"Por favor no seleccionar los criterios de impacto",M37)</f>
        <v>0</v>
      </c>
      <c r="O37" s="438"/>
      <c r="P37" s="429"/>
      <c r="Q37" s="432"/>
      <c r="R37" s="105">
        <v>6</v>
      </c>
      <c r="S37" s="106"/>
      <c r="T37" s="107" t="s">
        <v>213</v>
      </c>
      <c r="U37" s="108"/>
      <c r="V37" s="108"/>
      <c r="W37" s="109" t="s">
        <v>213</v>
      </c>
      <c r="X37" s="108"/>
      <c r="Y37" s="108"/>
      <c r="Z37" s="108"/>
      <c r="AA37" s="110" t="s">
        <v>213</v>
      </c>
      <c r="AB37" s="111" t="s">
        <v>213</v>
      </c>
      <c r="AC37" s="112" t="s">
        <v>213</v>
      </c>
      <c r="AD37" s="111" t="s">
        <v>213</v>
      </c>
      <c r="AE37" s="112" t="s">
        <v>213</v>
      </c>
      <c r="AF37" s="113" t="s">
        <v>213</v>
      </c>
      <c r="AG37" s="114"/>
      <c r="AH37" s="115"/>
      <c r="AI37" s="116"/>
      <c r="AJ37" s="117"/>
      <c r="AK37" s="117"/>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row>
    <row r="38" spans="1:65" ht="26.25" customHeight="1" x14ac:dyDescent="0.25">
      <c r="A38" s="439">
        <v>8</v>
      </c>
      <c r="B38" s="445"/>
      <c r="C38" s="445"/>
      <c r="D38" s="445"/>
      <c r="E38" s="126"/>
      <c r="F38" s="448"/>
      <c r="G38" s="129"/>
      <c r="H38" s="129"/>
      <c r="I38" s="445"/>
      <c r="J38" s="451"/>
      <c r="K38" s="436" t="str">
        <f t="shared" ref="K38" si="29">IF(J38&lt;=0,"",IF(J38&lt;=2,"Muy Baja",IF(J38&lt;=24,"Baja",IF(J38&lt;=500,"Media",IF(J38&lt;=5000,"Alta","Muy Alta")))))</f>
        <v/>
      </c>
      <c r="L38" s="427" t="str">
        <f t="shared" ref="L38" si="30">IF(K38="","",IF(K38="Muy Baja",0.2,IF(K38="Baja",0.4,IF(K38="Media",0.6,IF(K38="Alta",0.8,IF(K38="Muy Alta",1,))))))</f>
        <v/>
      </c>
      <c r="M38" s="433"/>
      <c r="N38" s="427">
        <f>IF(NOT(ISERROR(MATCH(M38,'Tabla Impacto'!$B$221:$B$223,0))),'Tabla Impacto'!$F$223&amp;"Por favor no seleccionar los criterios de impacto(Afectación Económica o presupuestal y Pérdida Reputacional)",M38)</f>
        <v>0</v>
      </c>
      <c r="O38" s="436" t="str">
        <f>IF(OR(N38='Tabla Impacto'!$C$11,N38='Tabla Impacto'!$D$11),"Leve",IF(OR(N38='Tabla Impacto'!$C$12,N38='Tabla Impacto'!$D$12),"Menor",IF(OR(N38='Tabla Impacto'!$C$13,N38='Tabla Impacto'!$D$13),"Moderado",IF(OR(N38='Tabla Impacto'!$C$14,N38='Tabla Impacto'!$D$14),"Mayor",IF(OR(N38='Tabla Impacto'!$C$15,N38='Tabla Impacto'!$D$15),"Catastrófico","")))))</f>
        <v>Leve</v>
      </c>
      <c r="P38" s="427">
        <f t="shared" ref="P38" si="31">IF(O38="","",IF(O38="Leve",0.2,IF(O38="Menor",0.4,IF(O38="Moderado",0.6,IF(O38="Mayor",0.8,IF(O38="Catastrófico",1,))))))</f>
        <v>0.2</v>
      </c>
      <c r="Q38" s="430" t="str">
        <f t="shared" ref="Q38" si="32">IF(OR(AND(K38="Muy Baja",O38="Leve"),AND(K38="Muy Baja",O38="Menor"),AND(K38="Baja",O38="Leve")),"Bajo",IF(OR(AND(K38="Muy baja",O38="Moderado"),AND(K38="Baja",O38="Menor"),AND(K38="Baja",O38="Moderado"),AND(K38="Media",O38="Leve"),AND(K38="Media",O38="Menor"),AND(K38="Media",O38="Moderado"),AND(K38="Alta",O38="Leve"),AND(K38="Alta",O38="Menor")),"Moderado",IF(OR(AND(K38="Muy Baja",O38="Mayor"),AND(K38="Baja",O38="Mayor"),AND(K38="Media",O38="Mayor"),AND(K38="Alta",O38="Moderado"),AND(K38="Alta",O38="Mayor"),AND(K38="Muy Alta",O38="Leve"),AND(K38="Muy Alta",O38="Menor"),AND(K38="Muy Alta",O38="Moderado"),AND(K38="Muy Alta",O38="Mayor")),"Alto",IF(OR(AND(K38="Muy Baja",O38="Catastrófico"),AND(K38="Baja",O38="Catastrófico"),AND(K38="Media",O38="Catastrófico"),AND(K38="Alta",O38="Catastrófico"),AND(K38="Muy Alta",O38="Catastrófico")),"Extremo",""))))</f>
        <v/>
      </c>
      <c r="R38" s="105">
        <v>1</v>
      </c>
      <c r="S38" s="106"/>
      <c r="T38" s="107" t="str">
        <f>IF(OR(U38="Preventivo",U38="Detectivo"),"Probabilidad",IF(U38="Correctivo","Impacto",""))</f>
        <v/>
      </c>
      <c r="U38" s="108"/>
      <c r="V38" s="108"/>
      <c r="W38" s="109" t="str">
        <f>IF(AND(U38="Preventivo",V38="Automático"),"50%",IF(AND(U38="Preventivo",V38="Manual"),"40%",IF(AND(U38="Detectivo",V38="Automático"),"40%",IF(AND(U38="Detectivo",V38="Manual"),"30%",IF(AND(U38="Correctivo",V38="Automático"),"35%",IF(AND(U38="Correctivo",V38="Manual"),"25%",""))))))</f>
        <v/>
      </c>
      <c r="X38" s="108"/>
      <c r="Y38" s="108"/>
      <c r="Z38" s="108"/>
      <c r="AA38" s="110" t="str">
        <f>IFERROR(IF(T38="Probabilidad",(L38-(+L38*W38)),IF(T38="Impacto",L38,"")),"")</f>
        <v/>
      </c>
      <c r="AB38" s="111" t="str">
        <f>IFERROR(IF(AA38="","",IF(AA38&lt;=0.2,"Muy Baja",IF(AA38&lt;=0.4,"Baja",IF(AA38&lt;=0.6,"Media",IF(AA38&lt;=0.8,"Alta","Muy Alta"))))),"")</f>
        <v/>
      </c>
      <c r="AC38" s="112" t="str">
        <f>+AA38</f>
        <v/>
      </c>
      <c r="AD38" s="111" t="str">
        <f>IFERROR(IF(AE38="","",IF(AE38&lt;=0.2,"Leve",IF(AE38&lt;=0.4,"Menor",IF(AE38&lt;=0.6,"Moderado",IF(AE38&lt;=0.8,"Mayor","Catastrófico"))))),"")</f>
        <v/>
      </c>
      <c r="AE38" s="112" t="str">
        <f>IFERROR(IF(T38="Impacto",(P38-(+P38*W38)),IF(T38="Probabilidad",P38,"")),"")</f>
        <v/>
      </c>
      <c r="AF38" s="113"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14"/>
      <c r="AH38" s="115"/>
      <c r="AI38" s="116"/>
      <c r="AJ38" s="117"/>
      <c r="AK38" s="117"/>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row>
    <row r="39" spans="1:65" ht="26.25" customHeight="1" x14ac:dyDescent="0.25">
      <c r="A39" s="440"/>
      <c r="B39" s="446"/>
      <c r="C39" s="446"/>
      <c r="D39" s="446"/>
      <c r="E39" s="127"/>
      <c r="F39" s="449"/>
      <c r="G39" s="130"/>
      <c r="H39" s="130"/>
      <c r="I39" s="446"/>
      <c r="J39" s="452"/>
      <c r="K39" s="437"/>
      <c r="L39" s="428"/>
      <c r="M39" s="434"/>
      <c r="N39" s="428">
        <f>IF(NOT(ISERROR(MATCH(M39,_xlfn.ANCHORARRAY(F50),0))),L52&amp;"Por favor no seleccionar los criterios de impacto",M39)</f>
        <v>0</v>
      </c>
      <c r="O39" s="437"/>
      <c r="P39" s="428"/>
      <c r="Q39" s="431"/>
      <c r="R39" s="105">
        <v>2</v>
      </c>
      <c r="S39" s="106"/>
      <c r="T39" s="107" t="str">
        <f>IF(OR(U39="Preventivo",U39="Detectivo"),"Probabilidad",IF(U39="Correctivo","Impacto",""))</f>
        <v/>
      </c>
      <c r="U39" s="108"/>
      <c r="V39" s="108"/>
      <c r="W39" s="109" t="str">
        <f t="shared" ref="W39:W43" si="33">IF(AND(U39="Preventivo",V39="Automático"),"50%",IF(AND(U39="Preventivo",V39="Manual"),"40%",IF(AND(U39="Detectivo",V39="Automático"),"40%",IF(AND(U39="Detectivo",V39="Manual"),"30%",IF(AND(U39="Correctivo",V39="Automático"),"35%",IF(AND(U39="Correctivo",V39="Manual"),"25%",""))))))</f>
        <v/>
      </c>
      <c r="X39" s="108"/>
      <c r="Y39" s="108"/>
      <c r="Z39" s="108"/>
      <c r="AA39" s="110" t="str">
        <f>IFERROR(IF(AND(T38="Probabilidad",T39="Probabilidad"),(AC38-(+AC38*W39)),IF(T39="Probabilidad",(L38-(+L38*W39)),IF(T39="Impacto",AC38,""))),"")</f>
        <v/>
      </c>
      <c r="AB39" s="111" t="str">
        <f t="shared" ref="AB39:AB55" si="34">IFERROR(IF(AA39="","",IF(AA39&lt;=0.2,"Muy Baja",IF(AA39&lt;=0.4,"Baja",IF(AA39&lt;=0.6,"Media",IF(AA39&lt;=0.8,"Alta","Muy Alta"))))),"")</f>
        <v/>
      </c>
      <c r="AC39" s="112" t="str">
        <f t="shared" ref="AC39:AC43" si="35">+AA39</f>
        <v/>
      </c>
      <c r="AD39" s="111" t="str">
        <f t="shared" ref="AD39:AD55" si="36">IFERROR(IF(AE39="","",IF(AE39&lt;=0.2,"Leve",IF(AE39&lt;=0.4,"Menor",IF(AE39&lt;=0.6,"Moderado",IF(AE39&lt;=0.8,"Mayor","Catastrófico"))))),"")</f>
        <v/>
      </c>
      <c r="AE39" s="112" t="str">
        <f>IFERROR(IF(AND(T38="Impacto",T39="Impacto"),(AE38-(+AE38*W39)),IF(T39="Impacto",(P38-(+P38*W39)),IF(T39="Probabilidad",AE38,""))),"")</f>
        <v/>
      </c>
      <c r="AF39" s="113" t="str">
        <f t="shared" ref="AF39:AF40" si="37">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14"/>
      <c r="AH39" s="115"/>
      <c r="AI39" s="116"/>
      <c r="AJ39" s="117"/>
      <c r="AK39" s="117"/>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row>
    <row r="40" spans="1:65" ht="26.25" customHeight="1" x14ac:dyDescent="0.25">
      <c r="A40" s="440"/>
      <c r="B40" s="446"/>
      <c r="C40" s="446"/>
      <c r="D40" s="446"/>
      <c r="E40" s="127"/>
      <c r="F40" s="449"/>
      <c r="G40" s="130"/>
      <c r="H40" s="130"/>
      <c r="I40" s="446"/>
      <c r="J40" s="452"/>
      <c r="K40" s="437"/>
      <c r="L40" s="428"/>
      <c r="M40" s="434"/>
      <c r="N40" s="428">
        <f>IF(NOT(ISERROR(MATCH(M40,_xlfn.ANCHORARRAY(F51),0))),L53&amp;"Por favor no seleccionar los criterios de impacto",M40)</f>
        <v>0</v>
      </c>
      <c r="O40" s="437"/>
      <c r="P40" s="428"/>
      <c r="Q40" s="431"/>
      <c r="R40" s="105">
        <v>3</v>
      </c>
      <c r="S40" s="118"/>
      <c r="T40" s="107" t="str">
        <f>IF(OR(U40="Preventivo",U40="Detectivo"),"Probabilidad",IF(U40="Correctivo","Impacto",""))</f>
        <v/>
      </c>
      <c r="U40" s="108"/>
      <c r="V40" s="108"/>
      <c r="W40" s="109" t="str">
        <f t="shared" si="33"/>
        <v/>
      </c>
      <c r="X40" s="108"/>
      <c r="Y40" s="108"/>
      <c r="Z40" s="108"/>
      <c r="AA40" s="110" t="str">
        <f>IFERROR(IF(AND(T39="Probabilidad",T40="Probabilidad"),(AC39-(+AC39*W40)),IF(AND(T39="Impacto",T40="Probabilidad"),(AC38-(+AC38*W40)),IF(T40="Impacto",AC39,""))),"")</f>
        <v/>
      </c>
      <c r="AB40" s="111" t="str">
        <f t="shared" si="34"/>
        <v/>
      </c>
      <c r="AC40" s="112" t="str">
        <f t="shared" si="35"/>
        <v/>
      </c>
      <c r="AD40" s="111" t="str">
        <f t="shared" si="36"/>
        <v/>
      </c>
      <c r="AE40" s="112" t="str">
        <f>IFERROR(IF(AND(T39="Impacto",T40="Impacto"),(AE39-(+AE39*W40)),IF(AND(T39="Probabilidad",T40="Impacto"),(AE38-(+AE38*W40)),IF(T40="Probabilidad",AE39,""))),"")</f>
        <v/>
      </c>
      <c r="AF40" s="113" t="str">
        <f t="shared" si="37"/>
        <v/>
      </c>
      <c r="AG40" s="114"/>
      <c r="AH40" s="115"/>
      <c r="AI40" s="116"/>
      <c r="AJ40" s="117"/>
      <c r="AK40" s="117"/>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row>
    <row r="41" spans="1:65" ht="26.25" customHeight="1" x14ac:dyDescent="0.25">
      <c r="A41" s="440"/>
      <c r="B41" s="446"/>
      <c r="C41" s="446"/>
      <c r="D41" s="446"/>
      <c r="E41" s="127"/>
      <c r="F41" s="449"/>
      <c r="G41" s="130"/>
      <c r="H41" s="130"/>
      <c r="I41" s="446"/>
      <c r="J41" s="452"/>
      <c r="K41" s="437"/>
      <c r="L41" s="428"/>
      <c r="M41" s="434"/>
      <c r="N41" s="428">
        <f>IF(NOT(ISERROR(MATCH(M41,_xlfn.ANCHORARRAY(F52),0))),L54&amp;"Por favor no seleccionar los criterios de impacto",M41)</f>
        <v>0</v>
      </c>
      <c r="O41" s="437"/>
      <c r="P41" s="428"/>
      <c r="Q41" s="431"/>
      <c r="R41" s="105">
        <v>4</v>
      </c>
      <c r="S41" s="106"/>
      <c r="T41" s="107" t="str">
        <f t="shared" ref="T41:T43" si="38">IF(OR(U41="Preventivo",U41="Detectivo"),"Probabilidad",IF(U41="Correctivo","Impacto",""))</f>
        <v/>
      </c>
      <c r="U41" s="108"/>
      <c r="V41" s="108"/>
      <c r="W41" s="109" t="str">
        <f t="shared" si="33"/>
        <v/>
      </c>
      <c r="X41" s="108"/>
      <c r="Y41" s="108"/>
      <c r="Z41" s="108"/>
      <c r="AA41" s="110" t="str">
        <f t="shared" ref="AA41:AA43" si="39">IFERROR(IF(AND(T40="Probabilidad",T41="Probabilidad"),(AC40-(+AC40*W41)),IF(AND(T40="Impacto",T41="Probabilidad"),(AC39-(+AC39*W41)),IF(T41="Impacto",AC40,""))),"")</f>
        <v/>
      </c>
      <c r="AB41" s="111" t="str">
        <f t="shared" si="34"/>
        <v/>
      </c>
      <c r="AC41" s="112" t="str">
        <f t="shared" si="35"/>
        <v/>
      </c>
      <c r="AD41" s="111" t="str">
        <f t="shared" si="36"/>
        <v/>
      </c>
      <c r="AE41" s="112" t="str">
        <f t="shared" ref="AE41:AE43" si="40">IFERROR(IF(AND(T40="Impacto",T41="Impacto"),(AE40-(+AE40*W41)),IF(AND(T40="Probabilidad",T41="Impacto"),(AE39-(+AE39*W41)),IF(T41="Probabilidad",AE40,""))),"")</f>
        <v/>
      </c>
      <c r="AF41" s="113" t="str">
        <f>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4"/>
      <c r="AH41" s="115"/>
      <c r="AI41" s="116"/>
      <c r="AJ41" s="117"/>
      <c r="AK41" s="117"/>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row>
    <row r="42" spans="1:65" ht="26.25" customHeight="1" x14ac:dyDescent="0.25">
      <c r="A42" s="440"/>
      <c r="B42" s="446"/>
      <c r="C42" s="446"/>
      <c r="D42" s="446"/>
      <c r="E42" s="127"/>
      <c r="F42" s="449"/>
      <c r="G42" s="130"/>
      <c r="H42" s="130"/>
      <c r="I42" s="446"/>
      <c r="J42" s="452"/>
      <c r="K42" s="437"/>
      <c r="L42" s="428"/>
      <c r="M42" s="434"/>
      <c r="N42" s="428">
        <f>IF(NOT(ISERROR(MATCH(M42,_xlfn.ANCHORARRAY(F53),0))),L55&amp;"Por favor no seleccionar los criterios de impacto",M42)</f>
        <v>0</v>
      </c>
      <c r="O42" s="437"/>
      <c r="P42" s="428"/>
      <c r="Q42" s="431"/>
      <c r="R42" s="105">
        <v>5</v>
      </c>
      <c r="S42" s="106"/>
      <c r="T42" s="107" t="str">
        <f t="shared" si="38"/>
        <v/>
      </c>
      <c r="U42" s="108"/>
      <c r="V42" s="108"/>
      <c r="W42" s="109" t="str">
        <f t="shared" si="33"/>
        <v/>
      </c>
      <c r="X42" s="108"/>
      <c r="Y42" s="108"/>
      <c r="Z42" s="108"/>
      <c r="AA42" s="110" t="str">
        <f t="shared" si="39"/>
        <v/>
      </c>
      <c r="AB42" s="111" t="str">
        <f t="shared" si="34"/>
        <v/>
      </c>
      <c r="AC42" s="112" t="str">
        <f t="shared" si="35"/>
        <v/>
      </c>
      <c r="AD42" s="111" t="str">
        <f t="shared" si="36"/>
        <v/>
      </c>
      <c r="AE42" s="112" t="str">
        <f t="shared" si="40"/>
        <v/>
      </c>
      <c r="AF42" s="113" t="str">
        <f t="shared" ref="AF42:AF43" si="41">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14"/>
      <c r="AH42" s="115"/>
      <c r="AI42" s="116"/>
      <c r="AJ42" s="117"/>
      <c r="AK42" s="117"/>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row>
    <row r="43" spans="1:65" ht="26.25" customHeight="1" x14ac:dyDescent="0.25">
      <c r="A43" s="441"/>
      <c r="B43" s="447"/>
      <c r="C43" s="447"/>
      <c r="D43" s="447"/>
      <c r="E43" s="128"/>
      <c r="F43" s="450"/>
      <c r="G43" s="131"/>
      <c r="H43" s="131"/>
      <c r="I43" s="447"/>
      <c r="J43" s="453"/>
      <c r="K43" s="438"/>
      <c r="L43" s="429"/>
      <c r="M43" s="435"/>
      <c r="N43" s="429">
        <f>IF(NOT(ISERROR(MATCH(M43,_xlfn.ANCHORARRAY(F54),0))),L56&amp;"Por favor no seleccionar los criterios de impacto",M43)</f>
        <v>0</v>
      </c>
      <c r="O43" s="438"/>
      <c r="P43" s="429"/>
      <c r="Q43" s="432"/>
      <c r="R43" s="105">
        <v>6</v>
      </c>
      <c r="S43" s="106"/>
      <c r="T43" s="107" t="str">
        <f t="shared" si="38"/>
        <v/>
      </c>
      <c r="U43" s="108"/>
      <c r="V43" s="108"/>
      <c r="W43" s="109" t="str">
        <f t="shared" si="33"/>
        <v/>
      </c>
      <c r="X43" s="108"/>
      <c r="Y43" s="108"/>
      <c r="Z43" s="108"/>
      <c r="AA43" s="110" t="str">
        <f t="shared" si="39"/>
        <v/>
      </c>
      <c r="AB43" s="111" t="str">
        <f t="shared" si="34"/>
        <v/>
      </c>
      <c r="AC43" s="112" t="str">
        <f t="shared" si="35"/>
        <v/>
      </c>
      <c r="AD43" s="111" t="str">
        <f t="shared" si="36"/>
        <v/>
      </c>
      <c r="AE43" s="112" t="str">
        <f t="shared" si="40"/>
        <v/>
      </c>
      <c r="AF43" s="113" t="str">
        <f t="shared" si="41"/>
        <v/>
      </c>
      <c r="AG43" s="114"/>
      <c r="AH43" s="115"/>
      <c r="AI43" s="116"/>
      <c r="AJ43" s="117"/>
      <c r="AK43" s="117"/>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row>
    <row r="44" spans="1:65" ht="26.25" customHeight="1" x14ac:dyDescent="0.25">
      <c r="A44" s="439">
        <v>9</v>
      </c>
      <c r="B44" s="445"/>
      <c r="C44" s="445"/>
      <c r="D44" s="445"/>
      <c r="E44" s="126"/>
      <c r="F44" s="448"/>
      <c r="G44" s="129"/>
      <c r="H44" s="129"/>
      <c r="I44" s="445"/>
      <c r="J44" s="451"/>
      <c r="K44" s="436" t="str">
        <f t="shared" ref="K44" si="42">IF(J44&lt;=0,"",IF(J44&lt;=2,"Muy Baja",IF(J44&lt;=24,"Baja",IF(J44&lt;=500,"Media",IF(J44&lt;=5000,"Alta","Muy Alta")))))</f>
        <v/>
      </c>
      <c r="L44" s="427" t="str">
        <f t="shared" ref="L44" si="43">IF(K44="","",IF(K44="Muy Baja",0.2,IF(K44="Baja",0.4,IF(K44="Media",0.6,IF(K44="Alta",0.8,IF(K44="Muy Alta",1,))))))</f>
        <v/>
      </c>
      <c r="M44" s="433"/>
      <c r="N44" s="427">
        <f>IF(NOT(ISERROR(MATCH(M44,'Tabla Impacto'!$B$221:$B$223,0))),'Tabla Impacto'!$F$223&amp;"Por favor no seleccionar los criterios de impacto(Afectación Económica o presupuestal y Pérdida Reputacional)",M44)</f>
        <v>0</v>
      </c>
      <c r="O44" s="436" t="str">
        <f>IF(OR(N44='Tabla Impacto'!$C$11,N44='Tabla Impacto'!$D$11),"Leve",IF(OR(N44='Tabla Impacto'!$C$12,N44='Tabla Impacto'!$D$12),"Menor",IF(OR(N44='Tabla Impacto'!$C$13,N44='Tabla Impacto'!$D$13),"Moderado",IF(OR(N44='Tabla Impacto'!$C$14,N44='Tabla Impacto'!$D$14),"Mayor",IF(OR(N44='Tabla Impacto'!$C$15,N44='Tabla Impacto'!$D$15),"Catastrófico","")))))</f>
        <v>Leve</v>
      </c>
      <c r="P44" s="427">
        <f t="shared" ref="P44" si="44">IF(O44="","",IF(O44="Leve",0.2,IF(O44="Menor",0.4,IF(O44="Moderado",0.6,IF(O44="Mayor",0.8,IF(O44="Catastrófico",1,))))))</f>
        <v>0.2</v>
      </c>
      <c r="Q44" s="430" t="str">
        <f t="shared" ref="Q44" si="45">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
      </c>
      <c r="R44" s="105">
        <v>1</v>
      </c>
      <c r="S44" s="106"/>
      <c r="T44" s="107" t="str">
        <f>IF(OR(U44="Preventivo",U44="Detectivo"),"Probabilidad",IF(U44="Correctivo","Impacto",""))</f>
        <v/>
      </c>
      <c r="U44" s="108"/>
      <c r="V44" s="108"/>
      <c r="W44" s="109" t="str">
        <f>IF(AND(U44="Preventivo",V44="Automático"),"50%",IF(AND(U44="Preventivo",V44="Manual"),"40%",IF(AND(U44="Detectivo",V44="Automático"),"40%",IF(AND(U44="Detectivo",V44="Manual"),"30%",IF(AND(U44="Correctivo",V44="Automático"),"35%",IF(AND(U44="Correctivo",V44="Manual"),"25%",""))))))</f>
        <v/>
      </c>
      <c r="X44" s="108"/>
      <c r="Y44" s="108"/>
      <c r="Z44" s="108"/>
      <c r="AA44" s="110" t="str">
        <f>IFERROR(IF(T44="Probabilidad",(L44-(+L44*W44)),IF(T44="Impacto",L44,"")),"")</f>
        <v/>
      </c>
      <c r="AB44" s="111" t="str">
        <f>IFERROR(IF(AA44="","",IF(AA44&lt;=0.2,"Muy Baja",IF(AA44&lt;=0.4,"Baja",IF(AA44&lt;=0.6,"Media",IF(AA44&lt;=0.8,"Alta","Muy Alta"))))),"")</f>
        <v/>
      </c>
      <c r="AC44" s="112" t="str">
        <f>+AA44</f>
        <v/>
      </c>
      <c r="AD44" s="111" t="str">
        <f>IFERROR(IF(AE44="","",IF(AE44&lt;=0.2,"Leve",IF(AE44&lt;=0.4,"Menor",IF(AE44&lt;=0.6,"Moderado",IF(AE44&lt;=0.8,"Mayor","Catastrófico"))))),"")</f>
        <v/>
      </c>
      <c r="AE44" s="112" t="str">
        <f>IFERROR(IF(T44="Impacto",(P44-(+P44*W44)),IF(T44="Probabilidad",P44,"")),"")</f>
        <v/>
      </c>
      <c r="AF44" s="113" t="str">
        <f>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14"/>
      <c r="AH44" s="115"/>
      <c r="AI44" s="116"/>
      <c r="AJ44" s="117"/>
      <c r="AK44" s="117"/>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5" spans="1:65" ht="26.25" customHeight="1" x14ac:dyDescent="0.25">
      <c r="A45" s="440"/>
      <c r="B45" s="446"/>
      <c r="C45" s="446"/>
      <c r="D45" s="446"/>
      <c r="E45" s="127"/>
      <c r="F45" s="449"/>
      <c r="G45" s="130"/>
      <c r="H45" s="130"/>
      <c r="I45" s="446"/>
      <c r="J45" s="452"/>
      <c r="K45" s="437"/>
      <c r="L45" s="428"/>
      <c r="M45" s="434"/>
      <c r="N45" s="428">
        <f>IF(NOT(ISERROR(MATCH(M45,_xlfn.ANCHORARRAY(F56),0))),L58&amp;"Por favor no seleccionar los criterios de impacto",M45)</f>
        <v>0</v>
      </c>
      <c r="O45" s="437"/>
      <c r="P45" s="428"/>
      <c r="Q45" s="431"/>
      <c r="R45" s="105">
        <v>2</v>
      </c>
      <c r="S45" s="106"/>
      <c r="T45" s="107" t="str">
        <f>IF(OR(U45="Preventivo",U45="Detectivo"),"Probabilidad",IF(U45="Correctivo","Impacto",""))</f>
        <v/>
      </c>
      <c r="U45" s="108"/>
      <c r="V45" s="108"/>
      <c r="W45" s="109" t="str">
        <f t="shared" ref="W45:W49" si="46">IF(AND(U45="Preventivo",V45="Automático"),"50%",IF(AND(U45="Preventivo",V45="Manual"),"40%",IF(AND(U45="Detectivo",V45="Automático"),"40%",IF(AND(U45="Detectivo",V45="Manual"),"30%",IF(AND(U45="Correctivo",V45="Automático"),"35%",IF(AND(U45="Correctivo",V45="Manual"),"25%",""))))))</f>
        <v/>
      </c>
      <c r="X45" s="108"/>
      <c r="Y45" s="108"/>
      <c r="Z45" s="108"/>
      <c r="AA45" s="110" t="str">
        <f>IFERROR(IF(AND(T44="Probabilidad",T45="Probabilidad"),(AC44-(+AC44*W45)),IF(T45="Probabilidad",(L44-(+L44*W45)),IF(T45="Impacto",AC44,""))),"")</f>
        <v/>
      </c>
      <c r="AB45" s="111" t="str">
        <f t="shared" si="34"/>
        <v/>
      </c>
      <c r="AC45" s="112" t="str">
        <f t="shared" ref="AC45:AC49" si="47">+AA45</f>
        <v/>
      </c>
      <c r="AD45" s="111" t="str">
        <f t="shared" si="36"/>
        <v/>
      </c>
      <c r="AE45" s="112" t="str">
        <f>IFERROR(IF(AND(T44="Impacto",T45="Impacto"),(AE44-(+AE44*W45)),IF(T45="Impacto",(P44-(+P44*W45)),IF(T45="Probabilidad",AE44,""))),"")</f>
        <v/>
      </c>
      <c r="AF45" s="113" t="str">
        <f t="shared" ref="AF45:AF46" si="48">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14"/>
      <c r="AH45" s="115"/>
      <c r="AI45" s="116"/>
      <c r="AJ45" s="117"/>
      <c r="AK45" s="117"/>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row>
    <row r="46" spans="1:65" ht="26.25" customHeight="1" x14ac:dyDescent="0.25">
      <c r="A46" s="440"/>
      <c r="B46" s="446"/>
      <c r="C46" s="446"/>
      <c r="D46" s="446"/>
      <c r="E46" s="127"/>
      <c r="F46" s="449"/>
      <c r="G46" s="130"/>
      <c r="H46" s="130"/>
      <c r="I46" s="446"/>
      <c r="J46" s="452"/>
      <c r="K46" s="437"/>
      <c r="L46" s="428"/>
      <c r="M46" s="434"/>
      <c r="N46" s="428">
        <f>IF(NOT(ISERROR(MATCH(M46,_xlfn.ANCHORARRAY(F57),0))),L59&amp;"Por favor no seleccionar los criterios de impacto",M46)</f>
        <v>0</v>
      </c>
      <c r="O46" s="437"/>
      <c r="P46" s="428"/>
      <c r="Q46" s="431"/>
      <c r="R46" s="105">
        <v>3</v>
      </c>
      <c r="S46" s="118"/>
      <c r="T46" s="107" t="str">
        <f>IF(OR(U46="Preventivo",U46="Detectivo"),"Probabilidad",IF(U46="Correctivo","Impacto",""))</f>
        <v/>
      </c>
      <c r="U46" s="108"/>
      <c r="V46" s="108"/>
      <c r="W46" s="109" t="str">
        <f t="shared" si="46"/>
        <v/>
      </c>
      <c r="X46" s="108"/>
      <c r="Y46" s="108"/>
      <c r="Z46" s="108"/>
      <c r="AA46" s="110" t="str">
        <f>IFERROR(IF(AND(T45="Probabilidad",T46="Probabilidad"),(AC45-(+AC45*W46)),IF(AND(T45="Impacto",T46="Probabilidad"),(AC44-(+AC44*W46)),IF(T46="Impacto",AC45,""))),"")</f>
        <v/>
      </c>
      <c r="AB46" s="111" t="str">
        <f t="shared" si="34"/>
        <v/>
      </c>
      <c r="AC46" s="112" t="str">
        <f t="shared" si="47"/>
        <v/>
      </c>
      <c r="AD46" s="111" t="str">
        <f t="shared" si="36"/>
        <v/>
      </c>
      <c r="AE46" s="112" t="str">
        <f>IFERROR(IF(AND(T45="Impacto",T46="Impacto"),(AE45-(+AE45*W46)),IF(AND(T45="Probabilidad",T46="Impacto"),(AE44-(+AE44*W46)),IF(T46="Probabilidad",AE45,""))),"")</f>
        <v/>
      </c>
      <c r="AF46" s="113" t="str">
        <f t="shared" si="48"/>
        <v/>
      </c>
      <c r="AG46" s="114"/>
      <c r="AH46" s="115"/>
      <c r="AI46" s="116"/>
      <c r="AJ46" s="117"/>
      <c r="AK46" s="117"/>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row>
    <row r="47" spans="1:65" ht="26.25" customHeight="1" x14ac:dyDescent="0.25">
      <c r="A47" s="440"/>
      <c r="B47" s="446"/>
      <c r="C47" s="446"/>
      <c r="D47" s="446"/>
      <c r="E47" s="127"/>
      <c r="F47" s="449"/>
      <c r="G47" s="130"/>
      <c r="H47" s="130"/>
      <c r="I47" s="446"/>
      <c r="J47" s="452"/>
      <c r="K47" s="437"/>
      <c r="L47" s="428"/>
      <c r="M47" s="434"/>
      <c r="N47" s="428">
        <f>IF(NOT(ISERROR(MATCH(M47,_xlfn.ANCHORARRAY(F58),0))),L60&amp;"Por favor no seleccionar los criterios de impacto",M47)</f>
        <v>0</v>
      </c>
      <c r="O47" s="437"/>
      <c r="P47" s="428"/>
      <c r="Q47" s="431"/>
      <c r="R47" s="105">
        <v>4</v>
      </c>
      <c r="S47" s="106"/>
      <c r="T47" s="107" t="str">
        <f t="shared" ref="T47:T49" si="49">IF(OR(U47="Preventivo",U47="Detectivo"),"Probabilidad",IF(U47="Correctivo","Impacto",""))</f>
        <v/>
      </c>
      <c r="U47" s="108"/>
      <c r="V47" s="108"/>
      <c r="W47" s="109" t="str">
        <f t="shared" si="46"/>
        <v/>
      </c>
      <c r="X47" s="108"/>
      <c r="Y47" s="108"/>
      <c r="Z47" s="108"/>
      <c r="AA47" s="110" t="str">
        <f t="shared" ref="AA47:AA49" si="50">IFERROR(IF(AND(T46="Probabilidad",T47="Probabilidad"),(AC46-(+AC46*W47)),IF(AND(T46="Impacto",T47="Probabilidad"),(AC45-(+AC45*W47)),IF(T47="Impacto",AC46,""))),"")</f>
        <v/>
      </c>
      <c r="AB47" s="111" t="str">
        <f t="shared" si="34"/>
        <v/>
      </c>
      <c r="AC47" s="112" t="str">
        <f t="shared" si="47"/>
        <v/>
      </c>
      <c r="AD47" s="111" t="str">
        <f t="shared" si="36"/>
        <v/>
      </c>
      <c r="AE47" s="112" t="str">
        <f t="shared" ref="AE47:AE49" si="51">IFERROR(IF(AND(T46="Impacto",T47="Impacto"),(AE46-(+AE46*W47)),IF(AND(T46="Probabilidad",T47="Impacto"),(AE45-(+AE45*W47)),IF(T47="Probabilidad",AE46,""))),"")</f>
        <v/>
      </c>
      <c r="AF47" s="113"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4"/>
      <c r="AH47" s="115"/>
      <c r="AI47" s="116"/>
      <c r="AJ47" s="117"/>
      <c r="AK47" s="117"/>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row>
    <row r="48" spans="1:65" ht="26.25" customHeight="1" x14ac:dyDescent="0.25">
      <c r="A48" s="440"/>
      <c r="B48" s="446"/>
      <c r="C48" s="446"/>
      <c r="D48" s="446"/>
      <c r="E48" s="127"/>
      <c r="F48" s="449"/>
      <c r="G48" s="130"/>
      <c r="H48" s="130"/>
      <c r="I48" s="446"/>
      <c r="J48" s="452"/>
      <c r="K48" s="437"/>
      <c r="L48" s="428"/>
      <c r="M48" s="434"/>
      <c r="N48" s="428">
        <f>IF(NOT(ISERROR(MATCH(M48,_xlfn.ANCHORARRAY(F59),0))),L61&amp;"Por favor no seleccionar los criterios de impacto",M48)</f>
        <v>0</v>
      </c>
      <c r="O48" s="437"/>
      <c r="P48" s="428"/>
      <c r="Q48" s="431"/>
      <c r="R48" s="105">
        <v>5</v>
      </c>
      <c r="S48" s="106"/>
      <c r="T48" s="107" t="str">
        <f t="shared" si="49"/>
        <v/>
      </c>
      <c r="U48" s="108"/>
      <c r="V48" s="108"/>
      <c r="W48" s="109" t="str">
        <f t="shared" si="46"/>
        <v/>
      </c>
      <c r="X48" s="108"/>
      <c r="Y48" s="108"/>
      <c r="Z48" s="108"/>
      <c r="AA48" s="110" t="str">
        <f t="shared" si="50"/>
        <v/>
      </c>
      <c r="AB48" s="111" t="str">
        <f t="shared" si="34"/>
        <v/>
      </c>
      <c r="AC48" s="112" t="str">
        <f t="shared" si="47"/>
        <v/>
      </c>
      <c r="AD48" s="111" t="str">
        <f t="shared" si="36"/>
        <v/>
      </c>
      <c r="AE48" s="112" t="str">
        <f t="shared" si="51"/>
        <v/>
      </c>
      <c r="AF48" s="113" t="str">
        <f t="shared" ref="AF48:AF49" si="52">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14"/>
      <c r="AH48" s="115"/>
      <c r="AI48" s="116"/>
      <c r="AJ48" s="117"/>
      <c r="AK48" s="117"/>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row>
    <row r="49" spans="1:65" ht="26.25" customHeight="1" x14ac:dyDescent="0.25">
      <c r="A49" s="441"/>
      <c r="B49" s="447"/>
      <c r="C49" s="447"/>
      <c r="D49" s="447"/>
      <c r="E49" s="128"/>
      <c r="F49" s="450"/>
      <c r="G49" s="131"/>
      <c r="H49" s="131"/>
      <c r="I49" s="447"/>
      <c r="J49" s="453"/>
      <c r="K49" s="438"/>
      <c r="L49" s="429"/>
      <c r="M49" s="435"/>
      <c r="N49" s="429">
        <f>IF(NOT(ISERROR(MATCH(M49,_xlfn.ANCHORARRAY(F60),0))),L62&amp;"Por favor no seleccionar los criterios de impacto",M49)</f>
        <v>0</v>
      </c>
      <c r="O49" s="438"/>
      <c r="P49" s="429"/>
      <c r="Q49" s="432"/>
      <c r="R49" s="105">
        <v>6</v>
      </c>
      <c r="S49" s="106"/>
      <c r="T49" s="107" t="str">
        <f t="shared" si="49"/>
        <v/>
      </c>
      <c r="U49" s="108"/>
      <c r="V49" s="108"/>
      <c r="W49" s="109" t="str">
        <f t="shared" si="46"/>
        <v/>
      </c>
      <c r="X49" s="108"/>
      <c r="Y49" s="108"/>
      <c r="Z49" s="108"/>
      <c r="AA49" s="110" t="str">
        <f t="shared" si="50"/>
        <v/>
      </c>
      <c r="AB49" s="111" t="str">
        <f t="shared" si="34"/>
        <v/>
      </c>
      <c r="AC49" s="112" t="str">
        <f t="shared" si="47"/>
        <v/>
      </c>
      <c r="AD49" s="111" t="str">
        <f t="shared" si="36"/>
        <v/>
      </c>
      <c r="AE49" s="112" t="str">
        <f t="shared" si="51"/>
        <v/>
      </c>
      <c r="AF49" s="113" t="str">
        <f t="shared" si="52"/>
        <v/>
      </c>
      <c r="AG49" s="114"/>
      <c r="AH49" s="115"/>
      <c r="AI49" s="116"/>
      <c r="AJ49" s="117"/>
      <c r="AK49" s="117"/>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row>
    <row r="50" spans="1:65" ht="19.5" customHeight="1" x14ac:dyDescent="0.25">
      <c r="A50" s="439">
        <v>10</v>
      </c>
      <c r="B50" s="445"/>
      <c r="C50" s="445"/>
      <c r="D50" s="445"/>
      <c r="E50" s="126"/>
      <c r="F50" s="448"/>
      <c r="G50" s="129"/>
      <c r="H50" s="129"/>
      <c r="I50" s="445"/>
      <c r="J50" s="451"/>
      <c r="K50" s="436" t="str">
        <f t="shared" ref="K50" si="53">IF(J50&lt;=0,"",IF(J50&lt;=2,"Muy Baja",IF(J50&lt;=24,"Baja",IF(J50&lt;=500,"Media",IF(J50&lt;=5000,"Alta","Muy Alta")))))</f>
        <v/>
      </c>
      <c r="L50" s="427" t="str">
        <f t="shared" ref="L50" si="54">IF(K50="","",IF(K50="Muy Baja",0.2,IF(K50="Baja",0.4,IF(K50="Media",0.6,IF(K50="Alta",0.8,IF(K50="Muy Alta",1,))))))</f>
        <v/>
      </c>
      <c r="M50" s="433"/>
      <c r="N50" s="427">
        <f>IF(NOT(ISERROR(MATCH(M50,'Tabla Impacto'!$B$221:$B$223,0))),'Tabla Impacto'!$F$223&amp;"Por favor no seleccionar los criterios de impacto(Afectación Económica o presupuestal y Pérdida Reputacional)",M50)</f>
        <v>0</v>
      </c>
      <c r="O50" s="436" t="str">
        <f>IF(OR(N50='Tabla Impacto'!$C$11,N50='Tabla Impacto'!$D$11),"Leve",IF(OR(N50='Tabla Impacto'!$C$12,N50='Tabla Impacto'!$D$12),"Menor",IF(OR(N50='Tabla Impacto'!$C$13,N50='Tabla Impacto'!$D$13),"Moderado",IF(OR(N50='Tabla Impacto'!$C$14,N50='Tabla Impacto'!$D$14),"Mayor",IF(OR(N50='Tabla Impacto'!$C$15,N50='Tabla Impacto'!$D$15),"Catastrófico","")))))</f>
        <v>Leve</v>
      </c>
      <c r="P50" s="427">
        <f t="shared" ref="P50" si="55">IF(O50="","",IF(O50="Leve",0.2,IF(O50="Menor",0.4,IF(O50="Moderado",0.6,IF(O50="Mayor",0.8,IF(O50="Catastrófico",1,))))))</f>
        <v>0.2</v>
      </c>
      <c r="Q50" s="430" t="str">
        <f t="shared" ref="Q50" si="56">IF(OR(AND(K50="Muy Baja",O50="Leve"),AND(K50="Muy Baja",O50="Menor"),AND(K50="Baja",O50="Leve")),"Bajo",IF(OR(AND(K50="Muy baja",O50="Moderado"),AND(K50="Baja",O50="Menor"),AND(K50="Baja",O50="Moderado"),AND(K50="Media",O50="Leve"),AND(K50="Media",O50="Menor"),AND(K50="Media",O50="Moderado"),AND(K50="Alta",O50="Leve"),AND(K50="Alta",O50="Menor")),"Moderado",IF(OR(AND(K50="Muy Baja",O50="Mayor"),AND(K50="Baja",O50="Mayor"),AND(K50="Media",O50="Mayor"),AND(K50="Alta",O50="Moderado"),AND(K50="Alta",O50="Mayor"),AND(K50="Muy Alta",O50="Leve"),AND(K50="Muy Alta",O50="Menor"),AND(K50="Muy Alta",O50="Moderado"),AND(K50="Muy Alta",O50="Mayor")),"Alto",IF(OR(AND(K50="Muy Baja",O50="Catastrófico"),AND(K50="Baja",O50="Catastrófico"),AND(K50="Media",O50="Catastrófico"),AND(K50="Alta",O50="Catastrófico"),AND(K50="Muy Alta",O50="Catastrófico")),"Extremo",""))))</f>
        <v/>
      </c>
      <c r="R50" s="105">
        <v>1</v>
      </c>
      <c r="S50" s="106"/>
      <c r="T50" s="107" t="str">
        <f>IF(OR(U50="Preventivo",U50="Detectivo"),"Probabilidad",IF(U50="Correctivo","Impacto",""))</f>
        <v/>
      </c>
      <c r="U50" s="108"/>
      <c r="V50" s="108"/>
      <c r="W50" s="109" t="str">
        <f>IF(AND(U50="Preventivo",V50="Automático"),"50%",IF(AND(U50="Preventivo",V50="Manual"),"40%",IF(AND(U50="Detectivo",V50="Automático"),"40%",IF(AND(U50="Detectivo",V50="Manual"),"30%",IF(AND(U50="Correctivo",V50="Automático"),"35%",IF(AND(U50="Correctivo",V50="Manual"),"25%",""))))))</f>
        <v/>
      </c>
      <c r="X50" s="108"/>
      <c r="Y50" s="108"/>
      <c r="Z50" s="108"/>
      <c r="AA50" s="110" t="str">
        <f>IFERROR(IF(T50="Probabilidad",(L50-(+L50*W50)),IF(T50="Impacto",L50,"")),"")</f>
        <v/>
      </c>
      <c r="AB50" s="111" t="str">
        <f>IFERROR(IF(AA50="","",IF(AA50&lt;=0.2,"Muy Baja",IF(AA50&lt;=0.4,"Baja",IF(AA50&lt;=0.6,"Media",IF(AA50&lt;=0.8,"Alta","Muy Alta"))))),"")</f>
        <v/>
      </c>
      <c r="AC50" s="112" t="str">
        <f>+AA50</f>
        <v/>
      </c>
      <c r="AD50" s="111" t="str">
        <f>IFERROR(IF(AE50="","",IF(AE50&lt;=0.2,"Leve",IF(AE50&lt;=0.4,"Menor",IF(AE50&lt;=0.6,"Moderado",IF(AE50&lt;=0.8,"Mayor","Catastrófico"))))),"")</f>
        <v/>
      </c>
      <c r="AE50" s="112" t="str">
        <f>IFERROR(IF(T50="Impacto",(P50-(+P50*W50)),IF(T50="Probabilidad",P50,"")),"")</f>
        <v/>
      </c>
      <c r="AF50" s="113"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14"/>
      <c r="AH50" s="115"/>
      <c r="AI50" s="116"/>
      <c r="AJ50" s="117"/>
      <c r="AK50" s="117"/>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row>
    <row r="51" spans="1:65" ht="19.5" customHeight="1" x14ac:dyDescent="0.25">
      <c r="A51" s="440"/>
      <c r="B51" s="446"/>
      <c r="C51" s="446"/>
      <c r="D51" s="446"/>
      <c r="E51" s="127"/>
      <c r="F51" s="449"/>
      <c r="G51" s="130"/>
      <c r="H51" s="130"/>
      <c r="I51" s="446"/>
      <c r="J51" s="452"/>
      <c r="K51" s="437"/>
      <c r="L51" s="428"/>
      <c r="M51" s="434"/>
      <c r="N51" s="428">
        <f>IF(NOT(ISERROR(MATCH(M51,_xlfn.ANCHORARRAY(F62),0))),L64&amp;"Por favor no seleccionar los criterios de impacto",M51)</f>
        <v>0</v>
      </c>
      <c r="O51" s="437"/>
      <c r="P51" s="428"/>
      <c r="Q51" s="431"/>
      <c r="R51" s="105">
        <v>2</v>
      </c>
      <c r="S51" s="106"/>
      <c r="T51" s="107" t="str">
        <f>IF(OR(U51="Preventivo",U51="Detectivo"),"Probabilidad",IF(U51="Correctivo","Impacto",""))</f>
        <v/>
      </c>
      <c r="U51" s="108"/>
      <c r="V51" s="108"/>
      <c r="W51" s="109" t="str">
        <f t="shared" ref="W51:W55" si="57">IF(AND(U51="Preventivo",V51="Automático"),"50%",IF(AND(U51="Preventivo",V51="Manual"),"40%",IF(AND(U51="Detectivo",V51="Automático"),"40%",IF(AND(U51="Detectivo",V51="Manual"),"30%",IF(AND(U51="Correctivo",V51="Automático"),"35%",IF(AND(U51="Correctivo",V51="Manual"),"25%",""))))))</f>
        <v/>
      </c>
      <c r="X51" s="108"/>
      <c r="Y51" s="108"/>
      <c r="Z51" s="108"/>
      <c r="AA51" s="110" t="str">
        <f>IFERROR(IF(AND(T50="Probabilidad",T51="Probabilidad"),(AC50-(+AC50*W51)),IF(T51="Probabilidad",(L50-(+L50*W51)),IF(T51="Impacto",AC50,""))),"")</f>
        <v/>
      </c>
      <c r="AB51" s="111" t="str">
        <f t="shared" si="34"/>
        <v/>
      </c>
      <c r="AC51" s="112" t="str">
        <f t="shared" ref="AC51:AC55" si="58">+AA51</f>
        <v/>
      </c>
      <c r="AD51" s="111" t="str">
        <f t="shared" si="36"/>
        <v/>
      </c>
      <c r="AE51" s="112" t="str">
        <f>IFERROR(IF(AND(T50="Impacto",T51="Impacto"),(AE50-(+AE50*W51)),IF(T51="Impacto",(P50-(+P50*W51)),IF(T51="Probabilidad",AE50,""))),"")</f>
        <v/>
      </c>
      <c r="AF51" s="113" t="str">
        <f t="shared" ref="AF51:AF52" si="59">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14"/>
      <c r="AH51" s="115"/>
      <c r="AI51" s="116"/>
      <c r="AJ51" s="117"/>
      <c r="AK51" s="117"/>
      <c r="AL51" s="116"/>
    </row>
    <row r="52" spans="1:65" ht="19.5" customHeight="1" x14ac:dyDescent="0.25">
      <c r="A52" s="440"/>
      <c r="B52" s="446"/>
      <c r="C52" s="446"/>
      <c r="D52" s="446"/>
      <c r="E52" s="127"/>
      <c r="F52" s="449"/>
      <c r="G52" s="130"/>
      <c r="H52" s="130"/>
      <c r="I52" s="446"/>
      <c r="J52" s="452"/>
      <c r="K52" s="437"/>
      <c r="L52" s="428"/>
      <c r="M52" s="434"/>
      <c r="N52" s="428">
        <f>IF(NOT(ISERROR(MATCH(M52,_xlfn.ANCHORARRAY(F63),0))),L65&amp;"Por favor no seleccionar los criterios de impacto",M52)</f>
        <v>0</v>
      </c>
      <c r="O52" s="437"/>
      <c r="P52" s="428"/>
      <c r="Q52" s="431"/>
      <c r="R52" s="105">
        <v>3</v>
      </c>
      <c r="S52" s="118"/>
      <c r="T52" s="107" t="str">
        <f>IF(OR(U52="Preventivo",U52="Detectivo"),"Probabilidad",IF(U52="Correctivo","Impacto",""))</f>
        <v/>
      </c>
      <c r="U52" s="108"/>
      <c r="V52" s="108"/>
      <c r="W52" s="109" t="str">
        <f t="shared" si="57"/>
        <v/>
      </c>
      <c r="X52" s="108"/>
      <c r="Y52" s="108"/>
      <c r="Z52" s="108"/>
      <c r="AA52" s="110" t="str">
        <f>IFERROR(IF(AND(T51="Probabilidad",T52="Probabilidad"),(AC51-(+AC51*W52)),IF(AND(T51="Impacto",T52="Probabilidad"),(AC50-(+AC50*W52)),IF(T52="Impacto",AC51,""))),"")</f>
        <v/>
      </c>
      <c r="AB52" s="111" t="str">
        <f t="shared" si="34"/>
        <v/>
      </c>
      <c r="AC52" s="112" t="str">
        <f t="shared" si="58"/>
        <v/>
      </c>
      <c r="AD52" s="111" t="str">
        <f t="shared" si="36"/>
        <v/>
      </c>
      <c r="AE52" s="112" t="str">
        <f>IFERROR(IF(AND(T51="Impacto",T52="Impacto"),(AE51-(+AE51*W52)),IF(AND(T51="Probabilidad",T52="Impacto"),(AE50-(+AE50*W52)),IF(T52="Probabilidad",AE51,""))),"")</f>
        <v/>
      </c>
      <c r="AF52" s="113" t="str">
        <f t="shared" si="59"/>
        <v/>
      </c>
      <c r="AG52" s="114"/>
      <c r="AH52" s="115"/>
      <c r="AI52" s="116"/>
      <c r="AJ52" s="117"/>
      <c r="AK52" s="117"/>
      <c r="AL52" s="116"/>
    </row>
    <row r="53" spans="1:65" ht="19.5" customHeight="1" x14ac:dyDescent="0.25">
      <c r="A53" s="440"/>
      <c r="B53" s="446"/>
      <c r="C53" s="446"/>
      <c r="D53" s="446"/>
      <c r="E53" s="127"/>
      <c r="F53" s="449"/>
      <c r="G53" s="130"/>
      <c r="H53" s="130"/>
      <c r="I53" s="446"/>
      <c r="J53" s="452"/>
      <c r="K53" s="437"/>
      <c r="L53" s="428"/>
      <c r="M53" s="434"/>
      <c r="N53" s="428">
        <f>IF(NOT(ISERROR(MATCH(M53,_xlfn.ANCHORARRAY(F64),0))),L66&amp;"Por favor no seleccionar los criterios de impacto",M53)</f>
        <v>0</v>
      </c>
      <c r="O53" s="437"/>
      <c r="P53" s="428"/>
      <c r="Q53" s="431"/>
      <c r="R53" s="105">
        <v>4</v>
      </c>
      <c r="S53" s="106"/>
      <c r="T53" s="107" t="str">
        <f t="shared" ref="T53:T55" si="60">IF(OR(U53="Preventivo",U53="Detectivo"),"Probabilidad",IF(U53="Correctivo","Impacto",""))</f>
        <v/>
      </c>
      <c r="U53" s="108"/>
      <c r="V53" s="108"/>
      <c r="W53" s="109" t="str">
        <f t="shared" si="57"/>
        <v/>
      </c>
      <c r="X53" s="108"/>
      <c r="Y53" s="108"/>
      <c r="Z53" s="108"/>
      <c r="AA53" s="110" t="str">
        <f t="shared" ref="AA53:AA55" si="61">IFERROR(IF(AND(T52="Probabilidad",T53="Probabilidad"),(AC52-(+AC52*W53)),IF(AND(T52="Impacto",T53="Probabilidad"),(AC51-(+AC51*W53)),IF(T53="Impacto",AC52,""))),"")</f>
        <v/>
      </c>
      <c r="AB53" s="111" t="str">
        <f t="shared" si="34"/>
        <v/>
      </c>
      <c r="AC53" s="112" t="str">
        <f t="shared" si="58"/>
        <v/>
      </c>
      <c r="AD53" s="111" t="str">
        <f t="shared" si="36"/>
        <v/>
      </c>
      <c r="AE53" s="112" t="str">
        <f t="shared" ref="AE53:AE55" si="62">IFERROR(IF(AND(T52="Impacto",T53="Impacto"),(AE52-(+AE52*W53)),IF(AND(T52="Probabilidad",T53="Impacto"),(AE51-(+AE51*W53)),IF(T53="Probabilidad",AE52,""))),"")</f>
        <v/>
      </c>
      <c r="AF53" s="113" t="str">
        <f>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4"/>
      <c r="AH53" s="115"/>
      <c r="AI53" s="116"/>
      <c r="AJ53" s="117"/>
      <c r="AK53" s="117"/>
      <c r="AL53" s="116"/>
    </row>
    <row r="54" spans="1:65" ht="19.5" customHeight="1" x14ac:dyDescent="0.25">
      <c r="A54" s="440"/>
      <c r="B54" s="446"/>
      <c r="C54" s="446"/>
      <c r="D54" s="446"/>
      <c r="E54" s="127"/>
      <c r="F54" s="449"/>
      <c r="G54" s="130"/>
      <c r="H54" s="130"/>
      <c r="I54" s="446"/>
      <c r="J54" s="452"/>
      <c r="K54" s="437"/>
      <c r="L54" s="428"/>
      <c r="M54" s="434"/>
      <c r="N54" s="428">
        <f>IF(NOT(ISERROR(MATCH(M54,_xlfn.ANCHORARRAY(F65),0))),L67&amp;"Por favor no seleccionar los criterios de impacto",M54)</f>
        <v>0</v>
      </c>
      <c r="O54" s="437"/>
      <c r="P54" s="428"/>
      <c r="Q54" s="431"/>
      <c r="R54" s="105">
        <v>5</v>
      </c>
      <c r="S54" s="106"/>
      <c r="T54" s="107" t="str">
        <f t="shared" si="60"/>
        <v/>
      </c>
      <c r="U54" s="108"/>
      <c r="V54" s="108"/>
      <c r="W54" s="109" t="str">
        <f t="shared" si="57"/>
        <v/>
      </c>
      <c r="X54" s="108"/>
      <c r="Y54" s="108"/>
      <c r="Z54" s="108"/>
      <c r="AA54" s="110" t="str">
        <f t="shared" si="61"/>
        <v/>
      </c>
      <c r="AB54" s="111" t="str">
        <f t="shared" si="34"/>
        <v/>
      </c>
      <c r="AC54" s="112" t="str">
        <f t="shared" si="58"/>
        <v/>
      </c>
      <c r="AD54" s="111" t="str">
        <f t="shared" si="36"/>
        <v/>
      </c>
      <c r="AE54" s="112" t="str">
        <f t="shared" si="62"/>
        <v/>
      </c>
      <c r="AF54" s="113" t="str">
        <f t="shared" ref="AF54:AF55" si="63">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14"/>
      <c r="AH54" s="115"/>
      <c r="AI54" s="116"/>
      <c r="AJ54" s="117"/>
      <c r="AK54" s="117"/>
      <c r="AL54" s="116"/>
    </row>
    <row r="55" spans="1:65" ht="19.5" customHeight="1" x14ac:dyDescent="0.25">
      <c r="A55" s="441"/>
      <c r="B55" s="447"/>
      <c r="C55" s="447"/>
      <c r="D55" s="447"/>
      <c r="E55" s="128"/>
      <c r="F55" s="450"/>
      <c r="G55" s="131"/>
      <c r="H55" s="131"/>
      <c r="I55" s="447"/>
      <c r="J55" s="453"/>
      <c r="K55" s="438"/>
      <c r="L55" s="429"/>
      <c r="M55" s="435"/>
      <c r="N55" s="429">
        <f>IF(NOT(ISERROR(MATCH(M55,_xlfn.ANCHORARRAY(F66),0))),L68&amp;"Por favor no seleccionar los criterios de impacto",M55)</f>
        <v>0</v>
      </c>
      <c r="O55" s="438"/>
      <c r="P55" s="429"/>
      <c r="Q55" s="432"/>
      <c r="R55" s="105">
        <v>6</v>
      </c>
      <c r="S55" s="106"/>
      <c r="T55" s="107" t="str">
        <f t="shared" si="60"/>
        <v/>
      </c>
      <c r="U55" s="108"/>
      <c r="V55" s="108"/>
      <c r="W55" s="109" t="str">
        <f t="shared" si="57"/>
        <v/>
      </c>
      <c r="X55" s="108"/>
      <c r="Y55" s="108"/>
      <c r="Z55" s="108"/>
      <c r="AA55" s="110" t="str">
        <f t="shared" si="61"/>
        <v/>
      </c>
      <c r="AB55" s="111" t="str">
        <f t="shared" si="34"/>
        <v/>
      </c>
      <c r="AC55" s="112" t="str">
        <f t="shared" si="58"/>
        <v/>
      </c>
      <c r="AD55" s="111" t="str">
        <f t="shared" si="36"/>
        <v/>
      </c>
      <c r="AE55" s="112" t="str">
        <f t="shared" si="62"/>
        <v/>
      </c>
      <c r="AF55" s="113" t="str">
        <f t="shared" si="63"/>
        <v/>
      </c>
      <c r="AG55" s="114"/>
      <c r="AH55" s="115"/>
      <c r="AI55" s="116"/>
      <c r="AJ55" s="117"/>
      <c r="AK55" s="117"/>
      <c r="AL55" s="116"/>
    </row>
    <row r="56" spans="1:65" ht="49.5" customHeight="1" x14ac:dyDescent="0.25">
      <c r="A56" s="6"/>
      <c r="B56" s="425" t="s">
        <v>125</v>
      </c>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row>
    <row r="58" spans="1:65" x14ac:dyDescent="0.25">
      <c r="A58" s="1"/>
      <c r="B58" s="24" t="s">
        <v>137</v>
      </c>
      <c r="C58" s="1"/>
      <c r="D58" s="1"/>
      <c r="E58" s="1"/>
      <c r="I58" s="1"/>
    </row>
  </sheetData>
  <dataConsolidate/>
  <mergeCells count="172">
    <mergeCell ref="C4:AL4"/>
    <mergeCell ref="H14:H15"/>
    <mergeCell ref="I14:I15"/>
    <mergeCell ref="J14:J15"/>
    <mergeCell ref="K14:K15"/>
    <mergeCell ref="L14:L15"/>
    <mergeCell ref="M14:M15"/>
    <mergeCell ref="N8:N9"/>
    <mergeCell ref="T8:T9"/>
    <mergeCell ref="R8:R9"/>
    <mergeCell ref="S8:S9"/>
    <mergeCell ref="U8:Z8"/>
    <mergeCell ref="AH8:AH9"/>
    <mergeCell ref="AK8:AK9"/>
    <mergeCell ref="AJ8:AJ9"/>
    <mergeCell ref="AI8:AI9"/>
    <mergeCell ref="AC8:AC9"/>
    <mergeCell ref="AG8:AG9"/>
    <mergeCell ref="AF8:AF9"/>
    <mergeCell ref="AE8:AE9"/>
    <mergeCell ref="I10:I13"/>
    <mergeCell ref="J10:J13"/>
    <mergeCell ref="K10:K13"/>
    <mergeCell ref="Q8:Q9"/>
    <mergeCell ref="C5:AL5"/>
    <mergeCell ref="C8:C9"/>
    <mergeCell ref="B8:B9"/>
    <mergeCell ref="E8:E9"/>
    <mergeCell ref="B14:B15"/>
    <mergeCell ref="C14:C15"/>
    <mergeCell ref="E11:E12"/>
    <mergeCell ref="F8:F9"/>
    <mergeCell ref="D8:D9"/>
    <mergeCell ref="AA8:AA9"/>
    <mergeCell ref="AD8:AD9"/>
    <mergeCell ref="AB8:AB9"/>
    <mergeCell ref="S11:S12"/>
    <mergeCell ref="R11:R12"/>
    <mergeCell ref="H10:H13"/>
    <mergeCell ref="M8:M9"/>
    <mergeCell ref="G10:G15"/>
    <mergeCell ref="N14:N15"/>
    <mergeCell ref="O14:O15"/>
    <mergeCell ref="P14:P15"/>
    <mergeCell ref="Q14:Q15"/>
    <mergeCell ref="Q10:Q13"/>
    <mergeCell ref="L10:L13"/>
    <mergeCell ref="C16:C18"/>
    <mergeCell ref="D16:D18"/>
    <mergeCell ref="F16:F18"/>
    <mergeCell ref="L16:L18"/>
    <mergeCell ref="M16:M18"/>
    <mergeCell ref="N16:N18"/>
    <mergeCell ref="A1:AL2"/>
    <mergeCell ref="A10:A13"/>
    <mergeCell ref="B10:B13"/>
    <mergeCell ref="C10:C13"/>
    <mergeCell ref="D10:D13"/>
    <mergeCell ref="F10:F13"/>
    <mergeCell ref="J8:J9"/>
    <mergeCell ref="K8:K9"/>
    <mergeCell ref="L8:L9"/>
    <mergeCell ref="O8:O9"/>
    <mergeCell ref="P8:P9"/>
    <mergeCell ref="A4:B4"/>
    <mergeCell ref="A5:B5"/>
    <mergeCell ref="A6:B6"/>
    <mergeCell ref="A8:A9"/>
    <mergeCell ref="I8:I9"/>
    <mergeCell ref="AL8:AL9"/>
    <mergeCell ref="C6:AL6"/>
    <mergeCell ref="M10:M13"/>
    <mergeCell ref="N10:N13"/>
    <mergeCell ref="K16:K18"/>
    <mergeCell ref="A14:A15"/>
    <mergeCell ref="O10:O13"/>
    <mergeCell ref="P10:P13"/>
    <mergeCell ref="F26:F31"/>
    <mergeCell ref="I26:I31"/>
    <mergeCell ref="D20:D25"/>
    <mergeCell ref="F20:F25"/>
    <mergeCell ref="I20:I25"/>
    <mergeCell ref="J20:J25"/>
    <mergeCell ref="J26:J31"/>
    <mergeCell ref="H16:H18"/>
    <mergeCell ref="I16:I18"/>
    <mergeCell ref="J16:J18"/>
    <mergeCell ref="G16:G19"/>
    <mergeCell ref="P20:P25"/>
    <mergeCell ref="K20:K25"/>
    <mergeCell ref="L20:L25"/>
    <mergeCell ref="K26:K31"/>
    <mergeCell ref="L26:L31"/>
    <mergeCell ref="A16:A18"/>
    <mergeCell ref="M26:M31"/>
    <mergeCell ref="D14:D15"/>
    <mergeCell ref="F14:F15"/>
    <mergeCell ref="A50:A55"/>
    <mergeCell ref="B50:B55"/>
    <mergeCell ref="C50:C55"/>
    <mergeCell ref="Q32:Q37"/>
    <mergeCell ref="L38:L43"/>
    <mergeCell ref="M38:M43"/>
    <mergeCell ref="I32:I37"/>
    <mergeCell ref="J32:J37"/>
    <mergeCell ref="K32:K37"/>
    <mergeCell ref="L32:L37"/>
    <mergeCell ref="M32:M37"/>
    <mergeCell ref="A38:A43"/>
    <mergeCell ref="B38:B43"/>
    <mergeCell ref="C38:C43"/>
    <mergeCell ref="D38:D43"/>
    <mergeCell ref="F38:F43"/>
    <mergeCell ref="A32:A37"/>
    <mergeCell ref="B32:B37"/>
    <mergeCell ref="C32:C37"/>
    <mergeCell ref="N38:N43"/>
    <mergeCell ref="Q20:Q25"/>
    <mergeCell ref="B16:B18"/>
    <mergeCell ref="P26:P31"/>
    <mergeCell ref="Q26:Q31"/>
    <mergeCell ref="N32:N37"/>
    <mergeCell ref="O32:O37"/>
    <mergeCell ref="P32:P37"/>
    <mergeCell ref="N44:N49"/>
    <mergeCell ref="Q16:Q18"/>
    <mergeCell ref="Q38:Q43"/>
    <mergeCell ref="O38:O43"/>
    <mergeCell ref="P38:P43"/>
    <mergeCell ref="N20:N25"/>
    <mergeCell ref="O20:O25"/>
    <mergeCell ref="N26:N31"/>
    <mergeCell ref="O26:O31"/>
    <mergeCell ref="O16:O18"/>
    <mergeCell ref="P16:P18"/>
    <mergeCell ref="A20:A25"/>
    <mergeCell ref="B20:B25"/>
    <mergeCell ref="C20:C25"/>
    <mergeCell ref="A26:A31"/>
    <mergeCell ref="D50:D55"/>
    <mergeCell ref="F50:F55"/>
    <mergeCell ref="I50:I55"/>
    <mergeCell ref="J50:J55"/>
    <mergeCell ref="K50:K55"/>
    <mergeCell ref="I38:I43"/>
    <mergeCell ref="J38:J43"/>
    <mergeCell ref="C44:C49"/>
    <mergeCell ref="D44:D49"/>
    <mergeCell ref="F44:F49"/>
    <mergeCell ref="I44:I49"/>
    <mergeCell ref="J44:J49"/>
    <mergeCell ref="D32:D37"/>
    <mergeCell ref="F32:F37"/>
    <mergeCell ref="K38:K43"/>
    <mergeCell ref="A44:A49"/>
    <mergeCell ref="B44:B49"/>
    <mergeCell ref="B26:B31"/>
    <mergeCell ref="C26:C31"/>
    <mergeCell ref="D26:D31"/>
    <mergeCell ref="B56:AK56"/>
    <mergeCell ref="P44:P49"/>
    <mergeCell ref="Q44:Q49"/>
    <mergeCell ref="M50:M55"/>
    <mergeCell ref="N50:N55"/>
    <mergeCell ref="O50:O55"/>
    <mergeCell ref="P50:P55"/>
    <mergeCell ref="Q50:Q55"/>
    <mergeCell ref="L50:L55"/>
    <mergeCell ref="K44:K49"/>
    <mergeCell ref="L44:L49"/>
    <mergeCell ref="M44:M49"/>
    <mergeCell ref="O44:O49"/>
  </mergeCells>
  <conditionalFormatting sqref="K10:K11 K14 K16 K19:K20 K26 K32 K38 K44 K50">
    <cfRule type="cellIs" dxfId="32" priority="365" operator="equal">
      <formula>"Muy Baja"</formula>
    </cfRule>
    <cfRule type="cellIs" dxfId="31" priority="363" operator="equal">
      <formula>"Media"</formula>
    </cfRule>
    <cfRule type="cellIs" dxfId="30" priority="362" operator="equal">
      <formula>"Alta"</formula>
    </cfRule>
    <cfRule type="cellIs" dxfId="29" priority="361" operator="equal">
      <formula>"Muy Alta"</formula>
    </cfRule>
    <cfRule type="cellIs" dxfId="28" priority="364" operator="equal">
      <formula>"Baja"</formula>
    </cfRule>
  </conditionalFormatting>
  <conditionalFormatting sqref="N10:N55">
    <cfRule type="containsText" dxfId="27" priority="43" operator="containsText" text="❌">
      <formula>NOT(ISERROR(SEARCH("❌",N10)))</formula>
    </cfRule>
  </conditionalFormatting>
  <conditionalFormatting sqref="O10:O11 O14 O16 O19:O20 O26 O32 O38 O44 O50">
    <cfRule type="cellIs" dxfId="26" priority="356" operator="equal">
      <formula>"Catastrófico"</formula>
    </cfRule>
    <cfRule type="cellIs" dxfId="25" priority="357" operator="equal">
      <formula>"Mayor"</formula>
    </cfRule>
    <cfRule type="cellIs" dxfId="24" priority="358" operator="equal">
      <formula>"Moderado"</formula>
    </cfRule>
    <cfRule type="cellIs" dxfId="23" priority="359" operator="equal">
      <formula>"Menor"</formula>
    </cfRule>
    <cfRule type="cellIs" dxfId="22" priority="360" operator="equal">
      <formula>"Leve"</formula>
    </cfRule>
  </conditionalFormatting>
  <conditionalFormatting sqref="Q10:Q11">
    <cfRule type="cellIs" dxfId="21" priority="352" operator="equal">
      <formula>"Extremo"</formula>
    </cfRule>
    <cfRule type="cellIs" dxfId="20" priority="353" operator="equal">
      <formula>"Alto"</formula>
    </cfRule>
    <cfRule type="cellIs" dxfId="19" priority="354" operator="equal">
      <formula>"Moderado"</formula>
    </cfRule>
    <cfRule type="cellIs" dxfId="18" priority="355" operator="equal">
      <formula>"Bajo"</formula>
    </cfRule>
  </conditionalFormatting>
  <conditionalFormatting sqref="Q14 Q16 Q19:Q20 Q26 Q32 Q38 Q44 Q50">
    <cfRule type="cellIs" dxfId="17" priority="282" operator="equal">
      <formula>"Extremo"</formula>
    </cfRule>
    <cfRule type="cellIs" dxfId="16" priority="283" operator="equal">
      <formula>"Alto"</formula>
    </cfRule>
    <cfRule type="cellIs" dxfId="15" priority="284" operator="equal">
      <formula>"Moderado"</formula>
    </cfRule>
    <cfRule type="cellIs" dxfId="14" priority="285" operator="equal">
      <formula>"Bajo"</formula>
    </cfRule>
  </conditionalFormatting>
  <conditionalFormatting sqref="AB10:AB55">
    <cfRule type="cellIs" dxfId="13" priority="350" operator="equal">
      <formula>"Baja"</formula>
    </cfRule>
    <cfRule type="cellIs" dxfId="12" priority="351" operator="equal">
      <formula>"Muy Baja"</formula>
    </cfRule>
    <cfRule type="cellIs" dxfId="11" priority="348" operator="equal">
      <formula>"Alta"</formula>
    </cfRule>
    <cfRule type="cellIs" dxfId="10" priority="347" operator="equal">
      <formula>"Muy Alta"</formula>
    </cfRule>
    <cfRule type="cellIs" dxfId="9" priority="349" operator="equal">
      <formula>"Media"</formula>
    </cfRule>
  </conditionalFormatting>
  <conditionalFormatting sqref="AD10:AD55">
    <cfRule type="cellIs" dxfId="8" priority="342" operator="equal">
      <formula>"Catastrófico"</formula>
    </cfRule>
    <cfRule type="cellIs" dxfId="7" priority="343" operator="equal">
      <formula>"Mayor"</formula>
    </cfRule>
    <cfRule type="cellIs" dxfId="6" priority="344" operator="equal">
      <formula>"Moderado"</formula>
    </cfRule>
    <cfRule type="cellIs" dxfId="5" priority="346" operator="equal">
      <formula>"Leve"</formula>
    </cfRule>
    <cfRule type="cellIs" dxfId="4" priority="345" operator="equal">
      <formula>"Menor"</formula>
    </cfRule>
  </conditionalFormatting>
  <conditionalFormatting sqref="AF10:AF55">
    <cfRule type="cellIs" dxfId="3" priority="338" operator="equal">
      <formula>"Extremo"</formula>
    </cfRule>
    <cfRule type="cellIs" dxfId="2" priority="339" operator="equal">
      <formula>"Alto"</formula>
    </cfRule>
    <cfRule type="cellIs" dxfId="1" priority="340" operator="equal">
      <formula>"Moderado"</formula>
    </cfRule>
    <cfRule type="cellIs" dxfId="0" priority="341" operator="equal">
      <formula>"Bajo"</formula>
    </cfRule>
  </conditionalFormatting>
  <dataValidations count="1">
    <dataValidation type="list" allowBlank="1" showInputMessage="1" showErrorMessage="1" sqref="G10:G15" xr:uid="{722A88A6-F868-450B-A4A7-2762CE2F8F89}">
      <formula1>"Gestión,Fiscal"</formula1>
    </dataValidation>
  </dataValidations>
  <pageMargins left="0.7" right="0.7" top="0.75" bottom="0.75" header="0.3" footer="0.3"/>
  <pageSetup scale="17" orientation="landscape"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250E77E8-1BE4-4FEF-8239-2EE0682AE35E}">
          <x14:formula1>
            <xm:f>'Opciones Tratamiento'!$B$9:$B$10</xm:f>
          </x14:formula1>
          <xm:sqref>AL53:AL54 AL23:AL24 AL26:AL27 AL29:AL30 AL32:AL33 AL35:AL36 AL38:AL39 AL41:AL42 AL44:AL45 AL47:AL48 AL50:AL51 AL10:AL21</xm:sqref>
        </x14:dataValidation>
        <x14:dataValidation type="list" allowBlank="1" showInputMessage="1" showErrorMessage="1" xr:uid="{9BEAC1D3-CA78-45EB-B66D-1ECE76A312EB}">
          <x14:formula1>
            <xm:f>'Tabla Valoración controles'!$D$4:$D$6</xm:f>
          </x14:formula1>
          <xm:sqref>U10:U55</xm:sqref>
        </x14:dataValidation>
        <x14:dataValidation type="list" allowBlank="1" showInputMessage="1" showErrorMessage="1" xr:uid="{532EB6F9-E5AE-4447-8756-0E4A121F5C8C}">
          <x14:formula1>
            <xm:f>'Tabla Valoración controles'!$D$7:$D$8</xm:f>
          </x14:formula1>
          <xm:sqref>V10:V55</xm:sqref>
        </x14:dataValidation>
        <x14:dataValidation type="list" allowBlank="1" showInputMessage="1" showErrorMessage="1" xr:uid="{BEE196A6-579C-4020-B772-967A953AC40C}">
          <x14:formula1>
            <xm:f>'Tabla Valoración controles'!$D$9:$D$10</xm:f>
          </x14:formula1>
          <xm:sqref>X10:X55</xm:sqref>
        </x14:dataValidation>
        <x14:dataValidation type="list" allowBlank="1" showInputMessage="1" showErrorMessage="1" xr:uid="{AE73D4DA-62EF-481A-BAF0-02DF8D139AA6}">
          <x14:formula1>
            <xm:f>'Tabla Valoración controles'!$D$11:$D$12</xm:f>
          </x14:formula1>
          <xm:sqref>Y10:Y55</xm:sqref>
        </x14:dataValidation>
        <x14:dataValidation type="list" allowBlank="1" showInputMessage="1" showErrorMessage="1" xr:uid="{3BF2735F-D435-40FC-8509-6569EE9F116F}">
          <x14:formula1>
            <xm:f>'Tabla Valoración controles'!$D$13:$D$14</xm:f>
          </x14:formula1>
          <xm:sqref>Z10:Z55</xm:sqref>
        </x14:dataValidation>
        <x14:dataValidation type="list" allowBlank="1" showInputMessage="1" showErrorMessage="1" xr:uid="{478FD8EA-BF86-47BF-93A9-81E3245B6E59}">
          <x14:formula1>
            <xm:f>'Opciones Tratamiento'!$B$2:$B$5</xm:f>
          </x14:formula1>
          <xm:sqref>AG10:AG55</xm:sqref>
        </x14:dataValidation>
        <x14:dataValidation type="custom" allowBlank="1" showInputMessage="1" showErrorMessage="1" error="Recuerde que las acciones se generan bajo la medida de mitigar el riesgo" xr:uid="{8D7C7E6D-2BB8-479D-9A2E-F80ACC01D682}">
          <x14:formula1>
            <xm:f>IF(OR(AG10='Opciones Tratamiento'!$B$2,AG10='Opciones Tratamiento'!$B$3,AG10='Opciones Tratamiento'!$B$4),ISBLANK(AG10),ISTEXT(AG10))</xm:f>
          </x14:formula1>
          <xm:sqref>AH10:AH55</xm:sqref>
        </x14:dataValidation>
        <x14:dataValidation type="custom" allowBlank="1" showInputMessage="1" showErrorMessage="1" error="Recuerde que las acciones se generan bajo la medida de mitigar el riesgo" xr:uid="{5B42FB39-4E44-4061-96A8-A034B0B8C46D}">
          <x14:formula1>
            <xm:f>IF(OR(AG10='Opciones Tratamiento'!$B$2,AG10='Opciones Tratamiento'!$B$3,AG10='Opciones Tratamiento'!$B$4),ISBLANK(AG10),ISTEXT(AG10))</xm:f>
          </x14:formula1>
          <xm:sqref>AI10:AI55</xm:sqref>
        </x14:dataValidation>
        <x14:dataValidation type="custom" allowBlank="1" showInputMessage="1" showErrorMessage="1" error="Recuerde que las acciones se generan bajo la medida de mitigar el riesgo" xr:uid="{96A97097-1B6D-4F82-BAD0-1AEBEBC01613}">
          <x14:formula1>
            <xm:f>IF(OR(AG10='Opciones Tratamiento'!$B$2,AG10='Opciones Tratamiento'!$B$3,AG10='Opciones Tratamiento'!$B$4),ISBLANK(AG10),ISTEXT(AG10))</xm:f>
          </x14:formula1>
          <xm:sqref>AJ10:AJ55</xm:sqref>
        </x14:dataValidation>
        <x14:dataValidation type="custom" allowBlank="1" showInputMessage="1" showErrorMessage="1" error="Recuerde que las acciones se generan bajo la medida de mitigar el riesgo" xr:uid="{DF1550A5-CCB1-4D4A-84FC-8182CB57BC9B}">
          <x14:formula1>
            <xm:f>IF(OR(AG10='Opciones Tratamiento'!$B$2,AG10='Opciones Tratamiento'!$B$3,AG10='Opciones Tratamiento'!$B$4),ISBLANK(AG10),ISTEXT(AG10))</xm:f>
          </x14:formula1>
          <xm:sqref>AK10:AK55</xm:sqref>
        </x14:dataValidation>
        <x14:dataValidation type="list" allowBlank="1" showInputMessage="1" showErrorMessage="1" xr:uid="{3CD1E588-55BF-4936-8785-8371443B8888}">
          <x14:formula1>
            <xm:f>'Opciones Tratamiento'!$B$13:$B$19</xm:f>
          </x14:formula1>
          <xm:sqref>I10:I55</xm:sqref>
        </x14:dataValidation>
        <x14:dataValidation type="list" allowBlank="1" showInputMessage="1" showErrorMessage="1" xr:uid="{BB3D054C-5CD8-435D-9C5A-AAD234818D6B}">
          <x14:formula1>
            <xm:f>'Opciones Tratamiento'!$E$2:$E$4</xm:f>
          </x14:formula1>
          <xm:sqref>B10:B55</xm:sqref>
        </x14:dataValidation>
        <x14:dataValidation type="list" allowBlank="1" showInputMessage="1" showErrorMessage="1" xr:uid="{95D0BD9C-D5F6-4113-87D2-47A355780437}">
          <x14:formula1>
            <xm:f>'Tabla Impacto'!$F$210:$F$221</xm:f>
          </x14:formula1>
          <xm:sqref>M10:M16 M26:M55 M19:M24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dimension ref="A1:CU140"/>
  <sheetViews>
    <sheetView zoomScale="40" zoomScaleNormal="40" workbookViewId="0">
      <selection activeCell="AL26" sqref="AL26:AM27"/>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602" t="s">
        <v>149</v>
      </c>
      <c r="C2" s="602"/>
      <c r="D2" s="602"/>
      <c r="E2" s="602"/>
      <c r="F2" s="602"/>
      <c r="G2" s="602"/>
      <c r="H2" s="602"/>
      <c r="I2" s="602"/>
      <c r="J2" s="570" t="s">
        <v>2</v>
      </c>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602"/>
      <c r="C3" s="602"/>
      <c r="D3" s="602"/>
      <c r="E3" s="602"/>
      <c r="F3" s="602"/>
      <c r="G3" s="602"/>
      <c r="H3" s="602"/>
      <c r="I3" s="602"/>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602"/>
      <c r="C4" s="602"/>
      <c r="D4" s="602"/>
      <c r="E4" s="602"/>
      <c r="F4" s="602"/>
      <c r="G4" s="602"/>
      <c r="H4" s="602"/>
      <c r="I4" s="602"/>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0"/>
      <c r="AM4" s="570"/>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17" t="s">
        <v>4</v>
      </c>
      <c r="C6" s="517"/>
      <c r="D6" s="518"/>
      <c r="E6" s="555" t="s">
        <v>110</v>
      </c>
      <c r="F6" s="556"/>
      <c r="G6" s="556"/>
      <c r="H6" s="556"/>
      <c r="I6" s="557"/>
      <c r="J6" s="566" t="str">
        <f>IF(AND('Mapa final'!$K$10="Muy Alta",'Mapa final'!$O$10="Leve"),CONCATENATE("R",'Mapa final'!$A$10),"")</f>
        <v/>
      </c>
      <c r="K6" s="567"/>
      <c r="L6" s="567" t="str">
        <f>IF(AND('Mapa final'!$K$14="Muy Alta",'Mapa final'!$O$14="Leve"),CONCATENATE("R",'Mapa final'!$A$14),"")</f>
        <v/>
      </c>
      <c r="M6" s="567"/>
      <c r="N6" s="567" t="str">
        <f>IF(AND('Mapa final'!$K$16="Muy Alta",'Mapa final'!$O$16="Leve"),CONCATENATE("R",'Mapa final'!$A$16),"")</f>
        <v/>
      </c>
      <c r="O6" s="569"/>
      <c r="P6" s="566" t="str">
        <f>IF(AND('Mapa final'!$K$10="Muy Alta",'Mapa final'!$O$10="Menor"),CONCATENATE("R",'Mapa final'!$A$10),"")</f>
        <v/>
      </c>
      <c r="Q6" s="567"/>
      <c r="R6" s="567" t="str">
        <f>IF(AND('Mapa final'!$K$14="Muy Alta",'Mapa final'!$O$14="Menor"),CONCATENATE("R",'Mapa final'!$A$14),"")</f>
        <v>R2</v>
      </c>
      <c r="S6" s="567"/>
      <c r="T6" s="567" t="str">
        <f>IF(AND('Mapa final'!$K$16="Muy Alta",'Mapa final'!$O$16="Menor"),CONCATENATE("R",'Mapa final'!$A$16),"")</f>
        <v/>
      </c>
      <c r="U6" s="569"/>
      <c r="V6" s="566" t="str">
        <f>IF(AND('Mapa final'!$K$10="Muy Alta",'Mapa final'!$O$10="Moderado"),CONCATENATE("R",'Mapa final'!$A$10),"")</f>
        <v/>
      </c>
      <c r="W6" s="567"/>
      <c r="X6" s="567" t="str">
        <f>IF(AND('Mapa final'!$K$14="Muy Alta",'Mapa final'!$O$14="Moderado"),CONCATENATE("R",'Mapa final'!$A$14),"")</f>
        <v/>
      </c>
      <c r="Y6" s="567"/>
      <c r="Z6" s="567" t="str">
        <f>IF(AND('Mapa final'!$K$16="Muy Alta",'Mapa final'!$O$16="Moderado"),CONCATENATE("R",'Mapa final'!$A$16),"")</f>
        <v/>
      </c>
      <c r="AA6" s="569"/>
      <c r="AB6" s="566" t="str">
        <f>IF(AND('Mapa final'!$K$10="Muy Alta",'Mapa final'!$O$10="Mayor"),CONCATENATE("R",'Mapa final'!$A$10),"")</f>
        <v>R1</v>
      </c>
      <c r="AC6" s="567"/>
      <c r="AD6" s="567" t="str">
        <f>IF(AND('Mapa final'!$K$14="Muy Alta",'Mapa final'!$O$14="Mayor"),CONCATENATE("R",'Mapa final'!$A$14),"")</f>
        <v/>
      </c>
      <c r="AE6" s="567"/>
      <c r="AF6" s="567" t="str">
        <f>IF(AND('Mapa final'!$K$16="Muy Alta",'Mapa final'!$O$16="Mayor"),CONCATENATE("R",'Mapa final'!$A$16),"")</f>
        <v/>
      </c>
      <c r="AG6" s="569"/>
      <c r="AH6" s="581" t="str">
        <f>IF(AND('Mapa final'!$K$10="Muy Alta",'Mapa final'!$O$10="Catastrófico"),CONCATENATE("R",'Mapa final'!$A$10),"")</f>
        <v/>
      </c>
      <c r="AI6" s="582"/>
      <c r="AJ6" s="582" t="str">
        <f>IF(AND('Mapa final'!$K$14="Muy Alta",'Mapa final'!$O$14="Catastrófico"),CONCATENATE("R",'Mapa final'!$A$14),"")</f>
        <v/>
      </c>
      <c r="AK6" s="582"/>
      <c r="AL6" s="582" t="str">
        <f>IF(AND('Mapa final'!$K$16="Muy Alta",'Mapa final'!$O$16="Catastrófico"),CONCATENATE("R",'Mapa final'!$A$16),"")</f>
        <v/>
      </c>
      <c r="AM6" s="583"/>
      <c r="AO6" s="519" t="s">
        <v>77</v>
      </c>
      <c r="AP6" s="520"/>
      <c r="AQ6" s="520"/>
      <c r="AR6" s="520"/>
      <c r="AS6" s="520"/>
      <c r="AT6" s="52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17"/>
      <c r="C7" s="517"/>
      <c r="D7" s="518"/>
      <c r="E7" s="558"/>
      <c r="F7" s="559"/>
      <c r="G7" s="559"/>
      <c r="H7" s="559"/>
      <c r="I7" s="560"/>
      <c r="J7" s="568"/>
      <c r="K7" s="564"/>
      <c r="L7" s="564"/>
      <c r="M7" s="564"/>
      <c r="N7" s="564"/>
      <c r="O7" s="565"/>
      <c r="P7" s="568"/>
      <c r="Q7" s="564"/>
      <c r="R7" s="564"/>
      <c r="S7" s="564"/>
      <c r="T7" s="564"/>
      <c r="U7" s="565"/>
      <c r="V7" s="568"/>
      <c r="W7" s="564"/>
      <c r="X7" s="564"/>
      <c r="Y7" s="564"/>
      <c r="Z7" s="564"/>
      <c r="AA7" s="565"/>
      <c r="AB7" s="568"/>
      <c r="AC7" s="564"/>
      <c r="AD7" s="564"/>
      <c r="AE7" s="564"/>
      <c r="AF7" s="564"/>
      <c r="AG7" s="565"/>
      <c r="AH7" s="575"/>
      <c r="AI7" s="576"/>
      <c r="AJ7" s="576"/>
      <c r="AK7" s="576"/>
      <c r="AL7" s="576"/>
      <c r="AM7" s="577"/>
      <c r="AN7" s="67"/>
      <c r="AO7" s="522"/>
      <c r="AP7" s="523"/>
      <c r="AQ7" s="523"/>
      <c r="AR7" s="523"/>
      <c r="AS7" s="523"/>
      <c r="AT7" s="52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17"/>
      <c r="C8" s="517"/>
      <c r="D8" s="518"/>
      <c r="E8" s="558"/>
      <c r="F8" s="559"/>
      <c r="G8" s="559"/>
      <c r="H8" s="559"/>
      <c r="I8" s="560"/>
      <c r="J8" s="568" t="str">
        <f>IF(AND('Mapa final'!$K$19="Muy Alta",'Mapa final'!$O$19="Leve"),CONCATENATE("R",'Mapa final'!$A$19),"")</f>
        <v/>
      </c>
      <c r="K8" s="564"/>
      <c r="L8" s="564" t="str">
        <f>IF(AND('Mapa final'!$K$20="Muy Alta",'Mapa final'!$O$20="Leve"),CONCATENATE("R",'Mapa final'!$A$20),"")</f>
        <v/>
      </c>
      <c r="M8" s="564"/>
      <c r="N8" s="564" t="str">
        <f>IF(AND('Mapa final'!$K$26="Muy Alta",'Mapa final'!$O$26="Leve"),CONCATENATE("R",'Mapa final'!$A$26),"")</f>
        <v/>
      </c>
      <c r="O8" s="565"/>
      <c r="P8" s="568" t="str">
        <f>IF(AND('Mapa final'!$K$19="Muy Alta",'Mapa final'!$O$19="Menor"),CONCATENATE("R",'Mapa final'!$A$19),"")</f>
        <v/>
      </c>
      <c r="Q8" s="564"/>
      <c r="R8" s="564" t="str">
        <f>IF(AND('Mapa final'!$K$20="Muy Alta",'Mapa final'!$O$20="Menor"),CONCATENATE("R",'Mapa final'!$A$20),"")</f>
        <v/>
      </c>
      <c r="S8" s="564"/>
      <c r="T8" s="564" t="str">
        <f>IF(AND('Mapa final'!$K$26="Muy Alta",'Mapa final'!$O$26="Menor"),CONCATENATE("R",'Mapa final'!$A$26),"")</f>
        <v/>
      </c>
      <c r="U8" s="565"/>
      <c r="V8" s="568" t="str">
        <f>IF(AND('Mapa final'!$K$19="Muy Alta",'Mapa final'!$O$19="Moderado"),CONCATENATE("R",'Mapa final'!$A$19),"")</f>
        <v/>
      </c>
      <c r="W8" s="564"/>
      <c r="X8" s="564" t="str">
        <f>IF(AND('Mapa final'!$K$20="Muy Alta",'Mapa final'!$O$20="Moderado"),CONCATENATE("R",'Mapa final'!$A$20),"")</f>
        <v/>
      </c>
      <c r="Y8" s="564"/>
      <c r="Z8" s="564" t="str">
        <f>IF(AND('Mapa final'!$K$26="Muy Alta",'Mapa final'!$O$26="Moderado"),CONCATENATE("R",'Mapa final'!$A$26),"")</f>
        <v/>
      </c>
      <c r="AA8" s="565"/>
      <c r="AB8" s="568" t="str">
        <f>IF(AND('Mapa final'!$K$19="Muy Alta",'Mapa final'!$O$19="Mayor"),CONCATENATE("R",'Mapa final'!$A$19),"")</f>
        <v/>
      </c>
      <c r="AC8" s="564"/>
      <c r="AD8" s="564" t="str">
        <f>IF(AND('Mapa final'!$K$20="Muy Alta",'Mapa final'!$O$20="Mayor"),CONCATENATE("R",'Mapa final'!$A$20),"")</f>
        <v/>
      </c>
      <c r="AE8" s="564"/>
      <c r="AF8" s="564" t="str">
        <f>IF(AND('Mapa final'!$K$26="Muy Alta",'Mapa final'!$O$26="Mayor"),CONCATENATE("R",'Mapa final'!$A$26),"")</f>
        <v/>
      </c>
      <c r="AG8" s="565"/>
      <c r="AH8" s="575" t="str">
        <f>IF(AND('Mapa final'!$K$19="Muy Alta",'Mapa final'!$O$19="Catastrófico"),CONCATENATE("R",'Mapa final'!$A$19),"")</f>
        <v/>
      </c>
      <c r="AI8" s="576"/>
      <c r="AJ8" s="576" t="str">
        <f>IF(AND('Mapa final'!$K$20="Muy Alta",'Mapa final'!$O$20="Catastrófico"),CONCATENATE("R",'Mapa final'!$A$20),"")</f>
        <v/>
      </c>
      <c r="AK8" s="576"/>
      <c r="AL8" s="576" t="str">
        <f>IF(AND('Mapa final'!$K$26="Muy Alta",'Mapa final'!$O$26="Catastrófico"),CONCATENATE("R",'Mapa final'!$A$26),"")</f>
        <v/>
      </c>
      <c r="AM8" s="577"/>
      <c r="AN8" s="67"/>
      <c r="AO8" s="522"/>
      <c r="AP8" s="523"/>
      <c r="AQ8" s="523"/>
      <c r="AR8" s="523"/>
      <c r="AS8" s="523"/>
      <c r="AT8" s="52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17"/>
      <c r="C9" s="517"/>
      <c r="D9" s="518"/>
      <c r="E9" s="558"/>
      <c r="F9" s="559"/>
      <c r="G9" s="559"/>
      <c r="H9" s="559"/>
      <c r="I9" s="560"/>
      <c r="J9" s="568"/>
      <c r="K9" s="564"/>
      <c r="L9" s="564"/>
      <c r="M9" s="564"/>
      <c r="N9" s="564"/>
      <c r="O9" s="565"/>
      <c r="P9" s="568"/>
      <c r="Q9" s="564"/>
      <c r="R9" s="564"/>
      <c r="S9" s="564"/>
      <c r="T9" s="564"/>
      <c r="U9" s="565"/>
      <c r="V9" s="568"/>
      <c r="W9" s="564"/>
      <c r="X9" s="564"/>
      <c r="Y9" s="564"/>
      <c r="Z9" s="564"/>
      <c r="AA9" s="565"/>
      <c r="AB9" s="568"/>
      <c r="AC9" s="564"/>
      <c r="AD9" s="564"/>
      <c r="AE9" s="564"/>
      <c r="AF9" s="564"/>
      <c r="AG9" s="565"/>
      <c r="AH9" s="575"/>
      <c r="AI9" s="576"/>
      <c r="AJ9" s="576"/>
      <c r="AK9" s="576"/>
      <c r="AL9" s="576"/>
      <c r="AM9" s="577"/>
      <c r="AN9" s="67"/>
      <c r="AO9" s="522"/>
      <c r="AP9" s="523"/>
      <c r="AQ9" s="523"/>
      <c r="AR9" s="523"/>
      <c r="AS9" s="523"/>
      <c r="AT9" s="52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17"/>
      <c r="C10" s="517"/>
      <c r="D10" s="518"/>
      <c r="E10" s="558"/>
      <c r="F10" s="559"/>
      <c r="G10" s="559"/>
      <c r="H10" s="559"/>
      <c r="I10" s="560"/>
      <c r="J10" s="568" t="str">
        <f>IF(AND('Mapa final'!$K$32="Muy Alta",'Mapa final'!$O$32="Leve"),CONCATENATE("R",'Mapa final'!$A$32),"")</f>
        <v/>
      </c>
      <c r="K10" s="564"/>
      <c r="L10" s="564" t="str">
        <f>IF(AND('Mapa final'!$K$38="Muy Alta",'Mapa final'!$O$38="Leve"),CONCATENATE("R",'Mapa final'!$A$38),"")</f>
        <v/>
      </c>
      <c r="M10" s="564"/>
      <c r="N10" s="564" t="str">
        <f>IF(AND('Mapa final'!$K$44="Muy Alta",'Mapa final'!$O$44="Leve"),CONCATENATE("R",'Mapa final'!$A$44),"")</f>
        <v/>
      </c>
      <c r="O10" s="565"/>
      <c r="P10" s="568" t="str">
        <f>IF(AND('Mapa final'!$K$32="Muy Alta",'Mapa final'!$O$32="Menor"),CONCATENATE("R",'Mapa final'!$A$32),"")</f>
        <v/>
      </c>
      <c r="Q10" s="564"/>
      <c r="R10" s="564" t="str">
        <f>IF(AND('Mapa final'!$K$38="Muy Alta",'Mapa final'!$O$38="Menor"),CONCATENATE("R",'Mapa final'!$A$38),"")</f>
        <v/>
      </c>
      <c r="S10" s="564"/>
      <c r="T10" s="564" t="str">
        <f>IF(AND('Mapa final'!$K$44="Muy Alta",'Mapa final'!$O$44="Menor"),CONCATENATE("R",'Mapa final'!$A$44),"")</f>
        <v/>
      </c>
      <c r="U10" s="565"/>
      <c r="V10" s="568" t="str">
        <f>IF(AND('Mapa final'!$K$32="Muy Alta",'Mapa final'!$O$32="Moderado"),CONCATENATE("R",'Mapa final'!$A$32),"")</f>
        <v/>
      </c>
      <c r="W10" s="564"/>
      <c r="X10" s="564" t="str">
        <f>IF(AND('Mapa final'!$K$38="Muy Alta",'Mapa final'!$O$38="Moderado"),CONCATENATE("R",'Mapa final'!$A$38),"")</f>
        <v/>
      </c>
      <c r="Y10" s="564"/>
      <c r="Z10" s="564" t="str">
        <f>IF(AND('Mapa final'!$K$44="Muy Alta",'Mapa final'!$O$44="Moderado"),CONCATENATE("R",'Mapa final'!$A$44),"")</f>
        <v/>
      </c>
      <c r="AA10" s="565"/>
      <c r="AB10" s="568" t="str">
        <f>IF(AND('Mapa final'!$K$32="Muy Alta",'Mapa final'!$O$32="Mayor"),CONCATENATE("R",'Mapa final'!$A$32),"")</f>
        <v/>
      </c>
      <c r="AC10" s="564"/>
      <c r="AD10" s="564" t="str">
        <f>IF(AND('Mapa final'!$K$38="Muy Alta",'Mapa final'!$O$38="Mayor"),CONCATENATE("R",'Mapa final'!$A$38),"")</f>
        <v/>
      </c>
      <c r="AE10" s="564"/>
      <c r="AF10" s="564" t="str">
        <f>IF(AND('Mapa final'!$K$44="Muy Alta",'Mapa final'!$O$44="Mayor"),CONCATENATE("R",'Mapa final'!$A$44),"")</f>
        <v/>
      </c>
      <c r="AG10" s="565"/>
      <c r="AH10" s="575" t="str">
        <f>IF(AND('Mapa final'!$K$32="Muy Alta",'Mapa final'!$O$32="Catastrófico"),CONCATENATE("R",'Mapa final'!$A$32),"")</f>
        <v/>
      </c>
      <c r="AI10" s="576"/>
      <c r="AJ10" s="576" t="str">
        <f>IF(AND('Mapa final'!$K$38="Muy Alta",'Mapa final'!$O$38="Catastrófico"),CONCATENATE("R",'Mapa final'!$A$38),"")</f>
        <v/>
      </c>
      <c r="AK10" s="576"/>
      <c r="AL10" s="576" t="str">
        <f>IF(AND('Mapa final'!$K$44="Muy Alta",'Mapa final'!$O$44="Catastrófico"),CONCATENATE("R",'Mapa final'!$A$44),"")</f>
        <v/>
      </c>
      <c r="AM10" s="577"/>
      <c r="AN10" s="67"/>
      <c r="AO10" s="522"/>
      <c r="AP10" s="523"/>
      <c r="AQ10" s="523"/>
      <c r="AR10" s="523"/>
      <c r="AS10" s="523"/>
      <c r="AT10" s="52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17"/>
      <c r="C11" s="517"/>
      <c r="D11" s="518"/>
      <c r="E11" s="558"/>
      <c r="F11" s="559"/>
      <c r="G11" s="559"/>
      <c r="H11" s="559"/>
      <c r="I11" s="560"/>
      <c r="J11" s="568"/>
      <c r="K11" s="564"/>
      <c r="L11" s="564"/>
      <c r="M11" s="564"/>
      <c r="N11" s="564"/>
      <c r="O11" s="565"/>
      <c r="P11" s="568"/>
      <c r="Q11" s="564"/>
      <c r="R11" s="564"/>
      <c r="S11" s="564"/>
      <c r="T11" s="564"/>
      <c r="U11" s="565"/>
      <c r="V11" s="568"/>
      <c r="W11" s="564"/>
      <c r="X11" s="564"/>
      <c r="Y11" s="564"/>
      <c r="Z11" s="564"/>
      <c r="AA11" s="565"/>
      <c r="AB11" s="568"/>
      <c r="AC11" s="564"/>
      <c r="AD11" s="564"/>
      <c r="AE11" s="564"/>
      <c r="AF11" s="564"/>
      <c r="AG11" s="565"/>
      <c r="AH11" s="575"/>
      <c r="AI11" s="576"/>
      <c r="AJ11" s="576"/>
      <c r="AK11" s="576"/>
      <c r="AL11" s="576"/>
      <c r="AM11" s="577"/>
      <c r="AN11" s="67"/>
      <c r="AO11" s="522"/>
      <c r="AP11" s="523"/>
      <c r="AQ11" s="523"/>
      <c r="AR11" s="523"/>
      <c r="AS11" s="523"/>
      <c r="AT11" s="52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17"/>
      <c r="C12" s="517"/>
      <c r="D12" s="518"/>
      <c r="E12" s="558"/>
      <c r="F12" s="559"/>
      <c r="G12" s="559"/>
      <c r="H12" s="559"/>
      <c r="I12" s="560"/>
      <c r="J12" s="568" t="str">
        <f>IF(AND('Mapa final'!$K$50="Muy Alta",'Mapa final'!$O$50="Leve"),CONCATENATE("R",'Mapa final'!$A$50),"")</f>
        <v/>
      </c>
      <c r="K12" s="564"/>
      <c r="L12" s="564" t="str">
        <f>IF(AND('Mapa final'!$K$56="Muy Alta",'Mapa final'!$O$56="Leve"),CONCATENATE("R",'Mapa final'!$A$56),"")</f>
        <v/>
      </c>
      <c r="M12" s="564"/>
      <c r="N12" s="564" t="str">
        <f>IF(AND('Mapa final'!$K$62="Muy Alta",'Mapa final'!$O$62="Leve"),CONCATENATE("R",'Mapa final'!$A$62),"")</f>
        <v/>
      </c>
      <c r="O12" s="565"/>
      <c r="P12" s="568" t="str">
        <f>IF(AND('Mapa final'!$K$50="Muy Alta",'Mapa final'!$O$50="Menor"),CONCATENATE("R",'Mapa final'!$A$50),"")</f>
        <v/>
      </c>
      <c r="Q12" s="564"/>
      <c r="R12" s="564" t="str">
        <f>IF(AND('Mapa final'!$K$56="Muy Alta",'Mapa final'!$O$56="Menor"),CONCATENATE("R",'Mapa final'!$A$56),"")</f>
        <v/>
      </c>
      <c r="S12" s="564"/>
      <c r="T12" s="564" t="str">
        <f>IF(AND('Mapa final'!$K$62="Muy Alta",'Mapa final'!$O$62="Menor"),CONCATENATE("R",'Mapa final'!$A$62),"")</f>
        <v/>
      </c>
      <c r="U12" s="565"/>
      <c r="V12" s="568" t="str">
        <f>IF(AND('Mapa final'!$K$50="Muy Alta",'Mapa final'!$O$50="Moderado"),CONCATENATE("R",'Mapa final'!$A$50),"")</f>
        <v/>
      </c>
      <c r="W12" s="564"/>
      <c r="X12" s="564" t="str">
        <f>IF(AND('Mapa final'!$K$56="Muy Alta",'Mapa final'!$O$56="Moderado"),CONCATENATE("R",'Mapa final'!$A$56),"")</f>
        <v/>
      </c>
      <c r="Y12" s="564"/>
      <c r="Z12" s="564" t="str">
        <f>IF(AND('Mapa final'!$K$62="Muy Alta",'Mapa final'!$O$62="Moderado"),CONCATENATE("R",'Mapa final'!$A$62),"")</f>
        <v/>
      </c>
      <c r="AA12" s="565"/>
      <c r="AB12" s="568" t="str">
        <f>IF(AND('Mapa final'!$K$50="Muy Alta",'Mapa final'!$O$50="Mayor"),CONCATENATE("R",'Mapa final'!$A$50),"")</f>
        <v/>
      </c>
      <c r="AC12" s="564"/>
      <c r="AD12" s="564" t="str">
        <f>IF(AND('Mapa final'!$K$56="Muy Alta",'Mapa final'!$O$56="Mayor"),CONCATENATE("R",'Mapa final'!$A$56),"")</f>
        <v/>
      </c>
      <c r="AE12" s="564"/>
      <c r="AF12" s="564" t="str">
        <f>IF(AND('Mapa final'!$K$62="Muy Alta",'Mapa final'!$O$62="Mayor"),CONCATENATE("R",'Mapa final'!$A$62),"")</f>
        <v/>
      </c>
      <c r="AG12" s="565"/>
      <c r="AH12" s="575" t="str">
        <f>IF(AND('Mapa final'!$K$50="Muy Alta",'Mapa final'!$O$50="Catastrófico"),CONCATENATE("R",'Mapa final'!$A$50),"")</f>
        <v/>
      </c>
      <c r="AI12" s="576"/>
      <c r="AJ12" s="576" t="str">
        <f>IF(AND('Mapa final'!$K$56="Muy Alta",'Mapa final'!$O$56="Catastrófico"),CONCATENATE("R",'Mapa final'!$A$56),"")</f>
        <v/>
      </c>
      <c r="AK12" s="576"/>
      <c r="AL12" s="576" t="str">
        <f>IF(AND('Mapa final'!$K$62="Muy Alta",'Mapa final'!$O$62="Catastrófico"),CONCATENATE("R",'Mapa final'!$A$62),"")</f>
        <v/>
      </c>
      <c r="AM12" s="577"/>
      <c r="AN12" s="67"/>
      <c r="AO12" s="522"/>
      <c r="AP12" s="523"/>
      <c r="AQ12" s="523"/>
      <c r="AR12" s="523"/>
      <c r="AS12" s="523"/>
      <c r="AT12" s="52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17"/>
      <c r="C13" s="517"/>
      <c r="D13" s="518"/>
      <c r="E13" s="561"/>
      <c r="F13" s="562"/>
      <c r="G13" s="562"/>
      <c r="H13" s="562"/>
      <c r="I13" s="563"/>
      <c r="J13" s="568"/>
      <c r="K13" s="564"/>
      <c r="L13" s="564"/>
      <c r="M13" s="564"/>
      <c r="N13" s="564"/>
      <c r="O13" s="565"/>
      <c r="P13" s="568"/>
      <c r="Q13" s="564"/>
      <c r="R13" s="564"/>
      <c r="S13" s="564"/>
      <c r="T13" s="564"/>
      <c r="U13" s="565"/>
      <c r="V13" s="568"/>
      <c r="W13" s="564"/>
      <c r="X13" s="564"/>
      <c r="Y13" s="564"/>
      <c r="Z13" s="564"/>
      <c r="AA13" s="565"/>
      <c r="AB13" s="568"/>
      <c r="AC13" s="564"/>
      <c r="AD13" s="564"/>
      <c r="AE13" s="564"/>
      <c r="AF13" s="564"/>
      <c r="AG13" s="565"/>
      <c r="AH13" s="578"/>
      <c r="AI13" s="579"/>
      <c r="AJ13" s="579"/>
      <c r="AK13" s="579"/>
      <c r="AL13" s="579"/>
      <c r="AM13" s="580"/>
      <c r="AN13" s="67"/>
      <c r="AO13" s="525"/>
      <c r="AP13" s="526"/>
      <c r="AQ13" s="526"/>
      <c r="AR13" s="526"/>
      <c r="AS13" s="526"/>
      <c r="AT13" s="52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17"/>
      <c r="C14" s="517"/>
      <c r="D14" s="518"/>
      <c r="E14" s="555" t="s">
        <v>109</v>
      </c>
      <c r="F14" s="556"/>
      <c r="G14" s="556"/>
      <c r="H14" s="556"/>
      <c r="I14" s="556"/>
      <c r="J14" s="590" t="str">
        <f>IF(AND('Mapa final'!$K$10="Alta",'Mapa final'!$O$10="Leve"),CONCATENATE("R",'Mapa final'!$A$10),"")</f>
        <v/>
      </c>
      <c r="K14" s="591"/>
      <c r="L14" s="591" t="str">
        <f>IF(AND('Mapa final'!$K$14="Alta",'Mapa final'!$O$14="Leve"),CONCATENATE("R",'Mapa final'!$A$14),"")</f>
        <v/>
      </c>
      <c r="M14" s="591"/>
      <c r="N14" s="591" t="str">
        <f>IF(AND('Mapa final'!$K$16="Alta",'Mapa final'!$O$16="Leve"),CONCATENATE("R",'Mapa final'!$A$16),"")</f>
        <v/>
      </c>
      <c r="O14" s="592"/>
      <c r="P14" s="590" t="str">
        <f>IF(AND('Mapa final'!$K$10="Alta",'Mapa final'!$O$10="Menor"),CONCATENATE("R",'Mapa final'!$A$10),"")</f>
        <v/>
      </c>
      <c r="Q14" s="591"/>
      <c r="R14" s="591" t="str">
        <f>IF(AND('Mapa final'!$K$14="Alta",'Mapa final'!$O$14="Menor"),CONCATENATE("R",'Mapa final'!$A$14),"")</f>
        <v/>
      </c>
      <c r="S14" s="591"/>
      <c r="T14" s="591" t="str">
        <f>IF(AND('Mapa final'!$K$16="Alta",'Mapa final'!$O$16="Menor"),CONCATENATE("R",'Mapa final'!$A$16),"")</f>
        <v/>
      </c>
      <c r="U14" s="592"/>
      <c r="V14" s="566" t="str">
        <f>IF(AND('Mapa final'!$K$10="Alta",'Mapa final'!$O$10="Moderado"),CONCATENATE("R",'Mapa final'!$A$10),"")</f>
        <v/>
      </c>
      <c r="W14" s="567"/>
      <c r="X14" s="567" t="str">
        <f>IF(AND('Mapa final'!$K$14="Alta",'Mapa final'!$O$14="Moderado"),CONCATENATE("R",'Mapa final'!$A$14),"")</f>
        <v/>
      </c>
      <c r="Y14" s="567"/>
      <c r="Z14" s="567" t="str">
        <f>IF(AND('Mapa final'!$K$16="Alta",'Mapa final'!$O$16="Moderado"),CONCATENATE("R",'Mapa final'!$A$16),"")</f>
        <v/>
      </c>
      <c r="AA14" s="569"/>
      <c r="AB14" s="566" t="str">
        <f>IF(AND('Mapa final'!$K$10="Alta",'Mapa final'!$O$10="Mayor"),CONCATENATE("R",'Mapa final'!$A$10),"")</f>
        <v/>
      </c>
      <c r="AC14" s="567"/>
      <c r="AD14" s="567" t="str">
        <f>IF(AND('Mapa final'!$K$14="Alta",'Mapa final'!$O$14="Mayor"),CONCATENATE("R",'Mapa final'!$A$14),"")</f>
        <v/>
      </c>
      <c r="AE14" s="567"/>
      <c r="AF14" s="567" t="str">
        <f>IF(AND('Mapa final'!$K$16="Alta",'Mapa final'!$O$16="Mayor"),CONCATENATE("R",'Mapa final'!$A$16),"")</f>
        <v/>
      </c>
      <c r="AG14" s="569"/>
      <c r="AH14" s="581" t="str">
        <f>IF(AND('Mapa final'!$K$10="Alta",'Mapa final'!$O$10="Catastrófico"),CONCATENATE("R",'Mapa final'!$A$10),"")</f>
        <v/>
      </c>
      <c r="AI14" s="582"/>
      <c r="AJ14" s="582" t="str">
        <f>IF(AND('Mapa final'!$K$14="Alta",'Mapa final'!$O$14="Catastrófico"),CONCATENATE("R",'Mapa final'!$A$14),"")</f>
        <v/>
      </c>
      <c r="AK14" s="582"/>
      <c r="AL14" s="582" t="str">
        <f>IF(AND('Mapa final'!$K$16="Alta",'Mapa final'!$O$16="Catastrófico"),CONCATENATE("R",'Mapa final'!$A$16),"")</f>
        <v/>
      </c>
      <c r="AM14" s="583"/>
      <c r="AN14" s="67"/>
      <c r="AO14" s="528" t="s">
        <v>78</v>
      </c>
      <c r="AP14" s="529"/>
      <c r="AQ14" s="529"/>
      <c r="AR14" s="529"/>
      <c r="AS14" s="529"/>
      <c r="AT14" s="53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17"/>
      <c r="C15" s="517"/>
      <c r="D15" s="518"/>
      <c r="E15" s="558"/>
      <c r="F15" s="559"/>
      <c r="G15" s="559"/>
      <c r="H15" s="559"/>
      <c r="I15" s="559"/>
      <c r="J15" s="584"/>
      <c r="K15" s="585"/>
      <c r="L15" s="585"/>
      <c r="M15" s="585"/>
      <c r="N15" s="585"/>
      <c r="O15" s="586"/>
      <c r="P15" s="584"/>
      <c r="Q15" s="585"/>
      <c r="R15" s="585"/>
      <c r="S15" s="585"/>
      <c r="T15" s="585"/>
      <c r="U15" s="586"/>
      <c r="V15" s="568"/>
      <c r="W15" s="564"/>
      <c r="X15" s="564"/>
      <c r="Y15" s="564"/>
      <c r="Z15" s="564"/>
      <c r="AA15" s="565"/>
      <c r="AB15" s="568"/>
      <c r="AC15" s="564"/>
      <c r="AD15" s="564"/>
      <c r="AE15" s="564"/>
      <c r="AF15" s="564"/>
      <c r="AG15" s="565"/>
      <c r="AH15" s="575"/>
      <c r="AI15" s="576"/>
      <c r="AJ15" s="576"/>
      <c r="AK15" s="576"/>
      <c r="AL15" s="576"/>
      <c r="AM15" s="577"/>
      <c r="AN15" s="67"/>
      <c r="AO15" s="531"/>
      <c r="AP15" s="532"/>
      <c r="AQ15" s="532"/>
      <c r="AR15" s="532"/>
      <c r="AS15" s="532"/>
      <c r="AT15" s="53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17"/>
      <c r="C16" s="517"/>
      <c r="D16" s="518"/>
      <c r="E16" s="558"/>
      <c r="F16" s="559"/>
      <c r="G16" s="559"/>
      <c r="H16" s="559"/>
      <c r="I16" s="559"/>
      <c r="J16" s="584" t="str">
        <f>IF(AND('Mapa final'!$K$19="Alta",'Mapa final'!$O$19="Leve"),CONCATENATE("R",'Mapa final'!$A$19),"")</f>
        <v/>
      </c>
      <c r="K16" s="585"/>
      <c r="L16" s="585" t="str">
        <f>IF(AND('Mapa final'!$K$20="Alta",'Mapa final'!$O$20="Leve"),CONCATENATE("R",'Mapa final'!$A$20),"")</f>
        <v/>
      </c>
      <c r="M16" s="585"/>
      <c r="N16" s="585" t="str">
        <f>IF(AND('Mapa final'!$K$26="Alta",'Mapa final'!$O$26="Leve"),CONCATENATE("R",'Mapa final'!$A$26),"")</f>
        <v/>
      </c>
      <c r="O16" s="586"/>
      <c r="P16" s="584" t="str">
        <f>IF(AND('Mapa final'!$K$19="Alta",'Mapa final'!$O$19="Menor"),CONCATENATE("R",'Mapa final'!$A$19),"")</f>
        <v/>
      </c>
      <c r="Q16" s="585"/>
      <c r="R16" s="585" t="str">
        <f>IF(AND('Mapa final'!$K$20="Alta",'Mapa final'!$O$20="Menor"),CONCATENATE("R",'Mapa final'!$A$20),"")</f>
        <v/>
      </c>
      <c r="S16" s="585"/>
      <c r="T16" s="585" t="str">
        <f>IF(AND('Mapa final'!$K$26="Alta",'Mapa final'!$O$26="Menor"),CONCATENATE("R",'Mapa final'!$A$26),"")</f>
        <v/>
      </c>
      <c r="U16" s="586"/>
      <c r="V16" s="568" t="str">
        <f>IF(AND('Mapa final'!$K$19="Alta",'Mapa final'!$O$19="Moderado"),CONCATENATE("R",'Mapa final'!$A$19),"")</f>
        <v/>
      </c>
      <c r="W16" s="564"/>
      <c r="X16" s="564" t="str">
        <f>IF(AND('Mapa final'!$K$20="Alta",'Mapa final'!$O$20="Moderado"),CONCATENATE("R",'Mapa final'!$A$20),"")</f>
        <v/>
      </c>
      <c r="Y16" s="564"/>
      <c r="Z16" s="564" t="str">
        <f>IF(AND('Mapa final'!$K$26="Alta",'Mapa final'!$O$26="Moderado"),CONCATENATE("R",'Mapa final'!$A$26),"")</f>
        <v/>
      </c>
      <c r="AA16" s="565"/>
      <c r="AB16" s="568" t="str">
        <f>IF(AND('Mapa final'!$K$19="Alta",'Mapa final'!$O$19="Mayor"),CONCATENATE("R",'Mapa final'!$A$19),"")</f>
        <v/>
      </c>
      <c r="AC16" s="564"/>
      <c r="AD16" s="564" t="str">
        <f>IF(AND('Mapa final'!$K$20="Alta",'Mapa final'!$O$20="Mayor"),CONCATENATE("R",'Mapa final'!$A$20),"")</f>
        <v/>
      </c>
      <c r="AE16" s="564"/>
      <c r="AF16" s="564" t="str">
        <f>IF(AND('Mapa final'!$K$26="Alta",'Mapa final'!$O$26="Mayor"),CONCATENATE("R",'Mapa final'!$A$26),"")</f>
        <v/>
      </c>
      <c r="AG16" s="565"/>
      <c r="AH16" s="575" t="str">
        <f>IF(AND('Mapa final'!$K$19="Alta",'Mapa final'!$O$19="Catastrófico"),CONCATENATE("R",'Mapa final'!$A$19),"")</f>
        <v/>
      </c>
      <c r="AI16" s="576"/>
      <c r="AJ16" s="576" t="str">
        <f>IF(AND('Mapa final'!$K$20="Alta",'Mapa final'!$O$20="Catastrófico"),CONCATENATE("R",'Mapa final'!$A$20),"")</f>
        <v/>
      </c>
      <c r="AK16" s="576"/>
      <c r="AL16" s="576" t="str">
        <f>IF(AND('Mapa final'!$K$26="Alta",'Mapa final'!$O$26="Catastrófico"),CONCATENATE("R",'Mapa final'!$A$26),"")</f>
        <v/>
      </c>
      <c r="AM16" s="577"/>
      <c r="AN16" s="67"/>
      <c r="AO16" s="531"/>
      <c r="AP16" s="532"/>
      <c r="AQ16" s="532"/>
      <c r="AR16" s="532"/>
      <c r="AS16" s="532"/>
      <c r="AT16" s="53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17"/>
      <c r="C17" s="517"/>
      <c r="D17" s="518"/>
      <c r="E17" s="558"/>
      <c r="F17" s="559"/>
      <c r="G17" s="559"/>
      <c r="H17" s="559"/>
      <c r="I17" s="559"/>
      <c r="J17" s="584"/>
      <c r="K17" s="585"/>
      <c r="L17" s="585"/>
      <c r="M17" s="585"/>
      <c r="N17" s="585"/>
      <c r="O17" s="586"/>
      <c r="P17" s="584"/>
      <c r="Q17" s="585"/>
      <c r="R17" s="585"/>
      <c r="S17" s="585"/>
      <c r="T17" s="585"/>
      <c r="U17" s="586"/>
      <c r="V17" s="568"/>
      <c r="W17" s="564"/>
      <c r="X17" s="564"/>
      <c r="Y17" s="564"/>
      <c r="Z17" s="564"/>
      <c r="AA17" s="565"/>
      <c r="AB17" s="568"/>
      <c r="AC17" s="564"/>
      <c r="AD17" s="564"/>
      <c r="AE17" s="564"/>
      <c r="AF17" s="564"/>
      <c r="AG17" s="565"/>
      <c r="AH17" s="575"/>
      <c r="AI17" s="576"/>
      <c r="AJ17" s="576"/>
      <c r="AK17" s="576"/>
      <c r="AL17" s="576"/>
      <c r="AM17" s="577"/>
      <c r="AN17" s="67"/>
      <c r="AO17" s="531"/>
      <c r="AP17" s="532"/>
      <c r="AQ17" s="532"/>
      <c r="AR17" s="532"/>
      <c r="AS17" s="532"/>
      <c r="AT17" s="53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17"/>
      <c r="C18" s="517"/>
      <c r="D18" s="518"/>
      <c r="E18" s="558"/>
      <c r="F18" s="559"/>
      <c r="G18" s="559"/>
      <c r="H18" s="559"/>
      <c r="I18" s="559"/>
      <c r="J18" s="584" t="str">
        <f>IF(AND('Mapa final'!$K$32="Alta",'Mapa final'!$O$32="Leve"),CONCATENATE("R",'Mapa final'!$A$32),"")</f>
        <v/>
      </c>
      <c r="K18" s="585"/>
      <c r="L18" s="585" t="str">
        <f>IF(AND('Mapa final'!$K$38="Alta",'Mapa final'!$O$38="Leve"),CONCATENATE("R",'Mapa final'!$A$38),"")</f>
        <v/>
      </c>
      <c r="M18" s="585"/>
      <c r="N18" s="585" t="str">
        <f>IF(AND('Mapa final'!$K$44="Alta",'Mapa final'!$O$44="Leve"),CONCATENATE("R",'Mapa final'!$A$44),"")</f>
        <v/>
      </c>
      <c r="O18" s="586"/>
      <c r="P18" s="584" t="str">
        <f>IF(AND('Mapa final'!$K$32="Alta",'Mapa final'!$O$32="Menor"),CONCATENATE("R",'Mapa final'!$A$32),"")</f>
        <v/>
      </c>
      <c r="Q18" s="585"/>
      <c r="R18" s="585" t="str">
        <f>IF(AND('Mapa final'!$K$38="Alta",'Mapa final'!$O$38="Menor"),CONCATENATE("R",'Mapa final'!$A$38),"")</f>
        <v/>
      </c>
      <c r="S18" s="585"/>
      <c r="T18" s="585" t="str">
        <f>IF(AND('Mapa final'!$K$44="Alta",'Mapa final'!$O$44="Menor"),CONCATENATE("R",'Mapa final'!$A$44),"")</f>
        <v/>
      </c>
      <c r="U18" s="586"/>
      <c r="V18" s="568" t="str">
        <f>IF(AND('Mapa final'!$K$32="Alta",'Mapa final'!$O$32="Moderado"),CONCATENATE("R",'Mapa final'!$A$32),"")</f>
        <v/>
      </c>
      <c r="W18" s="564"/>
      <c r="X18" s="564" t="str">
        <f>IF(AND('Mapa final'!$K$38="Alta",'Mapa final'!$O$38="Moderado"),CONCATENATE("R",'Mapa final'!$A$38),"")</f>
        <v/>
      </c>
      <c r="Y18" s="564"/>
      <c r="Z18" s="564" t="str">
        <f>IF(AND('Mapa final'!$K$44="Alta",'Mapa final'!$O$44="Moderado"),CONCATENATE("R",'Mapa final'!$A$44),"")</f>
        <v/>
      </c>
      <c r="AA18" s="565"/>
      <c r="AB18" s="568" t="str">
        <f>IF(AND('Mapa final'!$K$32="Alta",'Mapa final'!$O$32="Mayor"),CONCATENATE("R",'Mapa final'!$A$32),"")</f>
        <v/>
      </c>
      <c r="AC18" s="564"/>
      <c r="AD18" s="564" t="str">
        <f>IF(AND('Mapa final'!$K$38="Alta",'Mapa final'!$O$38="Mayor"),CONCATENATE("R",'Mapa final'!$A$38),"")</f>
        <v/>
      </c>
      <c r="AE18" s="564"/>
      <c r="AF18" s="564" t="str">
        <f>IF(AND('Mapa final'!$K$44="Alta",'Mapa final'!$O$44="Mayor"),CONCATENATE("R",'Mapa final'!$A$44),"")</f>
        <v/>
      </c>
      <c r="AG18" s="565"/>
      <c r="AH18" s="575" t="str">
        <f>IF(AND('Mapa final'!$K$32="Alta",'Mapa final'!$O$32="Catastrófico"),CONCATENATE("R",'Mapa final'!$A$32),"")</f>
        <v/>
      </c>
      <c r="AI18" s="576"/>
      <c r="AJ18" s="576" t="str">
        <f>IF(AND('Mapa final'!$K$38="Alta",'Mapa final'!$O$38="Catastrófico"),CONCATENATE("R",'Mapa final'!$A$38),"")</f>
        <v/>
      </c>
      <c r="AK18" s="576"/>
      <c r="AL18" s="576" t="str">
        <f>IF(AND('Mapa final'!$K$44="Alta",'Mapa final'!$O$44="Catastrófico"),CONCATENATE("R",'Mapa final'!$A$44),"")</f>
        <v/>
      </c>
      <c r="AM18" s="577"/>
      <c r="AN18" s="67"/>
      <c r="AO18" s="531"/>
      <c r="AP18" s="532"/>
      <c r="AQ18" s="532"/>
      <c r="AR18" s="532"/>
      <c r="AS18" s="532"/>
      <c r="AT18" s="53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17"/>
      <c r="C19" s="517"/>
      <c r="D19" s="518"/>
      <c r="E19" s="558"/>
      <c r="F19" s="559"/>
      <c r="G19" s="559"/>
      <c r="H19" s="559"/>
      <c r="I19" s="559"/>
      <c r="J19" s="584"/>
      <c r="K19" s="585"/>
      <c r="L19" s="585"/>
      <c r="M19" s="585"/>
      <c r="N19" s="585"/>
      <c r="O19" s="586"/>
      <c r="P19" s="584"/>
      <c r="Q19" s="585"/>
      <c r="R19" s="585"/>
      <c r="S19" s="585"/>
      <c r="T19" s="585"/>
      <c r="U19" s="586"/>
      <c r="V19" s="568"/>
      <c r="W19" s="564"/>
      <c r="X19" s="564"/>
      <c r="Y19" s="564"/>
      <c r="Z19" s="564"/>
      <c r="AA19" s="565"/>
      <c r="AB19" s="568"/>
      <c r="AC19" s="564"/>
      <c r="AD19" s="564"/>
      <c r="AE19" s="564"/>
      <c r="AF19" s="564"/>
      <c r="AG19" s="565"/>
      <c r="AH19" s="575"/>
      <c r="AI19" s="576"/>
      <c r="AJ19" s="576"/>
      <c r="AK19" s="576"/>
      <c r="AL19" s="576"/>
      <c r="AM19" s="577"/>
      <c r="AN19" s="67"/>
      <c r="AO19" s="531"/>
      <c r="AP19" s="532"/>
      <c r="AQ19" s="532"/>
      <c r="AR19" s="532"/>
      <c r="AS19" s="532"/>
      <c r="AT19" s="53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17"/>
      <c r="C20" s="517"/>
      <c r="D20" s="518"/>
      <c r="E20" s="558"/>
      <c r="F20" s="559"/>
      <c r="G20" s="559"/>
      <c r="H20" s="559"/>
      <c r="I20" s="559"/>
      <c r="J20" s="584" t="str">
        <f>IF(AND('Mapa final'!$K$50="Alta",'Mapa final'!$O$50="Leve"),CONCATENATE("R",'Mapa final'!$A$50),"")</f>
        <v/>
      </c>
      <c r="K20" s="585"/>
      <c r="L20" s="585" t="str">
        <f>IF(AND('Mapa final'!$K$56="Alta",'Mapa final'!$O$56="Leve"),CONCATENATE("R",'Mapa final'!$A$56),"")</f>
        <v/>
      </c>
      <c r="M20" s="585"/>
      <c r="N20" s="585" t="str">
        <f>IF(AND('Mapa final'!$K$62="Alta",'Mapa final'!$O$62="Leve"),CONCATENATE("R",'Mapa final'!$A$62),"")</f>
        <v/>
      </c>
      <c r="O20" s="586"/>
      <c r="P20" s="584" t="str">
        <f>IF(AND('Mapa final'!$K$50="Alta",'Mapa final'!$O$50="Menor"),CONCATENATE("R",'Mapa final'!$A$50),"")</f>
        <v/>
      </c>
      <c r="Q20" s="585"/>
      <c r="R20" s="585" t="str">
        <f>IF(AND('Mapa final'!$K$56="Alta",'Mapa final'!$O$56="Menor"),CONCATENATE("R",'Mapa final'!$A$56),"")</f>
        <v/>
      </c>
      <c r="S20" s="585"/>
      <c r="T20" s="585" t="str">
        <f>IF(AND('Mapa final'!$K$62="Alta",'Mapa final'!$O$62="Menor"),CONCATENATE("R",'Mapa final'!$A$62),"")</f>
        <v/>
      </c>
      <c r="U20" s="586"/>
      <c r="V20" s="568" t="str">
        <f>IF(AND('Mapa final'!$K$50="Alta",'Mapa final'!$O$50="Moderado"),CONCATENATE("R",'Mapa final'!$A$50),"")</f>
        <v/>
      </c>
      <c r="W20" s="564"/>
      <c r="X20" s="564" t="str">
        <f>IF(AND('Mapa final'!$K$56="Alta",'Mapa final'!$O$56="Moderado"),CONCATENATE("R",'Mapa final'!$A$56),"")</f>
        <v/>
      </c>
      <c r="Y20" s="564"/>
      <c r="Z20" s="564" t="str">
        <f>IF(AND('Mapa final'!$K$62="Alta",'Mapa final'!$O$62="Moderado"),CONCATENATE("R",'Mapa final'!$A$62),"")</f>
        <v/>
      </c>
      <c r="AA20" s="565"/>
      <c r="AB20" s="568" t="str">
        <f>IF(AND('Mapa final'!$K$50="Alta",'Mapa final'!$O$50="Mayor"),CONCATENATE("R",'Mapa final'!$A$50),"")</f>
        <v/>
      </c>
      <c r="AC20" s="564"/>
      <c r="AD20" s="564" t="str">
        <f>IF(AND('Mapa final'!$K$56="Alta",'Mapa final'!$O$56="Mayor"),CONCATENATE("R",'Mapa final'!$A$56),"")</f>
        <v/>
      </c>
      <c r="AE20" s="564"/>
      <c r="AF20" s="564" t="str">
        <f>IF(AND('Mapa final'!$K$62="Alta",'Mapa final'!$O$62="Mayor"),CONCATENATE("R",'Mapa final'!$A$62),"")</f>
        <v/>
      </c>
      <c r="AG20" s="565"/>
      <c r="AH20" s="575" t="str">
        <f>IF(AND('Mapa final'!$K$50="Alta",'Mapa final'!$O$50="Catastrófico"),CONCATENATE("R",'Mapa final'!$A$50),"")</f>
        <v/>
      </c>
      <c r="AI20" s="576"/>
      <c r="AJ20" s="576" t="str">
        <f>IF(AND('Mapa final'!$K$56="Alta",'Mapa final'!$O$56="Catastrófico"),CONCATENATE("R",'Mapa final'!$A$56),"")</f>
        <v/>
      </c>
      <c r="AK20" s="576"/>
      <c r="AL20" s="576" t="str">
        <f>IF(AND('Mapa final'!$K$62="Alta",'Mapa final'!$O$62="Catastrófico"),CONCATENATE("R",'Mapa final'!$A$62),"")</f>
        <v/>
      </c>
      <c r="AM20" s="577"/>
      <c r="AN20" s="67"/>
      <c r="AO20" s="531"/>
      <c r="AP20" s="532"/>
      <c r="AQ20" s="532"/>
      <c r="AR20" s="532"/>
      <c r="AS20" s="532"/>
      <c r="AT20" s="53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17"/>
      <c r="C21" s="517"/>
      <c r="D21" s="518"/>
      <c r="E21" s="561"/>
      <c r="F21" s="562"/>
      <c r="G21" s="562"/>
      <c r="H21" s="562"/>
      <c r="I21" s="562"/>
      <c r="J21" s="587"/>
      <c r="K21" s="588"/>
      <c r="L21" s="588"/>
      <c r="M21" s="588"/>
      <c r="N21" s="588"/>
      <c r="O21" s="589"/>
      <c r="P21" s="587"/>
      <c r="Q21" s="588"/>
      <c r="R21" s="588"/>
      <c r="S21" s="588"/>
      <c r="T21" s="588"/>
      <c r="U21" s="589"/>
      <c r="V21" s="572"/>
      <c r="W21" s="573"/>
      <c r="X21" s="573"/>
      <c r="Y21" s="573"/>
      <c r="Z21" s="573"/>
      <c r="AA21" s="574"/>
      <c r="AB21" s="572"/>
      <c r="AC21" s="573"/>
      <c r="AD21" s="573"/>
      <c r="AE21" s="573"/>
      <c r="AF21" s="573"/>
      <c r="AG21" s="574"/>
      <c r="AH21" s="578"/>
      <c r="AI21" s="579"/>
      <c r="AJ21" s="579"/>
      <c r="AK21" s="579"/>
      <c r="AL21" s="579"/>
      <c r="AM21" s="580"/>
      <c r="AN21" s="67"/>
      <c r="AO21" s="534"/>
      <c r="AP21" s="535"/>
      <c r="AQ21" s="535"/>
      <c r="AR21" s="535"/>
      <c r="AS21" s="535"/>
      <c r="AT21" s="53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17"/>
      <c r="C22" s="517"/>
      <c r="D22" s="518"/>
      <c r="E22" s="555" t="s">
        <v>111</v>
      </c>
      <c r="F22" s="556"/>
      <c r="G22" s="556"/>
      <c r="H22" s="556"/>
      <c r="I22" s="557"/>
      <c r="J22" s="590" t="str">
        <f>IF(AND('Mapa final'!$K$10="Media",'Mapa final'!$O$10="Leve"),CONCATENATE("R",'Mapa final'!$A$10),"")</f>
        <v/>
      </c>
      <c r="K22" s="591"/>
      <c r="L22" s="591" t="str">
        <f>IF(AND('Mapa final'!$K$14="Media",'Mapa final'!$O$14="Leve"),CONCATENATE("R",'Mapa final'!$A$14),"")</f>
        <v/>
      </c>
      <c r="M22" s="591"/>
      <c r="N22" s="591" t="str">
        <f>IF(AND('Mapa final'!$K$16="Media",'Mapa final'!$O$16="Leve"),CONCATENATE("R",'Mapa final'!$A$16),"")</f>
        <v/>
      </c>
      <c r="O22" s="592"/>
      <c r="P22" s="590" t="str">
        <f>IF(AND('Mapa final'!$K$10="Media",'Mapa final'!$O$10="Menor"),CONCATENATE("R",'Mapa final'!$A$10),"")</f>
        <v/>
      </c>
      <c r="Q22" s="591"/>
      <c r="R22" s="591" t="str">
        <f>IF(AND('Mapa final'!$K$14="Media",'Mapa final'!$O$14="Menor"),CONCATENATE("R",'Mapa final'!$A$14),"")</f>
        <v/>
      </c>
      <c r="S22" s="591"/>
      <c r="T22" s="591" t="str">
        <f>IF(AND('Mapa final'!$K$16="Media",'Mapa final'!$O$16="Menor"),CONCATENATE("R",'Mapa final'!$A$16),"")</f>
        <v>R3</v>
      </c>
      <c r="U22" s="592"/>
      <c r="V22" s="590" t="str">
        <f>IF(AND('Mapa final'!$K$10="Media",'Mapa final'!$O$10="Moderado"),CONCATENATE("R",'Mapa final'!$A$10),"")</f>
        <v/>
      </c>
      <c r="W22" s="591"/>
      <c r="X22" s="591" t="str">
        <f>IF(AND('Mapa final'!$K$14="Media",'Mapa final'!$O$14="Moderado"),CONCATENATE("R",'Mapa final'!$A$14),"")</f>
        <v/>
      </c>
      <c r="Y22" s="591"/>
      <c r="Z22" s="591" t="str">
        <f>IF(AND('Mapa final'!$K$16="Media",'Mapa final'!$O$16="Moderado"),CONCATENATE("R",'Mapa final'!$A$16),"")</f>
        <v/>
      </c>
      <c r="AA22" s="592"/>
      <c r="AB22" s="566" t="str">
        <f>IF(AND('Mapa final'!$K$10="Media",'Mapa final'!$O$10="Mayor"),CONCATENATE("R",'Mapa final'!$A$10),"")</f>
        <v/>
      </c>
      <c r="AC22" s="567"/>
      <c r="AD22" s="567" t="str">
        <f>IF(AND('Mapa final'!$K$14="Media",'Mapa final'!$O$14="Mayor"),CONCATENATE("R",'Mapa final'!$A$14),"")</f>
        <v/>
      </c>
      <c r="AE22" s="567"/>
      <c r="AF22" s="567" t="str">
        <f>IF(AND('Mapa final'!$K$16="Media",'Mapa final'!$O$16="Mayor"),CONCATENATE("R",'Mapa final'!$A$16),"")</f>
        <v/>
      </c>
      <c r="AG22" s="569"/>
      <c r="AH22" s="581" t="str">
        <f>IF(AND('Mapa final'!$K$10="Media",'Mapa final'!$O$10="Catastrófico"),CONCATENATE("R",'Mapa final'!$A$10),"")</f>
        <v/>
      </c>
      <c r="AI22" s="582"/>
      <c r="AJ22" s="582" t="str">
        <f>IF(AND('Mapa final'!$K$14="Media",'Mapa final'!$O$14="Catastrófico"),CONCATENATE("R",'Mapa final'!$A$14),"")</f>
        <v/>
      </c>
      <c r="AK22" s="582"/>
      <c r="AL22" s="582" t="str">
        <f>IF(AND('Mapa final'!$K$16="Media",'Mapa final'!$O$16="Catastrófico"),CONCATENATE("R",'Mapa final'!$A$16),"")</f>
        <v/>
      </c>
      <c r="AM22" s="583"/>
      <c r="AN22" s="67"/>
      <c r="AO22" s="537" t="s">
        <v>79</v>
      </c>
      <c r="AP22" s="538"/>
      <c r="AQ22" s="538"/>
      <c r="AR22" s="538"/>
      <c r="AS22" s="538"/>
      <c r="AT22" s="53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17"/>
      <c r="C23" s="517"/>
      <c r="D23" s="518"/>
      <c r="E23" s="558"/>
      <c r="F23" s="559"/>
      <c r="G23" s="559"/>
      <c r="H23" s="559"/>
      <c r="I23" s="560"/>
      <c r="J23" s="584"/>
      <c r="K23" s="585"/>
      <c r="L23" s="585"/>
      <c r="M23" s="585"/>
      <c r="N23" s="585"/>
      <c r="O23" s="586"/>
      <c r="P23" s="584"/>
      <c r="Q23" s="585"/>
      <c r="R23" s="585"/>
      <c r="S23" s="585"/>
      <c r="T23" s="585"/>
      <c r="U23" s="586"/>
      <c r="V23" s="584"/>
      <c r="W23" s="585"/>
      <c r="X23" s="585"/>
      <c r="Y23" s="585"/>
      <c r="Z23" s="585"/>
      <c r="AA23" s="586"/>
      <c r="AB23" s="568"/>
      <c r="AC23" s="564"/>
      <c r="AD23" s="564"/>
      <c r="AE23" s="564"/>
      <c r="AF23" s="564"/>
      <c r="AG23" s="565"/>
      <c r="AH23" s="575"/>
      <c r="AI23" s="576"/>
      <c r="AJ23" s="576"/>
      <c r="AK23" s="576"/>
      <c r="AL23" s="576"/>
      <c r="AM23" s="577"/>
      <c r="AN23" s="67"/>
      <c r="AO23" s="540"/>
      <c r="AP23" s="541"/>
      <c r="AQ23" s="541"/>
      <c r="AR23" s="541"/>
      <c r="AS23" s="541"/>
      <c r="AT23" s="54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17"/>
      <c r="C24" s="517"/>
      <c r="D24" s="518"/>
      <c r="E24" s="558"/>
      <c r="F24" s="559"/>
      <c r="G24" s="559"/>
      <c r="H24" s="559"/>
      <c r="I24" s="560"/>
      <c r="J24" s="584" t="str">
        <f>IF(AND('Mapa final'!$K$19="Media",'Mapa final'!$O$19="Leve"),CONCATENATE("R",'Mapa final'!$A$19),"")</f>
        <v/>
      </c>
      <c r="K24" s="585"/>
      <c r="L24" s="585" t="str">
        <f>IF(AND('Mapa final'!$K$20="Media",'Mapa final'!$O$20="Leve"),CONCATENATE("R",'Mapa final'!$A$20),"")</f>
        <v/>
      </c>
      <c r="M24" s="585"/>
      <c r="N24" s="585" t="str">
        <f>IF(AND('Mapa final'!$K$26="Media",'Mapa final'!$O$26="Leve"),CONCATENATE("R",'Mapa final'!$A$26),"")</f>
        <v/>
      </c>
      <c r="O24" s="586"/>
      <c r="P24" s="584" t="str">
        <f>IF(AND('Mapa final'!$K$19="Media",'Mapa final'!$O$19="Menor"),CONCATENATE("R",'Mapa final'!$A$19),"")</f>
        <v>R4</v>
      </c>
      <c r="Q24" s="585"/>
      <c r="R24" s="585" t="str">
        <f>IF(AND('Mapa final'!$K$20="Media",'Mapa final'!$O$20="Menor"),CONCATENATE("R",'Mapa final'!$A$20),"")</f>
        <v/>
      </c>
      <c r="S24" s="585"/>
      <c r="T24" s="585" t="str">
        <f>IF(AND('Mapa final'!$K$26="Media",'Mapa final'!$O$26="Menor"),CONCATENATE("R",'Mapa final'!$A$26),"")</f>
        <v/>
      </c>
      <c r="U24" s="586"/>
      <c r="V24" s="584" t="str">
        <f>IF(AND('Mapa final'!$K$19="Media",'Mapa final'!$O$19="Moderado"),CONCATENATE("R",'Mapa final'!$A$19),"")</f>
        <v/>
      </c>
      <c r="W24" s="585"/>
      <c r="X24" s="585" t="str">
        <f>IF(AND('Mapa final'!$K$20="Media",'Mapa final'!$O$20="Moderado"),CONCATENATE("R",'Mapa final'!$A$20),"")</f>
        <v/>
      </c>
      <c r="Y24" s="585"/>
      <c r="Z24" s="585" t="str">
        <f>IF(AND('Mapa final'!$K$26="Media",'Mapa final'!$O$26="Moderado"),CONCATENATE("R",'Mapa final'!$A$26),"")</f>
        <v/>
      </c>
      <c r="AA24" s="586"/>
      <c r="AB24" s="568" t="str">
        <f>IF(AND('Mapa final'!$K$19="Media",'Mapa final'!$O$19="Mayor"),CONCATENATE("R",'Mapa final'!$A$19),"")</f>
        <v/>
      </c>
      <c r="AC24" s="564"/>
      <c r="AD24" s="564" t="str">
        <f>IF(AND('Mapa final'!$K$20="Media",'Mapa final'!$O$20="Mayor"),CONCATENATE("R",'Mapa final'!$A$20),"")</f>
        <v/>
      </c>
      <c r="AE24" s="564"/>
      <c r="AF24" s="564" t="str">
        <f>IF(AND('Mapa final'!$K$26="Media",'Mapa final'!$O$26="Mayor"),CONCATENATE("R",'Mapa final'!$A$26),"")</f>
        <v/>
      </c>
      <c r="AG24" s="565"/>
      <c r="AH24" s="575" t="str">
        <f>IF(AND('Mapa final'!$K$19="Media",'Mapa final'!$O$19="Catastrófico"),CONCATENATE("R",'Mapa final'!$A$19),"")</f>
        <v/>
      </c>
      <c r="AI24" s="576"/>
      <c r="AJ24" s="576" t="str">
        <f>IF(AND('Mapa final'!$K$20="Media",'Mapa final'!$O$20="Catastrófico"),CONCATENATE("R",'Mapa final'!$A$20),"")</f>
        <v/>
      </c>
      <c r="AK24" s="576"/>
      <c r="AL24" s="576" t="str">
        <f>IF(AND('Mapa final'!$K$26="Media",'Mapa final'!$O$26="Catastrófico"),CONCATENATE("R",'Mapa final'!$A$26),"")</f>
        <v/>
      </c>
      <c r="AM24" s="577"/>
      <c r="AN24" s="67"/>
      <c r="AO24" s="540"/>
      <c r="AP24" s="541"/>
      <c r="AQ24" s="541"/>
      <c r="AR24" s="541"/>
      <c r="AS24" s="541"/>
      <c r="AT24" s="54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17"/>
      <c r="C25" s="517"/>
      <c r="D25" s="518"/>
      <c r="E25" s="558"/>
      <c r="F25" s="559"/>
      <c r="G25" s="559"/>
      <c r="H25" s="559"/>
      <c r="I25" s="560"/>
      <c r="J25" s="584"/>
      <c r="K25" s="585"/>
      <c r="L25" s="585"/>
      <c r="M25" s="585"/>
      <c r="N25" s="585"/>
      <c r="O25" s="586"/>
      <c r="P25" s="584"/>
      <c r="Q25" s="585"/>
      <c r="R25" s="585"/>
      <c r="S25" s="585"/>
      <c r="T25" s="585"/>
      <c r="U25" s="586"/>
      <c r="V25" s="584"/>
      <c r="W25" s="585"/>
      <c r="X25" s="585"/>
      <c r="Y25" s="585"/>
      <c r="Z25" s="585"/>
      <c r="AA25" s="586"/>
      <c r="AB25" s="568"/>
      <c r="AC25" s="564"/>
      <c r="AD25" s="564"/>
      <c r="AE25" s="564"/>
      <c r="AF25" s="564"/>
      <c r="AG25" s="565"/>
      <c r="AH25" s="575"/>
      <c r="AI25" s="576"/>
      <c r="AJ25" s="576"/>
      <c r="AK25" s="576"/>
      <c r="AL25" s="576"/>
      <c r="AM25" s="577"/>
      <c r="AN25" s="67"/>
      <c r="AO25" s="540"/>
      <c r="AP25" s="541"/>
      <c r="AQ25" s="541"/>
      <c r="AR25" s="541"/>
      <c r="AS25" s="541"/>
      <c r="AT25" s="54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17"/>
      <c r="C26" s="517"/>
      <c r="D26" s="518"/>
      <c r="E26" s="558"/>
      <c r="F26" s="559"/>
      <c r="G26" s="559"/>
      <c r="H26" s="559"/>
      <c r="I26" s="560"/>
      <c r="J26" s="584" t="str">
        <f>IF(AND('Mapa final'!$K$32="Media",'Mapa final'!$O$32="Leve"),CONCATENATE("R",'Mapa final'!$A$32),"")</f>
        <v/>
      </c>
      <c r="K26" s="585"/>
      <c r="L26" s="585" t="str">
        <f>IF(AND('Mapa final'!$K$38="Media",'Mapa final'!$O$38="Leve"),CONCATENATE("R",'Mapa final'!$A$38),"")</f>
        <v/>
      </c>
      <c r="M26" s="585"/>
      <c r="N26" s="585" t="str">
        <f>IF(AND('Mapa final'!$K$44="Media",'Mapa final'!$O$44="Leve"),CONCATENATE("R",'Mapa final'!$A$44),"")</f>
        <v/>
      </c>
      <c r="O26" s="586"/>
      <c r="P26" s="584" t="str">
        <f>IF(AND('Mapa final'!$K$32="Media",'Mapa final'!$O$32="Menor"),CONCATENATE("R",'Mapa final'!$A$32),"")</f>
        <v/>
      </c>
      <c r="Q26" s="585"/>
      <c r="R26" s="585" t="str">
        <f>IF(AND('Mapa final'!$K$38="Media",'Mapa final'!$O$38="Menor"),CONCATENATE("R",'Mapa final'!$A$38),"")</f>
        <v/>
      </c>
      <c r="S26" s="585"/>
      <c r="T26" s="585" t="str">
        <f>IF(AND('Mapa final'!$K$44="Media",'Mapa final'!$O$44="Menor"),CONCATENATE("R",'Mapa final'!$A$44),"")</f>
        <v/>
      </c>
      <c r="U26" s="586"/>
      <c r="V26" s="584" t="str">
        <f>IF(AND('Mapa final'!$K$32="Media",'Mapa final'!$O$32="Moderado"),CONCATENATE("R",'Mapa final'!$A$32),"")</f>
        <v/>
      </c>
      <c r="W26" s="585"/>
      <c r="X26" s="585" t="str">
        <f>IF(AND('Mapa final'!$K$38="Media",'Mapa final'!$O$38="Moderado"),CONCATENATE("R",'Mapa final'!$A$38),"")</f>
        <v/>
      </c>
      <c r="Y26" s="585"/>
      <c r="Z26" s="585" t="str">
        <f>IF(AND('Mapa final'!$K$44="Media",'Mapa final'!$O$44="Moderado"),CONCATENATE("R",'Mapa final'!$A$44),"")</f>
        <v/>
      </c>
      <c r="AA26" s="586"/>
      <c r="AB26" s="568" t="str">
        <f>IF(AND('Mapa final'!$K$32="Media",'Mapa final'!$O$32="Mayor"),CONCATENATE("R",'Mapa final'!$A$32),"")</f>
        <v/>
      </c>
      <c r="AC26" s="564"/>
      <c r="AD26" s="564" t="str">
        <f>IF(AND('Mapa final'!$K$38="Media",'Mapa final'!$O$38="Mayor"),CONCATENATE("R",'Mapa final'!$A$38),"")</f>
        <v/>
      </c>
      <c r="AE26" s="564"/>
      <c r="AF26" s="564" t="str">
        <f>IF(AND('Mapa final'!$K$44="Media",'Mapa final'!$O$44="Mayor"),CONCATENATE("R",'Mapa final'!$A$44),"")</f>
        <v/>
      </c>
      <c r="AG26" s="565"/>
      <c r="AH26" s="575" t="str">
        <f>IF(AND('Mapa final'!$K$32="Media",'Mapa final'!$O$32="Catastrófico"),CONCATENATE("R",'Mapa final'!$A$32),"")</f>
        <v/>
      </c>
      <c r="AI26" s="576"/>
      <c r="AJ26" s="576" t="str">
        <f>IF(AND('Mapa final'!$K$38="Media",'Mapa final'!$O$38="Catastrófico"),CONCATENATE("R",'Mapa final'!$A$38),"")</f>
        <v/>
      </c>
      <c r="AK26" s="576"/>
      <c r="AL26" s="576" t="str">
        <f>IF(AND('Mapa final'!$K$44="Media",'Mapa final'!$O$44="Catastrófico"),CONCATENATE("R",'Mapa final'!$A$44),"")</f>
        <v/>
      </c>
      <c r="AM26" s="577"/>
      <c r="AN26" s="67"/>
      <c r="AO26" s="540"/>
      <c r="AP26" s="541"/>
      <c r="AQ26" s="541"/>
      <c r="AR26" s="541"/>
      <c r="AS26" s="541"/>
      <c r="AT26" s="54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17"/>
      <c r="C27" s="517"/>
      <c r="D27" s="518"/>
      <c r="E27" s="558"/>
      <c r="F27" s="559"/>
      <c r="G27" s="559"/>
      <c r="H27" s="559"/>
      <c r="I27" s="560"/>
      <c r="J27" s="584"/>
      <c r="K27" s="585"/>
      <c r="L27" s="585"/>
      <c r="M27" s="585"/>
      <c r="N27" s="585"/>
      <c r="O27" s="586"/>
      <c r="P27" s="584"/>
      <c r="Q27" s="585"/>
      <c r="R27" s="585"/>
      <c r="S27" s="585"/>
      <c r="T27" s="585"/>
      <c r="U27" s="586"/>
      <c r="V27" s="584"/>
      <c r="W27" s="585"/>
      <c r="X27" s="585"/>
      <c r="Y27" s="585"/>
      <c r="Z27" s="585"/>
      <c r="AA27" s="586"/>
      <c r="AB27" s="568"/>
      <c r="AC27" s="564"/>
      <c r="AD27" s="564"/>
      <c r="AE27" s="564"/>
      <c r="AF27" s="564"/>
      <c r="AG27" s="565"/>
      <c r="AH27" s="575"/>
      <c r="AI27" s="576"/>
      <c r="AJ27" s="576"/>
      <c r="AK27" s="576"/>
      <c r="AL27" s="576"/>
      <c r="AM27" s="577"/>
      <c r="AN27" s="67"/>
      <c r="AO27" s="540"/>
      <c r="AP27" s="541"/>
      <c r="AQ27" s="541"/>
      <c r="AR27" s="541"/>
      <c r="AS27" s="541"/>
      <c r="AT27" s="54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17"/>
      <c r="C28" s="517"/>
      <c r="D28" s="518"/>
      <c r="E28" s="558"/>
      <c r="F28" s="559"/>
      <c r="G28" s="559"/>
      <c r="H28" s="559"/>
      <c r="I28" s="560"/>
      <c r="J28" s="584" t="str">
        <f>IF(AND('Mapa final'!$K$50="Media",'Mapa final'!$O$50="Leve"),CONCATENATE("R",'Mapa final'!$A$50),"")</f>
        <v/>
      </c>
      <c r="K28" s="585"/>
      <c r="L28" s="585" t="str">
        <f>IF(AND('Mapa final'!$K$56="Media",'Mapa final'!$O$56="Leve"),CONCATENATE("R",'Mapa final'!$A$56),"")</f>
        <v/>
      </c>
      <c r="M28" s="585"/>
      <c r="N28" s="585" t="str">
        <f>IF(AND('Mapa final'!$K$62="Media",'Mapa final'!$O$62="Leve"),CONCATENATE("R",'Mapa final'!$A$62),"")</f>
        <v/>
      </c>
      <c r="O28" s="586"/>
      <c r="P28" s="584" t="str">
        <f>IF(AND('Mapa final'!$K$50="Media",'Mapa final'!$O$50="Menor"),CONCATENATE("R",'Mapa final'!$A$50),"")</f>
        <v/>
      </c>
      <c r="Q28" s="585"/>
      <c r="R28" s="585" t="str">
        <f>IF(AND('Mapa final'!$K$56="Media",'Mapa final'!$O$56="Menor"),CONCATENATE("R",'Mapa final'!$A$56),"")</f>
        <v/>
      </c>
      <c r="S28" s="585"/>
      <c r="T28" s="585" t="str">
        <f>IF(AND('Mapa final'!$K$62="Media",'Mapa final'!$O$62="Menor"),CONCATENATE("R",'Mapa final'!$A$62),"")</f>
        <v/>
      </c>
      <c r="U28" s="586"/>
      <c r="V28" s="584" t="str">
        <f>IF(AND('Mapa final'!$K$50="Media",'Mapa final'!$O$50="Moderado"),CONCATENATE("R",'Mapa final'!$A$50),"")</f>
        <v/>
      </c>
      <c r="W28" s="585"/>
      <c r="X28" s="585" t="str">
        <f>IF(AND('Mapa final'!$K$56="Media",'Mapa final'!$O$56="Moderado"),CONCATENATE("R",'Mapa final'!$A$56),"")</f>
        <v/>
      </c>
      <c r="Y28" s="585"/>
      <c r="Z28" s="585" t="str">
        <f>IF(AND('Mapa final'!$K$62="Media",'Mapa final'!$O$62="Moderado"),CONCATENATE("R",'Mapa final'!$A$62),"")</f>
        <v/>
      </c>
      <c r="AA28" s="586"/>
      <c r="AB28" s="568" t="str">
        <f>IF(AND('Mapa final'!$K$50="Media",'Mapa final'!$O$50="Mayor"),CONCATENATE("R",'Mapa final'!$A$50),"")</f>
        <v/>
      </c>
      <c r="AC28" s="564"/>
      <c r="AD28" s="564" t="str">
        <f>IF(AND('Mapa final'!$K$56="Media",'Mapa final'!$O$56="Mayor"),CONCATENATE("R",'Mapa final'!$A$56),"")</f>
        <v/>
      </c>
      <c r="AE28" s="564"/>
      <c r="AF28" s="564" t="str">
        <f>IF(AND('Mapa final'!$K$62="Media",'Mapa final'!$O$62="Mayor"),CONCATENATE("R",'Mapa final'!$A$62),"")</f>
        <v/>
      </c>
      <c r="AG28" s="565"/>
      <c r="AH28" s="575" t="str">
        <f>IF(AND('Mapa final'!$K$50="Media",'Mapa final'!$O$50="Catastrófico"),CONCATENATE("R",'Mapa final'!$A$50),"")</f>
        <v/>
      </c>
      <c r="AI28" s="576"/>
      <c r="AJ28" s="576" t="str">
        <f>IF(AND('Mapa final'!$K$56="Media",'Mapa final'!$O$56="Catastrófico"),CONCATENATE("R",'Mapa final'!$A$56),"")</f>
        <v/>
      </c>
      <c r="AK28" s="576"/>
      <c r="AL28" s="576" t="str">
        <f>IF(AND('Mapa final'!$K$62="Media",'Mapa final'!$O$62="Catastrófico"),CONCATENATE("R",'Mapa final'!$A$62),"")</f>
        <v/>
      </c>
      <c r="AM28" s="577"/>
      <c r="AN28" s="67"/>
      <c r="AO28" s="540"/>
      <c r="AP28" s="541"/>
      <c r="AQ28" s="541"/>
      <c r="AR28" s="541"/>
      <c r="AS28" s="541"/>
      <c r="AT28" s="54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17"/>
      <c r="C29" s="517"/>
      <c r="D29" s="518"/>
      <c r="E29" s="561"/>
      <c r="F29" s="562"/>
      <c r="G29" s="562"/>
      <c r="H29" s="562"/>
      <c r="I29" s="563"/>
      <c r="J29" s="584"/>
      <c r="K29" s="585"/>
      <c r="L29" s="585"/>
      <c r="M29" s="585"/>
      <c r="N29" s="585"/>
      <c r="O29" s="586"/>
      <c r="P29" s="587"/>
      <c r="Q29" s="588"/>
      <c r="R29" s="588"/>
      <c r="S29" s="588"/>
      <c r="T29" s="588"/>
      <c r="U29" s="589"/>
      <c r="V29" s="587"/>
      <c r="W29" s="588"/>
      <c r="X29" s="588"/>
      <c r="Y29" s="588"/>
      <c r="Z29" s="588"/>
      <c r="AA29" s="589"/>
      <c r="AB29" s="572"/>
      <c r="AC29" s="573"/>
      <c r="AD29" s="573"/>
      <c r="AE29" s="573"/>
      <c r="AF29" s="573"/>
      <c r="AG29" s="574"/>
      <c r="AH29" s="578"/>
      <c r="AI29" s="579"/>
      <c r="AJ29" s="579"/>
      <c r="AK29" s="579"/>
      <c r="AL29" s="579"/>
      <c r="AM29" s="580"/>
      <c r="AN29" s="67"/>
      <c r="AO29" s="543"/>
      <c r="AP29" s="544"/>
      <c r="AQ29" s="544"/>
      <c r="AR29" s="544"/>
      <c r="AS29" s="544"/>
      <c r="AT29" s="54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17"/>
      <c r="C30" s="517"/>
      <c r="D30" s="518"/>
      <c r="E30" s="555" t="s">
        <v>108</v>
      </c>
      <c r="F30" s="556"/>
      <c r="G30" s="556"/>
      <c r="H30" s="556"/>
      <c r="I30" s="556"/>
      <c r="J30" s="599" t="str">
        <f>IF(AND('Mapa final'!$K$10="Baja",'Mapa final'!$O$10="Leve"),CONCATENATE("R",'Mapa final'!$A$10),"")</f>
        <v/>
      </c>
      <c r="K30" s="600"/>
      <c r="L30" s="600" t="str">
        <f>IF(AND('Mapa final'!$K$14="Baja",'Mapa final'!$O$14="Leve"),CONCATENATE("R",'Mapa final'!$A$14),"")</f>
        <v/>
      </c>
      <c r="M30" s="600"/>
      <c r="N30" s="600" t="str">
        <f>IF(AND('Mapa final'!$K$16="Baja",'Mapa final'!$O$16="Leve"),CONCATENATE("R",'Mapa final'!$A$16),"")</f>
        <v/>
      </c>
      <c r="O30" s="601"/>
      <c r="P30" s="591" t="str">
        <f>IF(AND('Mapa final'!$K$10="Baja",'Mapa final'!$O$10="Menor"),CONCATENATE("R",'Mapa final'!$A$10),"")</f>
        <v/>
      </c>
      <c r="Q30" s="591"/>
      <c r="R30" s="591" t="str">
        <f>IF(AND('Mapa final'!$K$14="Baja",'Mapa final'!$O$14="Menor"),CONCATENATE("R",'Mapa final'!$A$14),"")</f>
        <v/>
      </c>
      <c r="S30" s="591"/>
      <c r="T30" s="591" t="str">
        <f>IF(AND('Mapa final'!$K$16="Baja",'Mapa final'!$O$16="Menor"),CONCATENATE("R",'Mapa final'!$A$16),"")</f>
        <v/>
      </c>
      <c r="U30" s="592"/>
      <c r="V30" s="590" t="str">
        <f>IF(AND('Mapa final'!$K$10="Baja",'Mapa final'!$O$10="Moderado"),CONCATENATE("R",'Mapa final'!$A$10),"")</f>
        <v/>
      </c>
      <c r="W30" s="591"/>
      <c r="X30" s="591" t="str">
        <f>IF(AND('Mapa final'!$K$14="Baja",'Mapa final'!$O$14="Moderado"),CONCATENATE("R",'Mapa final'!$A$14),"")</f>
        <v/>
      </c>
      <c r="Y30" s="591"/>
      <c r="Z30" s="591" t="str">
        <f>IF(AND('Mapa final'!$K$16="Baja",'Mapa final'!$O$16="Moderado"),CONCATENATE("R",'Mapa final'!$A$16),"")</f>
        <v/>
      </c>
      <c r="AA30" s="592"/>
      <c r="AB30" s="566" t="str">
        <f>IF(AND('Mapa final'!$K$10="Baja",'Mapa final'!$O$10="Mayor"),CONCATENATE("R",'Mapa final'!$A$10),"")</f>
        <v/>
      </c>
      <c r="AC30" s="567"/>
      <c r="AD30" s="567" t="str">
        <f>IF(AND('Mapa final'!$K$14="Baja",'Mapa final'!$O$14="Mayor"),CONCATENATE("R",'Mapa final'!$A$14),"")</f>
        <v/>
      </c>
      <c r="AE30" s="567"/>
      <c r="AF30" s="567" t="str">
        <f>IF(AND('Mapa final'!$K$16="Baja",'Mapa final'!$O$16="Mayor"),CONCATENATE("R",'Mapa final'!$A$16),"")</f>
        <v/>
      </c>
      <c r="AG30" s="569"/>
      <c r="AH30" s="581" t="str">
        <f>IF(AND('Mapa final'!$K$10="Baja",'Mapa final'!$O$10="Catastrófico"),CONCATENATE("R",'Mapa final'!$A$10),"")</f>
        <v/>
      </c>
      <c r="AI30" s="582"/>
      <c r="AJ30" s="582" t="str">
        <f>IF(AND('Mapa final'!$K$14="Baja",'Mapa final'!$O$14="Catastrófico"),CONCATENATE("R",'Mapa final'!$A$14),"")</f>
        <v/>
      </c>
      <c r="AK30" s="582"/>
      <c r="AL30" s="582" t="str">
        <f>IF(AND('Mapa final'!$K$16="Baja",'Mapa final'!$O$16="Catastrófico"),CONCATENATE("R",'Mapa final'!$A$16),"")</f>
        <v/>
      </c>
      <c r="AM30" s="583"/>
      <c r="AN30" s="67"/>
      <c r="AO30" s="546" t="s">
        <v>80</v>
      </c>
      <c r="AP30" s="547"/>
      <c r="AQ30" s="547"/>
      <c r="AR30" s="547"/>
      <c r="AS30" s="547"/>
      <c r="AT30" s="54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17"/>
      <c r="C31" s="517"/>
      <c r="D31" s="518"/>
      <c r="E31" s="558"/>
      <c r="F31" s="559"/>
      <c r="G31" s="559"/>
      <c r="H31" s="559"/>
      <c r="I31" s="559"/>
      <c r="J31" s="595"/>
      <c r="K31" s="593"/>
      <c r="L31" s="593"/>
      <c r="M31" s="593"/>
      <c r="N31" s="593"/>
      <c r="O31" s="594"/>
      <c r="P31" s="585"/>
      <c r="Q31" s="585"/>
      <c r="R31" s="585"/>
      <c r="S31" s="585"/>
      <c r="T31" s="585"/>
      <c r="U31" s="586"/>
      <c r="V31" s="584"/>
      <c r="W31" s="585"/>
      <c r="X31" s="585"/>
      <c r="Y31" s="585"/>
      <c r="Z31" s="585"/>
      <c r="AA31" s="586"/>
      <c r="AB31" s="568"/>
      <c r="AC31" s="564"/>
      <c r="AD31" s="564"/>
      <c r="AE31" s="564"/>
      <c r="AF31" s="564"/>
      <c r="AG31" s="565"/>
      <c r="AH31" s="575"/>
      <c r="AI31" s="576"/>
      <c r="AJ31" s="576"/>
      <c r="AK31" s="576"/>
      <c r="AL31" s="576"/>
      <c r="AM31" s="577"/>
      <c r="AN31" s="67"/>
      <c r="AO31" s="549"/>
      <c r="AP31" s="550"/>
      <c r="AQ31" s="550"/>
      <c r="AR31" s="550"/>
      <c r="AS31" s="550"/>
      <c r="AT31" s="55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17"/>
      <c r="C32" s="517"/>
      <c r="D32" s="518"/>
      <c r="E32" s="558"/>
      <c r="F32" s="559"/>
      <c r="G32" s="559"/>
      <c r="H32" s="559"/>
      <c r="I32" s="559"/>
      <c r="J32" s="595" t="str">
        <f>IF(AND('Mapa final'!$K$19="Baja",'Mapa final'!$O$19="Leve"),CONCATENATE("R",'Mapa final'!$A$19),"")</f>
        <v/>
      </c>
      <c r="K32" s="593"/>
      <c r="L32" s="593" t="str">
        <f>IF(AND('Mapa final'!$K$20="Baja",'Mapa final'!$O$20="Leve"),CONCATENATE("R",'Mapa final'!$A$20),"")</f>
        <v/>
      </c>
      <c r="M32" s="593"/>
      <c r="N32" s="593" t="str">
        <f>IF(AND('Mapa final'!$K$26="Baja",'Mapa final'!$O$26="Leve"),CONCATENATE("R",'Mapa final'!$A$26),"")</f>
        <v/>
      </c>
      <c r="O32" s="594"/>
      <c r="P32" s="585" t="str">
        <f>IF(AND('Mapa final'!$K$19="Baja",'Mapa final'!$O$19="Menor"),CONCATENATE("R",'Mapa final'!$A$19),"")</f>
        <v/>
      </c>
      <c r="Q32" s="585"/>
      <c r="R32" s="585" t="str">
        <f>IF(AND('Mapa final'!$K$20="Baja",'Mapa final'!$O$20="Menor"),CONCATENATE("R",'Mapa final'!$A$20),"")</f>
        <v/>
      </c>
      <c r="S32" s="585"/>
      <c r="T32" s="585" t="str">
        <f>IF(AND('Mapa final'!$K$26="Baja",'Mapa final'!$O$26="Menor"),CONCATENATE("R",'Mapa final'!$A$26),"")</f>
        <v/>
      </c>
      <c r="U32" s="586"/>
      <c r="V32" s="584" t="str">
        <f>IF(AND('Mapa final'!$K$19="Baja",'Mapa final'!$O$19="Moderado"),CONCATENATE("R",'Mapa final'!$A$19),"")</f>
        <v/>
      </c>
      <c r="W32" s="585"/>
      <c r="X32" s="585" t="str">
        <f>IF(AND('Mapa final'!$K$20="Baja",'Mapa final'!$O$20="Moderado"),CONCATENATE("R",'Mapa final'!$A$20),"")</f>
        <v/>
      </c>
      <c r="Y32" s="585"/>
      <c r="Z32" s="585" t="str">
        <f>IF(AND('Mapa final'!$K$26="Baja",'Mapa final'!$O$26="Moderado"),CONCATENATE("R",'Mapa final'!$A$26),"")</f>
        <v/>
      </c>
      <c r="AA32" s="586"/>
      <c r="AB32" s="568" t="str">
        <f>IF(AND('Mapa final'!$K$19="Baja",'Mapa final'!$O$19="Mayor"),CONCATENATE("R",'Mapa final'!$A$19),"")</f>
        <v/>
      </c>
      <c r="AC32" s="564"/>
      <c r="AD32" s="564" t="str">
        <f>IF(AND('Mapa final'!$K$20="Baja",'Mapa final'!$O$20="Mayor"),CONCATENATE("R",'Mapa final'!$A$20),"")</f>
        <v/>
      </c>
      <c r="AE32" s="564"/>
      <c r="AF32" s="564" t="str">
        <f>IF(AND('Mapa final'!$K$26="Baja",'Mapa final'!$O$26="Mayor"),CONCATENATE("R",'Mapa final'!$A$26),"")</f>
        <v/>
      </c>
      <c r="AG32" s="565"/>
      <c r="AH32" s="575" t="str">
        <f>IF(AND('Mapa final'!$K$19="Baja",'Mapa final'!$O$19="Catastrófico"),CONCATENATE("R",'Mapa final'!$A$19),"")</f>
        <v/>
      </c>
      <c r="AI32" s="576"/>
      <c r="AJ32" s="576" t="str">
        <f>IF(AND('Mapa final'!$K$20="Baja",'Mapa final'!$O$20="Catastrófico"),CONCATENATE("R",'Mapa final'!$A$20),"")</f>
        <v/>
      </c>
      <c r="AK32" s="576"/>
      <c r="AL32" s="576" t="str">
        <f>IF(AND('Mapa final'!$K$26="Baja",'Mapa final'!$O$26="Catastrófico"),CONCATENATE("R",'Mapa final'!$A$26),"")</f>
        <v/>
      </c>
      <c r="AM32" s="577"/>
      <c r="AN32" s="67"/>
      <c r="AO32" s="549"/>
      <c r="AP32" s="550"/>
      <c r="AQ32" s="550"/>
      <c r="AR32" s="550"/>
      <c r="AS32" s="550"/>
      <c r="AT32" s="55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17"/>
      <c r="C33" s="517"/>
      <c r="D33" s="518"/>
      <c r="E33" s="558"/>
      <c r="F33" s="559"/>
      <c r="G33" s="559"/>
      <c r="H33" s="559"/>
      <c r="I33" s="559"/>
      <c r="J33" s="595"/>
      <c r="K33" s="593"/>
      <c r="L33" s="593"/>
      <c r="M33" s="593"/>
      <c r="N33" s="593"/>
      <c r="O33" s="594"/>
      <c r="P33" s="585"/>
      <c r="Q33" s="585"/>
      <c r="R33" s="585"/>
      <c r="S33" s="585"/>
      <c r="T33" s="585"/>
      <c r="U33" s="586"/>
      <c r="V33" s="584"/>
      <c r="W33" s="585"/>
      <c r="X33" s="585"/>
      <c r="Y33" s="585"/>
      <c r="Z33" s="585"/>
      <c r="AA33" s="586"/>
      <c r="AB33" s="568"/>
      <c r="AC33" s="564"/>
      <c r="AD33" s="564"/>
      <c r="AE33" s="564"/>
      <c r="AF33" s="564"/>
      <c r="AG33" s="565"/>
      <c r="AH33" s="575"/>
      <c r="AI33" s="576"/>
      <c r="AJ33" s="576"/>
      <c r="AK33" s="576"/>
      <c r="AL33" s="576"/>
      <c r="AM33" s="577"/>
      <c r="AN33" s="67"/>
      <c r="AO33" s="549"/>
      <c r="AP33" s="550"/>
      <c r="AQ33" s="550"/>
      <c r="AR33" s="550"/>
      <c r="AS33" s="550"/>
      <c r="AT33" s="55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17"/>
      <c r="C34" s="517"/>
      <c r="D34" s="518"/>
      <c r="E34" s="558"/>
      <c r="F34" s="559"/>
      <c r="G34" s="559"/>
      <c r="H34" s="559"/>
      <c r="I34" s="559"/>
      <c r="J34" s="595" t="str">
        <f>IF(AND('Mapa final'!$K$32="Baja",'Mapa final'!$O$32="Leve"),CONCATENATE("R",'Mapa final'!$A$32),"")</f>
        <v/>
      </c>
      <c r="K34" s="593"/>
      <c r="L34" s="593" t="str">
        <f>IF(AND('Mapa final'!$K$38="Baja",'Mapa final'!$O$38="Leve"),CONCATENATE("R",'Mapa final'!$A$38),"")</f>
        <v/>
      </c>
      <c r="M34" s="593"/>
      <c r="N34" s="593" t="str">
        <f>IF(AND('Mapa final'!$K$44="Baja",'Mapa final'!$O$44="Leve"),CONCATENATE("R",'Mapa final'!$A$44),"")</f>
        <v/>
      </c>
      <c r="O34" s="594"/>
      <c r="P34" s="585" t="str">
        <f>IF(AND('Mapa final'!$K$32="Baja",'Mapa final'!$O$32="Menor"),CONCATENATE("R",'Mapa final'!$A$32),"")</f>
        <v/>
      </c>
      <c r="Q34" s="585"/>
      <c r="R34" s="585" t="str">
        <f>IF(AND('Mapa final'!$K$38="Baja",'Mapa final'!$O$38="Menor"),CONCATENATE("R",'Mapa final'!$A$38),"")</f>
        <v/>
      </c>
      <c r="S34" s="585"/>
      <c r="T34" s="585" t="str">
        <f>IF(AND('Mapa final'!$K$44="Baja",'Mapa final'!$O$44="Menor"),CONCATENATE("R",'Mapa final'!$A$44),"")</f>
        <v/>
      </c>
      <c r="U34" s="586"/>
      <c r="V34" s="584" t="str">
        <f>IF(AND('Mapa final'!$K$32="Baja",'Mapa final'!$O$32="Moderado"),CONCATENATE("R",'Mapa final'!$A$32),"")</f>
        <v/>
      </c>
      <c r="W34" s="585"/>
      <c r="X34" s="585" t="str">
        <f>IF(AND('Mapa final'!$K$38="Baja",'Mapa final'!$O$38="Moderado"),CONCATENATE("R",'Mapa final'!$A$38),"")</f>
        <v/>
      </c>
      <c r="Y34" s="585"/>
      <c r="Z34" s="585" t="str">
        <f>IF(AND('Mapa final'!$K$44="Baja",'Mapa final'!$O$44="Moderado"),CONCATENATE("R",'Mapa final'!$A$44),"")</f>
        <v/>
      </c>
      <c r="AA34" s="586"/>
      <c r="AB34" s="568" t="str">
        <f>IF(AND('Mapa final'!$K$32="Baja",'Mapa final'!$O$32="Mayor"),CONCATENATE("R",'Mapa final'!$A$32),"")</f>
        <v/>
      </c>
      <c r="AC34" s="564"/>
      <c r="AD34" s="564" t="str">
        <f>IF(AND('Mapa final'!$K$38="Baja",'Mapa final'!$O$38="Mayor"),CONCATENATE("R",'Mapa final'!$A$38),"")</f>
        <v/>
      </c>
      <c r="AE34" s="564"/>
      <c r="AF34" s="564" t="str">
        <f>IF(AND('Mapa final'!$K$44="Baja",'Mapa final'!$O$44="Mayor"),CONCATENATE("R",'Mapa final'!$A$44),"")</f>
        <v/>
      </c>
      <c r="AG34" s="565"/>
      <c r="AH34" s="575" t="str">
        <f>IF(AND('Mapa final'!$K$32="Baja",'Mapa final'!$O$32="Catastrófico"),CONCATENATE("R",'Mapa final'!$A$32),"")</f>
        <v/>
      </c>
      <c r="AI34" s="576"/>
      <c r="AJ34" s="576" t="str">
        <f>IF(AND('Mapa final'!$K$38="Baja",'Mapa final'!$O$38="Catastrófico"),CONCATENATE("R",'Mapa final'!$A$38),"")</f>
        <v/>
      </c>
      <c r="AK34" s="576"/>
      <c r="AL34" s="576" t="str">
        <f>IF(AND('Mapa final'!$K$44="Baja",'Mapa final'!$O$44="Catastrófico"),CONCATENATE("R",'Mapa final'!$A$44),"")</f>
        <v/>
      </c>
      <c r="AM34" s="577"/>
      <c r="AN34" s="67"/>
      <c r="AO34" s="549"/>
      <c r="AP34" s="550"/>
      <c r="AQ34" s="550"/>
      <c r="AR34" s="550"/>
      <c r="AS34" s="550"/>
      <c r="AT34" s="55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17"/>
      <c r="C35" s="517"/>
      <c r="D35" s="518"/>
      <c r="E35" s="558"/>
      <c r="F35" s="559"/>
      <c r="G35" s="559"/>
      <c r="H35" s="559"/>
      <c r="I35" s="559"/>
      <c r="J35" s="595"/>
      <c r="K35" s="593"/>
      <c r="L35" s="593"/>
      <c r="M35" s="593"/>
      <c r="N35" s="593"/>
      <c r="O35" s="594"/>
      <c r="P35" s="585"/>
      <c r="Q35" s="585"/>
      <c r="R35" s="585"/>
      <c r="S35" s="585"/>
      <c r="T35" s="585"/>
      <c r="U35" s="586"/>
      <c r="V35" s="584"/>
      <c r="W35" s="585"/>
      <c r="X35" s="585"/>
      <c r="Y35" s="585"/>
      <c r="Z35" s="585"/>
      <c r="AA35" s="586"/>
      <c r="AB35" s="568"/>
      <c r="AC35" s="564"/>
      <c r="AD35" s="564"/>
      <c r="AE35" s="564"/>
      <c r="AF35" s="564"/>
      <c r="AG35" s="565"/>
      <c r="AH35" s="575"/>
      <c r="AI35" s="576"/>
      <c r="AJ35" s="576"/>
      <c r="AK35" s="576"/>
      <c r="AL35" s="576"/>
      <c r="AM35" s="577"/>
      <c r="AN35" s="67"/>
      <c r="AO35" s="549"/>
      <c r="AP35" s="550"/>
      <c r="AQ35" s="550"/>
      <c r="AR35" s="550"/>
      <c r="AS35" s="550"/>
      <c r="AT35" s="55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17"/>
      <c r="C36" s="517"/>
      <c r="D36" s="518"/>
      <c r="E36" s="558"/>
      <c r="F36" s="559"/>
      <c r="G36" s="559"/>
      <c r="H36" s="559"/>
      <c r="I36" s="559"/>
      <c r="J36" s="595" t="str">
        <f>IF(AND('Mapa final'!$K$50="Baja",'Mapa final'!$O$50="Leve"),CONCATENATE("R",'Mapa final'!$A$50),"")</f>
        <v/>
      </c>
      <c r="K36" s="593"/>
      <c r="L36" s="593" t="str">
        <f>IF(AND('Mapa final'!$K$56="Baja",'Mapa final'!$O$56="Leve"),CONCATENATE("R",'Mapa final'!$A$56),"")</f>
        <v/>
      </c>
      <c r="M36" s="593"/>
      <c r="N36" s="593" t="str">
        <f>IF(AND('Mapa final'!$K$62="Baja",'Mapa final'!$O$62="Leve"),CONCATENATE("R",'Mapa final'!$A$62),"")</f>
        <v/>
      </c>
      <c r="O36" s="594"/>
      <c r="P36" s="585" t="str">
        <f>IF(AND('Mapa final'!$K$50="Baja",'Mapa final'!$O$50="Menor"),CONCATENATE("R",'Mapa final'!$A$50),"")</f>
        <v/>
      </c>
      <c r="Q36" s="585"/>
      <c r="R36" s="585" t="str">
        <f>IF(AND('Mapa final'!$K$56="Baja",'Mapa final'!$O$56="Menor"),CONCATENATE("R",'Mapa final'!$A$56),"")</f>
        <v/>
      </c>
      <c r="S36" s="585"/>
      <c r="T36" s="585" t="str">
        <f>IF(AND('Mapa final'!$K$62="Baja",'Mapa final'!$O$62="Menor"),CONCATENATE("R",'Mapa final'!$A$62),"")</f>
        <v/>
      </c>
      <c r="U36" s="586"/>
      <c r="V36" s="584" t="str">
        <f>IF(AND('Mapa final'!$K$50="Baja",'Mapa final'!$O$50="Moderado"),CONCATENATE("R",'Mapa final'!$A$50),"")</f>
        <v/>
      </c>
      <c r="W36" s="585"/>
      <c r="X36" s="585" t="str">
        <f>IF(AND('Mapa final'!$K$56="Baja",'Mapa final'!$O$56="Moderado"),CONCATENATE("R",'Mapa final'!$A$56),"")</f>
        <v/>
      </c>
      <c r="Y36" s="585"/>
      <c r="Z36" s="585" t="str">
        <f>IF(AND('Mapa final'!$K$62="Baja",'Mapa final'!$O$62="Moderado"),CONCATENATE("R",'Mapa final'!$A$62),"")</f>
        <v/>
      </c>
      <c r="AA36" s="586"/>
      <c r="AB36" s="568" t="str">
        <f>IF(AND('Mapa final'!$K$50="Baja",'Mapa final'!$O$50="Mayor"),CONCATENATE("R",'Mapa final'!$A$50),"")</f>
        <v/>
      </c>
      <c r="AC36" s="564"/>
      <c r="AD36" s="564" t="str">
        <f>IF(AND('Mapa final'!$K$56="Baja",'Mapa final'!$O$56="Mayor"),CONCATENATE("R",'Mapa final'!$A$56),"")</f>
        <v/>
      </c>
      <c r="AE36" s="564"/>
      <c r="AF36" s="564" t="str">
        <f>IF(AND('Mapa final'!$K$62="Baja",'Mapa final'!$O$62="Mayor"),CONCATENATE("R",'Mapa final'!$A$62),"")</f>
        <v/>
      </c>
      <c r="AG36" s="565"/>
      <c r="AH36" s="575" t="str">
        <f>IF(AND('Mapa final'!$K$50="Baja",'Mapa final'!$O$50="Catastrófico"),CONCATENATE("R",'Mapa final'!$A$50),"")</f>
        <v/>
      </c>
      <c r="AI36" s="576"/>
      <c r="AJ36" s="576" t="str">
        <f>IF(AND('Mapa final'!$K$56="Baja",'Mapa final'!$O$56="Catastrófico"),CONCATENATE("R",'Mapa final'!$A$56),"")</f>
        <v/>
      </c>
      <c r="AK36" s="576"/>
      <c r="AL36" s="576" t="str">
        <f>IF(AND('Mapa final'!$K$62="Baja",'Mapa final'!$O$62="Catastrófico"),CONCATENATE("R",'Mapa final'!$A$62),"")</f>
        <v/>
      </c>
      <c r="AM36" s="577"/>
      <c r="AN36" s="67"/>
      <c r="AO36" s="549"/>
      <c r="AP36" s="550"/>
      <c r="AQ36" s="550"/>
      <c r="AR36" s="550"/>
      <c r="AS36" s="550"/>
      <c r="AT36" s="55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17"/>
      <c r="C37" s="517"/>
      <c r="D37" s="518"/>
      <c r="E37" s="561"/>
      <c r="F37" s="562"/>
      <c r="G37" s="562"/>
      <c r="H37" s="562"/>
      <c r="I37" s="562"/>
      <c r="J37" s="596"/>
      <c r="K37" s="597"/>
      <c r="L37" s="597"/>
      <c r="M37" s="597"/>
      <c r="N37" s="597"/>
      <c r="O37" s="598"/>
      <c r="P37" s="588"/>
      <c r="Q37" s="588"/>
      <c r="R37" s="588"/>
      <c r="S37" s="588"/>
      <c r="T37" s="588"/>
      <c r="U37" s="589"/>
      <c r="V37" s="587"/>
      <c r="W37" s="588"/>
      <c r="X37" s="588"/>
      <c r="Y37" s="588"/>
      <c r="Z37" s="588"/>
      <c r="AA37" s="589"/>
      <c r="AB37" s="572"/>
      <c r="AC37" s="573"/>
      <c r="AD37" s="573"/>
      <c r="AE37" s="573"/>
      <c r="AF37" s="573"/>
      <c r="AG37" s="574"/>
      <c r="AH37" s="578"/>
      <c r="AI37" s="579"/>
      <c r="AJ37" s="579"/>
      <c r="AK37" s="579"/>
      <c r="AL37" s="579"/>
      <c r="AM37" s="580"/>
      <c r="AN37" s="67"/>
      <c r="AO37" s="552"/>
      <c r="AP37" s="553"/>
      <c r="AQ37" s="553"/>
      <c r="AR37" s="553"/>
      <c r="AS37" s="553"/>
      <c r="AT37" s="55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17"/>
      <c r="C38" s="517"/>
      <c r="D38" s="518"/>
      <c r="E38" s="555" t="s">
        <v>107</v>
      </c>
      <c r="F38" s="556"/>
      <c r="G38" s="556"/>
      <c r="H38" s="556"/>
      <c r="I38" s="557"/>
      <c r="J38" s="599" t="str">
        <f>IF(AND('Mapa final'!$K$10="Muy Baja",'Mapa final'!$O$10="Leve"),CONCATENATE("R",'Mapa final'!$A$10),"")</f>
        <v/>
      </c>
      <c r="K38" s="600"/>
      <c r="L38" s="600" t="str">
        <f>IF(AND('Mapa final'!$K$14="Muy Baja",'Mapa final'!$O$14="Leve"),CONCATENATE("R",'Mapa final'!$A$14),"")</f>
        <v/>
      </c>
      <c r="M38" s="600"/>
      <c r="N38" s="600" t="str">
        <f>IF(AND('Mapa final'!$K$16="Muy Baja",'Mapa final'!$O$16="Leve"),CONCATENATE("R",'Mapa final'!$A$16),"")</f>
        <v/>
      </c>
      <c r="O38" s="601"/>
      <c r="P38" s="599" t="str">
        <f>IF(AND('Mapa final'!$K$10="Muy Baja",'Mapa final'!$O$10="Menor"),CONCATENATE("R",'Mapa final'!$A$10),"")</f>
        <v/>
      </c>
      <c r="Q38" s="600"/>
      <c r="R38" s="600" t="str">
        <f>IF(AND('Mapa final'!$K$14="Muy Baja",'Mapa final'!$O$14="Menor"),CONCATENATE("R",'Mapa final'!$A$14),"")</f>
        <v/>
      </c>
      <c r="S38" s="600"/>
      <c r="T38" s="600" t="str">
        <f>IF(AND('Mapa final'!$K$16="Muy Baja",'Mapa final'!$O$16="Menor"),CONCATENATE("R",'Mapa final'!$A$16),"")</f>
        <v/>
      </c>
      <c r="U38" s="601"/>
      <c r="V38" s="590" t="str">
        <f>IF(AND('Mapa final'!$K$10="Muy Baja",'Mapa final'!$O$10="Moderado"),CONCATENATE("R",'Mapa final'!$A$10),"")</f>
        <v/>
      </c>
      <c r="W38" s="591"/>
      <c r="X38" s="591" t="str">
        <f>IF(AND('Mapa final'!$K$14="Muy Baja",'Mapa final'!$O$14="Moderado"),CONCATENATE("R",'Mapa final'!$A$14),"")</f>
        <v/>
      </c>
      <c r="Y38" s="591"/>
      <c r="Z38" s="591" t="str">
        <f>IF(AND('Mapa final'!$K$16="Muy Baja",'Mapa final'!$O$16="Moderado"),CONCATENATE("R",'Mapa final'!$A$16),"")</f>
        <v/>
      </c>
      <c r="AA38" s="592"/>
      <c r="AB38" s="566" t="str">
        <f>IF(AND('Mapa final'!$K$10="Muy Baja",'Mapa final'!$O$10="Mayor"),CONCATENATE("R",'Mapa final'!$A$10),"")</f>
        <v/>
      </c>
      <c r="AC38" s="567"/>
      <c r="AD38" s="567" t="str">
        <f>IF(AND('Mapa final'!$K$14="Muy Baja",'Mapa final'!$O$14="Mayor"),CONCATENATE("R",'Mapa final'!$A$14),"")</f>
        <v/>
      </c>
      <c r="AE38" s="567"/>
      <c r="AF38" s="567" t="str">
        <f>IF(AND('Mapa final'!$K$16="Muy Baja",'Mapa final'!$O$16="Mayor"),CONCATENATE("R",'Mapa final'!$A$16),"")</f>
        <v/>
      </c>
      <c r="AG38" s="569"/>
      <c r="AH38" s="581" t="str">
        <f>IF(AND('Mapa final'!$K$10="Muy Baja",'Mapa final'!$O$10="Catastrófico"),CONCATENATE("R",'Mapa final'!$A$10),"")</f>
        <v/>
      </c>
      <c r="AI38" s="582"/>
      <c r="AJ38" s="582" t="str">
        <f>IF(AND('Mapa final'!$K$14="Muy Baja",'Mapa final'!$O$14="Catastrófico"),CONCATENATE("R",'Mapa final'!$A$14),"")</f>
        <v/>
      </c>
      <c r="AK38" s="582"/>
      <c r="AL38" s="582" t="str">
        <f>IF(AND('Mapa final'!$K$16="Muy Baja",'Mapa final'!$O$16="Catastrófico"),CONCATENATE("R",'Mapa final'!$A$16),"")</f>
        <v/>
      </c>
      <c r="AM38" s="583"/>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17"/>
      <c r="C39" s="517"/>
      <c r="D39" s="518"/>
      <c r="E39" s="558"/>
      <c r="F39" s="559"/>
      <c r="G39" s="559"/>
      <c r="H39" s="559"/>
      <c r="I39" s="560"/>
      <c r="J39" s="595"/>
      <c r="K39" s="593"/>
      <c r="L39" s="593"/>
      <c r="M39" s="593"/>
      <c r="N39" s="593"/>
      <c r="O39" s="594"/>
      <c r="P39" s="595"/>
      <c r="Q39" s="593"/>
      <c r="R39" s="593"/>
      <c r="S39" s="593"/>
      <c r="T39" s="593"/>
      <c r="U39" s="594"/>
      <c r="V39" s="584"/>
      <c r="W39" s="585"/>
      <c r="X39" s="585"/>
      <c r="Y39" s="585"/>
      <c r="Z39" s="585"/>
      <c r="AA39" s="586"/>
      <c r="AB39" s="568"/>
      <c r="AC39" s="564"/>
      <c r="AD39" s="564"/>
      <c r="AE39" s="564"/>
      <c r="AF39" s="564"/>
      <c r="AG39" s="565"/>
      <c r="AH39" s="575"/>
      <c r="AI39" s="576"/>
      <c r="AJ39" s="576"/>
      <c r="AK39" s="576"/>
      <c r="AL39" s="576"/>
      <c r="AM39" s="57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17"/>
      <c r="C40" s="517"/>
      <c r="D40" s="518"/>
      <c r="E40" s="558"/>
      <c r="F40" s="559"/>
      <c r="G40" s="559"/>
      <c r="H40" s="559"/>
      <c r="I40" s="560"/>
      <c r="J40" s="595" t="str">
        <f>IF(AND('Mapa final'!$K$19="Muy Baja",'Mapa final'!$O$19="Leve"),CONCATENATE("R",'Mapa final'!$A$19),"")</f>
        <v/>
      </c>
      <c r="K40" s="593"/>
      <c r="L40" s="593" t="str">
        <f>IF(AND('Mapa final'!$K$20="Muy Baja",'Mapa final'!$O$20="Leve"),CONCATENATE("R",'Mapa final'!$A$20),"")</f>
        <v/>
      </c>
      <c r="M40" s="593"/>
      <c r="N40" s="593" t="str">
        <f>IF(AND('Mapa final'!$K$26="Muy Baja",'Mapa final'!$O$26="Leve"),CONCATENATE("R",'Mapa final'!$A$26),"")</f>
        <v/>
      </c>
      <c r="O40" s="594"/>
      <c r="P40" s="595" t="str">
        <f>IF(AND('Mapa final'!$K$19="Muy Baja",'Mapa final'!$O$19="Menor"),CONCATENATE("R",'Mapa final'!$A$19),"")</f>
        <v/>
      </c>
      <c r="Q40" s="593"/>
      <c r="R40" s="593" t="str">
        <f>IF(AND('Mapa final'!$K$20="Muy Baja",'Mapa final'!$O$20="Menor"),CONCATENATE("R",'Mapa final'!$A$20),"")</f>
        <v/>
      </c>
      <c r="S40" s="593"/>
      <c r="T40" s="593" t="str">
        <f>IF(AND('Mapa final'!$K$26="Muy Baja",'Mapa final'!$O$26="Menor"),CONCATENATE("R",'Mapa final'!$A$26),"")</f>
        <v/>
      </c>
      <c r="U40" s="594"/>
      <c r="V40" s="584" t="str">
        <f>IF(AND('Mapa final'!$K$19="Muy Baja",'Mapa final'!$O$19="Moderado"),CONCATENATE("R",'Mapa final'!$A$19),"")</f>
        <v/>
      </c>
      <c r="W40" s="585"/>
      <c r="X40" s="585" t="str">
        <f>IF(AND('Mapa final'!$K$20="Muy Baja",'Mapa final'!$O$20="Moderado"),CONCATENATE("R",'Mapa final'!$A$20),"")</f>
        <v/>
      </c>
      <c r="Y40" s="585"/>
      <c r="Z40" s="585" t="str">
        <f>IF(AND('Mapa final'!$K$26="Muy Baja",'Mapa final'!$O$26="Moderado"),CONCATENATE("R",'Mapa final'!$A$26),"")</f>
        <v/>
      </c>
      <c r="AA40" s="586"/>
      <c r="AB40" s="568" t="str">
        <f>IF(AND('Mapa final'!$K$19="Muy Baja",'Mapa final'!$O$19="Mayor"),CONCATENATE("R",'Mapa final'!$A$19),"")</f>
        <v/>
      </c>
      <c r="AC40" s="564"/>
      <c r="AD40" s="564" t="str">
        <f>IF(AND('Mapa final'!$K$20="Muy Baja",'Mapa final'!$O$20="Mayor"),CONCATENATE("R",'Mapa final'!$A$20),"")</f>
        <v/>
      </c>
      <c r="AE40" s="564"/>
      <c r="AF40" s="564" t="str">
        <f>IF(AND('Mapa final'!$K$26="Muy Baja",'Mapa final'!$O$26="Mayor"),CONCATENATE("R",'Mapa final'!$A$26),"")</f>
        <v/>
      </c>
      <c r="AG40" s="565"/>
      <c r="AH40" s="575" t="str">
        <f>IF(AND('Mapa final'!$K$19="Muy Baja",'Mapa final'!$O$19="Catastrófico"),CONCATENATE("R",'Mapa final'!$A$19),"")</f>
        <v/>
      </c>
      <c r="AI40" s="576"/>
      <c r="AJ40" s="576" t="str">
        <f>IF(AND('Mapa final'!$K$20="Muy Baja",'Mapa final'!$O$20="Catastrófico"),CONCATENATE("R",'Mapa final'!$A$20),"")</f>
        <v/>
      </c>
      <c r="AK40" s="576"/>
      <c r="AL40" s="576" t="str">
        <f>IF(AND('Mapa final'!$K$26="Muy Baja",'Mapa final'!$O$26="Catastrófico"),CONCATENATE("R",'Mapa final'!$A$26),"")</f>
        <v/>
      </c>
      <c r="AM40" s="57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17"/>
      <c r="C41" s="517"/>
      <c r="D41" s="518"/>
      <c r="E41" s="558"/>
      <c r="F41" s="559"/>
      <c r="G41" s="559"/>
      <c r="H41" s="559"/>
      <c r="I41" s="560"/>
      <c r="J41" s="595"/>
      <c r="K41" s="593"/>
      <c r="L41" s="593"/>
      <c r="M41" s="593"/>
      <c r="N41" s="593"/>
      <c r="O41" s="594"/>
      <c r="P41" s="595"/>
      <c r="Q41" s="593"/>
      <c r="R41" s="593"/>
      <c r="S41" s="593"/>
      <c r="T41" s="593"/>
      <c r="U41" s="594"/>
      <c r="V41" s="584"/>
      <c r="W41" s="585"/>
      <c r="X41" s="585"/>
      <c r="Y41" s="585"/>
      <c r="Z41" s="585"/>
      <c r="AA41" s="586"/>
      <c r="AB41" s="568"/>
      <c r="AC41" s="564"/>
      <c r="AD41" s="564"/>
      <c r="AE41" s="564"/>
      <c r="AF41" s="564"/>
      <c r="AG41" s="565"/>
      <c r="AH41" s="575"/>
      <c r="AI41" s="576"/>
      <c r="AJ41" s="576"/>
      <c r="AK41" s="576"/>
      <c r="AL41" s="576"/>
      <c r="AM41" s="57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17"/>
      <c r="C42" s="517"/>
      <c r="D42" s="518"/>
      <c r="E42" s="558"/>
      <c r="F42" s="559"/>
      <c r="G42" s="559"/>
      <c r="H42" s="559"/>
      <c r="I42" s="560"/>
      <c r="J42" s="595" t="str">
        <f>IF(AND('Mapa final'!$K$32="Muy Baja",'Mapa final'!$O$32="Leve"),CONCATENATE("R",'Mapa final'!$A$32),"")</f>
        <v/>
      </c>
      <c r="K42" s="593"/>
      <c r="L42" s="593" t="str">
        <f>IF(AND('Mapa final'!$K$38="Muy Baja",'Mapa final'!$O$38="Leve"),CONCATENATE("R",'Mapa final'!$A$38),"")</f>
        <v/>
      </c>
      <c r="M42" s="593"/>
      <c r="N42" s="593" t="str">
        <f>IF(AND('Mapa final'!$K$44="Muy Baja",'Mapa final'!$O$44="Leve"),CONCATENATE("R",'Mapa final'!$A$44),"")</f>
        <v/>
      </c>
      <c r="O42" s="594"/>
      <c r="P42" s="595" t="str">
        <f>IF(AND('Mapa final'!$K$32="Muy Baja",'Mapa final'!$O$32="Menor"),CONCATENATE("R",'Mapa final'!$A$32),"")</f>
        <v/>
      </c>
      <c r="Q42" s="593"/>
      <c r="R42" s="593" t="str">
        <f>IF(AND('Mapa final'!$K$38="Muy Baja",'Mapa final'!$O$38="Menor"),CONCATENATE("R",'Mapa final'!$A$38),"")</f>
        <v/>
      </c>
      <c r="S42" s="593"/>
      <c r="T42" s="593" t="str">
        <f>IF(AND('Mapa final'!$K$44="Muy Baja",'Mapa final'!$O$44="Menor"),CONCATENATE("R",'Mapa final'!$A$44),"")</f>
        <v/>
      </c>
      <c r="U42" s="594"/>
      <c r="V42" s="584" t="str">
        <f>IF(AND('Mapa final'!$K$32="Muy Baja",'Mapa final'!$O$32="Moderado"),CONCATENATE("R",'Mapa final'!$A$32),"")</f>
        <v/>
      </c>
      <c r="W42" s="585"/>
      <c r="X42" s="585" t="str">
        <f>IF(AND('Mapa final'!$K$38="Muy Baja",'Mapa final'!$O$38="Moderado"),CONCATENATE("R",'Mapa final'!$A$38),"")</f>
        <v/>
      </c>
      <c r="Y42" s="585"/>
      <c r="Z42" s="585" t="str">
        <f>IF(AND('Mapa final'!$K$44="Muy Baja",'Mapa final'!$O$44="Moderado"),CONCATENATE("R",'Mapa final'!$A$44),"")</f>
        <v/>
      </c>
      <c r="AA42" s="586"/>
      <c r="AB42" s="568" t="str">
        <f>IF(AND('Mapa final'!$K$32="Muy Baja",'Mapa final'!$O$32="Mayor"),CONCATENATE("R",'Mapa final'!$A$32),"")</f>
        <v/>
      </c>
      <c r="AC42" s="564"/>
      <c r="AD42" s="564" t="str">
        <f>IF(AND('Mapa final'!$K$38="Muy Baja",'Mapa final'!$O$38="Mayor"),CONCATENATE("R",'Mapa final'!$A$38),"")</f>
        <v/>
      </c>
      <c r="AE42" s="564"/>
      <c r="AF42" s="564" t="str">
        <f>IF(AND('Mapa final'!$K$44="Muy Baja",'Mapa final'!$O$44="Mayor"),CONCATENATE("R",'Mapa final'!$A$44),"")</f>
        <v/>
      </c>
      <c r="AG42" s="565"/>
      <c r="AH42" s="575" t="str">
        <f>IF(AND('Mapa final'!$K$32="Muy Baja",'Mapa final'!$O$32="Catastrófico"),CONCATENATE("R",'Mapa final'!$A$32),"")</f>
        <v/>
      </c>
      <c r="AI42" s="576"/>
      <c r="AJ42" s="576" t="str">
        <f>IF(AND('Mapa final'!$K$38="Muy Baja",'Mapa final'!$O$38="Catastrófico"),CONCATENATE("R",'Mapa final'!$A$38),"")</f>
        <v/>
      </c>
      <c r="AK42" s="576"/>
      <c r="AL42" s="576" t="str">
        <f>IF(AND('Mapa final'!$K$44="Muy Baja",'Mapa final'!$O$44="Catastrófico"),CONCATENATE("R",'Mapa final'!$A$44),"")</f>
        <v/>
      </c>
      <c r="AM42" s="57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17"/>
      <c r="C43" s="517"/>
      <c r="D43" s="518"/>
      <c r="E43" s="558"/>
      <c r="F43" s="559"/>
      <c r="G43" s="559"/>
      <c r="H43" s="559"/>
      <c r="I43" s="560"/>
      <c r="J43" s="595"/>
      <c r="K43" s="593"/>
      <c r="L43" s="593"/>
      <c r="M43" s="593"/>
      <c r="N43" s="593"/>
      <c r="O43" s="594"/>
      <c r="P43" s="595"/>
      <c r="Q43" s="593"/>
      <c r="R43" s="593"/>
      <c r="S43" s="593"/>
      <c r="T43" s="593"/>
      <c r="U43" s="594"/>
      <c r="V43" s="584"/>
      <c r="W43" s="585"/>
      <c r="X43" s="585"/>
      <c r="Y43" s="585"/>
      <c r="Z43" s="585"/>
      <c r="AA43" s="586"/>
      <c r="AB43" s="568"/>
      <c r="AC43" s="564"/>
      <c r="AD43" s="564"/>
      <c r="AE43" s="564"/>
      <c r="AF43" s="564"/>
      <c r="AG43" s="565"/>
      <c r="AH43" s="575"/>
      <c r="AI43" s="576"/>
      <c r="AJ43" s="576"/>
      <c r="AK43" s="576"/>
      <c r="AL43" s="576"/>
      <c r="AM43" s="57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17"/>
      <c r="C44" s="517"/>
      <c r="D44" s="518"/>
      <c r="E44" s="558"/>
      <c r="F44" s="559"/>
      <c r="G44" s="559"/>
      <c r="H44" s="559"/>
      <c r="I44" s="560"/>
      <c r="J44" s="595" t="str">
        <f>IF(AND('Mapa final'!$K$50="Muy Baja",'Mapa final'!$O$50="Leve"),CONCATENATE("R",'Mapa final'!$A$50),"")</f>
        <v/>
      </c>
      <c r="K44" s="593"/>
      <c r="L44" s="593" t="str">
        <f>IF(AND('Mapa final'!$K$56="Muy Baja",'Mapa final'!$O$56="Leve"),CONCATENATE("R",'Mapa final'!$A$56),"")</f>
        <v/>
      </c>
      <c r="M44" s="593"/>
      <c r="N44" s="593" t="str">
        <f>IF(AND('Mapa final'!$K$62="Muy Baja",'Mapa final'!$O$62="Leve"),CONCATENATE("R",'Mapa final'!$A$62),"")</f>
        <v/>
      </c>
      <c r="O44" s="594"/>
      <c r="P44" s="595" t="str">
        <f>IF(AND('Mapa final'!$K$50="Muy Baja",'Mapa final'!$O$50="Menor"),CONCATENATE("R",'Mapa final'!$A$50),"")</f>
        <v/>
      </c>
      <c r="Q44" s="593"/>
      <c r="R44" s="593" t="str">
        <f>IF(AND('Mapa final'!$K$56="Muy Baja",'Mapa final'!$O$56="Menor"),CONCATENATE("R",'Mapa final'!$A$56),"")</f>
        <v/>
      </c>
      <c r="S44" s="593"/>
      <c r="T44" s="593" t="str">
        <f>IF(AND('Mapa final'!$K$62="Muy Baja",'Mapa final'!$O$62="Menor"),CONCATENATE("R",'Mapa final'!$A$62),"")</f>
        <v/>
      </c>
      <c r="U44" s="594"/>
      <c r="V44" s="584" t="str">
        <f>IF(AND('Mapa final'!$K$50="Muy Baja",'Mapa final'!$O$50="Moderado"),CONCATENATE("R",'Mapa final'!$A$50),"")</f>
        <v/>
      </c>
      <c r="W44" s="585"/>
      <c r="X44" s="585" t="str">
        <f>IF(AND('Mapa final'!$K$56="Muy Baja",'Mapa final'!$O$56="Moderado"),CONCATENATE("R",'Mapa final'!$A$56),"")</f>
        <v/>
      </c>
      <c r="Y44" s="585"/>
      <c r="Z44" s="585" t="str">
        <f>IF(AND('Mapa final'!$K$62="Muy Baja",'Mapa final'!$O$62="Moderado"),CONCATENATE("R",'Mapa final'!$A$62),"")</f>
        <v/>
      </c>
      <c r="AA44" s="586"/>
      <c r="AB44" s="568" t="str">
        <f>IF(AND('Mapa final'!$K$50="Muy Baja",'Mapa final'!$O$50="Mayor"),CONCATENATE("R",'Mapa final'!$A$50),"")</f>
        <v/>
      </c>
      <c r="AC44" s="564"/>
      <c r="AD44" s="564" t="str">
        <f>IF(AND('Mapa final'!$K$56="Muy Baja",'Mapa final'!$O$56="Mayor"),CONCATENATE("R",'Mapa final'!$A$56),"")</f>
        <v/>
      </c>
      <c r="AE44" s="564"/>
      <c r="AF44" s="564" t="str">
        <f>IF(AND('Mapa final'!$K$62="Muy Baja",'Mapa final'!$O$62="Mayor"),CONCATENATE("R",'Mapa final'!$A$62),"")</f>
        <v/>
      </c>
      <c r="AG44" s="565"/>
      <c r="AH44" s="575" t="str">
        <f>IF(AND('Mapa final'!$K$50="Muy Baja",'Mapa final'!$O$50="Catastrófico"),CONCATENATE("R",'Mapa final'!$A$50),"")</f>
        <v/>
      </c>
      <c r="AI44" s="576"/>
      <c r="AJ44" s="576" t="str">
        <f>IF(AND('Mapa final'!$K$56="Muy Baja",'Mapa final'!$O$56="Catastrófico"),CONCATENATE("R",'Mapa final'!$A$56),"")</f>
        <v/>
      </c>
      <c r="AK44" s="576"/>
      <c r="AL44" s="576" t="str">
        <f>IF(AND('Mapa final'!$K$62="Muy Baja",'Mapa final'!$O$62="Catastrófico"),CONCATENATE("R",'Mapa final'!$A$62),"")</f>
        <v/>
      </c>
      <c r="AM44" s="57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17"/>
      <c r="C45" s="517"/>
      <c r="D45" s="518"/>
      <c r="E45" s="561"/>
      <c r="F45" s="562"/>
      <c r="G45" s="562"/>
      <c r="H45" s="562"/>
      <c r="I45" s="563"/>
      <c r="J45" s="596"/>
      <c r="K45" s="597"/>
      <c r="L45" s="597"/>
      <c r="M45" s="597"/>
      <c r="N45" s="597"/>
      <c r="O45" s="598"/>
      <c r="P45" s="596"/>
      <c r="Q45" s="597"/>
      <c r="R45" s="597"/>
      <c r="S45" s="597"/>
      <c r="T45" s="597"/>
      <c r="U45" s="598"/>
      <c r="V45" s="587"/>
      <c r="W45" s="588"/>
      <c r="X45" s="588"/>
      <c r="Y45" s="588"/>
      <c r="Z45" s="588"/>
      <c r="AA45" s="589"/>
      <c r="AB45" s="572"/>
      <c r="AC45" s="573"/>
      <c r="AD45" s="573"/>
      <c r="AE45" s="573"/>
      <c r="AF45" s="573"/>
      <c r="AG45" s="574"/>
      <c r="AH45" s="578"/>
      <c r="AI45" s="579"/>
      <c r="AJ45" s="579"/>
      <c r="AK45" s="579"/>
      <c r="AL45" s="579"/>
      <c r="AM45" s="580"/>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55" t="s">
        <v>106</v>
      </c>
      <c r="K46" s="556"/>
      <c r="L46" s="556"/>
      <c r="M46" s="556"/>
      <c r="N46" s="556"/>
      <c r="O46" s="557"/>
      <c r="P46" s="555" t="s">
        <v>105</v>
      </c>
      <c r="Q46" s="556"/>
      <c r="R46" s="556"/>
      <c r="S46" s="556"/>
      <c r="T46" s="556"/>
      <c r="U46" s="557"/>
      <c r="V46" s="555" t="s">
        <v>104</v>
      </c>
      <c r="W46" s="556"/>
      <c r="X46" s="556"/>
      <c r="Y46" s="556"/>
      <c r="Z46" s="556"/>
      <c r="AA46" s="557"/>
      <c r="AB46" s="555" t="s">
        <v>103</v>
      </c>
      <c r="AC46" s="571"/>
      <c r="AD46" s="556"/>
      <c r="AE46" s="556"/>
      <c r="AF46" s="556"/>
      <c r="AG46" s="557"/>
      <c r="AH46" s="555" t="s">
        <v>102</v>
      </c>
      <c r="AI46" s="556"/>
      <c r="AJ46" s="556"/>
      <c r="AK46" s="556"/>
      <c r="AL46" s="556"/>
      <c r="AM46" s="55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58"/>
      <c r="K47" s="559"/>
      <c r="L47" s="559"/>
      <c r="M47" s="559"/>
      <c r="N47" s="559"/>
      <c r="O47" s="560"/>
      <c r="P47" s="558"/>
      <c r="Q47" s="559"/>
      <c r="R47" s="559"/>
      <c r="S47" s="559"/>
      <c r="T47" s="559"/>
      <c r="U47" s="560"/>
      <c r="V47" s="558"/>
      <c r="W47" s="559"/>
      <c r="X47" s="559"/>
      <c r="Y47" s="559"/>
      <c r="Z47" s="559"/>
      <c r="AA47" s="560"/>
      <c r="AB47" s="558"/>
      <c r="AC47" s="559"/>
      <c r="AD47" s="559"/>
      <c r="AE47" s="559"/>
      <c r="AF47" s="559"/>
      <c r="AG47" s="560"/>
      <c r="AH47" s="558"/>
      <c r="AI47" s="559"/>
      <c r="AJ47" s="559"/>
      <c r="AK47" s="559"/>
      <c r="AL47" s="559"/>
      <c r="AM47" s="560"/>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58"/>
      <c r="K48" s="559"/>
      <c r="L48" s="559"/>
      <c r="M48" s="559"/>
      <c r="N48" s="559"/>
      <c r="O48" s="560"/>
      <c r="P48" s="558"/>
      <c r="Q48" s="559"/>
      <c r="R48" s="559"/>
      <c r="S48" s="559"/>
      <c r="T48" s="559"/>
      <c r="U48" s="560"/>
      <c r="V48" s="558"/>
      <c r="W48" s="559"/>
      <c r="X48" s="559"/>
      <c r="Y48" s="559"/>
      <c r="Z48" s="559"/>
      <c r="AA48" s="560"/>
      <c r="AB48" s="558"/>
      <c r="AC48" s="559"/>
      <c r="AD48" s="559"/>
      <c r="AE48" s="559"/>
      <c r="AF48" s="559"/>
      <c r="AG48" s="560"/>
      <c r="AH48" s="558"/>
      <c r="AI48" s="559"/>
      <c r="AJ48" s="559"/>
      <c r="AK48" s="559"/>
      <c r="AL48" s="559"/>
      <c r="AM48" s="560"/>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58"/>
      <c r="K49" s="559"/>
      <c r="L49" s="559"/>
      <c r="M49" s="559"/>
      <c r="N49" s="559"/>
      <c r="O49" s="560"/>
      <c r="P49" s="558"/>
      <c r="Q49" s="559"/>
      <c r="R49" s="559"/>
      <c r="S49" s="559"/>
      <c r="T49" s="559"/>
      <c r="U49" s="560"/>
      <c r="V49" s="558"/>
      <c r="W49" s="559"/>
      <c r="X49" s="559"/>
      <c r="Y49" s="559"/>
      <c r="Z49" s="559"/>
      <c r="AA49" s="560"/>
      <c r="AB49" s="558"/>
      <c r="AC49" s="559"/>
      <c r="AD49" s="559"/>
      <c r="AE49" s="559"/>
      <c r="AF49" s="559"/>
      <c r="AG49" s="560"/>
      <c r="AH49" s="558"/>
      <c r="AI49" s="559"/>
      <c r="AJ49" s="559"/>
      <c r="AK49" s="559"/>
      <c r="AL49" s="559"/>
      <c r="AM49" s="560"/>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58"/>
      <c r="K50" s="559"/>
      <c r="L50" s="559"/>
      <c r="M50" s="559"/>
      <c r="N50" s="559"/>
      <c r="O50" s="560"/>
      <c r="P50" s="558"/>
      <c r="Q50" s="559"/>
      <c r="R50" s="559"/>
      <c r="S50" s="559"/>
      <c r="T50" s="559"/>
      <c r="U50" s="560"/>
      <c r="V50" s="558"/>
      <c r="W50" s="559"/>
      <c r="X50" s="559"/>
      <c r="Y50" s="559"/>
      <c r="Z50" s="559"/>
      <c r="AA50" s="560"/>
      <c r="AB50" s="558"/>
      <c r="AC50" s="559"/>
      <c r="AD50" s="559"/>
      <c r="AE50" s="559"/>
      <c r="AF50" s="559"/>
      <c r="AG50" s="560"/>
      <c r="AH50" s="558"/>
      <c r="AI50" s="559"/>
      <c r="AJ50" s="559"/>
      <c r="AK50" s="559"/>
      <c r="AL50" s="559"/>
      <c r="AM50" s="560"/>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61"/>
      <c r="K51" s="562"/>
      <c r="L51" s="562"/>
      <c r="M51" s="562"/>
      <c r="N51" s="562"/>
      <c r="O51" s="563"/>
      <c r="P51" s="561"/>
      <c r="Q51" s="562"/>
      <c r="R51" s="562"/>
      <c r="S51" s="562"/>
      <c r="T51" s="562"/>
      <c r="U51" s="563"/>
      <c r="V51" s="561"/>
      <c r="W51" s="562"/>
      <c r="X51" s="562"/>
      <c r="Y51" s="562"/>
      <c r="Z51" s="562"/>
      <c r="AA51" s="563"/>
      <c r="AB51" s="561"/>
      <c r="AC51" s="562"/>
      <c r="AD51" s="562"/>
      <c r="AE51" s="562"/>
      <c r="AF51" s="562"/>
      <c r="AG51" s="563"/>
      <c r="AH51" s="561"/>
      <c r="AI51" s="562"/>
      <c r="AJ51" s="562"/>
      <c r="AK51" s="562"/>
      <c r="AL51" s="562"/>
      <c r="AM51" s="563"/>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A1:CM248"/>
  <sheetViews>
    <sheetView zoomScale="80" zoomScaleNormal="80" workbookViewId="0">
      <selection activeCell="Q8" sqref="Q8"/>
    </sheetView>
  </sheetViews>
  <sheetFormatPr baseColWidth="10" defaultRowHeight="14.4" x14ac:dyDescent="0.3"/>
  <cols>
    <col min="2" max="18" width="5.6640625" customWidth="1"/>
    <col min="19" max="19" width="8.44140625" customWidth="1"/>
    <col min="20" max="23" width="5.6640625" customWidth="1"/>
    <col min="24" max="24" width="8.44140625" customWidth="1"/>
    <col min="25" max="26" width="5.6640625" customWidth="1"/>
    <col min="27" max="27" width="10.6640625" customWidth="1"/>
    <col min="28" max="28" width="5.6640625" customWidth="1"/>
    <col min="29" max="29" width="7.44140625" customWidth="1"/>
    <col min="30" max="33" width="5.6640625" customWidth="1"/>
    <col min="34" max="34" width="8.4414062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28" t="s">
        <v>148</v>
      </c>
      <c r="C2" s="629"/>
      <c r="D2" s="629"/>
      <c r="E2" s="629"/>
      <c r="F2" s="629"/>
      <c r="G2" s="629"/>
      <c r="H2" s="629"/>
      <c r="I2" s="629"/>
      <c r="J2" s="570" t="s">
        <v>2</v>
      </c>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29"/>
      <c r="C3" s="629"/>
      <c r="D3" s="629"/>
      <c r="E3" s="629"/>
      <c r="F3" s="629"/>
      <c r="G3" s="629"/>
      <c r="H3" s="629"/>
      <c r="I3" s="629"/>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29"/>
      <c r="C4" s="629"/>
      <c r="D4" s="629"/>
      <c r="E4" s="629"/>
      <c r="F4" s="629"/>
      <c r="G4" s="629"/>
      <c r="H4" s="629"/>
      <c r="I4" s="629"/>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0"/>
      <c r="AM4" s="570"/>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17" t="s">
        <v>4</v>
      </c>
      <c r="C6" s="517"/>
      <c r="D6" s="518"/>
      <c r="E6" s="612" t="s">
        <v>110</v>
      </c>
      <c r="F6" s="613"/>
      <c r="G6" s="613"/>
      <c r="H6" s="613"/>
      <c r="I6" s="630"/>
      <c r="J6" s="30" t="str">
        <f>IF(AND('Mapa final'!$AB$10="Muy Alta",'Mapa final'!$AD$10="Leve"),CONCATENATE("R1C",'Mapa final'!$R$10),"")</f>
        <v/>
      </c>
      <c r="K6" s="31" t="str">
        <f>IF(AND('Mapa final'!$AB$11="Muy Alta",'Mapa final'!$AD$11="Leve"),CONCATENATE("R1C",'Mapa final'!$R$11),"")</f>
        <v/>
      </c>
      <c r="L6" s="31" t="e">
        <f>IF(AND('Mapa final'!#REF!="Muy Alta",'Mapa final'!#REF!="Leve"),CONCATENATE("R1C",'Mapa final'!#REF!),"")</f>
        <v>#REF!</v>
      </c>
      <c r="M6" s="31" t="str">
        <f>IF(AND('Mapa final'!$AB$13="Muy Alta",'Mapa final'!$AD$13="Leve"),CONCATENATE("R1C",'Mapa final'!$R$13),"")</f>
        <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e">
        <f>IF(AND('Mapa final'!#REF!="Muy Alta",'Mapa final'!#REF!="Menor"),CONCATENATE("R1C",'Mapa final'!#REF!),"")</f>
        <v>#REF!</v>
      </c>
      <c r="S6" s="31" t="str">
        <f>IF(AND('Mapa final'!$AB$13="Muy Alta",'Mapa final'!$AD$13="Menor"),CONCATENATE("R1C",'Mapa final'!$R$13),"")</f>
        <v>R1C4</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R1C1</v>
      </c>
      <c r="W6" s="31" t="str">
        <f>IF(AND('Mapa final'!$AB$11="Muy Alta",'Mapa final'!$AD$11="Moderado"),CONCATENATE("R1C",'Mapa final'!$R$11),"")</f>
        <v>R1C2</v>
      </c>
      <c r="X6" s="31" t="e">
        <f>IF(AND('Mapa final'!#REF!="Muy Alta",'Mapa final'!#REF!="Moderado"),CONCATENATE("R1C",'Mapa final'!#REF!),"")</f>
        <v>#REF!</v>
      </c>
      <c r="Y6" s="31" t="str">
        <f>IF(AND('Mapa final'!$AB$13="Muy Alta",'Mapa final'!$AD$13="Moderado"),CONCATENATE("R1C",'Mapa final'!$R$13),"")</f>
        <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e">
        <f>IF(AND('Mapa final'!#REF!="Muy Alta",'Mapa final'!#REF!="Mayor"),CONCATENATE("R1C",'Mapa final'!#REF!),"")</f>
        <v>#REF!</v>
      </c>
      <c r="AE6" s="31" t="str">
        <f>IF(AND('Mapa final'!$AB$13="Muy Alta",'Mapa final'!$AD$13="Mayor"),CONCATENATE("R1C",'Mapa final'!$R$13),"")</f>
        <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e">
        <f>IF(AND('Mapa final'!#REF!="Muy Alta",'Mapa final'!#REF!="Catastrófico"),CONCATENATE("R1C",'Mapa final'!#REF!),"")</f>
        <v>#REF!</v>
      </c>
      <c r="AK6" s="34" t="str">
        <f>IF(AND('Mapa final'!$AB$13="Muy Alta",'Mapa final'!$AD$13="Catastrófico"),CONCATENATE("R1C",'Mapa final'!$R$13),"")</f>
        <v/>
      </c>
      <c r="AL6" s="34" t="e">
        <f>IF(AND('Mapa final'!#REF!="Muy Alta",'Mapa final'!#REF!="Catastrófico"),CONCATENATE("R1C",'Mapa final'!#REF!),"")</f>
        <v>#REF!</v>
      </c>
      <c r="AM6" s="35" t="e">
        <f>IF(AND('Mapa final'!#REF!="Muy Alta",'Mapa final'!#REF!="Catastrófico"),CONCATENATE("R1C",'Mapa final'!#REF!),"")</f>
        <v>#REF!</v>
      </c>
      <c r="AN6" s="67"/>
      <c r="AO6" s="619" t="s">
        <v>77</v>
      </c>
      <c r="AP6" s="620"/>
      <c r="AQ6" s="620"/>
      <c r="AR6" s="620"/>
      <c r="AS6" s="620"/>
      <c r="AT6" s="62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17"/>
      <c r="C7" s="517"/>
      <c r="D7" s="518"/>
      <c r="E7" s="616"/>
      <c r="F7" s="615"/>
      <c r="G7" s="615"/>
      <c r="H7" s="615"/>
      <c r="I7" s="631"/>
      <c r="J7" s="36" t="str">
        <f>IF(AND('Mapa final'!$AB$14="Muy Alta",'Mapa final'!$AD$14="Leve"),CONCATENATE("R2C",'Mapa final'!$R$14),"")</f>
        <v>R2C1</v>
      </c>
      <c r="K7" s="37" t="str">
        <f>IF(AND('Mapa final'!$AB$15="Muy Alta",'Mapa final'!$AD$15="Leve"),CONCATENATE("R2C",'Mapa final'!$R$15),"")</f>
        <v>R2C2</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final'!$AB$14="Muy Alta",'Mapa final'!$AD$14="Menor"),CONCATENATE("R2C",'Mapa final'!$R$14),"")</f>
        <v/>
      </c>
      <c r="Q7" s="37" t="str">
        <f>IF(AND('Mapa final'!$AB$15="Muy Alta",'Mapa final'!$AD$15="Menor"),CONCATENATE("R2C",'Mapa final'!$R$15),"")</f>
        <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final'!$AB$14="Muy Alta",'Mapa final'!$AD$14="Moderado"),CONCATENATE("R2C",'Mapa final'!$R$14),"")</f>
        <v/>
      </c>
      <c r="W7" s="37" t="str">
        <f>IF(AND('Mapa final'!$AB$15="Muy Alta",'Mapa final'!$AD$15="Moderado"),CONCATENATE("R2C",'Mapa final'!$R$15),"")</f>
        <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final'!$AB$14="Muy Alta",'Mapa final'!$AD$14="Mayor"),CONCATENATE("R2C",'Mapa final'!$R$14),"")</f>
        <v/>
      </c>
      <c r="AC7" s="37" t="str">
        <f>IF(AND('Mapa final'!$AB$15="Muy Alta",'Mapa final'!$AD$15="Mayor"),CONCATENATE("R2C",'Mapa final'!$R$15),"")</f>
        <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final'!$AB$14="Muy Alta",'Mapa final'!$AD$14="Catastrófico"),CONCATENATE("R2C",'Mapa final'!$R$14),"")</f>
        <v/>
      </c>
      <c r="AI7" s="40" t="str">
        <f>IF(AND('Mapa final'!$AB$15="Muy Alta",'Mapa final'!$AD$15="Catastrófico"),CONCATENATE("R2C",'Mapa final'!$R$15),"")</f>
        <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622"/>
      <c r="AP7" s="623"/>
      <c r="AQ7" s="623"/>
      <c r="AR7" s="623"/>
      <c r="AS7" s="623"/>
      <c r="AT7" s="62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17"/>
      <c r="C8" s="517"/>
      <c r="D8" s="518"/>
      <c r="E8" s="616"/>
      <c r="F8" s="615"/>
      <c r="G8" s="615"/>
      <c r="H8" s="615"/>
      <c r="I8" s="631"/>
      <c r="J8" s="36" t="str">
        <f>IF(AND('Mapa final'!$AB$16="Muy Alta",'Mapa final'!$AD$16="Leve"),CONCATENATE("R3C",'Mapa final'!$R$16),"")</f>
        <v/>
      </c>
      <c r="K8" s="37" t="str">
        <f>IF(AND('Mapa final'!$AB$17="Muy Alta",'Mapa final'!$AD$17="Leve"),CONCATENATE("R3C",'Mapa final'!$R$17),"")</f>
        <v/>
      </c>
      <c r="L8" s="37" t="str">
        <f>IF(AND('Mapa final'!$AB$18="Muy Alta",'Mapa final'!$AD$18="Leve"),CONCATENATE("R3C",'Mapa final'!$R$18),"")</f>
        <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str">
        <f>IF(AND('Mapa final'!$AB$16="Muy Alta",'Mapa final'!$AD$16="Menor"),CONCATENATE("R3C",'Mapa final'!$R$16),"")</f>
        <v/>
      </c>
      <c r="Q8" s="37" t="str">
        <f>IF(AND('Mapa final'!$AB$17="Muy Alta",'Mapa final'!$AD$17="Menor"),CONCATENATE("R3C",'Mapa final'!$R$17),"")</f>
        <v/>
      </c>
      <c r="R8" s="37" t="str">
        <f>IF(AND('Mapa final'!$AB$18="Muy Alta",'Mapa final'!$AD$18="Menor"),CONCATENATE("R3C",'Mapa final'!$R$18),"")</f>
        <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str">
        <f>IF(AND('Mapa final'!$AB$16="Muy Alta",'Mapa final'!$AD$16="Moderado"),CONCATENATE("R3C",'Mapa final'!$R$16),"")</f>
        <v/>
      </c>
      <c r="W8" s="37" t="str">
        <f>IF(AND('Mapa final'!$AB$17="Muy Alta",'Mapa final'!$AD$17="Moderado"),CONCATENATE("R3C",'Mapa final'!$R$17),"")</f>
        <v/>
      </c>
      <c r="X8" s="37" t="str">
        <f>IF(AND('Mapa final'!$AB$18="Muy Alta",'Mapa final'!$AD$18="Moderado"),CONCATENATE("R3C",'Mapa final'!$R$18),"")</f>
        <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str">
        <f>IF(AND('Mapa final'!$AB$16="Muy Alta",'Mapa final'!$AD$16="Mayor"),CONCATENATE("R3C",'Mapa final'!$R$16),"")</f>
        <v/>
      </c>
      <c r="AC8" s="37" t="str">
        <f>IF(AND('Mapa final'!$AB$17="Muy Alta",'Mapa final'!$AD$17="Mayor"),CONCATENATE("R3C",'Mapa final'!$R$17),"")</f>
        <v/>
      </c>
      <c r="AD8" s="37" t="str">
        <f>IF(AND('Mapa final'!$AB$18="Muy Alta",'Mapa final'!$AD$18="Mayor"),CONCATENATE("R3C",'Mapa final'!$R$18),"")</f>
        <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str">
        <f>IF(AND('Mapa final'!$AB$16="Muy Alta",'Mapa final'!$AD$16="Catastrófico"),CONCATENATE("R3C",'Mapa final'!$R$16),"")</f>
        <v/>
      </c>
      <c r="AI8" s="40" t="str">
        <f>IF(AND('Mapa final'!$AB$17="Muy Alta",'Mapa final'!$AD$17="Catastrófico"),CONCATENATE("R3C",'Mapa final'!$R$17),"")</f>
        <v/>
      </c>
      <c r="AJ8" s="40" t="str">
        <f>IF(AND('Mapa final'!$AB$18="Muy Alta",'Mapa final'!$AD$18="Catastrófico"),CONCATENATE("R3C",'Mapa final'!$R$18),"")</f>
        <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622"/>
      <c r="AP8" s="623"/>
      <c r="AQ8" s="623"/>
      <c r="AR8" s="623"/>
      <c r="AS8" s="623"/>
      <c r="AT8" s="62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17"/>
      <c r="C9" s="517"/>
      <c r="D9" s="518"/>
      <c r="E9" s="616"/>
      <c r="F9" s="615"/>
      <c r="G9" s="615"/>
      <c r="H9" s="615"/>
      <c r="I9" s="631"/>
      <c r="J9" s="36" t="str">
        <f>IF(AND('Mapa final'!$AB$19="Muy Alta",'Mapa final'!$AD$19="Leve"),CONCATENATE("R4C",'Mapa final'!$R$19),"")</f>
        <v/>
      </c>
      <c r="K9" s="37" t="e">
        <f>IF(AND('Mapa final'!#REF!="Muy Alta",'Mapa final'!#REF!="Leve"),CONCATENATE("R4C",'Mapa final'!#REF!),"")</f>
        <v>#REF!</v>
      </c>
      <c r="L9" s="37" t="e">
        <f>IF(AND('Mapa final'!#REF!="Muy Alta",'Mapa final'!#REF!="Leve"),CONCATENATE("R4C",'Mapa final'!#REF!),"")</f>
        <v>#REF!</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str">
        <f>IF(AND('Mapa final'!$AB$19="Muy Alta",'Mapa final'!$AD$19="Menor"),CONCATENATE("R4C",'Mapa final'!$R$19),"")</f>
        <v/>
      </c>
      <c r="Q9" s="37" t="e">
        <f>IF(AND('Mapa final'!#REF!="Muy Alta",'Mapa final'!#REF!="Menor"),CONCATENATE("R4C",'Mapa final'!#REF!),"")</f>
        <v>#REF!</v>
      </c>
      <c r="R9" s="37" t="e">
        <f>IF(AND('Mapa final'!#REF!="Muy Alta",'Mapa final'!#REF!="Menor"),CONCATENATE("R4C",'Mapa final'!#REF!),"")</f>
        <v>#REF!</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str">
        <f>IF(AND('Mapa final'!$AB$19="Muy Alta",'Mapa final'!$AD$19="Moderado"),CONCATENATE("R4C",'Mapa final'!$R$19),"")</f>
        <v/>
      </c>
      <c r="W9" s="37" t="e">
        <f>IF(AND('Mapa final'!#REF!="Muy Alta",'Mapa final'!#REF!="Moderado"),CONCATENATE("R4C",'Mapa final'!#REF!),"")</f>
        <v>#REF!</v>
      </c>
      <c r="X9" s="37" t="e">
        <f>IF(AND('Mapa final'!#REF!="Muy Alta",'Mapa final'!#REF!="Moderado"),CONCATENATE("R4C",'Mapa final'!#REF!),"")</f>
        <v>#REF!</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str">
        <f>IF(AND('Mapa final'!$AB$19="Muy Alta",'Mapa final'!$AD$19="Mayor"),CONCATENATE("R4C",'Mapa final'!$R$19),"")</f>
        <v/>
      </c>
      <c r="AC9" s="37" t="e">
        <f>IF(AND('Mapa final'!#REF!="Muy Alta",'Mapa final'!#REF!="Mayor"),CONCATENATE("R4C",'Mapa final'!#REF!),"")</f>
        <v>#REF!</v>
      </c>
      <c r="AD9" s="37" t="e">
        <f>IF(AND('Mapa final'!#REF!="Muy Alta",'Mapa final'!#REF!="Mayor"),CONCATENATE("R4C",'Mapa final'!#REF!),"")</f>
        <v>#REF!</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str">
        <f>IF(AND('Mapa final'!$AB$19="Muy Alta",'Mapa final'!$AD$19="Catastrófico"),CONCATENATE("R4C",'Mapa final'!$R$19),"")</f>
        <v/>
      </c>
      <c r="AI9" s="40" t="e">
        <f>IF(AND('Mapa final'!#REF!="Muy Alta",'Mapa final'!#REF!="Catastrófico"),CONCATENATE("R4C",'Mapa final'!#REF!),"")</f>
        <v>#REF!</v>
      </c>
      <c r="AJ9" s="40" t="e">
        <f>IF(AND('Mapa final'!#REF!="Muy Alta",'Mapa final'!#REF!="Catastrófico"),CONCATENATE("R4C",'Mapa final'!#REF!),"")</f>
        <v>#REF!</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622"/>
      <c r="AP9" s="623"/>
      <c r="AQ9" s="623"/>
      <c r="AR9" s="623"/>
      <c r="AS9" s="623"/>
      <c r="AT9" s="62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17"/>
      <c r="C10" s="517"/>
      <c r="D10" s="518"/>
      <c r="E10" s="616"/>
      <c r="F10" s="615"/>
      <c r="G10" s="615"/>
      <c r="H10" s="615"/>
      <c r="I10" s="631"/>
      <c r="J10" s="36" t="str">
        <f>IF(AND('Mapa final'!$AB$20="Muy Alta",'Mapa final'!$AD$20="Leve"),CONCATENATE("R5C",'Mapa final'!$R$20),"")</f>
        <v/>
      </c>
      <c r="K10" s="37" t="str">
        <f>IF(AND('Mapa final'!$AB$21="Muy Alta",'Mapa final'!$AD$21="Leve"),CONCATENATE("R5C",'Mapa final'!$R$21),"")</f>
        <v/>
      </c>
      <c r="L10" s="37" t="str">
        <f>IF(AND('Mapa final'!$AB$22="Muy Alta",'Mapa final'!$AD$22="Leve"),CONCATENATE("R5C",'Mapa final'!$R$22),"")</f>
        <v/>
      </c>
      <c r="M10" s="37" t="str">
        <f>IF(AND('Mapa final'!$AB$23="Muy Alta",'Mapa final'!$AD$23="Leve"),CONCATENATE("R5C",'Mapa final'!$R$23),"")</f>
        <v/>
      </c>
      <c r="N10" s="37" t="str">
        <f>IF(AND('Mapa final'!$AB$24="Muy Alta",'Mapa final'!$AD$24="Leve"),CONCATENATE("R5C",'Mapa final'!$R$24),"")</f>
        <v/>
      </c>
      <c r="O10" s="38" t="str">
        <f>IF(AND('Mapa final'!$AB$25="Muy Alta",'Mapa final'!$AD$25="Leve"),CONCATENATE("R5C",'Mapa final'!$R$25),"")</f>
        <v/>
      </c>
      <c r="P10" s="36" t="str">
        <f>IF(AND('Mapa final'!$AB$20="Muy Alta",'Mapa final'!$AD$20="Menor"),CONCATENATE("R5C",'Mapa final'!$R$20),"")</f>
        <v/>
      </c>
      <c r="Q10" s="37" t="str">
        <f>IF(AND('Mapa final'!$AB$21="Muy Alta",'Mapa final'!$AD$21="Menor"),CONCATENATE("R5C",'Mapa final'!$R$21),"")</f>
        <v/>
      </c>
      <c r="R10" s="37" t="str">
        <f>IF(AND('Mapa final'!$AB$22="Muy Alta",'Mapa final'!$AD$22="Menor"),CONCATENATE("R5C",'Mapa final'!$R$22),"")</f>
        <v/>
      </c>
      <c r="S10" s="37" t="str">
        <f>IF(AND('Mapa final'!$AB$23="Muy Alta",'Mapa final'!$AD$23="Menor"),CONCATENATE("R5C",'Mapa final'!$R$23),"")</f>
        <v/>
      </c>
      <c r="T10" s="37" t="str">
        <f>IF(AND('Mapa final'!$AB$24="Muy Alta",'Mapa final'!$AD$24="Menor"),CONCATENATE("R5C",'Mapa final'!$R$24),"")</f>
        <v/>
      </c>
      <c r="U10" s="38" t="str">
        <f>IF(AND('Mapa final'!$AB$25="Muy Alta",'Mapa final'!$AD$25="Menor"),CONCATENATE("R5C",'Mapa final'!$R$25),"")</f>
        <v/>
      </c>
      <c r="V10" s="36" t="str">
        <f>IF(AND('Mapa final'!$AB$20="Muy Alta",'Mapa final'!$AD$20="Moderado"),CONCATENATE("R5C",'Mapa final'!$R$20),"")</f>
        <v/>
      </c>
      <c r="W10" s="37" t="str">
        <f>IF(AND('Mapa final'!$AB$21="Muy Alta",'Mapa final'!$AD$21="Moderado"),CONCATENATE("R5C",'Mapa final'!$R$21),"")</f>
        <v/>
      </c>
      <c r="X10" s="37" t="str">
        <f>IF(AND('Mapa final'!$AB$22="Muy Alta",'Mapa final'!$AD$22="Moderado"),CONCATENATE("R5C",'Mapa final'!$R$22),"")</f>
        <v/>
      </c>
      <c r="Y10" s="37" t="str">
        <f>IF(AND('Mapa final'!$AB$23="Muy Alta",'Mapa final'!$AD$23="Moderado"),CONCATENATE("R5C",'Mapa final'!$R$23),"")</f>
        <v/>
      </c>
      <c r="Z10" s="37" t="str">
        <f>IF(AND('Mapa final'!$AB$24="Muy Alta",'Mapa final'!$AD$24="Moderado"),CONCATENATE("R5C",'Mapa final'!$R$24),"")</f>
        <v/>
      </c>
      <c r="AA10" s="38" t="str">
        <f>IF(AND('Mapa final'!$AB$25="Muy Alta",'Mapa final'!$AD$25="Moderado"),CONCATENATE("R5C",'Mapa final'!$R$25),"")</f>
        <v/>
      </c>
      <c r="AB10" s="36" t="str">
        <f>IF(AND('Mapa final'!$AB$20="Muy Alta",'Mapa final'!$AD$20="Mayor"),CONCATENATE("R5C",'Mapa final'!$R$20),"")</f>
        <v/>
      </c>
      <c r="AC10" s="37" t="str">
        <f>IF(AND('Mapa final'!$AB$21="Muy Alta",'Mapa final'!$AD$21="Mayor"),CONCATENATE("R5C",'Mapa final'!$R$21),"")</f>
        <v/>
      </c>
      <c r="AD10" s="37" t="str">
        <f>IF(AND('Mapa final'!$AB$22="Muy Alta",'Mapa final'!$AD$22="Mayor"),CONCATENATE("R5C",'Mapa final'!$R$22),"")</f>
        <v/>
      </c>
      <c r="AE10" s="37" t="str">
        <f>IF(AND('Mapa final'!$AB$23="Muy Alta",'Mapa final'!$AD$23="Mayor"),CONCATENATE("R5C",'Mapa final'!$R$23),"")</f>
        <v/>
      </c>
      <c r="AF10" s="37" t="str">
        <f>IF(AND('Mapa final'!$AB$24="Muy Alta",'Mapa final'!$AD$24="Mayor"),CONCATENATE("R5C",'Mapa final'!$R$24),"")</f>
        <v/>
      </c>
      <c r="AG10" s="38" t="str">
        <f>IF(AND('Mapa final'!$AB$25="Muy Alta",'Mapa final'!$AD$25="Mayor"),CONCATENATE("R5C",'Mapa final'!$R$25),"")</f>
        <v/>
      </c>
      <c r="AH10" s="39" t="str">
        <f>IF(AND('Mapa final'!$AB$20="Muy Alta",'Mapa final'!$AD$20="Catastrófico"),CONCATENATE("R5C",'Mapa final'!$R$20),"")</f>
        <v/>
      </c>
      <c r="AI10" s="40" t="str">
        <f>IF(AND('Mapa final'!$AB$21="Muy Alta",'Mapa final'!$AD$21="Catastrófico"),CONCATENATE("R5C",'Mapa final'!$R$21),"")</f>
        <v/>
      </c>
      <c r="AJ10" s="40" t="str">
        <f>IF(AND('Mapa final'!$AB$22="Muy Alta",'Mapa final'!$AD$22="Catastrófico"),CONCATENATE("R5C",'Mapa final'!$R$22),"")</f>
        <v/>
      </c>
      <c r="AK10" s="40" t="str">
        <f>IF(AND('Mapa final'!$AB$23="Muy Alta",'Mapa final'!$AD$23="Catastrófico"),CONCATENATE("R5C",'Mapa final'!$R$23),"")</f>
        <v/>
      </c>
      <c r="AL10" s="40" t="str">
        <f>IF(AND('Mapa final'!$AB$24="Muy Alta",'Mapa final'!$AD$24="Catastrófico"),CONCATENATE("R5C",'Mapa final'!$R$24),"")</f>
        <v/>
      </c>
      <c r="AM10" s="41" t="str">
        <f>IF(AND('Mapa final'!$AB$25="Muy Alta",'Mapa final'!$AD$25="Catastrófico"),CONCATENATE("R5C",'Mapa final'!$R$25),"")</f>
        <v/>
      </c>
      <c r="AN10" s="67"/>
      <c r="AO10" s="622"/>
      <c r="AP10" s="623"/>
      <c r="AQ10" s="623"/>
      <c r="AR10" s="623"/>
      <c r="AS10" s="623"/>
      <c r="AT10" s="62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17"/>
      <c r="C11" s="517"/>
      <c r="D11" s="518"/>
      <c r="E11" s="616"/>
      <c r="F11" s="615"/>
      <c r="G11" s="615"/>
      <c r="H11" s="615"/>
      <c r="I11" s="631"/>
      <c r="J11" s="36" t="str">
        <f>IF(AND('Mapa final'!$AB$26="Muy Alta",'Mapa final'!$AD$26="Leve"),CONCATENATE("R6C",'Mapa final'!$R$26),"")</f>
        <v/>
      </c>
      <c r="K11" s="37" t="str">
        <f>IF(AND('Mapa final'!$AB$27="Muy Alta",'Mapa final'!$AD$27="Leve"),CONCATENATE("R6C",'Mapa final'!$R$27),"")</f>
        <v/>
      </c>
      <c r="L11" s="37" t="str">
        <f>IF(AND('Mapa final'!$AB$28="Muy Alta",'Mapa final'!$AD$28="Leve"),CONCATENATE("R6C",'Mapa final'!$R$28),"")</f>
        <v/>
      </c>
      <c r="M11" s="37" t="str">
        <f>IF(AND('Mapa final'!$AB$29="Muy Alta",'Mapa final'!$AD$29="Leve"),CONCATENATE("R6C",'Mapa final'!$R$29),"")</f>
        <v/>
      </c>
      <c r="N11" s="37" t="str">
        <f>IF(AND('Mapa final'!$AB$30="Muy Alta",'Mapa final'!$AD$30="Leve"),CONCATENATE("R6C",'Mapa final'!$R$30),"")</f>
        <v/>
      </c>
      <c r="O11" s="38" t="str">
        <f>IF(AND('Mapa final'!$AB$31="Muy Alta",'Mapa final'!$AD$31="Leve"),CONCATENATE("R6C",'Mapa final'!$R$31),"")</f>
        <v/>
      </c>
      <c r="P11" s="36" t="str">
        <f>IF(AND('Mapa final'!$AB$26="Muy Alta",'Mapa final'!$AD$26="Menor"),CONCATENATE("R6C",'Mapa final'!$R$26),"")</f>
        <v/>
      </c>
      <c r="Q11" s="37" t="str">
        <f>IF(AND('Mapa final'!$AB$27="Muy Alta",'Mapa final'!$AD$27="Menor"),CONCATENATE("R6C",'Mapa final'!$R$27),"")</f>
        <v/>
      </c>
      <c r="R11" s="37" t="str">
        <f>IF(AND('Mapa final'!$AB$28="Muy Alta",'Mapa final'!$AD$28="Menor"),CONCATENATE("R6C",'Mapa final'!$R$28),"")</f>
        <v/>
      </c>
      <c r="S11" s="37" t="str">
        <f>IF(AND('Mapa final'!$AB$29="Muy Alta",'Mapa final'!$AD$29="Menor"),CONCATENATE("R6C",'Mapa final'!$R$29),"")</f>
        <v/>
      </c>
      <c r="T11" s="37" t="str">
        <f>IF(AND('Mapa final'!$AB$30="Muy Alta",'Mapa final'!$AD$30="Menor"),CONCATENATE("R6C",'Mapa final'!$R$30),"")</f>
        <v/>
      </c>
      <c r="U11" s="38" t="str">
        <f>IF(AND('Mapa final'!$AB$31="Muy Alta",'Mapa final'!$AD$31="Menor"),CONCATENATE("R6C",'Mapa final'!$R$31),"")</f>
        <v/>
      </c>
      <c r="V11" s="36" t="str">
        <f>IF(AND('Mapa final'!$AB$26="Muy Alta",'Mapa final'!$AD$26="Moderado"),CONCATENATE("R6C",'Mapa final'!$R$26),"")</f>
        <v/>
      </c>
      <c r="W11" s="37" t="str">
        <f>IF(AND('Mapa final'!$AB$27="Muy Alta",'Mapa final'!$AD$27="Moderado"),CONCATENATE("R6C",'Mapa final'!$R$27),"")</f>
        <v/>
      </c>
      <c r="X11" s="37" t="str">
        <f>IF(AND('Mapa final'!$AB$28="Muy Alta",'Mapa final'!$AD$28="Moderado"),CONCATENATE("R6C",'Mapa final'!$R$28),"")</f>
        <v/>
      </c>
      <c r="Y11" s="37" t="str">
        <f>IF(AND('Mapa final'!$AB$29="Muy Alta",'Mapa final'!$AD$29="Moderado"),CONCATENATE("R6C",'Mapa final'!$R$29),"")</f>
        <v/>
      </c>
      <c r="Z11" s="37" t="str">
        <f>IF(AND('Mapa final'!$AB$30="Muy Alta",'Mapa final'!$AD$30="Moderado"),CONCATENATE("R6C",'Mapa final'!$R$30),"")</f>
        <v/>
      </c>
      <c r="AA11" s="38" t="str">
        <f>IF(AND('Mapa final'!$AB$31="Muy Alta",'Mapa final'!$AD$31="Moderado"),CONCATENATE("R6C",'Mapa final'!$R$31),"")</f>
        <v/>
      </c>
      <c r="AB11" s="36" t="str">
        <f>IF(AND('Mapa final'!$AB$26="Muy Alta",'Mapa final'!$AD$26="Mayor"),CONCATENATE("R6C",'Mapa final'!$R$26),"")</f>
        <v/>
      </c>
      <c r="AC11" s="37" t="str">
        <f>IF(AND('Mapa final'!$AB$27="Muy Alta",'Mapa final'!$AD$27="Mayor"),CONCATENATE("R6C",'Mapa final'!$R$27),"")</f>
        <v/>
      </c>
      <c r="AD11" s="37" t="str">
        <f>IF(AND('Mapa final'!$AB$28="Muy Alta",'Mapa final'!$AD$28="Mayor"),CONCATENATE("R6C",'Mapa final'!$R$28),"")</f>
        <v/>
      </c>
      <c r="AE11" s="37" t="str">
        <f>IF(AND('Mapa final'!$AB$29="Muy Alta",'Mapa final'!$AD$29="Mayor"),CONCATENATE("R6C",'Mapa final'!$R$29),"")</f>
        <v/>
      </c>
      <c r="AF11" s="37" t="str">
        <f>IF(AND('Mapa final'!$AB$30="Muy Alta",'Mapa final'!$AD$30="Mayor"),CONCATENATE("R6C",'Mapa final'!$R$30),"")</f>
        <v/>
      </c>
      <c r="AG11" s="38" t="str">
        <f>IF(AND('Mapa final'!$AB$31="Muy Alta",'Mapa final'!$AD$31="Mayor"),CONCATENATE("R6C",'Mapa final'!$R$31),"")</f>
        <v/>
      </c>
      <c r="AH11" s="39" t="str">
        <f>IF(AND('Mapa final'!$AB$26="Muy Alta",'Mapa final'!$AD$26="Catastrófico"),CONCATENATE("R6C",'Mapa final'!$R$26),"")</f>
        <v/>
      </c>
      <c r="AI11" s="40" t="str">
        <f>IF(AND('Mapa final'!$AB$27="Muy Alta",'Mapa final'!$AD$27="Catastrófico"),CONCATENATE("R6C",'Mapa final'!$R$27),"")</f>
        <v/>
      </c>
      <c r="AJ11" s="40" t="str">
        <f>IF(AND('Mapa final'!$AB$28="Muy Alta",'Mapa final'!$AD$28="Catastrófico"),CONCATENATE("R6C",'Mapa final'!$R$28),"")</f>
        <v/>
      </c>
      <c r="AK11" s="40" t="str">
        <f>IF(AND('Mapa final'!$AB$29="Muy Alta",'Mapa final'!$AD$29="Catastrófico"),CONCATENATE("R6C",'Mapa final'!$R$29),"")</f>
        <v/>
      </c>
      <c r="AL11" s="40" t="str">
        <f>IF(AND('Mapa final'!$AB$30="Muy Alta",'Mapa final'!$AD$30="Catastrófico"),CONCATENATE("R6C",'Mapa final'!$R$30),"")</f>
        <v/>
      </c>
      <c r="AM11" s="41" t="str">
        <f>IF(AND('Mapa final'!$AB$31="Muy Alta",'Mapa final'!$AD$31="Catastrófico"),CONCATENATE("R6C",'Mapa final'!$R$31),"")</f>
        <v/>
      </c>
      <c r="AN11" s="67"/>
      <c r="AO11" s="622"/>
      <c r="AP11" s="623"/>
      <c r="AQ11" s="623"/>
      <c r="AR11" s="623"/>
      <c r="AS11" s="623"/>
      <c r="AT11" s="62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17"/>
      <c r="C12" s="517"/>
      <c r="D12" s="518"/>
      <c r="E12" s="616"/>
      <c r="F12" s="615"/>
      <c r="G12" s="615"/>
      <c r="H12" s="615"/>
      <c r="I12" s="631"/>
      <c r="J12" s="36" t="str">
        <f>IF(AND('Mapa final'!$AB$32="Muy Alta",'Mapa final'!$AD$32="Leve"),CONCATENATE("R7C",'Mapa final'!$R$32),"")</f>
        <v/>
      </c>
      <c r="K12" s="37" t="str">
        <f>IF(AND('Mapa final'!$AB$33="Muy Alta",'Mapa final'!$AD$33="Leve"),CONCATENATE("R7C",'Mapa final'!$R$33),"")</f>
        <v/>
      </c>
      <c r="L12" s="37" t="str">
        <f>IF(AND('Mapa final'!$AB$34="Muy Alta",'Mapa final'!$AD$34="Leve"),CONCATENATE("R7C",'Mapa final'!$R$34),"")</f>
        <v/>
      </c>
      <c r="M12" s="37" t="str">
        <f>IF(AND('Mapa final'!$AB$35="Muy Alta",'Mapa final'!$AD$35="Leve"),CONCATENATE("R7C",'Mapa final'!$R$35),"")</f>
        <v/>
      </c>
      <c r="N12" s="37" t="str">
        <f>IF(AND('Mapa final'!$AB$36="Muy Alta",'Mapa final'!$AD$36="Leve"),CONCATENATE("R7C",'Mapa final'!$R$36),"")</f>
        <v/>
      </c>
      <c r="O12" s="38" t="str">
        <f>IF(AND('Mapa final'!$AB$37="Muy Alta",'Mapa final'!$AD$37="Leve"),CONCATENATE("R7C",'Mapa final'!$R$37),"")</f>
        <v/>
      </c>
      <c r="P12" s="36" t="str">
        <f>IF(AND('Mapa final'!$AB$32="Muy Alta",'Mapa final'!$AD$32="Menor"),CONCATENATE("R7C",'Mapa final'!$R$32),"")</f>
        <v/>
      </c>
      <c r="Q12" s="37" t="str">
        <f>IF(AND('Mapa final'!$AB$33="Muy Alta",'Mapa final'!$AD$33="Menor"),CONCATENATE("R7C",'Mapa final'!$R$33),"")</f>
        <v/>
      </c>
      <c r="R12" s="37" t="str">
        <f>IF(AND('Mapa final'!$AB$34="Muy Alta",'Mapa final'!$AD$34="Menor"),CONCATENATE("R7C",'Mapa final'!$R$34),"")</f>
        <v/>
      </c>
      <c r="S12" s="37" t="str">
        <f>IF(AND('Mapa final'!$AB$35="Muy Alta",'Mapa final'!$AD$35="Menor"),CONCATENATE("R7C",'Mapa final'!$R$35),"")</f>
        <v/>
      </c>
      <c r="T12" s="37" t="str">
        <f>IF(AND('Mapa final'!$AB$36="Muy Alta",'Mapa final'!$AD$36="Menor"),CONCATENATE("R7C",'Mapa final'!$R$36),"")</f>
        <v/>
      </c>
      <c r="U12" s="38" t="str">
        <f>IF(AND('Mapa final'!$AB$37="Muy Alta",'Mapa final'!$AD$37="Menor"),CONCATENATE("R7C",'Mapa final'!$R$37),"")</f>
        <v/>
      </c>
      <c r="V12" s="36" t="str">
        <f>IF(AND('Mapa final'!$AB$32="Muy Alta",'Mapa final'!$AD$32="Moderado"),CONCATENATE("R7C",'Mapa final'!$R$32),"")</f>
        <v/>
      </c>
      <c r="W12" s="37" t="str">
        <f>IF(AND('Mapa final'!$AB$33="Muy Alta",'Mapa final'!$AD$33="Moderado"),CONCATENATE("R7C",'Mapa final'!$R$33),"")</f>
        <v/>
      </c>
      <c r="X12" s="37" t="str">
        <f>IF(AND('Mapa final'!$AB$34="Muy Alta",'Mapa final'!$AD$34="Moderado"),CONCATENATE("R7C",'Mapa final'!$R$34),"")</f>
        <v/>
      </c>
      <c r="Y12" s="37" t="str">
        <f>IF(AND('Mapa final'!$AB$35="Muy Alta",'Mapa final'!$AD$35="Moderado"),CONCATENATE("R7C",'Mapa final'!$R$35),"")</f>
        <v/>
      </c>
      <c r="Z12" s="37" t="str">
        <f>IF(AND('Mapa final'!$AB$36="Muy Alta",'Mapa final'!$AD$36="Moderado"),CONCATENATE("R7C",'Mapa final'!$R$36),"")</f>
        <v/>
      </c>
      <c r="AA12" s="38" t="str">
        <f>IF(AND('Mapa final'!$AB$37="Muy Alta",'Mapa final'!$AD$37="Moderado"),CONCATENATE("R7C",'Mapa final'!$R$37),"")</f>
        <v/>
      </c>
      <c r="AB12" s="36" t="str">
        <f>IF(AND('Mapa final'!$AB$32="Muy Alta",'Mapa final'!$AD$32="Mayor"),CONCATENATE("R7C",'Mapa final'!$R$32),"")</f>
        <v/>
      </c>
      <c r="AC12" s="37" t="str">
        <f>IF(AND('Mapa final'!$AB$33="Muy Alta",'Mapa final'!$AD$33="Mayor"),CONCATENATE("R7C",'Mapa final'!$R$33),"")</f>
        <v/>
      </c>
      <c r="AD12" s="37" t="str">
        <f>IF(AND('Mapa final'!$AB$34="Muy Alta",'Mapa final'!$AD$34="Mayor"),CONCATENATE("R7C",'Mapa final'!$R$34),"")</f>
        <v/>
      </c>
      <c r="AE12" s="37" t="str">
        <f>IF(AND('Mapa final'!$AB$35="Muy Alta",'Mapa final'!$AD$35="Mayor"),CONCATENATE("R7C",'Mapa final'!$R$35),"")</f>
        <v/>
      </c>
      <c r="AF12" s="37" t="str">
        <f>IF(AND('Mapa final'!$AB$36="Muy Alta",'Mapa final'!$AD$36="Mayor"),CONCATENATE("R7C",'Mapa final'!$R$36),"")</f>
        <v/>
      </c>
      <c r="AG12" s="38" t="str">
        <f>IF(AND('Mapa final'!$AB$37="Muy Alta",'Mapa final'!$AD$37="Mayor"),CONCATENATE("R7C",'Mapa final'!$R$37),"")</f>
        <v/>
      </c>
      <c r="AH12" s="39" t="str">
        <f>IF(AND('Mapa final'!$AB$32="Muy Alta",'Mapa final'!$AD$32="Catastrófico"),CONCATENATE("R7C",'Mapa final'!$R$32),"")</f>
        <v/>
      </c>
      <c r="AI12" s="40" t="str">
        <f>IF(AND('Mapa final'!$AB$33="Muy Alta",'Mapa final'!$AD$33="Catastrófico"),CONCATENATE("R7C",'Mapa final'!$R$33),"")</f>
        <v/>
      </c>
      <c r="AJ12" s="40" t="str">
        <f>IF(AND('Mapa final'!$AB$34="Muy Alta",'Mapa final'!$AD$34="Catastrófico"),CONCATENATE("R7C",'Mapa final'!$R$34),"")</f>
        <v/>
      </c>
      <c r="AK12" s="40" t="str">
        <f>IF(AND('Mapa final'!$AB$35="Muy Alta",'Mapa final'!$AD$35="Catastrófico"),CONCATENATE("R7C",'Mapa final'!$R$35),"")</f>
        <v/>
      </c>
      <c r="AL12" s="40" t="str">
        <f>IF(AND('Mapa final'!$AB$36="Muy Alta",'Mapa final'!$AD$36="Catastrófico"),CONCATENATE("R7C",'Mapa final'!$R$36),"")</f>
        <v/>
      </c>
      <c r="AM12" s="41" t="str">
        <f>IF(AND('Mapa final'!$AB$37="Muy Alta",'Mapa final'!$AD$37="Catastrófico"),CONCATENATE("R7C",'Mapa final'!$R$37),"")</f>
        <v/>
      </c>
      <c r="AN12" s="67"/>
      <c r="AO12" s="622"/>
      <c r="AP12" s="623"/>
      <c r="AQ12" s="623"/>
      <c r="AR12" s="623"/>
      <c r="AS12" s="623"/>
      <c r="AT12" s="62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17"/>
      <c r="C13" s="517"/>
      <c r="D13" s="518"/>
      <c r="E13" s="616"/>
      <c r="F13" s="615"/>
      <c r="G13" s="615"/>
      <c r="H13" s="615"/>
      <c r="I13" s="631"/>
      <c r="J13" s="36" t="str">
        <f>IF(AND('Mapa final'!$AB$38="Muy Alta",'Mapa final'!$AD$38="Leve"),CONCATENATE("R8C",'Mapa final'!$R$38),"")</f>
        <v/>
      </c>
      <c r="K13" s="37" t="str">
        <f>IF(AND('Mapa final'!$AB$39="Muy Alta",'Mapa final'!$AD$39="Leve"),CONCATENATE("R8C",'Mapa final'!$R$39),"")</f>
        <v/>
      </c>
      <c r="L13" s="37" t="str">
        <f>IF(AND('Mapa final'!$AB$40="Muy Alta",'Mapa final'!$AD$40="Leve"),CONCATENATE("R8C",'Mapa final'!$R$40),"")</f>
        <v/>
      </c>
      <c r="M13" s="37" t="str">
        <f>IF(AND('Mapa final'!$AB$41="Muy Alta",'Mapa final'!$AD$41="Leve"),CONCATENATE("R8C",'Mapa final'!$R$41),"")</f>
        <v/>
      </c>
      <c r="N13" s="37" t="str">
        <f>IF(AND('Mapa final'!$AB$42="Muy Alta",'Mapa final'!$AD$42="Leve"),CONCATENATE("R8C",'Mapa final'!$R$42),"")</f>
        <v/>
      </c>
      <c r="O13" s="38" t="str">
        <f>IF(AND('Mapa final'!$AB$43="Muy Alta",'Mapa final'!$AD$43="Leve"),CONCATENATE("R8C",'Mapa final'!$R$43),"")</f>
        <v/>
      </c>
      <c r="P13" s="36" t="str">
        <f>IF(AND('Mapa final'!$AB$38="Muy Alta",'Mapa final'!$AD$38="Menor"),CONCATENATE("R8C",'Mapa final'!$R$38),"")</f>
        <v/>
      </c>
      <c r="Q13" s="37" t="str">
        <f>IF(AND('Mapa final'!$AB$39="Muy Alta",'Mapa final'!$AD$39="Menor"),CONCATENATE("R8C",'Mapa final'!$R$39),"")</f>
        <v/>
      </c>
      <c r="R13" s="37" t="str">
        <f>IF(AND('Mapa final'!$AB$40="Muy Alta",'Mapa final'!$AD$40="Menor"),CONCATENATE("R8C",'Mapa final'!$R$40),"")</f>
        <v/>
      </c>
      <c r="S13" s="37" t="str">
        <f>IF(AND('Mapa final'!$AB$41="Muy Alta",'Mapa final'!$AD$41="Menor"),CONCATENATE("R8C",'Mapa final'!$R$41),"")</f>
        <v/>
      </c>
      <c r="T13" s="37" t="str">
        <f>IF(AND('Mapa final'!$AB$42="Muy Alta",'Mapa final'!$AD$42="Menor"),CONCATENATE("R8C",'Mapa final'!$R$42),"")</f>
        <v/>
      </c>
      <c r="U13" s="38" t="str">
        <f>IF(AND('Mapa final'!$AB$43="Muy Alta",'Mapa final'!$AD$43="Menor"),CONCATENATE("R8C",'Mapa final'!$R$43),"")</f>
        <v/>
      </c>
      <c r="V13" s="36" t="str">
        <f>IF(AND('Mapa final'!$AB$38="Muy Alta",'Mapa final'!$AD$38="Moderado"),CONCATENATE("R8C",'Mapa final'!$R$38),"")</f>
        <v/>
      </c>
      <c r="W13" s="37" t="str">
        <f>IF(AND('Mapa final'!$AB$39="Muy Alta",'Mapa final'!$AD$39="Moderado"),CONCATENATE("R8C",'Mapa final'!$R$39),"")</f>
        <v/>
      </c>
      <c r="X13" s="37" t="str">
        <f>IF(AND('Mapa final'!$AB$40="Muy Alta",'Mapa final'!$AD$40="Moderado"),CONCATENATE("R8C",'Mapa final'!$R$40),"")</f>
        <v/>
      </c>
      <c r="Y13" s="37" t="str">
        <f>IF(AND('Mapa final'!$AB$41="Muy Alta",'Mapa final'!$AD$41="Moderado"),CONCATENATE("R8C",'Mapa final'!$R$41),"")</f>
        <v/>
      </c>
      <c r="Z13" s="37" t="str">
        <f>IF(AND('Mapa final'!$AB$42="Muy Alta",'Mapa final'!$AD$42="Moderado"),CONCATENATE("R8C",'Mapa final'!$R$42),"")</f>
        <v/>
      </c>
      <c r="AA13" s="38" t="str">
        <f>IF(AND('Mapa final'!$AB$43="Muy Alta",'Mapa final'!$AD$43="Moderado"),CONCATENATE("R8C",'Mapa final'!$R$43),"")</f>
        <v/>
      </c>
      <c r="AB13" s="36" t="str">
        <f>IF(AND('Mapa final'!$AB$38="Muy Alta",'Mapa final'!$AD$38="Mayor"),CONCATENATE("R8C",'Mapa final'!$R$38),"")</f>
        <v/>
      </c>
      <c r="AC13" s="37" t="str">
        <f>IF(AND('Mapa final'!$AB$39="Muy Alta",'Mapa final'!$AD$39="Mayor"),CONCATENATE("R8C",'Mapa final'!$R$39),"")</f>
        <v/>
      </c>
      <c r="AD13" s="37" t="str">
        <f>IF(AND('Mapa final'!$AB$40="Muy Alta",'Mapa final'!$AD$40="Mayor"),CONCATENATE("R8C",'Mapa final'!$R$40),"")</f>
        <v/>
      </c>
      <c r="AE13" s="37" t="str">
        <f>IF(AND('Mapa final'!$AB$41="Muy Alta",'Mapa final'!$AD$41="Mayor"),CONCATENATE("R8C",'Mapa final'!$R$41),"")</f>
        <v/>
      </c>
      <c r="AF13" s="37" t="str">
        <f>IF(AND('Mapa final'!$AB$42="Muy Alta",'Mapa final'!$AD$42="Mayor"),CONCATENATE("R8C",'Mapa final'!$R$42),"")</f>
        <v/>
      </c>
      <c r="AG13" s="38" t="str">
        <f>IF(AND('Mapa final'!$AB$43="Muy Alta",'Mapa final'!$AD$43="Mayor"),CONCATENATE("R8C",'Mapa final'!$R$43),"")</f>
        <v/>
      </c>
      <c r="AH13" s="39" t="str">
        <f>IF(AND('Mapa final'!$AB$38="Muy Alta",'Mapa final'!$AD$38="Catastrófico"),CONCATENATE("R8C",'Mapa final'!$R$38),"")</f>
        <v/>
      </c>
      <c r="AI13" s="40" t="str">
        <f>IF(AND('Mapa final'!$AB$39="Muy Alta",'Mapa final'!$AD$39="Catastrófico"),CONCATENATE("R8C",'Mapa final'!$R$39),"")</f>
        <v/>
      </c>
      <c r="AJ13" s="40" t="str">
        <f>IF(AND('Mapa final'!$AB$40="Muy Alta",'Mapa final'!$AD$40="Catastrófico"),CONCATENATE("R8C",'Mapa final'!$R$40),"")</f>
        <v/>
      </c>
      <c r="AK13" s="40" t="str">
        <f>IF(AND('Mapa final'!$AB$41="Muy Alta",'Mapa final'!$AD$41="Catastrófico"),CONCATENATE("R8C",'Mapa final'!$R$41),"")</f>
        <v/>
      </c>
      <c r="AL13" s="40" t="str">
        <f>IF(AND('Mapa final'!$AB$42="Muy Alta",'Mapa final'!$AD$42="Catastrófico"),CONCATENATE("R8C",'Mapa final'!$R$42),"")</f>
        <v/>
      </c>
      <c r="AM13" s="41" t="str">
        <f>IF(AND('Mapa final'!$AB$43="Muy Alta",'Mapa final'!$AD$43="Catastrófico"),CONCATENATE("R8C",'Mapa final'!$R$43),"")</f>
        <v/>
      </c>
      <c r="AN13" s="67"/>
      <c r="AO13" s="622"/>
      <c r="AP13" s="623"/>
      <c r="AQ13" s="623"/>
      <c r="AR13" s="623"/>
      <c r="AS13" s="623"/>
      <c r="AT13" s="624"/>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17"/>
      <c r="C14" s="517"/>
      <c r="D14" s="518"/>
      <c r="E14" s="616"/>
      <c r="F14" s="615"/>
      <c r="G14" s="615"/>
      <c r="H14" s="615"/>
      <c r="I14" s="631"/>
      <c r="J14" s="36" t="str">
        <f>IF(AND('Mapa final'!$AB$44="Muy Alta",'Mapa final'!$AD$44="Leve"),CONCATENATE("R9C",'Mapa final'!$R$44),"")</f>
        <v/>
      </c>
      <c r="K14" s="37" t="str">
        <f>IF(AND('Mapa final'!$AB$45="Muy Alta",'Mapa final'!$AD$45="Leve"),CONCATENATE("R9C",'Mapa final'!$R$45),"")</f>
        <v/>
      </c>
      <c r="L14" s="37" t="str">
        <f>IF(AND('Mapa final'!$AB$46="Muy Alta",'Mapa final'!$AD$46="Leve"),CONCATENATE("R9C",'Mapa final'!$R$46),"")</f>
        <v/>
      </c>
      <c r="M14" s="37" t="str">
        <f>IF(AND('Mapa final'!$AB$47="Muy Alta",'Mapa final'!$AD$47="Leve"),CONCATENATE("R9C",'Mapa final'!$R$47),"")</f>
        <v/>
      </c>
      <c r="N14" s="37" t="str">
        <f>IF(AND('Mapa final'!$AB$48="Muy Alta",'Mapa final'!$AD$48="Leve"),CONCATENATE("R9C",'Mapa final'!$R$48),"")</f>
        <v/>
      </c>
      <c r="O14" s="38" t="str">
        <f>IF(AND('Mapa final'!$AB$49="Muy Alta",'Mapa final'!$AD$49="Leve"),CONCATENATE("R9C",'Mapa final'!$R$49),"")</f>
        <v/>
      </c>
      <c r="P14" s="36" t="str">
        <f>IF(AND('Mapa final'!$AB$44="Muy Alta",'Mapa final'!$AD$44="Menor"),CONCATENATE("R9C",'Mapa final'!$R$44),"")</f>
        <v/>
      </c>
      <c r="Q14" s="37" t="str">
        <f>IF(AND('Mapa final'!$AB$45="Muy Alta",'Mapa final'!$AD$45="Menor"),CONCATENATE("R9C",'Mapa final'!$R$45),"")</f>
        <v/>
      </c>
      <c r="R14" s="37" t="str">
        <f>IF(AND('Mapa final'!$AB$46="Muy Alta",'Mapa final'!$AD$46="Menor"),CONCATENATE("R9C",'Mapa final'!$R$46),"")</f>
        <v/>
      </c>
      <c r="S14" s="37" t="str">
        <f>IF(AND('Mapa final'!$AB$47="Muy Alta",'Mapa final'!$AD$47="Menor"),CONCATENATE("R9C",'Mapa final'!$R$47),"")</f>
        <v/>
      </c>
      <c r="T14" s="37" t="str">
        <f>IF(AND('Mapa final'!$AB$48="Muy Alta",'Mapa final'!$AD$48="Menor"),CONCATENATE("R9C",'Mapa final'!$R$48),"")</f>
        <v/>
      </c>
      <c r="U14" s="38" t="str">
        <f>IF(AND('Mapa final'!$AB$49="Muy Alta",'Mapa final'!$AD$49="Menor"),CONCATENATE("R9C",'Mapa final'!$R$49),"")</f>
        <v/>
      </c>
      <c r="V14" s="36" t="str">
        <f>IF(AND('Mapa final'!$AB$44="Muy Alta",'Mapa final'!$AD$44="Moderado"),CONCATENATE("R9C",'Mapa final'!$R$44),"")</f>
        <v/>
      </c>
      <c r="W14" s="37" t="str">
        <f>IF(AND('Mapa final'!$AB$45="Muy Alta",'Mapa final'!$AD$45="Moderado"),CONCATENATE("R9C",'Mapa final'!$R$45),"")</f>
        <v/>
      </c>
      <c r="X14" s="37" t="str">
        <f>IF(AND('Mapa final'!$AB$46="Muy Alta",'Mapa final'!$AD$46="Moderado"),CONCATENATE("R9C",'Mapa final'!$R$46),"")</f>
        <v/>
      </c>
      <c r="Y14" s="37" t="str">
        <f>IF(AND('Mapa final'!$AB$47="Muy Alta",'Mapa final'!$AD$47="Moderado"),CONCATENATE("R9C",'Mapa final'!$R$47),"")</f>
        <v/>
      </c>
      <c r="Z14" s="37" t="str">
        <f>IF(AND('Mapa final'!$AB$48="Muy Alta",'Mapa final'!$AD$48="Moderado"),CONCATENATE("R9C",'Mapa final'!$R$48),"")</f>
        <v/>
      </c>
      <c r="AA14" s="38" t="str">
        <f>IF(AND('Mapa final'!$AB$49="Muy Alta",'Mapa final'!$AD$49="Moderado"),CONCATENATE("R9C",'Mapa final'!$R$49),"")</f>
        <v/>
      </c>
      <c r="AB14" s="36" t="str">
        <f>IF(AND('Mapa final'!$AB$44="Muy Alta",'Mapa final'!$AD$44="Mayor"),CONCATENATE("R9C",'Mapa final'!$R$44),"")</f>
        <v/>
      </c>
      <c r="AC14" s="37" t="str">
        <f>IF(AND('Mapa final'!$AB$45="Muy Alta",'Mapa final'!$AD$45="Mayor"),CONCATENATE("R9C",'Mapa final'!$R$45),"")</f>
        <v/>
      </c>
      <c r="AD14" s="37" t="str">
        <f>IF(AND('Mapa final'!$AB$46="Muy Alta",'Mapa final'!$AD$46="Mayor"),CONCATENATE("R9C",'Mapa final'!$R$46),"")</f>
        <v/>
      </c>
      <c r="AE14" s="37" t="str">
        <f>IF(AND('Mapa final'!$AB$47="Muy Alta",'Mapa final'!$AD$47="Mayor"),CONCATENATE("R9C",'Mapa final'!$R$47),"")</f>
        <v/>
      </c>
      <c r="AF14" s="37" t="str">
        <f>IF(AND('Mapa final'!$AB$48="Muy Alta",'Mapa final'!$AD$48="Mayor"),CONCATENATE("R9C",'Mapa final'!$R$48),"")</f>
        <v/>
      </c>
      <c r="AG14" s="38" t="str">
        <f>IF(AND('Mapa final'!$AB$49="Muy Alta",'Mapa final'!$AD$49="Mayor"),CONCATENATE("R9C",'Mapa final'!$R$49),"")</f>
        <v/>
      </c>
      <c r="AH14" s="39" t="str">
        <f>IF(AND('Mapa final'!$AB$44="Muy Alta",'Mapa final'!$AD$44="Catastrófico"),CONCATENATE("R9C",'Mapa final'!$R$44),"")</f>
        <v/>
      </c>
      <c r="AI14" s="40" t="str">
        <f>IF(AND('Mapa final'!$AB$45="Muy Alta",'Mapa final'!$AD$45="Catastrófico"),CONCATENATE("R9C",'Mapa final'!$R$45),"")</f>
        <v/>
      </c>
      <c r="AJ14" s="40" t="str">
        <f>IF(AND('Mapa final'!$AB$46="Muy Alta",'Mapa final'!$AD$46="Catastrófico"),CONCATENATE("R9C",'Mapa final'!$R$46),"")</f>
        <v/>
      </c>
      <c r="AK14" s="40" t="str">
        <f>IF(AND('Mapa final'!$AB$47="Muy Alta",'Mapa final'!$AD$47="Catastrófico"),CONCATENATE("R9C",'Mapa final'!$R$47),"")</f>
        <v/>
      </c>
      <c r="AL14" s="40" t="str">
        <f>IF(AND('Mapa final'!$AB$48="Muy Alta",'Mapa final'!$AD$48="Catastrófico"),CONCATENATE("R9C",'Mapa final'!$R$48),"")</f>
        <v/>
      </c>
      <c r="AM14" s="41" t="str">
        <f>IF(AND('Mapa final'!$AB$49="Muy Alta",'Mapa final'!$AD$49="Catastrófico"),CONCATENATE("R9C",'Mapa final'!$R$49),"")</f>
        <v/>
      </c>
      <c r="AN14" s="67"/>
      <c r="AO14" s="622"/>
      <c r="AP14" s="623"/>
      <c r="AQ14" s="623"/>
      <c r="AR14" s="623"/>
      <c r="AS14" s="623"/>
      <c r="AT14" s="624"/>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17"/>
      <c r="C15" s="517"/>
      <c r="D15" s="518"/>
      <c r="E15" s="617"/>
      <c r="F15" s="618"/>
      <c r="G15" s="618"/>
      <c r="H15" s="618"/>
      <c r="I15" s="632"/>
      <c r="J15" s="42" t="str">
        <f>IF(AND('Mapa final'!$AB$50="Muy Alta",'Mapa final'!$AD$50="Leve"),CONCATENATE("R10C",'Mapa final'!$R$50),"")</f>
        <v/>
      </c>
      <c r="K15" s="43" t="str">
        <f>IF(AND('Mapa final'!$AB$51="Muy Alta",'Mapa final'!$AD$51="Leve"),CONCATENATE("R10C",'Mapa final'!$R$51),"")</f>
        <v/>
      </c>
      <c r="L15" s="43" t="str">
        <f>IF(AND('Mapa final'!$AB$52="Muy Alta",'Mapa final'!$AD$52="Leve"),CONCATENATE("R10C",'Mapa final'!$R$52),"")</f>
        <v/>
      </c>
      <c r="M15" s="43" t="str">
        <f>IF(AND('Mapa final'!$AB$53="Muy Alta",'Mapa final'!$AD$53="Leve"),CONCATENATE("R10C",'Mapa final'!$R$53),"")</f>
        <v/>
      </c>
      <c r="N15" s="43" t="str">
        <f>IF(AND('Mapa final'!$AB$54="Muy Alta",'Mapa final'!$AD$54="Leve"),CONCATENATE("R10C",'Mapa final'!$R$54),"")</f>
        <v/>
      </c>
      <c r="O15" s="44" t="str">
        <f>IF(AND('Mapa final'!$AB$55="Muy Alta",'Mapa final'!$AD$55="Leve"),CONCATENATE("R10C",'Mapa final'!$R$55),"")</f>
        <v/>
      </c>
      <c r="P15" s="36" t="str">
        <f>IF(AND('Mapa final'!$AB$50="Muy Alta",'Mapa final'!$AD$50="Menor"),CONCATENATE("R10C",'Mapa final'!$R$50),"")</f>
        <v/>
      </c>
      <c r="Q15" s="37" t="str">
        <f>IF(AND('Mapa final'!$AB$51="Muy Alta",'Mapa final'!$AD$51="Menor"),CONCATENATE("R10C",'Mapa final'!$R$51),"")</f>
        <v/>
      </c>
      <c r="R15" s="37" t="str">
        <f>IF(AND('Mapa final'!$AB$52="Muy Alta",'Mapa final'!$AD$52="Menor"),CONCATENATE("R10C",'Mapa final'!$R$52),"")</f>
        <v/>
      </c>
      <c r="S15" s="37" t="str">
        <f>IF(AND('Mapa final'!$AB$53="Muy Alta",'Mapa final'!$AD$53="Menor"),CONCATENATE("R10C",'Mapa final'!$R$53),"")</f>
        <v/>
      </c>
      <c r="T15" s="37" t="str">
        <f>IF(AND('Mapa final'!$AB$54="Muy Alta",'Mapa final'!$AD$54="Menor"),CONCATENATE("R10C",'Mapa final'!$R$54),"")</f>
        <v/>
      </c>
      <c r="U15" s="38" t="str">
        <f>IF(AND('Mapa final'!$AB$55="Muy Alta",'Mapa final'!$AD$55="Menor"),CONCATENATE("R10C",'Mapa final'!$R$55),"")</f>
        <v/>
      </c>
      <c r="V15" s="42" t="str">
        <f>IF(AND('Mapa final'!$AB$50="Muy Alta",'Mapa final'!$AD$50="Moderado"),CONCATENATE("R10C",'Mapa final'!$R$50),"")</f>
        <v/>
      </c>
      <c r="W15" s="43" t="str">
        <f>IF(AND('Mapa final'!$AB$51="Muy Alta",'Mapa final'!$AD$51="Moderado"),CONCATENATE("R10C",'Mapa final'!$R$51),"")</f>
        <v/>
      </c>
      <c r="X15" s="43" t="str">
        <f>IF(AND('Mapa final'!$AB$52="Muy Alta",'Mapa final'!$AD$52="Moderado"),CONCATENATE("R10C",'Mapa final'!$R$52),"")</f>
        <v/>
      </c>
      <c r="Y15" s="43" t="str">
        <f>IF(AND('Mapa final'!$AB$53="Muy Alta",'Mapa final'!$AD$53="Moderado"),CONCATENATE("R10C",'Mapa final'!$R$53),"")</f>
        <v/>
      </c>
      <c r="Z15" s="43" t="str">
        <f>IF(AND('Mapa final'!$AB$54="Muy Alta",'Mapa final'!$AD$54="Moderado"),CONCATENATE("R10C",'Mapa final'!$R$54),"")</f>
        <v/>
      </c>
      <c r="AA15" s="44" t="str">
        <f>IF(AND('Mapa final'!$AB$55="Muy Alta",'Mapa final'!$AD$55="Moderado"),CONCATENATE("R10C",'Mapa final'!$R$55),"")</f>
        <v/>
      </c>
      <c r="AB15" s="36" t="str">
        <f>IF(AND('Mapa final'!$AB$50="Muy Alta",'Mapa final'!$AD$50="Mayor"),CONCATENATE("R10C",'Mapa final'!$R$50),"")</f>
        <v/>
      </c>
      <c r="AC15" s="37" t="str">
        <f>IF(AND('Mapa final'!$AB$51="Muy Alta",'Mapa final'!$AD$51="Mayor"),CONCATENATE("R10C",'Mapa final'!$R$51),"")</f>
        <v/>
      </c>
      <c r="AD15" s="37" t="str">
        <f>IF(AND('Mapa final'!$AB$52="Muy Alta",'Mapa final'!$AD$52="Mayor"),CONCATENATE("R10C",'Mapa final'!$R$52),"")</f>
        <v/>
      </c>
      <c r="AE15" s="37" t="str">
        <f>IF(AND('Mapa final'!$AB$53="Muy Alta",'Mapa final'!$AD$53="Mayor"),CONCATENATE("R10C",'Mapa final'!$R$53),"")</f>
        <v/>
      </c>
      <c r="AF15" s="37" t="str">
        <f>IF(AND('Mapa final'!$AB$54="Muy Alta",'Mapa final'!$AD$54="Mayor"),CONCATENATE("R10C",'Mapa final'!$R$54),"")</f>
        <v/>
      </c>
      <c r="AG15" s="38" t="str">
        <f>IF(AND('Mapa final'!$AB$55="Muy Alta",'Mapa final'!$AD$55="Mayor"),CONCATENATE("R10C",'Mapa final'!$R$55),"")</f>
        <v/>
      </c>
      <c r="AH15" s="45" t="str">
        <f>IF(AND('Mapa final'!$AB$50="Muy Alta",'Mapa final'!$AD$50="Catastrófico"),CONCATENATE("R10C",'Mapa final'!$R$50),"")</f>
        <v/>
      </c>
      <c r="AI15" s="46" t="str">
        <f>IF(AND('Mapa final'!$AB$51="Muy Alta",'Mapa final'!$AD$51="Catastrófico"),CONCATENATE("R10C",'Mapa final'!$R$51),"")</f>
        <v/>
      </c>
      <c r="AJ15" s="46" t="str">
        <f>IF(AND('Mapa final'!$AB$52="Muy Alta",'Mapa final'!$AD$52="Catastrófico"),CONCATENATE("R10C",'Mapa final'!$R$52),"")</f>
        <v/>
      </c>
      <c r="AK15" s="46" t="str">
        <f>IF(AND('Mapa final'!$AB$53="Muy Alta",'Mapa final'!$AD$53="Catastrófico"),CONCATENATE("R10C",'Mapa final'!$R$53),"")</f>
        <v/>
      </c>
      <c r="AL15" s="46" t="str">
        <f>IF(AND('Mapa final'!$AB$54="Muy Alta",'Mapa final'!$AD$54="Catastrófico"),CONCATENATE("R10C",'Mapa final'!$R$54),"")</f>
        <v/>
      </c>
      <c r="AM15" s="47" t="str">
        <f>IF(AND('Mapa final'!$AB$55="Muy Alta",'Mapa final'!$AD$55="Catastrófico"),CONCATENATE("R10C",'Mapa final'!$R$55),"")</f>
        <v/>
      </c>
      <c r="AN15" s="67"/>
      <c r="AO15" s="625"/>
      <c r="AP15" s="626"/>
      <c r="AQ15" s="626"/>
      <c r="AR15" s="626"/>
      <c r="AS15" s="626"/>
      <c r="AT15" s="62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17"/>
      <c r="C16" s="517"/>
      <c r="D16" s="518"/>
      <c r="E16" s="612" t="s">
        <v>109</v>
      </c>
      <c r="F16" s="613"/>
      <c r="G16" s="613"/>
      <c r="H16" s="613"/>
      <c r="I16" s="613"/>
      <c r="J16" s="48" t="str">
        <f>IF(AND('Mapa final'!$AB$10="Alta",'Mapa final'!$AD$10="Leve"),CONCATENATE("R1C",'Mapa final'!$R$10),"")</f>
        <v/>
      </c>
      <c r="K16" s="49" t="str">
        <f>IF(AND('Mapa final'!$AB$11="Alta",'Mapa final'!$AD$11="Leve"),CONCATENATE("R1C",'Mapa final'!$R$11),"")</f>
        <v/>
      </c>
      <c r="L16" s="49" t="e">
        <f>IF(AND('Mapa final'!#REF!="Alta",'Mapa final'!#REF!="Leve"),CONCATENATE("R1C",'Mapa final'!#REF!),"")</f>
        <v>#REF!</v>
      </c>
      <c r="M16" s="49" t="str">
        <f>IF(AND('Mapa final'!$AB$13="Alta",'Mapa final'!$AD$13="Leve"),CONCATENATE("R1C",'Mapa final'!$R$13),"")</f>
        <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e">
        <f>IF(AND('Mapa final'!#REF!="Alta",'Mapa final'!#REF!="Menor"),CONCATENATE("R1C",'Mapa final'!#REF!),"")</f>
        <v>#REF!</v>
      </c>
      <c r="S16" s="49" t="str">
        <f>IF(AND('Mapa final'!$AB$13="Alta",'Mapa final'!$AD$13="Menor"),CONCATENATE("R1C",'Mapa final'!$R$13),"")</f>
        <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e">
        <f>IF(AND('Mapa final'!#REF!="Alta",'Mapa final'!#REF!="Moderado"),CONCATENATE("R1C",'Mapa final'!#REF!),"")</f>
        <v>#REF!</v>
      </c>
      <c r="Y16" s="31" t="str">
        <f>IF(AND('Mapa final'!$AB$13="Alta",'Mapa final'!$AD$13="Moderado"),CONCATENATE("R1C",'Mapa final'!$R$13),"")</f>
        <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e">
        <f>IF(AND('Mapa final'!#REF!="Alta",'Mapa final'!#REF!="Mayor"),CONCATENATE("R1C",'Mapa final'!#REF!),"")</f>
        <v>#REF!</v>
      </c>
      <c r="AE16" s="31" t="str">
        <f>IF(AND('Mapa final'!$AB$13="Alta",'Mapa final'!$AD$13="Mayor"),CONCATENATE("R1C",'Mapa final'!$R$13),"")</f>
        <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e">
        <f>IF(AND('Mapa final'!#REF!="Alta",'Mapa final'!#REF!="Catastrófico"),CONCATENATE("R1C",'Mapa final'!#REF!),"")</f>
        <v>#REF!</v>
      </c>
      <c r="AK16" s="34" t="str">
        <f>IF(AND('Mapa final'!$AB$13="Alta",'Mapa final'!$AD$13="Catastrófico"),CONCATENATE("R1C",'Mapa final'!$R$13),"")</f>
        <v/>
      </c>
      <c r="AL16" s="34" t="e">
        <f>IF(AND('Mapa final'!#REF!="Alta",'Mapa final'!#REF!="Catastrófico"),CONCATENATE("R1C",'Mapa final'!#REF!),"")</f>
        <v>#REF!</v>
      </c>
      <c r="AM16" s="35" t="e">
        <f>IF(AND('Mapa final'!#REF!="Alta",'Mapa final'!#REF!="Catastrófico"),CONCATENATE("R1C",'Mapa final'!#REF!),"")</f>
        <v>#REF!</v>
      </c>
      <c r="AN16" s="67"/>
      <c r="AO16" s="603" t="s">
        <v>78</v>
      </c>
      <c r="AP16" s="604"/>
      <c r="AQ16" s="604"/>
      <c r="AR16" s="604"/>
      <c r="AS16" s="604"/>
      <c r="AT16" s="60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17"/>
      <c r="C17" s="517"/>
      <c r="D17" s="518"/>
      <c r="E17" s="614"/>
      <c r="F17" s="615"/>
      <c r="G17" s="615"/>
      <c r="H17" s="615"/>
      <c r="I17" s="615"/>
      <c r="J17" s="51" t="str">
        <f>IF(AND('Mapa final'!$AB$14="Alta",'Mapa final'!$AD$14="Leve"),CONCATENATE("R2C",'Mapa final'!$R$14),"")</f>
        <v/>
      </c>
      <c r="K17" s="52" t="str">
        <f>IF(AND('Mapa final'!$AB$15="Alta",'Mapa final'!$AD$15="Leve"),CONCATENATE("R2C",'Mapa final'!$R$15),"")</f>
        <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str">
        <f>IF(AND('Mapa final'!$AB$14="Alta",'Mapa final'!$AD$14="Menor"),CONCATENATE("R2C",'Mapa final'!$R$14),"")</f>
        <v/>
      </c>
      <c r="Q17" s="52" t="str">
        <f>IF(AND('Mapa final'!$AB$15="Alta",'Mapa final'!$AD$15="Menor"),CONCATENATE("R2C",'Mapa final'!$R$15),"")</f>
        <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str">
        <f>IF(AND('Mapa final'!$AB$14="Alta",'Mapa final'!$AD$14="Moderado"),CONCATENATE("R2C",'Mapa final'!$R$14),"")</f>
        <v/>
      </c>
      <c r="W17" s="37" t="str">
        <f>IF(AND('Mapa final'!$AB$15="Alta",'Mapa final'!$AD$15="Moderado"),CONCATENATE("R2C",'Mapa final'!$R$15),"")</f>
        <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final'!$AB$14="Alta",'Mapa final'!$AD$14="Mayor"),CONCATENATE("R2C",'Mapa final'!$R$14),"")</f>
        <v/>
      </c>
      <c r="AC17" s="37" t="str">
        <f>IF(AND('Mapa final'!$AB$15="Alta",'Mapa final'!$AD$15="Mayor"),CONCATENATE("R2C",'Mapa final'!$R$15),"")</f>
        <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final'!$AB$14="Alta",'Mapa final'!$AD$14="Catastrófico"),CONCATENATE("R2C",'Mapa final'!$R$14),"")</f>
        <v/>
      </c>
      <c r="AI17" s="40" t="str">
        <f>IF(AND('Mapa final'!$AB$15="Alta",'Mapa final'!$AD$15="Catastrófico"),CONCATENATE("R2C",'Mapa final'!$R$15),"")</f>
        <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606"/>
      <c r="AP17" s="607"/>
      <c r="AQ17" s="607"/>
      <c r="AR17" s="607"/>
      <c r="AS17" s="607"/>
      <c r="AT17" s="60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17"/>
      <c r="C18" s="517"/>
      <c r="D18" s="518"/>
      <c r="E18" s="616"/>
      <c r="F18" s="615"/>
      <c r="G18" s="615"/>
      <c r="H18" s="615"/>
      <c r="I18" s="615"/>
      <c r="J18" s="51" t="str">
        <f>IF(AND('Mapa final'!$AB$16="Alta",'Mapa final'!$AD$16="Leve"),CONCATENATE("R3C",'Mapa final'!$R$16),"")</f>
        <v/>
      </c>
      <c r="K18" s="52" t="str">
        <f>IF(AND('Mapa final'!$AB$17="Alta",'Mapa final'!$AD$17="Leve"),CONCATENATE("R3C",'Mapa final'!$R$17),"")</f>
        <v/>
      </c>
      <c r="L18" s="52" t="str">
        <f>IF(AND('Mapa final'!$AB$18="Alta",'Mapa final'!$AD$18="Leve"),CONCATENATE("R3C",'Mapa final'!$R$18),"")</f>
        <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str">
        <f>IF(AND('Mapa final'!$AB$16="Alta",'Mapa final'!$AD$16="Menor"),CONCATENATE("R3C",'Mapa final'!$R$16),"")</f>
        <v/>
      </c>
      <c r="Q18" s="52" t="str">
        <f>IF(AND('Mapa final'!$AB$17="Alta",'Mapa final'!$AD$17="Menor"),CONCATENATE("R3C",'Mapa final'!$R$17),"")</f>
        <v/>
      </c>
      <c r="R18" s="52" t="str">
        <f>IF(AND('Mapa final'!$AB$18="Alta",'Mapa final'!$AD$18="Menor"),CONCATENATE("R3C",'Mapa final'!$R$18),"")</f>
        <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str">
        <f>IF(AND('Mapa final'!$AB$16="Alta",'Mapa final'!$AD$16="Moderado"),CONCATENATE("R3C",'Mapa final'!$R$16),"")</f>
        <v/>
      </c>
      <c r="W18" s="37" t="str">
        <f>IF(AND('Mapa final'!$AB$17="Alta",'Mapa final'!$AD$17="Moderado"),CONCATENATE("R3C",'Mapa final'!$R$17),"")</f>
        <v/>
      </c>
      <c r="X18" s="37" t="str">
        <f>IF(AND('Mapa final'!$AB$18="Alta",'Mapa final'!$AD$18="Moderado"),CONCATENATE("R3C",'Mapa final'!$R$18),"")</f>
        <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str">
        <f>IF(AND('Mapa final'!$AB$16="Alta",'Mapa final'!$AD$16="Mayor"),CONCATENATE("R3C",'Mapa final'!$R$16),"")</f>
        <v/>
      </c>
      <c r="AC18" s="37" t="str">
        <f>IF(AND('Mapa final'!$AB$17="Alta",'Mapa final'!$AD$17="Mayor"),CONCATENATE("R3C",'Mapa final'!$R$17),"")</f>
        <v/>
      </c>
      <c r="AD18" s="37" t="str">
        <f>IF(AND('Mapa final'!$AB$18="Alta",'Mapa final'!$AD$18="Mayor"),CONCATENATE("R3C",'Mapa final'!$R$18),"")</f>
        <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str">
        <f>IF(AND('Mapa final'!$AB$16="Alta",'Mapa final'!$AD$16="Catastrófico"),CONCATENATE("R3C",'Mapa final'!$R$16),"")</f>
        <v/>
      </c>
      <c r="AI18" s="40" t="str">
        <f>IF(AND('Mapa final'!$AB$17="Alta",'Mapa final'!$AD$17="Catastrófico"),CONCATENATE("R3C",'Mapa final'!$R$17),"")</f>
        <v/>
      </c>
      <c r="AJ18" s="40" t="str">
        <f>IF(AND('Mapa final'!$AB$18="Alta",'Mapa final'!$AD$18="Catastrófico"),CONCATENATE("R3C",'Mapa final'!$R$18),"")</f>
        <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606"/>
      <c r="AP18" s="607"/>
      <c r="AQ18" s="607"/>
      <c r="AR18" s="607"/>
      <c r="AS18" s="607"/>
      <c r="AT18" s="60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17"/>
      <c r="C19" s="517"/>
      <c r="D19" s="518"/>
      <c r="E19" s="616"/>
      <c r="F19" s="615"/>
      <c r="G19" s="615"/>
      <c r="H19" s="615"/>
      <c r="I19" s="615"/>
      <c r="J19" s="51" t="str">
        <f>IF(AND('Mapa final'!$AB$19="Alta",'Mapa final'!$AD$19="Leve"),CONCATENATE("R4C",'Mapa final'!$R$19),"")</f>
        <v/>
      </c>
      <c r="K19" s="52" t="e">
        <f>IF(AND('Mapa final'!#REF!="Alta",'Mapa final'!#REF!="Leve"),CONCATENATE("R4C",'Mapa final'!#REF!),"")</f>
        <v>#REF!</v>
      </c>
      <c r="L19" s="52" t="e">
        <f>IF(AND('Mapa final'!#REF!="Alta",'Mapa final'!#REF!="Leve"),CONCATENATE("R4C",'Mapa final'!#REF!),"")</f>
        <v>#REF!</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str">
        <f>IF(AND('Mapa final'!$AB$19="Alta",'Mapa final'!$AD$19="Menor"),CONCATENATE("R4C",'Mapa final'!$R$19),"")</f>
        <v/>
      </c>
      <c r="Q19" s="52" t="e">
        <f>IF(AND('Mapa final'!#REF!="Alta",'Mapa final'!#REF!="Menor"),CONCATENATE("R4C",'Mapa final'!#REF!),"")</f>
        <v>#REF!</v>
      </c>
      <c r="R19" s="52" t="e">
        <f>IF(AND('Mapa final'!#REF!="Alta",'Mapa final'!#REF!="Menor"),CONCATENATE("R4C",'Mapa final'!#REF!),"")</f>
        <v>#REF!</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str">
        <f>IF(AND('Mapa final'!$AB$19="Alta",'Mapa final'!$AD$19="Moderado"),CONCATENATE("R4C",'Mapa final'!$R$19),"")</f>
        <v/>
      </c>
      <c r="W19" s="37" t="e">
        <f>IF(AND('Mapa final'!#REF!="Alta",'Mapa final'!#REF!="Moderado"),CONCATENATE("R4C",'Mapa final'!#REF!),"")</f>
        <v>#REF!</v>
      </c>
      <c r="X19" s="37" t="e">
        <f>IF(AND('Mapa final'!#REF!="Alta",'Mapa final'!#REF!="Moderado"),CONCATENATE("R4C",'Mapa final'!#REF!),"")</f>
        <v>#REF!</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str">
        <f>IF(AND('Mapa final'!$AB$19="Alta",'Mapa final'!$AD$19="Mayor"),CONCATENATE("R4C",'Mapa final'!$R$19),"")</f>
        <v/>
      </c>
      <c r="AC19" s="37" t="e">
        <f>IF(AND('Mapa final'!#REF!="Alta",'Mapa final'!#REF!="Mayor"),CONCATENATE("R4C",'Mapa final'!#REF!),"")</f>
        <v>#REF!</v>
      </c>
      <c r="AD19" s="37" t="e">
        <f>IF(AND('Mapa final'!#REF!="Alta",'Mapa final'!#REF!="Mayor"),CONCATENATE("R4C",'Mapa final'!#REF!),"")</f>
        <v>#REF!</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str">
        <f>IF(AND('Mapa final'!$AB$19="Alta",'Mapa final'!$AD$19="Catastrófico"),CONCATENATE("R4C",'Mapa final'!$R$19),"")</f>
        <v/>
      </c>
      <c r="AI19" s="40" t="e">
        <f>IF(AND('Mapa final'!#REF!="Alta",'Mapa final'!#REF!="Catastrófico"),CONCATENATE("R4C",'Mapa final'!#REF!),"")</f>
        <v>#REF!</v>
      </c>
      <c r="AJ19" s="40" t="e">
        <f>IF(AND('Mapa final'!#REF!="Alta",'Mapa final'!#REF!="Catastrófico"),CONCATENATE("R4C",'Mapa final'!#REF!),"")</f>
        <v>#REF!</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606"/>
      <c r="AP19" s="607"/>
      <c r="AQ19" s="607"/>
      <c r="AR19" s="607"/>
      <c r="AS19" s="607"/>
      <c r="AT19" s="60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17"/>
      <c r="C20" s="517"/>
      <c r="D20" s="518"/>
      <c r="E20" s="616"/>
      <c r="F20" s="615"/>
      <c r="G20" s="615"/>
      <c r="H20" s="615"/>
      <c r="I20" s="615"/>
      <c r="J20" s="51" t="str">
        <f>IF(AND('Mapa final'!$AB$20="Alta",'Mapa final'!$AD$20="Leve"),CONCATENATE("R5C",'Mapa final'!$R$20),"")</f>
        <v/>
      </c>
      <c r="K20" s="52" t="str">
        <f>IF(AND('Mapa final'!$AB$21="Alta",'Mapa final'!$AD$21="Leve"),CONCATENATE("R5C",'Mapa final'!$R$21),"")</f>
        <v/>
      </c>
      <c r="L20" s="52" t="str">
        <f>IF(AND('Mapa final'!$AB$22="Alta",'Mapa final'!$AD$22="Leve"),CONCATENATE("R5C",'Mapa final'!$R$22),"")</f>
        <v/>
      </c>
      <c r="M20" s="52" t="str">
        <f>IF(AND('Mapa final'!$AB$23="Alta",'Mapa final'!$AD$23="Leve"),CONCATENATE("R5C",'Mapa final'!$R$23),"")</f>
        <v/>
      </c>
      <c r="N20" s="52" t="str">
        <f>IF(AND('Mapa final'!$AB$24="Alta",'Mapa final'!$AD$24="Leve"),CONCATENATE("R5C",'Mapa final'!$R$24),"")</f>
        <v/>
      </c>
      <c r="O20" s="53" t="str">
        <f>IF(AND('Mapa final'!$AB$25="Alta",'Mapa final'!$AD$25="Leve"),CONCATENATE("R5C",'Mapa final'!$R$25),"")</f>
        <v/>
      </c>
      <c r="P20" s="51" t="str">
        <f>IF(AND('Mapa final'!$AB$20="Alta",'Mapa final'!$AD$20="Menor"),CONCATENATE("R5C",'Mapa final'!$R$20),"")</f>
        <v/>
      </c>
      <c r="Q20" s="52" t="str">
        <f>IF(AND('Mapa final'!$AB$21="Alta",'Mapa final'!$AD$21="Menor"),CONCATENATE("R5C",'Mapa final'!$R$21),"")</f>
        <v/>
      </c>
      <c r="R20" s="52" t="str">
        <f>IF(AND('Mapa final'!$AB$22="Alta",'Mapa final'!$AD$22="Menor"),CONCATENATE("R5C",'Mapa final'!$R$22),"")</f>
        <v/>
      </c>
      <c r="S20" s="52" t="str">
        <f>IF(AND('Mapa final'!$AB$23="Alta",'Mapa final'!$AD$23="Menor"),CONCATENATE("R5C",'Mapa final'!$R$23),"")</f>
        <v/>
      </c>
      <c r="T20" s="52" t="str">
        <f>IF(AND('Mapa final'!$AB$24="Alta",'Mapa final'!$AD$24="Menor"),CONCATENATE("R5C",'Mapa final'!$R$24),"")</f>
        <v/>
      </c>
      <c r="U20" s="53" t="str">
        <f>IF(AND('Mapa final'!$AB$25="Alta",'Mapa final'!$AD$25="Menor"),CONCATENATE("R5C",'Mapa final'!$R$25),"")</f>
        <v/>
      </c>
      <c r="V20" s="36" t="str">
        <f>IF(AND('Mapa final'!$AB$20="Alta",'Mapa final'!$AD$20="Moderado"),CONCATENATE("R5C",'Mapa final'!$R$20),"")</f>
        <v/>
      </c>
      <c r="W20" s="37" t="str">
        <f>IF(AND('Mapa final'!$AB$21="Alta",'Mapa final'!$AD$21="Moderado"),CONCATENATE("R5C",'Mapa final'!$R$21),"")</f>
        <v/>
      </c>
      <c r="X20" s="37" t="str">
        <f>IF(AND('Mapa final'!$AB$22="Alta",'Mapa final'!$AD$22="Moderado"),CONCATENATE("R5C",'Mapa final'!$R$22),"")</f>
        <v/>
      </c>
      <c r="Y20" s="37" t="str">
        <f>IF(AND('Mapa final'!$AB$23="Alta",'Mapa final'!$AD$23="Moderado"),CONCATENATE("R5C",'Mapa final'!$R$23),"")</f>
        <v/>
      </c>
      <c r="Z20" s="37" t="str">
        <f>IF(AND('Mapa final'!$AB$24="Alta",'Mapa final'!$AD$24="Moderado"),CONCATENATE("R5C",'Mapa final'!$R$24),"")</f>
        <v/>
      </c>
      <c r="AA20" s="38" t="str">
        <f>IF(AND('Mapa final'!$AB$25="Alta",'Mapa final'!$AD$25="Moderado"),CONCATENATE("R5C",'Mapa final'!$R$25),"")</f>
        <v/>
      </c>
      <c r="AB20" s="36" t="str">
        <f>IF(AND('Mapa final'!$AB$20="Alta",'Mapa final'!$AD$20="Mayor"),CONCATENATE("R5C",'Mapa final'!$R$20),"")</f>
        <v/>
      </c>
      <c r="AC20" s="37" t="str">
        <f>IF(AND('Mapa final'!$AB$21="Alta",'Mapa final'!$AD$21="Mayor"),CONCATENATE("R5C",'Mapa final'!$R$21),"")</f>
        <v/>
      </c>
      <c r="AD20" s="37" t="str">
        <f>IF(AND('Mapa final'!$AB$22="Alta",'Mapa final'!$AD$22="Mayor"),CONCATENATE("R5C",'Mapa final'!$R$22),"")</f>
        <v/>
      </c>
      <c r="AE20" s="37" t="str">
        <f>IF(AND('Mapa final'!$AB$23="Alta",'Mapa final'!$AD$23="Mayor"),CONCATENATE("R5C",'Mapa final'!$R$23),"")</f>
        <v/>
      </c>
      <c r="AF20" s="37" t="str">
        <f>IF(AND('Mapa final'!$AB$24="Alta",'Mapa final'!$AD$24="Mayor"),CONCATENATE("R5C",'Mapa final'!$R$24),"")</f>
        <v/>
      </c>
      <c r="AG20" s="38" t="str">
        <f>IF(AND('Mapa final'!$AB$25="Alta",'Mapa final'!$AD$25="Mayor"),CONCATENATE("R5C",'Mapa final'!$R$25),"")</f>
        <v/>
      </c>
      <c r="AH20" s="39" t="str">
        <f>IF(AND('Mapa final'!$AB$20="Alta",'Mapa final'!$AD$20="Catastrófico"),CONCATENATE("R5C",'Mapa final'!$R$20),"")</f>
        <v/>
      </c>
      <c r="AI20" s="40" t="str">
        <f>IF(AND('Mapa final'!$AB$21="Alta",'Mapa final'!$AD$21="Catastrófico"),CONCATENATE("R5C",'Mapa final'!$R$21),"")</f>
        <v/>
      </c>
      <c r="AJ20" s="40" t="str">
        <f>IF(AND('Mapa final'!$AB$22="Alta",'Mapa final'!$AD$22="Catastrófico"),CONCATENATE("R5C",'Mapa final'!$R$22),"")</f>
        <v/>
      </c>
      <c r="AK20" s="40" t="str">
        <f>IF(AND('Mapa final'!$AB$23="Alta",'Mapa final'!$AD$23="Catastrófico"),CONCATENATE("R5C",'Mapa final'!$R$23),"")</f>
        <v/>
      </c>
      <c r="AL20" s="40" t="str">
        <f>IF(AND('Mapa final'!$AB$24="Alta",'Mapa final'!$AD$24="Catastrófico"),CONCATENATE("R5C",'Mapa final'!$R$24),"")</f>
        <v/>
      </c>
      <c r="AM20" s="41" t="str">
        <f>IF(AND('Mapa final'!$AB$25="Alta",'Mapa final'!$AD$25="Catastrófico"),CONCATENATE("R5C",'Mapa final'!$R$25),"")</f>
        <v/>
      </c>
      <c r="AN20" s="67"/>
      <c r="AO20" s="606"/>
      <c r="AP20" s="607"/>
      <c r="AQ20" s="607"/>
      <c r="AR20" s="607"/>
      <c r="AS20" s="607"/>
      <c r="AT20" s="60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17"/>
      <c r="C21" s="517"/>
      <c r="D21" s="518"/>
      <c r="E21" s="616"/>
      <c r="F21" s="615"/>
      <c r="G21" s="615"/>
      <c r="H21" s="615"/>
      <c r="I21" s="615"/>
      <c r="J21" s="51" t="str">
        <f>IF(AND('Mapa final'!$AB$26="Alta",'Mapa final'!$AD$26="Leve"),CONCATENATE("R6C",'Mapa final'!$R$26),"")</f>
        <v/>
      </c>
      <c r="K21" s="52" t="str">
        <f>IF(AND('Mapa final'!$AB$27="Alta",'Mapa final'!$AD$27="Leve"),CONCATENATE("R6C",'Mapa final'!$R$27),"")</f>
        <v/>
      </c>
      <c r="L21" s="52" t="str">
        <f>IF(AND('Mapa final'!$AB$28="Alta",'Mapa final'!$AD$28="Leve"),CONCATENATE("R6C",'Mapa final'!$R$28),"")</f>
        <v/>
      </c>
      <c r="M21" s="52" t="str">
        <f>IF(AND('Mapa final'!$AB$29="Alta",'Mapa final'!$AD$29="Leve"),CONCATENATE("R6C",'Mapa final'!$R$29),"")</f>
        <v/>
      </c>
      <c r="N21" s="52" t="str">
        <f>IF(AND('Mapa final'!$AB$30="Alta",'Mapa final'!$AD$30="Leve"),CONCATENATE("R6C",'Mapa final'!$R$30),"")</f>
        <v/>
      </c>
      <c r="O21" s="53" t="str">
        <f>IF(AND('Mapa final'!$AB$31="Alta",'Mapa final'!$AD$31="Leve"),CONCATENATE("R6C",'Mapa final'!$R$31),"")</f>
        <v/>
      </c>
      <c r="P21" s="51" t="str">
        <f>IF(AND('Mapa final'!$AB$26="Alta",'Mapa final'!$AD$26="Menor"),CONCATENATE("R6C",'Mapa final'!$R$26),"")</f>
        <v/>
      </c>
      <c r="Q21" s="52" t="str">
        <f>IF(AND('Mapa final'!$AB$27="Alta",'Mapa final'!$AD$27="Menor"),CONCATENATE("R6C",'Mapa final'!$R$27),"")</f>
        <v/>
      </c>
      <c r="R21" s="52" t="str">
        <f>IF(AND('Mapa final'!$AB$28="Alta",'Mapa final'!$AD$28="Menor"),CONCATENATE("R6C",'Mapa final'!$R$28),"")</f>
        <v/>
      </c>
      <c r="S21" s="52" t="str">
        <f>IF(AND('Mapa final'!$AB$29="Alta",'Mapa final'!$AD$29="Menor"),CONCATENATE("R6C",'Mapa final'!$R$29),"")</f>
        <v/>
      </c>
      <c r="T21" s="52" t="str">
        <f>IF(AND('Mapa final'!$AB$30="Alta",'Mapa final'!$AD$30="Menor"),CONCATENATE("R6C",'Mapa final'!$R$30),"")</f>
        <v/>
      </c>
      <c r="U21" s="53" t="str">
        <f>IF(AND('Mapa final'!$AB$31="Alta",'Mapa final'!$AD$31="Menor"),CONCATENATE("R6C",'Mapa final'!$R$31),"")</f>
        <v/>
      </c>
      <c r="V21" s="36" t="str">
        <f>IF(AND('Mapa final'!$AB$26="Alta",'Mapa final'!$AD$26="Moderado"),CONCATENATE("R6C",'Mapa final'!$R$26),"")</f>
        <v/>
      </c>
      <c r="W21" s="37" t="str">
        <f>IF(AND('Mapa final'!$AB$27="Alta",'Mapa final'!$AD$27="Moderado"),CONCATENATE("R6C",'Mapa final'!$R$27),"")</f>
        <v/>
      </c>
      <c r="X21" s="37" t="str">
        <f>IF(AND('Mapa final'!$AB$28="Alta",'Mapa final'!$AD$28="Moderado"),CONCATENATE("R6C",'Mapa final'!$R$28),"")</f>
        <v/>
      </c>
      <c r="Y21" s="37" t="str">
        <f>IF(AND('Mapa final'!$AB$29="Alta",'Mapa final'!$AD$29="Moderado"),CONCATENATE("R6C",'Mapa final'!$R$29),"")</f>
        <v/>
      </c>
      <c r="Z21" s="37" t="str">
        <f>IF(AND('Mapa final'!$AB$30="Alta",'Mapa final'!$AD$30="Moderado"),CONCATENATE("R6C",'Mapa final'!$R$30),"")</f>
        <v/>
      </c>
      <c r="AA21" s="38" t="str">
        <f>IF(AND('Mapa final'!$AB$31="Alta",'Mapa final'!$AD$31="Moderado"),CONCATENATE("R6C",'Mapa final'!$R$31),"")</f>
        <v/>
      </c>
      <c r="AB21" s="36" t="str">
        <f>IF(AND('Mapa final'!$AB$26="Alta",'Mapa final'!$AD$26="Mayor"),CONCATENATE("R6C",'Mapa final'!$R$26),"")</f>
        <v/>
      </c>
      <c r="AC21" s="37" t="str">
        <f>IF(AND('Mapa final'!$AB$27="Alta",'Mapa final'!$AD$27="Mayor"),CONCATENATE("R6C",'Mapa final'!$R$27),"")</f>
        <v/>
      </c>
      <c r="AD21" s="37" t="str">
        <f>IF(AND('Mapa final'!$AB$28="Alta",'Mapa final'!$AD$28="Mayor"),CONCATENATE("R6C",'Mapa final'!$R$28),"")</f>
        <v/>
      </c>
      <c r="AE21" s="37" t="str">
        <f>IF(AND('Mapa final'!$AB$29="Alta",'Mapa final'!$AD$29="Mayor"),CONCATENATE("R6C",'Mapa final'!$R$29),"")</f>
        <v/>
      </c>
      <c r="AF21" s="37" t="str">
        <f>IF(AND('Mapa final'!$AB$30="Alta",'Mapa final'!$AD$30="Mayor"),CONCATENATE("R6C",'Mapa final'!$R$30),"")</f>
        <v/>
      </c>
      <c r="AG21" s="38" t="str">
        <f>IF(AND('Mapa final'!$AB$31="Alta",'Mapa final'!$AD$31="Mayor"),CONCATENATE("R6C",'Mapa final'!$R$31),"")</f>
        <v/>
      </c>
      <c r="AH21" s="39" t="str">
        <f>IF(AND('Mapa final'!$AB$26="Alta",'Mapa final'!$AD$26="Catastrófico"),CONCATENATE("R6C",'Mapa final'!$R$26),"")</f>
        <v/>
      </c>
      <c r="AI21" s="40" t="str">
        <f>IF(AND('Mapa final'!$AB$27="Alta",'Mapa final'!$AD$27="Catastrófico"),CONCATENATE("R6C",'Mapa final'!$R$27),"")</f>
        <v/>
      </c>
      <c r="AJ21" s="40" t="str">
        <f>IF(AND('Mapa final'!$AB$28="Alta",'Mapa final'!$AD$28="Catastrófico"),CONCATENATE("R6C",'Mapa final'!$R$28),"")</f>
        <v/>
      </c>
      <c r="AK21" s="40" t="str">
        <f>IF(AND('Mapa final'!$AB$29="Alta",'Mapa final'!$AD$29="Catastrófico"),CONCATENATE("R6C",'Mapa final'!$R$29),"")</f>
        <v/>
      </c>
      <c r="AL21" s="40" t="str">
        <f>IF(AND('Mapa final'!$AB$30="Alta",'Mapa final'!$AD$30="Catastrófico"),CONCATENATE("R6C",'Mapa final'!$R$30),"")</f>
        <v/>
      </c>
      <c r="AM21" s="41" t="str">
        <f>IF(AND('Mapa final'!$AB$31="Alta",'Mapa final'!$AD$31="Catastrófico"),CONCATENATE("R6C",'Mapa final'!$R$31),"")</f>
        <v/>
      </c>
      <c r="AN21" s="67"/>
      <c r="AO21" s="606"/>
      <c r="AP21" s="607"/>
      <c r="AQ21" s="607"/>
      <c r="AR21" s="607"/>
      <c r="AS21" s="607"/>
      <c r="AT21" s="60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17"/>
      <c r="C22" s="517"/>
      <c r="D22" s="518"/>
      <c r="E22" s="616"/>
      <c r="F22" s="615"/>
      <c r="G22" s="615"/>
      <c r="H22" s="615"/>
      <c r="I22" s="615"/>
      <c r="J22" s="51" t="str">
        <f>IF(AND('Mapa final'!$AB$32="Alta",'Mapa final'!$AD$32="Leve"),CONCATENATE("R7C",'Mapa final'!$R$32),"")</f>
        <v/>
      </c>
      <c r="K22" s="52" t="str">
        <f>IF(AND('Mapa final'!$AB$33="Alta",'Mapa final'!$AD$33="Leve"),CONCATENATE("R7C",'Mapa final'!$R$33),"")</f>
        <v/>
      </c>
      <c r="L22" s="52" t="str">
        <f>IF(AND('Mapa final'!$AB$34="Alta",'Mapa final'!$AD$34="Leve"),CONCATENATE("R7C",'Mapa final'!$R$34),"")</f>
        <v/>
      </c>
      <c r="M22" s="52" t="str">
        <f>IF(AND('Mapa final'!$AB$35="Alta",'Mapa final'!$AD$35="Leve"),CONCATENATE("R7C",'Mapa final'!$R$35),"")</f>
        <v/>
      </c>
      <c r="N22" s="52" t="str">
        <f>IF(AND('Mapa final'!$AB$36="Alta",'Mapa final'!$AD$36="Leve"),CONCATENATE("R7C",'Mapa final'!$R$36),"")</f>
        <v/>
      </c>
      <c r="O22" s="53" t="str">
        <f>IF(AND('Mapa final'!$AB$37="Alta",'Mapa final'!$AD$37="Leve"),CONCATENATE("R7C",'Mapa final'!$R$37),"")</f>
        <v/>
      </c>
      <c r="P22" s="51" t="str">
        <f>IF(AND('Mapa final'!$AB$32="Alta",'Mapa final'!$AD$32="Menor"),CONCATENATE("R7C",'Mapa final'!$R$32),"")</f>
        <v/>
      </c>
      <c r="Q22" s="52" t="str">
        <f>IF(AND('Mapa final'!$AB$33="Alta",'Mapa final'!$AD$33="Menor"),CONCATENATE("R7C",'Mapa final'!$R$33),"")</f>
        <v/>
      </c>
      <c r="R22" s="52" t="str">
        <f>IF(AND('Mapa final'!$AB$34="Alta",'Mapa final'!$AD$34="Menor"),CONCATENATE("R7C",'Mapa final'!$R$34),"")</f>
        <v/>
      </c>
      <c r="S22" s="52" t="str">
        <f>IF(AND('Mapa final'!$AB$35="Alta",'Mapa final'!$AD$35="Menor"),CONCATENATE("R7C",'Mapa final'!$R$35),"")</f>
        <v/>
      </c>
      <c r="T22" s="52" t="str">
        <f>IF(AND('Mapa final'!$AB$36="Alta",'Mapa final'!$AD$36="Menor"),CONCATENATE("R7C",'Mapa final'!$R$36),"")</f>
        <v/>
      </c>
      <c r="U22" s="53" t="str">
        <f>IF(AND('Mapa final'!$AB$37="Alta",'Mapa final'!$AD$37="Menor"),CONCATENATE("R7C",'Mapa final'!$R$37),"")</f>
        <v/>
      </c>
      <c r="V22" s="36" t="str">
        <f>IF(AND('Mapa final'!$AB$32="Alta",'Mapa final'!$AD$32="Moderado"),CONCATENATE("R7C",'Mapa final'!$R$32),"")</f>
        <v/>
      </c>
      <c r="W22" s="37" t="str">
        <f>IF(AND('Mapa final'!$AB$33="Alta",'Mapa final'!$AD$33="Moderado"),CONCATENATE("R7C",'Mapa final'!$R$33),"")</f>
        <v/>
      </c>
      <c r="X22" s="37" t="str">
        <f>IF(AND('Mapa final'!$AB$34="Alta",'Mapa final'!$AD$34="Moderado"),CONCATENATE("R7C",'Mapa final'!$R$34),"")</f>
        <v/>
      </c>
      <c r="Y22" s="37" t="str">
        <f>IF(AND('Mapa final'!$AB$35="Alta",'Mapa final'!$AD$35="Moderado"),CONCATENATE("R7C",'Mapa final'!$R$35),"")</f>
        <v/>
      </c>
      <c r="Z22" s="37" t="str">
        <f>IF(AND('Mapa final'!$AB$36="Alta",'Mapa final'!$AD$36="Moderado"),CONCATENATE("R7C",'Mapa final'!$R$36),"")</f>
        <v/>
      </c>
      <c r="AA22" s="38" t="str">
        <f>IF(AND('Mapa final'!$AB$37="Alta",'Mapa final'!$AD$37="Moderado"),CONCATENATE("R7C",'Mapa final'!$R$37),"")</f>
        <v/>
      </c>
      <c r="AB22" s="36" t="str">
        <f>IF(AND('Mapa final'!$AB$32="Alta",'Mapa final'!$AD$32="Mayor"),CONCATENATE("R7C",'Mapa final'!$R$32),"")</f>
        <v/>
      </c>
      <c r="AC22" s="37" t="str">
        <f>IF(AND('Mapa final'!$AB$33="Alta",'Mapa final'!$AD$33="Mayor"),CONCATENATE("R7C",'Mapa final'!$R$33),"")</f>
        <v/>
      </c>
      <c r="AD22" s="37" t="str">
        <f>IF(AND('Mapa final'!$AB$34="Alta",'Mapa final'!$AD$34="Mayor"),CONCATENATE("R7C",'Mapa final'!$R$34),"")</f>
        <v/>
      </c>
      <c r="AE22" s="37" t="str">
        <f>IF(AND('Mapa final'!$AB$35="Alta",'Mapa final'!$AD$35="Mayor"),CONCATENATE("R7C",'Mapa final'!$R$35),"")</f>
        <v/>
      </c>
      <c r="AF22" s="37" t="str">
        <f>IF(AND('Mapa final'!$AB$36="Alta",'Mapa final'!$AD$36="Mayor"),CONCATENATE("R7C",'Mapa final'!$R$36),"")</f>
        <v/>
      </c>
      <c r="AG22" s="38" t="str">
        <f>IF(AND('Mapa final'!$AB$37="Alta",'Mapa final'!$AD$37="Mayor"),CONCATENATE("R7C",'Mapa final'!$R$37),"")</f>
        <v/>
      </c>
      <c r="AH22" s="39" t="str">
        <f>IF(AND('Mapa final'!$AB$32="Alta",'Mapa final'!$AD$32="Catastrófico"),CONCATENATE("R7C",'Mapa final'!$R$32),"")</f>
        <v/>
      </c>
      <c r="AI22" s="40" t="str">
        <f>IF(AND('Mapa final'!$AB$33="Alta",'Mapa final'!$AD$33="Catastrófico"),CONCATENATE("R7C",'Mapa final'!$R$33),"")</f>
        <v/>
      </c>
      <c r="AJ22" s="40" t="str">
        <f>IF(AND('Mapa final'!$AB$34="Alta",'Mapa final'!$AD$34="Catastrófico"),CONCATENATE("R7C",'Mapa final'!$R$34),"")</f>
        <v/>
      </c>
      <c r="AK22" s="40" t="str">
        <f>IF(AND('Mapa final'!$AB$35="Alta",'Mapa final'!$AD$35="Catastrófico"),CONCATENATE("R7C",'Mapa final'!$R$35),"")</f>
        <v/>
      </c>
      <c r="AL22" s="40" t="str">
        <f>IF(AND('Mapa final'!$AB$36="Alta",'Mapa final'!$AD$36="Catastrófico"),CONCATENATE("R7C",'Mapa final'!$R$36),"")</f>
        <v/>
      </c>
      <c r="AM22" s="41" t="str">
        <f>IF(AND('Mapa final'!$AB$37="Alta",'Mapa final'!$AD$37="Catastrófico"),CONCATENATE("R7C",'Mapa final'!$R$37),"")</f>
        <v/>
      </c>
      <c r="AN22" s="67"/>
      <c r="AO22" s="606"/>
      <c r="AP22" s="607"/>
      <c r="AQ22" s="607"/>
      <c r="AR22" s="607"/>
      <c r="AS22" s="607"/>
      <c r="AT22" s="60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17"/>
      <c r="C23" s="517"/>
      <c r="D23" s="518"/>
      <c r="E23" s="616"/>
      <c r="F23" s="615"/>
      <c r="G23" s="615"/>
      <c r="H23" s="615"/>
      <c r="I23" s="615"/>
      <c r="J23" s="51" t="str">
        <f>IF(AND('Mapa final'!$AB$38="Alta",'Mapa final'!$AD$38="Leve"),CONCATENATE("R8C",'Mapa final'!$R$38),"")</f>
        <v/>
      </c>
      <c r="K23" s="52" t="str">
        <f>IF(AND('Mapa final'!$AB$39="Alta",'Mapa final'!$AD$39="Leve"),CONCATENATE("R8C",'Mapa final'!$R$39),"")</f>
        <v/>
      </c>
      <c r="L23" s="52" t="str">
        <f>IF(AND('Mapa final'!$AB$40="Alta",'Mapa final'!$AD$40="Leve"),CONCATENATE("R8C",'Mapa final'!$R$40),"")</f>
        <v/>
      </c>
      <c r="M23" s="52" t="str">
        <f>IF(AND('Mapa final'!$AB$41="Alta",'Mapa final'!$AD$41="Leve"),CONCATENATE("R8C",'Mapa final'!$R$41),"")</f>
        <v/>
      </c>
      <c r="N23" s="52" t="str">
        <f>IF(AND('Mapa final'!$AB$42="Alta",'Mapa final'!$AD$42="Leve"),CONCATENATE("R8C",'Mapa final'!$R$42),"")</f>
        <v/>
      </c>
      <c r="O23" s="53" t="str">
        <f>IF(AND('Mapa final'!$AB$43="Alta",'Mapa final'!$AD$43="Leve"),CONCATENATE("R8C",'Mapa final'!$R$43),"")</f>
        <v/>
      </c>
      <c r="P23" s="51" t="str">
        <f>IF(AND('Mapa final'!$AB$38="Alta",'Mapa final'!$AD$38="Menor"),CONCATENATE("R8C",'Mapa final'!$R$38),"")</f>
        <v/>
      </c>
      <c r="Q23" s="52" t="str">
        <f>IF(AND('Mapa final'!$AB$39="Alta",'Mapa final'!$AD$39="Menor"),CONCATENATE("R8C",'Mapa final'!$R$39),"")</f>
        <v/>
      </c>
      <c r="R23" s="52" t="str">
        <f>IF(AND('Mapa final'!$AB$40="Alta",'Mapa final'!$AD$40="Menor"),CONCATENATE("R8C",'Mapa final'!$R$40),"")</f>
        <v/>
      </c>
      <c r="S23" s="52" t="str">
        <f>IF(AND('Mapa final'!$AB$41="Alta",'Mapa final'!$AD$41="Menor"),CONCATENATE("R8C",'Mapa final'!$R$41),"")</f>
        <v/>
      </c>
      <c r="T23" s="52" t="str">
        <f>IF(AND('Mapa final'!$AB$42="Alta",'Mapa final'!$AD$42="Menor"),CONCATENATE("R8C",'Mapa final'!$R$42),"")</f>
        <v/>
      </c>
      <c r="U23" s="53" t="str">
        <f>IF(AND('Mapa final'!$AB$43="Alta",'Mapa final'!$AD$43="Menor"),CONCATENATE("R8C",'Mapa final'!$R$43),"")</f>
        <v/>
      </c>
      <c r="V23" s="36" t="str">
        <f>IF(AND('Mapa final'!$AB$38="Alta",'Mapa final'!$AD$38="Moderado"),CONCATENATE("R8C",'Mapa final'!$R$38),"")</f>
        <v/>
      </c>
      <c r="W23" s="37" t="str">
        <f>IF(AND('Mapa final'!$AB$39="Alta",'Mapa final'!$AD$39="Moderado"),CONCATENATE("R8C",'Mapa final'!$R$39),"")</f>
        <v/>
      </c>
      <c r="X23" s="37" t="str">
        <f>IF(AND('Mapa final'!$AB$40="Alta",'Mapa final'!$AD$40="Moderado"),CONCATENATE("R8C",'Mapa final'!$R$40),"")</f>
        <v/>
      </c>
      <c r="Y23" s="37" t="str">
        <f>IF(AND('Mapa final'!$AB$41="Alta",'Mapa final'!$AD$41="Moderado"),CONCATENATE("R8C",'Mapa final'!$R$41),"")</f>
        <v/>
      </c>
      <c r="Z23" s="37" t="str">
        <f>IF(AND('Mapa final'!$AB$42="Alta",'Mapa final'!$AD$42="Moderado"),CONCATENATE("R8C",'Mapa final'!$R$42),"")</f>
        <v/>
      </c>
      <c r="AA23" s="38" t="str">
        <f>IF(AND('Mapa final'!$AB$43="Alta",'Mapa final'!$AD$43="Moderado"),CONCATENATE("R8C",'Mapa final'!$R$43),"")</f>
        <v/>
      </c>
      <c r="AB23" s="36" t="str">
        <f>IF(AND('Mapa final'!$AB$38="Alta",'Mapa final'!$AD$38="Mayor"),CONCATENATE("R8C",'Mapa final'!$R$38),"")</f>
        <v/>
      </c>
      <c r="AC23" s="37" t="str">
        <f>IF(AND('Mapa final'!$AB$39="Alta",'Mapa final'!$AD$39="Mayor"),CONCATENATE("R8C",'Mapa final'!$R$39),"")</f>
        <v/>
      </c>
      <c r="AD23" s="37" t="str">
        <f>IF(AND('Mapa final'!$AB$40="Alta",'Mapa final'!$AD$40="Mayor"),CONCATENATE("R8C",'Mapa final'!$R$40),"")</f>
        <v/>
      </c>
      <c r="AE23" s="37" t="str">
        <f>IF(AND('Mapa final'!$AB$41="Alta",'Mapa final'!$AD$41="Mayor"),CONCATENATE("R8C",'Mapa final'!$R$41),"")</f>
        <v/>
      </c>
      <c r="AF23" s="37" t="str">
        <f>IF(AND('Mapa final'!$AB$42="Alta",'Mapa final'!$AD$42="Mayor"),CONCATENATE("R8C",'Mapa final'!$R$42),"")</f>
        <v/>
      </c>
      <c r="AG23" s="38" t="str">
        <f>IF(AND('Mapa final'!$AB$43="Alta",'Mapa final'!$AD$43="Mayor"),CONCATENATE("R8C",'Mapa final'!$R$43),"")</f>
        <v/>
      </c>
      <c r="AH23" s="39" t="str">
        <f>IF(AND('Mapa final'!$AB$38="Alta",'Mapa final'!$AD$38="Catastrófico"),CONCATENATE("R8C",'Mapa final'!$R$38),"")</f>
        <v/>
      </c>
      <c r="AI23" s="40" t="str">
        <f>IF(AND('Mapa final'!$AB$39="Alta",'Mapa final'!$AD$39="Catastrófico"),CONCATENATE("R8C",'Mapa final'!$R$39),"")</f>
        <v/>
      </c>
      <c r="AJ23" s="40" t="str">
        <f>IF(AND('Mapa final'!$AB$40="Alta",'Mapa final'!$AD$40="Catastrófico"),CONCATENATE("R8C",'Mapa final'!$R$40),"")</f>
        <v/>
      </c>
      <c r="AK23" s="40" t="str">
        <f>IF(AND('Mapa final'!$AB$41="Alta",'Mapa final'!$AD$41="Catastrófico"),CONCATENATE("R8C",'Mapa final'!$R$41),"")</f>
        <v/>
      </c>
      <c r="AL23" s="40" t="str">
        <f>IF(AND('Mapa final'!$AB$42="Alta",'Mapa final'!$AD$42="Catastrófico"),CONCATENATE("R8C",'Mapa final'!$R$42),"")</f>
        <v/>
      </c>
      <c r="AM23" s="41" t="str">
        <f>IF(AND('Mapa final'!$AB$43="Alta",'Mapa final'!$AD$43="Catastrófico"),CONCATENATE("R8C",'Mapa final'!$R$43),"")</f>
        <v/>
      </c>
      <c r="AN23" s="67"/>
      <c r="AO23" s="606"/>
      <c r="AP23" s="607"/>
      <c r="AQ23" s="607"/>
      <c r="AR23" s="607"/>
      <c r="AS23" s="607"/>
      <c r="AT23" s="60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17"/>
      <c r="C24" s="517"/>
      <c r="D24" s="518"/>
      <c r="E24" s="616"/>
      <c r="F24" s="615"/>
      <c r="G24" s="615"/>
      <c r="H24" s="615"/>
      <c r="I24" s="615"/>
      <c r="J24" s="51" t="str">
        <f>IF(AND('Mapa final'!$AB$44="Alta",'Mapa final'!$AD$44="Leve"),CONCATENATE("R9C",'Mapa final'!$R$44),"")</f>
        <v/>
      </c>
      <c r="K24" s="52" t="str">
        <f>IF(AND('Mapa final'!$AB$45="Alta",'Mapa final'!$AD$45="Leve"),CONCATENATE("R9C",'Mapa final'!$R$45),"")</f>
        <v/>
      </c>
      <c r="L24" s="52" t="str">
        <f>IF(AND('Mapa final'!$AB$46="Alta",'Mapa final'!$AD$46="Leve"),CONCATENATE("R9C",'Mapa final'!$R$46),"")</f>
        <v/>
      </c>
      <c r="M24" s="52" t="str">
        <f>IF(AND('Mapa final'!$AB$47="Alta",'Mapa final'!$AD$47="Leve"),CONCATENATE("R9C",'Mapa final'!$R$47),"")</f>
        <v/>
      </c>
      <c r="N24" s="52" t="str">
        <f>IF(AND('Mapa final'!$AB$48="Alta",'Mapa final'!$AD$48="Leve"),CONCATENATE("R9C",'Mapa final'!$R$48),"")</f>
        <v/>
      </c>
      <c r="O24" s="53" t="str">
        <f>IF(AND('Mapa final'!$AB$49="Alta",'Mapa final'!$AD$49="Leve"),CONCATENATE("R9C",'Mapa final'!$R$49),"")</f>
        <v/>
      </c>
      <c r="P24" s="51" t="str">
        <f>IF(AND('Mapa final'!$AB$44="Alta",'Mapa final'!$AD$44="Menor"),CONCATENATE("R9C",'Mapa final'!$R$44),"")</f>
        <v/>
      </c>
      <c r="Q24" s="52" t="str">
        <f>IF(AND('Mapa final'!$AB$45="Alta",'Mapa final'!$AD$45="Menor"),CONCATENATE("R9C",'Mapa final'!$R$45),"")</f>
        <v/>
      </c>
      <c r="R24" s="52" t="str">
        <f>IF(AND('Mapa final'!$AB$46="Alta",'Mapa final'!$AD$46="Menor"),CONCATENATE("R9C",'Mapa final'!$R$46),"")</f>
        <v/>
      </c>
      <c r="S24" s="52" t="str">
        <f>IF(AND('Mapa final'!$AB$47="Alta",'Mapa final'!$AD$47="Menor"),CONCATENATE("R9C",'Mapa final'!$R$47),"")</f>
        <v/>
      </c>
      <c r="T24" s="52" t="str">
        <f>IF(AND('Mapa final'!$AB$48="Alta",'Mapa final'!$AD$48="Menor"),CONCATENATE("R9C",'Mapa final'!$R$48),"")</f>
        <v/>
      </c>
      <c r="U24" s="53" t="str">
        <f>IF(AND('Mapa final'!$AB$49="Alta",'Mapa final'!$AD$49="Menor"),CONCATENATE("R9C",'Mapa final'!$R$49),"")</f>
        <v/>
      </c>
      <c r="V24" s="36" t="str">
        <f>IF(AND('Mapa final'!$AB$44="Alta",'Mapa final'!$AD$44="Moderado"),CONCATENATE("R9C",'Mapa final'!$R$44),"")</f>
        <v/>
      </c>
      <c r="W24" s="37" t="str">
        <f>IF(AND('Mapa final'!$AB$45="Alta",'Mapa final'!$AD$45="Moderado"),CONCATENATE("R9C",'Mapa final'!$R$45),"")</f>
        <v/>
      </c>
      <c r="X24" s="37" t="str">
        <f>IF(AND('Mapa final'!$AB$46="Alta",'Mapa final'!$AD$46="Moderado"),CONCATENATE("R9C",'Mapa final'!$R$46),"")</f>
        <v/>
      </c>
      <c r="Y24" s="37" t="str">
        <f>IF(AND('Mapa final'!$AB$47="Alta",'Mapa final'!$AD$47="Moderado"),CONCATENATE("R9C",'Mapa final'!$R$47),"")</f>
        <v/>
      </c>
      <c r="Z24" s="37" t="str">
        <f>IF(AND('Mapa final'!$AB$48="Alta",'Mapa final'!$AD$48="Moderado"),CONCATENATE("R9C",'Mapa final'!$R$48),"")</f>
        <v/>
      </c>
      <c r="AA24" s="38" t="str">
        <f>IF(AND('Mapa final'!$AB$49="Alta",'Mapa final'!$AD$49="Moderado"),CONCATENATE("R9C",'Mapa final'!$R$49),"")</f>
        <v/>
      </c>
      <c r="AB24" s="36" t="str">
        <f>IF(AND('Mapa final'!$AB$44="Alta",'Mapa final'!$AD$44="Mayor"),CONCATENATE("R9C",'Mapa final'!$R$44),"")</f>
        <v/>
      </c>
      <c r="AC24" s="37" t="str">
        <f>IF(AND('Mapa final'!$AB$45="Alta",'Mapa final'!$AD$45="Mayor"),CONCATENATE("R9C",'Mapa final'!$R$45),"")</f>
        <v/>
      </c>
      <c r="AD24" s="37" t="str">
        <f>IF(AND('Mapa final'!$AB$46="Alta",'Mapa final'!$AD$46="Mayor"),CONCATENATE("R9C",'Mapa final'!$R$46),"")</f>
        <v/>
      </c>
      <c r="AE24" s="37" t="str">
        <f>IF(AND('Mapa final'!$AB$47="Alta",'Mapa final'!$AD$47="Mayor"),CONCATENATE("R9C",'Mapa final'!$R$47),"")</f>
        <v/>
      </c>
      <c r="AF24" s="37" t="str">
        <f>IF(AND('Mapa final'!$AB$48="Alta",'Mapa final'!$AD$48="Mayor"),CONCATENATE("R9C",'Mapa final'!$R$48),"")</f>
        <v/>
      </c>
      <c r="AG24" s="38" t="str">
        <f>IF(AND('Mapa final'!$AB$49="Alta",'Mapa final'!$AD$49="Mayor"),CONCATENATE("R9C",'Mapa final'!$R$49),"")</f>
        <v/>
      </c>
      <c r="AH24" s="39" t="str">
        <f>IF(AND('Mapa final'!$AB$44="Alta",'Mapa final'!$AD$44="Catastrófico"),CONCATENATE("R9C",'Mapa final'!$R$44),"")</f>
        <v/>
      </c>
      <c r="AI24" s="40" t="str">
        <f>IF(AND('Mapa final'!$AB$45="Alta",'Mapa final'!$AD$45="Catastrófico"),CONCATENATE("R9C",'Mapa final'!$R$45),"")</f>
        <v/>
      </c>
      <c r="AJ24" s="40" t="str">
        <f>IF(AND('Mapa final'!$AB$46="Alta",'Mapa final'!$AD$46="Catastrófico"),CONCATENATE("R9C",'Mapa final'!$R$46),"")</f>
        <v/>
      </c>
      <c r="AK24" s="40" t="str">
        <f>IF(AND('Mapa final'!$AB$47="Alta",'Mapa final'!$AD$47="Catastrófico"),CONCATENATE("R9C",'Mapa final'!$R$47),"")</f>
        <v/>
      </c>
      <c r="AL24" s="40" t="str">
        <f>IF(AND('Mapa final'!$AB$48="Alta",'Mapa final'!$AD$48="Catastrófico"),CONCATENATE("R9C",'Mapa final'!$R$48),"")</f>
        <v/>
      </c>
      <c r="AM24" s="41" t="str">
        <f>IF(AND('Mapa final'!$AB$49="Alta",'Mapa final'!$AD$49="Catastrófico"),CONCATENATE("R9C",'Mapa final'!$R$49),"")</f>
        <v/>
      </c>
      <c r="AN24" s="67"/>
      <c r="AO24" s="606"/>
      <c r="AP24" s="607"/>
      <c r="AQ24" s="607"/>
      <c r="AR24" s="607"/>
      <c r="AS24" s="607"/>
      <c r="AT24" s="60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17"/>
      <c r="C25" s="517"/>
      <c r="D25" s="518"/>
      <c r="E25" s="617"/>
      <c r="F25" s="618"/>
      <c r="G25" s="618"/>
      <c r="H25" s="618"/>
      <c r="I25" s="618"/>
      <c r="J25" s="54" t="str">
        <f>IF(AND('Mapa final'!$AB$50="Alta",'Mapa final'!$AD$50="Leve"),CONCATENATE("R10C",'Mapa final'!$R$50),"")</f>
        <v/>
      </c>
      <c r="K25" s="55" t="str">
        <f>IF(AND('Mapa final'!$AB$51="Alta",'Mapa final'!$AD$51="Leve"),CONCATENATE("R10C",'Mapa final'!$R$51),"")</f>
        <v/>
      </c>
      <c r="L25" s="55" t="str">
        <f>IF(AND('Mapa final'!$AB$52="Alta",'Mapa final'!$AD$52="Leve"),CONCATENATE("R10C",'Mapa final'!$R$52),"")</f>
        <v/>
      </c>
      <c r="M25" s="55" t="str">
        <f>IF(AND('Mapa final'!$AB$53="Alta",'Mapa final'!$AD$53="Leve"),CONCATENATE("R10C",'Mapa final'!$R$53),"")</f>
        <v/>
      </c>
      <c r="N25" s="55" t="str">
        <f>IF(AND('Mapa final'!$AB$54="Alta",'Mapa final'!$AD$54="Leve"),CONCATENATE("R10C",'Mapa final'!$R$54),"")</f>
        <v/>
      </c>
      <c r="O25" s="56" t="str">
        <f>IF(AND('Mapa final'!$AB$55="Alta",'Mapa final'!$AD$55="Leve"),CONCATENATE("R10C",'Mapa final'!$R$55),"")</f>
        <v/>
      </c>
      <c r="P25" s="54" t="str">
        <f>IF(AND('Mapa final'!$AB$50="Alta",'Mapa final'!$AD$50="Menor"),CONCATENATE("R10C",'Mapa final'!$R$50),"")</f>
        <v/>
      </c>
      <c r="Q25" s="55" t="str">
        <f>IF(AND('Mapa final'!$AB$51="Alta",'Mapa final'!$AD$51="Menor"),CONCATENATE("R10C",'Mapa final'!$R$51),"")</f>
        <v/>
      </c>
      <c r="R25" s="55" t="str">
        <f>IF(AND('Mapa final'!$AB$52="Alta",'Mapa final'!$AD$52="Menor"),CONCATENATE("R10C",'Mapa final'!$R$52),"")</f>
        <v/>
      </c>
      <c r="S25" s="55" t="str">
        <f>IF(AND('Mapa final'!$AB$53="Alta",'Mapa final'!$AD$53="Menor"),CONCATENATE("R10C",'Mapa final'!$R$53),"")</f>
        <v/>
      </c>
      <c r="T25" s="55" t="str">
        <f>IF(AND('Mapa final'!$AB$54="Alta",'Mapa final'!$AD$54="Menor"),CONCATENATE("R10C",'Mapa final'!$R$54),"")</f>
        <v/>
      </c>
      <c r="U25" s="56" t="str">
        <f>IF(AND('Mapa final'!$AB$55="Alta",'Mapa final'!$AD$55="Menor"),CONCATENATE("R10C",'Mapa final'!$R$55),"")</f>
        <v/>
      </c>
      <c r="V25" s="42" t="str">
        <f>IF(AND('Mapa final'!$AB$50="Alta",'Mapa final'!$AD$50="Moderado"),CONCATENATE("R10C",'Mapa final'!$R$50),"")</f>
        <v/>
      </c>
      <c r="W25" s="43" t="str">
        <f>IF(AND('Mapa final'!$AB$51="Alta",'Mapa final'!$AD$51="Moderado"),CONCATENATE("R10C",'Mapa final'!$R$51),"")</f>
        <v/>
      </c>
      <c r="X25" s="43" t="str">
        <f>IF(AND('Mapa final'!$AB$52="Alta",'Mapa final'!$AD$52="Moderado"),CONCATENATE("R10C",'Mapa final'!$R$52),"")</f>
        <v/>
      </c>
      <c r="Y25" s="43" t="str">
        <f>IF(AND('Mapa final'!$AB$53="Alta",'Mapa final'!$AD$53="Moderado"),CONCATENATE("R10C",'Mapa final'!$R$53),"")</f>
        <v/>
      </c>
      <c r="Z25" s="43" t="str">
        <f>IF(AND('Mapa final'!$AB$54="Alta",'Mapa final'!$AD$54="Moderado"),CONCATENATE("R10C",'Mapa final'!$R$54),"")</f>
        <v/>
      </c>
      <c r="AA25" s="44" t="str">
        <f>IF(AND('Mapa final'!$AB$55="Alta",'Mapa final'!$AD$55="Moderado"),CONCATENATE("R10C",'Mapa final'!$R$55),"")</f>
        <v/>
      </c>
      <c r="AB25" s="42" t="str">
        <f>IF(AND('Mapa final'!$AB$50="Alta",'Mapa final'!$AD$50="Mayor"),CONCATENATE("R10C",'Mapa final'!$R$50),"")</f>
        <v/>
      </c>
      <c r="AC25" s="43" t="str">
        <f>IF(AND('Mapa final'!$AB$51="Alta",'Mapa final'!$AD$51="Mayor"),CONCATENATE("R10C",'Mapa final'!$R$51),"")</f>
        <v/>
      </c>
      <c r="AD25" s="43" t="str">
        <f>IF(AND('Mapa final'!$AB$52="Alta",'Mapa final'!$AD$52="Mayor"),CONCATENATE("R10C",'Mapa final'!$R$52),"")</f>
        <v/>
      </c>
      <c r="AE25" s="43" t="str">
        <f>IF(AND('Mapa final'!$AB$53="Alta",'Mapa final'!$AD$53="Mayor"),CONCATENATE("R10C",'Mapa final'!$R$53),"")</f>
        <v/>
      </c>
      <c r="AF25" s="43" t="str">
        <f>IF(AND('Mapa final'!$AB$54="Alta",'Mapa final'!$AD$54="Mayor"),CONCATENATE("R10C",'Mapa final'!$R$54),"")</f>
        <v/>
      </c>
      <c r="AG25" s="44" t="str">
        <f>IF(AND('Mapa final'!$AB$55="Alta",'Mapa final'!$AD$55="Mayor"),CONCATENATE("R10C",'Mapa final'!$R$55),"")</f>
        <v/>
      </c>
      <c r="AH25" s="45" t="str">
        <f>IF(AND('Mapa final'!$AB$50="Alta",'Mapa final'!$AD$50="Catastrófico"),CONCATENATE("R10C",'Mapa final'!$R$50),"")</f>
        <v/>
      </c>
      <c r="AI25" s="46" t="str">
        <f>IF(AND('Mapa final'!$AB$51="Alta",'Mapa final'!$AD$51="Catastrófico"),CONCATENATE("R10C",'Mapa final'!$R$51),"")</f>
        <v/>
      </c>
      <c r="AJ25" s="46" t="str">
        <f>IF(AND('Mapa final'!$AB$52="Alta",'Mapa final'!$AD$52="Catastrófico"),CONCATENATE("R10C",'Mapa final'!$R$52),"")</f>
        <v/>
      </c>
      <c r="AK25" s="46" t="str">
        <f>IF(AND('Mapa final'!$AB$53="Alta",'Mapa final'!$AD$53="Catastrófico"),CONCATENATE("R10C",'Mapa final'!$R$53),"")</f>
        <v/>
      </c>
      <c r="AL25" s="46" t="str">
        <f>IF(AND('Mapa final'!$AB$54="Alta",'Mapa final'!$AD$54="Catastrófico"),CONCATENATE("R10C",'Mapa final'!$R$54),"")</f>
        <v/>
      </c>
      <c r="AM25" s="47" t="str">
        <f>IF(AND('Mapa final'!$AB$55="Alta",'Mapa final'!$AD$55="Catastrófico"),CONCATENATE("R10C",'Mapa final'!$R$55),"")</f>
        <v/>
      </c>
      <c r="AN25" s="67"/>
      <c r="AO25" s="609"/>
      <c r="AP25" s="610"/>
      <c r="AQ25" s="610"/>
      <c r="AR25" s="610"/>
      <c r="AS25" s="610"/>
      <c r="AT25" s="61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17"/>
      <c r="C26" s="517"/>
      <c r="D26" s="518"/>
      <c r="E26" s="612" t="s">
        <v>111</v>
      </c>
      <c r="F26" s="613"/>
      <c r="G26" s="613"/>
      <c r="H26" s="613"/>
      <c r="I26" s="630"/>
      <c r="J26" s="48" t="str">
        <f>IF(AND('Mapa final'!$AB$10="Media",'Mapa final'!$AD$10="Leve"),CONCATENATE("R1C",'Mapa final'!$R$10),"")</f>
        <v/>
      </c>
      <c r="K26" s="49" t="str">
        <f>IF(AND('Mapa final'!$AB$11="Media",'Mapa final'!$AD$11="Leve"),CONCATENATE("R1C",'Mapa final'!$R$11),"")</f>
        <v/>
      </c>
      <c r="L26" s="49" t="e">
        <f>IF(AND('Mapa final'!#REF!="Media",'Mapa final'!#REF!="Leve"),CONCATENATE("R1C",'Mapa final'!#REF!),"")</f>
        <v>#REF!</v>
      </c>
      <c r="M26" s="49" t="str">
        <f>IF(AND('Mapa final'!$AB$13="Media",'Mapa final'!$AD$13="Leve"),CONCATENATE("R1C",'Mapa final'!$R$13),"")</f>
        <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e">
        <f>IF(AND('Mapa final'!#REF!="Media",'Mapa final'!#REF!="Menor"),CONCATENATE("R1C",'Mapa final'!#REF!),"")</f>
        <v>#REF!</v>
      </c>
      <c r="S26" s="49" t="str">
        <f>IF(AND('Mapa final'!$AB$13="Media",'Mapa final'!$AD$13="Menor"),CONCATENATE("R1C",'Mapa final'!$R$13),"")</f>
        <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e">
        <f>IF(AND('Mapa final'!#REF!="Media",'Mapa final'!#REF!="Moderado"),CONCATENATE("R1C",'Mapa final'!#REF!),"")</f>
        <v>#REF!</v>
      </c>
      <c r="Y26" s="49" t="str">
        <f>IF(AND('Mapa final'!$AB$13="Media",'Mapa final'!$AD$13="Moderado"),CONCATENATE("R1C",'Mapa final'!$R$13),"")</f>
        <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e">
        <f>IF(AND('Mapa final'!#REF!="Media",'Mapa final'!#REF!="Mayor"),CONCATENATE("R1C",'Mapa final'!#REF!),"")</f>
        <v>#REF!</v>
      </c>
      <c r="AE26" s="31" t="str">
        <f>IF(AND('Mapa final'!$AB$13="Media",'Mapa final'!$AD$13="Mayor"),CONCATENATE("R1C",'Mapa final'!$R$13),"")</f>
        <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e">
        <f>IF(AND('Mapa final'!#REF!="Media",'Mapa final'!#REF!="Catastrófico"),CONCATENATE("R1C",'Mapa final'!#REF!),"")</f>
        <v>#REF!</v>
      </c>
      <c r="AK26" s="34" t="str">
        <f>IF(AND('Mapa final'!$AB$13="Media",'Mapa final'!$AD$13="Catastrófico"),CONCATENATE("R1C",'Mapa final'!$R$13),"")</f>
        <v/>
      </c>
      <c r="AL26" s="34" t="e">
        <f>IF(AND('Mapa final'!#REF!="Media",'Mapa final'!#REF!="Catastrófico"),CONCATENATE("R1C",'Mapa final'!#REF!),"")</f>
        <v>#REF!</v>
      </c>
      <c r="AM26" s="35" t="e">
        <f>IF(AND('Mapa final'!#REF!="Media",'Mapa final'!#REF!="Catastrófico"),CONCATENATE("R1C",'Mapa final'!#REF!),"")</f>
        <v>#REF!</v>
      </c>
      <c r="AN26" s="67"/>
      <c r="AO26" s="642" t="s">
        <v>79</v>
      </c>
      <c r="AP26" s="643"/>
      <c r="AQ26" s="643"/>
      <c r="AR26" s="643"/>
      <c r="AS26" s="643"/>
      <c r="AT26" s="64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17"/>
      <c r="C27" s="517"/>
      <c r="D27" s="518"/>
      <c r="E27" s="614"/>
      <c r="F27" s="615"/>
      <c r="G27" s="615"/>
      <c r="H27" s="615"/>
      <c r="I27" s="631"/>
      <c r="J27" s="51" t="str">
        <f>IF(AND('Mapa final'!$AB$14="Media",'Mapa final'!$AD$14="Leve"),CONCATENATE("R2C",'Mapa final'!$R$14),"")</f>
        <v/>
      </c>
      <c r="K27" s="52" t="str">
        <f>IF(AND('Mapa final'!$AB$15="Media",'Mapa final'!$AD$15="Leve"),CONCATENATE("R2C",'Mapa final'!$R$15),"")</f>
        <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str">
        <f>IF(AND('Mapa final'!$AB$14="Media",'Mapa final'!$AD$14="Menor"),CONCATENATE("R2C",'Mapa final'!$R$14),"")</f>
        <v/>
      </c>
      <c r="Q27" s="52" t="str">
        <f>IF(AND('Mapa final'!$AB$15="Media",'Mapa final'!$AD$15="Menor"),CONCATENATE("R2C",'Mapa final'!$R$15),"")</f>
        <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str">
        <f>IF(AND('Mapa final'!$AB$14="Media",'Mapa final'!$AD$14="Moderado"),CONCATENATE("R2C",'Mapa final'!$R$14),"")</f>
        <v/>
      </c>
      <c r="W27" s="52" t="str">
        <f>IF(AND('Mapa final'!$AB$15="Media",'Mapa final'!$AD$15="Moderado"),CONCATENATE("R2C",'Mapa final'!$R$15),"")</f>
        <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str">
        <f>IF(AND('Mapa final'!$AB$14="Media",'Mapa final'!$AD$14="Mayor"),CONCATENATE("R2C",'Mapa final'!$R$14),"")</f>
        <v/>
      </c>
      <c r="AC27" s="37" t="str">
        <f>IF(AND('Mapa final'!$AB$15="Media",'Mapa final'!$AD$15="Mayor"),CONCATENATE("R2C",'Mapa final'!$R$15),"")</f>
        <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final'!$AB$14="Media",'Mapa final'!$AD$14="Catastrófico"),CONCATENATE("R2C",'Mapa final'!$R$14),"")</f>
        <v/>
      </c>
      <c r="AI27" s="40" t="str">
        <f>IF(AND('Mapa final'!$AB$15="Media",'Mapa final'!$AD$15="Catastrófico"),CONCATENATE("R2C",'Mapa final'!$R$15),"")</f>
        <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645"/>
      <c r="AP27" s="646"/>
      <c r="AQ27" s="646"/>
      <c r="AR27" s="646"/>
      <c r="AS27" s="646"/>
      <c r="AT27" s="64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17"/>
      <c r="C28" s="517"/>
      <c r="D28" s="518"/>
      <c r="E28" s="616"/>
      <c r="F28" s="615"/>
      <c r="G28" s="615"/>
      <c r="H28" s="615"/>
      <c r="I28" s="631"/>
      <c r="J28" s="51" t="str">
        <f>IF(AND('Mapa final'!$AB$16="Media",'Mapa final'!$AD$16="Leve"),CONCATENATE("R3C",'Mapa final'!$R$16),"")</f>
        <v/>
      </c>
      <c r="K28" s="52" t="str">
        <f>IF(AND('Mapa final'!$AB$17="Media",'Mapa final'!$AD$17="Leve"),CONCATENATE("R3C",'Mapa final'!$R$17),"")</f>
        <v/>
      </c>
      <c r="L28" s="52" t="str">
        <f>IF(AND('Mapa final'!$AB$18="Media",'Mapa final'!$AD$18="Leve"),CONCATENATE("R3C",'Mapa final'!$R$18),"")</f>
        <v>R3C3</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str">
        <f>IF(AND('Mapa final'!$AB$16="Media",'Mapa final'!$AD$16="Menor"),CONCATENATE("R3C",'Mapa final'!$R$16),"")</f>
        <v>R3C1</v>
      </c>
      <c r="Q28" s="52" t="str">
        <f>IF(AND('Mapa final'!$AB$17="Media",'Mapa final'!$AD$17="Menor"),CONCATENATE("R3C",'Mapa final'!$R$17),"")</f>
        <v>R3C2</v>
      </c>
      <c r="R28" s="52" t="str">
        <f>IF(AND('Mapa final'!$AB$18="Media",'Mapa final'!$AD$18="Menor"),CONCATENATE("R3C",'Mapa final'!$R$18),"")</f>
        <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str">
        <f>IF(AND('Mapa final'!$AB$16="Media",'Mapa final'!$AD$16="Moderado"),CONCATENATE("R3C",'Mapa final'!$R$16),"")</f>
        <v/>
      </c>
      <c r="W28" s="52" t="str">
        <f>IF(AND('Mapa final'!$AB$17="Media",'Mapa final'!$AD$17="Moderado"),CONCATENATE("R3C",'Mapa final'!$R$17),"")</f>
        <v/>
      </c>
      <c r="X28" s="52" t="str">
        <f>IF(AND('Mapa final'!$AB$18="Media",'Mapa final'!$AD$18="Moderado"),CONCATENATE("R3C",'Mapa final'!$R$18),"")</f>
        <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str">
        <f>IF(AND('Mapa final'!$AB$16="Media",'Mapa final'!$AD$16="Mayor"),CONCATENATE("R3C",'Mapa final'!$R$16),"")</f>
        <v/>
      </c>
      <c r="AC28" s="37" t="str">
        <f>IF(AND('Mapa final'!$AB$17="Media",'Mapa final'!$AD$17="Mayor"),CONCATENATE("R3C",'Mapa final'!$R$17),"")</f>
        <v/>
      </c>
      <c r="AD28" s="37" t="str">
        <f>IF(AND('Mapa final'!$AB$18="Media",'Mapa final'!$AD$18="Mayor"),CONCATENATE("R3C",'Mapa final'!$R$18),"")</f>
        <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str">
        <f>IF(AND('Mapa final'!$AB$16="Media",'Mapa final'!$AD$16="Catastrófico"),CONCATENATE("R3C",'Mapa final'!$R$16),"")</f>
        <v/>
      </c>
      <c r="AI28" s="40" t="str">
        <f>IF(AND('Mapa final'!$AB$17="Media",'Mapa final'!$AD$17="Catastrófico"),CONCATENATE("R3C",'Mapa final'!$R$17),"")</f>
        <v/>
      </c>
      <c r="AJ28" s="40" t="str">
        <f>IF(AND('Mapa final'!$AB$18="Media",'Mapa final'!$AD$18="Catastrófico"),CONCATENATE("R3C",'Mapa final'!$R$18),"")</f>
        <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645"/>
      <c r="AP28" s="646"/>
      <c r="AQ28" s="646"/>
      <c r="AR28" s="646"/>
      <c r="AS28" s="646"/>
      <c r="AT28" s="64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17"/>
      <c r="C29" s="517"/>
      <c r="D29" s="518"/>
      <c r="E29" s="616"/>
      <c r="F29" s="615"/>
      <c r="G29" s="615"/>
      <c r="H29" s="615"/>
      <c r="I29" s="631"/>
      <c r="J29" s="51" t="str">
        <f>IF(AND('Mapa final'!$AB$19="Media",'Mapa final'!$AD$19="Leve"),CONCATENATE("R4C",'Mapa final'!$R$19),"")</f>
        <v>R4C1</v>
      </c>
      <c r="K29" s="52" t="e">
        <f>IF(AND('Mapa final'!#REF!="Media",'Mapa final'!#REF!="Leve"),CONCATENATE("R4C",'Mapa final'!#REF!),"")</f>
        <v>#REF!</v>
      </c>
      <c r="L29" s="52" t="e">
        <f>IF(AND('Mapa final'!#REF!="Media",'Mapa final'!#REF!="Leve"),CONCATENATE("R4C",'Mapa final'!#REF!),"")</f>
        <v>#REF!</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str">
        <f>IF(AND('Mapa final'!$AB$19="Media",'Mapa final'!$AD$19="Menor"),CONCATENATE("R4C",'Mapa final'!$R$19),"")</f>
        <v/>
      </c>
      <c r="Q29" s="52" t="e">
        <f>IF(AND('Mapa final'!#REF!="Media",'Mapa final'!#REF!="Menor"),CONCATENATE("R4C",'Mapa final'!#REF!),"")</f>
        <v>#REF!</v>
      </c>
      <c r="R29" s="52" t="e">
        <f>IF(AND('Mapa final'!#REF!="Media",'Mapa final'!#REF!="Menor"),CONCATENATE("R4C",'Mapa final'!#REF!),"")</f>
        <v>#REF!</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str">
        <f>IF(AND('Mapa final'!$AB$19="Media",'Mapa final'!$AD$19="Moderado"),CONCATENATE("R4C",'Mapa final'!$R$19),"")</f>
        <v/>
      </c>
      <c r="W29" s="52" t="e">
        <f>IF(AND('Mapa final'!#REF!="Media",'Mapa final'!#REF!="Moderado"),CONCATENATE("R4C",'Mapa final'!#REF!),"")</f>
        <v>#REF!</v>
      </c>
      <c r="X29" s="52" t="e">
        <f>IF(AND('Mapa final'!#REF!="Media",'Mapa final'!#REF!="Moderado"),CONCATENATE("R4C",'Mapa final'!#REF!),"")</f>
        <v>#REF!</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str">
        <f>IF(AND('Mapa final'!$AB$19="Media",'Mapa final'!$AD$19="Mayor"),CONCATENATE("R4C",'Mapa final'!$R$19),"")</f>
        <v/>
      </c>
      <c r="AC29" s="37" t="e">
        <f>IF(AND('Mapa final'!#REF!="Media",'Mapa final'!#REF!="Mayor"),CONCATENATE("R4C",'Mapa final'!#REF!),"")</f>
        <v>#REF!</v>
      </c>
      <c r="AD29" s="37" t="e">
        <f>IF(AND('Mapa final'!#REF!="Media",'Mapa final'!#REF!="Mayor"),CONCATENATE("R4C",'Mapa final'!#REF!),"")</f>
        <v>#REF!</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str">
        <f>IF(AND('Mapa final'!$AB$19="Media",'Mapa final'!$AD$19="Catastrófico"),CONCATENATE("R4C",'Mapa final'!$R$19),"")</f>
        <v/>
      </c>
      <c r="AI29" s="40" t="e">
        <f>IF(AND('Mapa final'!#REF!="Media",'Mapa final'!#REF!="Catastrófico"),CONCATENATE("R4C",'Mapa final'!#REF!),"")</f>
        <v>#REF!</v>
      </c>
      <c r="AJ29" s="40" t="e">
        <f>IF(AND('Mapa final'!#REF!="Media",'Mapa final'!#REF!="Catastrófico"),CONCATENATE("R4C",'Mapa final'!#REF!),"")</f>
        <v>#REF!</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645"/>
      <c r="AP29" s="646"/>
      <c r="AQ29" s="646"/>
      <c r="AR29" s="646"/>
      <c r="AS29" s="646"/>
      <c r="AT29" s="64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17"/>
      <c r="C30" s="517"/>
      <c r="D30" s="518"/>
      <c r="E30" s="616"/>
      <c r="F30" s="615"/>
      <c r="G30" s="615"/>
      <c r="H30" s="615"/>
      <c r="I30" s="631"/>
      <c r="J30" s="51" t="str">
        <f>IF(AND('Mapa final'!$AB$20="Media",'Mapa final'!$AD$20="Leve"),CONCATENATE("R5C",'Mapa final'!$R$20),"")</f>
        <v/>
      </c>
      <c r="K30" s="52" t="str">
        <f>IF(AND('Mapa final'!$AB$21="Media",'Mapa final'!$AD$21="Leve"),CONCATENATE("R5C",'Mapa final'!$R$21),"")</f>
        <v/>
      </c>
      <c r="L30" s="52" t="str">
        <f>IF(AND('Mapa final'!$AB$22="Media",'Mapa final'!$AD$22="Leve"),CONCATENATE("R5C",'Mapa final'!$R$22),"")</f>
        <v/>
      </c>
      <c r="M30" s="52" t="str">
        <f>IF(AND('Mapa final'!$AB$23="Media",'Mapa final'!$AD$23="Leve"),CONCATENATE("R5C",'Mapa final'!$R$23),"")</f>
        <v/>
      </c>
      <c r="N30" s="52" t="str">
        <f>IF(AND('Mapa final'!$AB$24="Media",'Mapa final'!$AD$24="Leve"),CONCATENATE("R5C",'Mapa final'!$R$24),"")</f>
        <v/>
      </c>
      <c r="O30" s="53" t="str">
        <f>IF(AND('Mapa final'!$AB$25="Media",'Mapa final'!$AD$25="Leve"),CONCATENATE("R5C",'Mapa final'!$R$25),"")</f>
        <v/>
      </c>
      <c r="P30" s="51" t="str">
        <f>IF(AND('Mapa final'!$AB$20="Media",'Mapa final'!$AD$20="Menor"),CONCATENATE("R5C",'Mapa final'!$R$20),"")</f>
        <v/>
      </c>
      <c r="Q30" s="52" t="str">
        <f>IF(AND('Mapa final'!$AB$21="Media",'Mapa final'!$AD$21="Menor"),CONCATENATE("R5C",'Mapa final'!$R$21),"")</f>
        <v/>
      </c>
      <c r="R30" s="52" t="str">
        <f>IF(AND('Mapa final'!$AB$22="Media",'Mapa final'!$AD$22="Menor"),CONCATENATE("R5C",'Mapa final'!$R$22),"")</f>
        <v/>
      </c>
      <c r="S30" s="52" t="str">
        <f>IF(AND('Mapa final'!$AB$23="Media",'Mapa final'!$AD$23="Menor"),CONCATENATE("R5C",'Mapa final'!$R$23),"")</f>
        <v/>
      </c>
      <c r="T30" s="52" t="str">
        <f>IF(AND('Mapa final'!$AB$24="Media",'Mapa final'!$AD$24="Menor"),CONCATENATE("R5C",'Mapa final'!$R$24),"")</f>
        <v/>
      </c>
      <c r="U30" s="53" t="str">
        <f>IF(AND('Mapa final'!$AB$25="Media",'Mapa final'!$AD$25="Menor"),CONCATENATE("R5C",'Mapa final'!$R$25),"")</f>
        <v/>
      </c>
      <c r="V30" s="51" t="str">
        <f>IF(AND('Mapa final'!$AB$20="Media",'Mapa final'!$AD$20="Moderado"),CONCATENATE("R5C",'Mapa final'!$R$20),"")</f>
        <v/>
      </c>
      <c r="W30" s="52" t="str">
        <f>IF(AND('Mapa final'!$AB$21="Media",'Mapa final'!$AD$21="Moderado"),CONCATENATE("R5C",'Mapa final'!$R$21),"")</f>
        <v/>
      </c>
      <c r="X30" s="52" t="str">
        <f>IF(AND('Mapa final'!$AB$22="Media",'Mapa final'!$AD$22="Moderado"),CONCATENATE("R5C",'Mapa final'!$R$22),"")</f>
        <v/>
      </c>
      <c r="Y30" s="52" t="str">
        <f>IF(AND('Mapa final'!$AB$23="Media",'Mapa final'!$AD$23="Moderado"),CONCATENATE("R5C",'Mapa final'!$R$23),"")</f>
        <v/>
      </c>
      <c r="Z30" s="52" t="str">
        <f>IF(AND('Mapa final'!$AB$24="Media",'Mapa final'!$AD$24="Moderado"),CONCATENATE("R5C",'Mapa final'!$R$24),"")</f>
        <v/>
      </c>
      <c r="AA30" s="53" t="str">
        <f>IF(AND('Mapa final'!$AB$25="Media",'Mapa final'!$AD$25="Moderado"),CONCATENATE("R5C",'Mapa final'!$R$25),"")</f>
        <v/>
      </c>
      <c r="AB30" s="36" t="str">
        <f>IF(AND('Mapa final'!$AB$20="Media",'Mapa final'!$AD$20="Mayor"),CONCATENATE("R5C",'Mapa final'!$R$20),"")</f>
        <v/>
      </c>
      <c r="AC30" s="37" t="str">
        <f>IF(AND('Mapa final'!$AB$21="Media",'Mapa final'!$AD$21="Mayor"),CONCATENATE("R5C",'Mapa final'!$R$21),"")</f>
        <v/>
      </c>
      <c r="AD30" s="37" t="str">
        <f>IF(AND('Mapa final'!$AB$22="Media",'Mapa final'!$AD$22="Mayor"),CONCATENATE("R5C",'Mapa final'!$R$22),"")</f>
        <v/>
      </c>
      <c r="AE30" s="37" t="str">
        <f>IF(AND('Mapa final'!$AB$23="Media",'Mapa final'!$AD$23="Mayor"),CONCATENATE("R5C",'Mapa final'!$R$23),"")</f>
        <v/>
      </c>
      <c r="AF30" s="37" t="str">
        <f>IF(AND('Mapa final'!$AB$24="Media",'Mapa final'!$AD$24="Mayor"),CONCATENATE("R5C",'Mapa final'!$R$24),"")</f>
        <v/>
      </c>
      <c r="AG30" s="38" t="str">
        <f>IF(AND('Mapa final'!$AB$25="Media",'Mapa final'!$AD$25="Mayor"),CONCATENATE("R5C",'Mapa final'!$R$25),"")</f>
        <v/>
      </c>
      <c r="AH30" s="39" t="str">
        <f>IF(AND('Mapa final'!$AB$20="Media",'Mapa final'!$AD$20="Catastrófico"),CONCATENATE("R5C",'Mapa final'!$R$20),"")</f>
        <v/>
      </c>
      <c r="AI30" s="40" t="str">
        <f>IF(AND('Mapa final'!$AB$21="Media",'Mapa final'!$AD$21="Catastrófico"),CONCATENATE("R5C",'Mapa final'!$R$21),"")</f>
        <v/>
      </c>
      <c r="AJ30" s="40" t="str">
        <f>IF(AND('Mapa final'!$AB$22="Media",'Mapa final'!$AD$22="Catastrófico"),CONCATENATE("R5C",'Mapa final'!$R$22),"")</f>
        <v/>
      </c>
      <c r="AK30" s="40" t="str">
        <f>IF(AND('Mapa final'!$AB$23="Media",'Mapa final'!$AD$23="Catastrófico"),CONCATENATE("R5C",'Mapa final'!$R$23),"")</f>
        <v/>
      </c>
      <c r="AL30" s="40" t="str">
        <f>IF(AND('Mapa final'!$AB$24="Media",'Mapa final'!$AD$24="Catastrófico"),CONCATENATE("R5C",'Mapa final'!$R$24),"")</f>
        <v/>
      </c>
      <c r="AM30" s="41" t="str">
        <f>IF(AND('Mapa final'!$AB$25="Media",'Mapa final'!$AD$25="Catastrófico"),CONCATENATE("R5C",'Mapa final'!$R$25),"")</f>
        <v/>
      </c>
      <c r="AN30" s="67"/>
      <c r="AO30" s="645"/>
      <c r="AP30" s="646"/>
      <c r="AQ30" s="646"/>
      <c r="AR30" s="646"/>
      <c r="AS30" s="646"/>
      <c r="AT30" s="64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17"/>
      <c r="C31" s="517"/>
      <c r="D31" s="518"/>
      <c r="E31" s="616"/>
      <c r="F31" s="615"/>
      <c r="G31" s="615"/>
      <c r="H31" s="615"/>
      <c r="I31" s="631"/>
      <c r="J31" s="51" t="str">
        <f>IF(AND('Mapa final'!$AB$26="Media",'Mapa final'!$AD$26="Leve"),CONCATENATE("R6C",'Mapa final'!$R$26),"")</f>
        <v/>
      </c>
      <c r="K31" s="52" t="str">
        <f>IF(AND('Mapa final'!$AB$27="Media",'Mapa final'!$AD$27="Leve"),CONCATENATE("R6C",'Mapa final'!$R$27),"")</f>
        <v/>
      </c>
      <c r="L31" s="52" t="str">
        <f>IF(AND('Mapa final'!$AB$28="Media",'Mapa final'!$AD$28="Leve"),CONCATENATE("R6C",'Mapa final'!$R$28),"")</f>
        <v/>
      </c>
      <c r="M31" s="52" t="str">
        <f>IF(AND('Mapa final'!$AB$29="Media",'Mapa final'!$AD$29="Leve"),CONCATENATE("R6C",'Mapa final'!$R$29),"")</f>
        <v/>
      </c>
      <c r="N31" s="52" t="str">
        <f>IF(AND('Mapa final'!$AB$30="Media",'Mapa final'!$AD$30="Leve"),CONCATENATE("R6C",'Mapa final'!$R$30),"")</f>
        <v/>
      </c>
      <c r="O31" s="53" t="str">
        <f>IF(AND('Mapa final'!$AB$31="Media",'Mapa final'!$AD$31="Leve"),CONCATENATE("R6C",'Mapa final'!$R$31),"")</f>
        <v/>
      </c>
      <c r="P31" s="51" t="str">
        <f>IF(AND('Mapa final'!$AB$26="Media",'Mapa final'!$AD$26="Menor"),CONCATENATE("R6C",'Mapa final'!$R$26),"")</f>
        <v/>
      </c>
      <c r="Q31" s="52" t="str">
        <f>IF(AND('Mapa final'!$AB$27="Media",'Mapa final'!$AD$27="Menor"),CONCATENATE("R6C",'Mapa final'!$R$27),"")</f>
        <v/>
      </c>
      <c r="R31" s="52" t="str">
        <f>IF(AND('Mapa final'!$AB$28="Media",'Mapa final'!$AD$28="Menor"),CONCATENATE("R6C",'Mapa final'!$R$28),"")</f>
        <v/>
      </c>
      <c r="S31" s="52" t="str">
        <f>IF(AND('Mapa final'!$AB$29="Media",'Mapa final'!$AD$29="Menor"),CONCATENATE("R6C",'Mapa final'!$R$29),"")</f>
        <v/>
      </c>
      <c r="T31" s="52" t="str">
        <f>IF(AND('Mapa final'!$AB$30="Media",'Mapa final'!$AD$30="Menor"),CONCATENATE("R6C",'Mapa final'!$R$30),"")</f>
        <v/>
      </c>
      <c r="U31" s="53" t="str">
        <f>IF(AND('Mapa final'!$AB$31="Media",'Mapa final'!$AD$31="Menor"),CONCATENATE("R6C",'Mapa final'!$R$31),"")</f>
        <v/>
      </c>
      <c r="V31" s="51" t="str">
        <f>IF(AND('Mapa final'!$AB$26="Media",'Mapa final'!$AD$26="Moderado"),CONCATENATE("R6C",'Mapa final'!$R$26),"")</f>
        <v/>
      </c>
      <c r="W31" s="52" t="str">
        <f>IF(AND('Mapa final'!$AB$27="Media",'Mapa final'!$AD$27="Moderado"),CONCATENATE("R6C",'Mapa final'!$R$27),"")</f>
        <v/>
      </c>
      <c r="X31" s="52" t="str">
        <f>IF(AND('Mapa final'!$AB$28="Media",'Mapa final'!$AD$28="Moderado"),CONCATENATE("R6C",'Mapa final'!$R$28),"")</f>
        <v/>
      </c>
      <c r="Y31" s="52" t="str">
        <f>IF(AND('Mapa final'!$AB$29="Media",'Mapa final'!$AD$29="Moderado"),CONCATENATE("R6C",'Mapa final'!$R$29),"")</f>
        <v/>
      </c>
      <c r="Z31" s="52" t="str">
        <f>IF(AND('Mapa final'!$AB$30="Media",'Mapa final'!$AD$30="Moderado"),CONCATENATE("R6C",'Mapa final'!$R$30),"")</f>
        <v/>
      </c>
      <c r="AA31" s="53" t="str">
        <f>IF(AND('Mapa final'!$AB$31="Media",'Mapa final'!$AD$31="Moderado"),CONCATENATE("R6C",'Mapa final'!$R$31),"")</f>
        <v/>
      </c>
      <c r="AB31" s="36" t="str">
        <f>IF(AND('Mapa final'!$AB$26="Media",'Mapa final'!$AD$26="Mayor"),CONCATENATE("R6C",'Mapa final'!$R$26),"")</f>
        <v/>
      </c>
      <c r="AC31" s="37" t="str">
        <f>IF(AND('Mapa final'!$AB$27="Media",'Mapa final'!$AD$27="Mayor"),CONCATENATE("R6C",'Mapa final'!$R$27),"")</f>
        <v/>
      </c>
      <c r="AD31" s="37" t="str">
        <f>IF(AND('Mapa final'!$AB$28="Media",'Mapa final'!$AD$28="Mayor"),CONCATENATE("R6C",'Mapa final'!$R$28),"")</f>
        <v/>
      </c>
      <c r="AE31" s="37" t="str">
        <f>IF(AND('Mapa final'!$AB$29="Media",'Mapa final'!$AD$29="Mayor"),CONCATENATE("R6C",'Mapa final'!$R$29),"")</f>
        <v/>
      </c>
      <c r="AF31" s="37" t="str">
        <f>IF(AND('Mapa final'!$AB$30="Media",'Mapa final'!$AD$30="Mayor"),CONCATENATE("R6C",'Mapa final'!$R$30),"")</f>
        <v/>
      </c>
      <c r="AG31" s="38" t="str">
        <f>IF(AND('Mapa final'!$AB$31="Media",'Mapa final'!$AD$31="Mayor"),CONCATENATE("R6C",'Mapa final'!$R$31),"")</f>
        <v/>
      </c>
      <c r="AH31" s="39" t="str">
        <f>IF(AND('Mapa final'!$AB$26="Media",'Mapa final'!$AD$26="Catastrófico"),CONCATENATE("R6C",'Mapa final'!$R$26),"")</f>
        <v/>
      </c>
      <c r="AI31" s="40" t="str">
        <f>IF(AND('Mapa final'!$AB$27="Media",'Mapa final'!$AD$27="Catastrófico"),CONCATENATE("R6C",'Mapa final'!$R$27),"")</f>
        <v/>
      </c>
      <c r="AJ31" s="40" t="str">
        <f>IF(AND('Mapa final'!$AB$28="Media",'Mapa final'!$AD$28="Catastrófico"),CONCATENATE("R6C",'Mapa final'!$R$28),"")</f>
        <v/>
      </c>
      <c r="AK31" s="40" t="str">
        <f>IF(AND('Mapa final'!$AB$29="Media",'Mapa final'!$AD$29="Catastrófico"),CONCATENATE("R6C",'Mapa final'!$R$29),"")</f>
        <v/>
      </c>
      <c r="AL31" s="40" t="str">
        <f>IF(AND('Mapa final'!$AB$30="Media",'Mapa final'!$AD$30="Catastrófico"),CONCATENATE("R6C",'Mapa final'!$R$30),"")</f>
        <v/>
      </c>
      <c r="AM31" s="41" t="str">
        <f>IF(AND('Mapa final'!$AB$31="Media",'Mapa final'!$AD$31="Catastrófico"),CONCATENATE("R6C",'Mapa final'!$R$31),"")</f>
        <v/>
      </c>
      <c r="AN31" s="67"/>
      <c r="AO31" s="645"/>
      <c r="AP31" s="646"/>
      <c r="AQ31" s="646"/>
      <c r="AR31" s="646"/>
      <c r="AS31" s="646"/>
      <c r="AT31" s="64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17"/>
      <c r="C32" s="517"/>
      <c r="D32" s="518"/>
      <c r="E32" s="616"/>
      <c r="F32" s="615"/>
      <c r="G32" s="615"/>
      <c r="H32" s="615"/>
      <c r="I32" s="631"/>
      <c r="J32" s="51" t="str">
        <f>IF(AND('Mapa final'!$AB$32="Media",'Mapa final'!$AD$32="Leve"),CONCATENATE("R7C",'Mapa final'!$R$32),"")</f>
        <v/>
      </c>
      <c r="K32" s="52" t="str">
        <f>IF(AND('Mapa final'!$AB$33="Media",'Mapa final'!$AD$33="Leve"),CONCATENATE("R7C",'Mapa final'!$R$33),"")</f>
        <v/>
      </c>
      <c r="L32" s="52" t="str">
        <f>IF(AND('Mapa final'!$AB$34="Media",'Mapa final'!$AD$34="Leve"),CONCATENATE("R7C",'Mapa final'!$R$34),"")</f>
        <v/>
      </c>
      <c r="M32" s="52" t="str">
        <f>IF(AND('Mapa final'!$AB$35="Media",'Mapa final'!$AD$35="Leve"),CONCATENATE("R7C",'Mapa final'!$R$35),"")</f>
        <v/>
      </c>
      <c r="N32" s="52" t="str">
        <f>IF(AND('Mapa final'!$AB$36="Media",'Mapa final'!$AD$36="Leve"),CONCATENATE("R7C",'Mapa final'!$R$36),"")</f>
        <v/>
      </c>
      <c r="O32" s="53" t="str">
        <f>IF(AND('Mapa final'!$AB$37="Media",'Mapa final'!$AD$37="Leve"),CONCATENATE("R7C",'Mapa final'!$R$37),"")</f>
        <v/>
      </c>
      <c r="P32" s="51" t="str">
        <f>IF(AND('Mapa final'!$AB$32="Media",'Mapa final'!$AD$32="Menor"),CONCATENATE("R7C",'Mapa final'!$R$32),"")</f>
        <v/>
      </c>
      <c r="Q32" s="52" t="str">
        <f>IF(AND('Mapa final'!$AB$33="Media",'Mapa final'!$AD$33="Menor"),CONCATENATE("R7C",'Mapa final'!$R$33),"")</f>
        <v/>
      </c>
      <c r="R32" s="52" t="str">
        <f>IF(AND('Mapa final'!$AB$34="Media",'Mapa final'!$AD$34="Menor"),CONCATENATE("R7C",'Mapa final'!$R$34),"")</f>
        <v/>
      </c>
      <c r="S32" s="52" t="str">
        <f>IF(AND('Mapa final'!$AB$35="Media",'Mapa final'!$AD$35="Menor"),CONCATENATE("R7C",'Mapa final'!$R$35),"")</f>
        <v/>
      </c>
      <c r="T32" s="52" t="str">
        <f>IF(AND('Mapa final'!$AB$36="Media",'Mapa final'!$AD$36="Menor"),CONCATENATE("R7C",'Mapa final'!$R$36),"")</f>
        <v/>
      </c>
      <c r="U32" s="53" t="str">
        <f>IF(AND('Mapa final'!$AB$37="Media",'Mapa final'!$AD$37="Menor"),CONCATENATE("R7C",'Mapa final'!$R$37),"")</f>
        <v/>
      </c>
      <c r="V32" s="51" t="str">
        <f>IF(AND('Mapa final'!$AB$32="Media",'Mapa final'!$AD$32="Moderado"),CONCATENATE("R7C",'Mapa final'!$R$32),"")</f>
        <v/>
      </c>
      <c r="W32" s="52" t="str">
        <f>IF(AND('Mapa final'!$AB$33="Media",'Mapa final'!$AD$33="Moderado"),CONCATENATE("R7C",'Mapa final'!$R$33),"")</f>
        <v/>
      </c>
      <c r="X32" s="52" t="str">
        <f>IF(AND('Mapa final'!$AB$34="Media",'Mapa final'!$AD$34="Moderado"),CONCATENATE("R7C",'Mapa final'!$R$34),"")</f>
        <v/>
      </c>
      <c r="Y32" s="52" t="str">
        <f>IF(AND('Mapa final'!$AB$35="Media",'Mapa final'!$AD$35="Moderado"),CONCATENATE("R7C",'Mapa final'!$R$35),"")</f>
        <v/>
      </c>
      <c r="Z32" s="52" t="str">
        <f>IF(AND('Mapa final'!$AB$36="Media",'Mapa final'!$AD$36="Moderado"),CONCATENATE("R7C",'Mapa final'!$R$36),"")</f>
        <v/>
      </c>
      <c r="AA32" s="53" t="str">
        <f>IF(AND('Mapa final'!$AB$37="Media",'Mapa final'!$AD$37="Moderado"),CONCATENATE("R7C",'Mapa final'!$R$37),"")</f>
        <v/>
      </c>
      <c r="AB32" s="36" t="str">
        <f>IF(AND('Mapa final'!$AB$32="Media",'Mapa final'!$AD$32="Mayor"),CONCATENATE("R7C",'Mapa final'!$R$32),"")</f>
        <v/>
      </c>
      <c r="AC32" s="37" t="str">
        <f>IF(AND('Mapa final'!$AB$33="Media",'Mapa final'!$AD$33="Mayor"),CONCATENATE("R7C",'Mapa final'!$R$33),"")</f>
        <v/>
      </c>
      <c r="AD32" s="37" t="str">
        <f>IF(AND('Mapa final'!$AB$34="Media",'Mapa final'!$AD$34="Mayor"),CONCATENATE("R7C",'Mapa final'!$R$34),"")</f>
        <v/>
      </c>
      <c r="AE32" s="37" t="str">
        <f>IF(AND('Mapa final'!$AB$35="Media",'Mapa final'!$AD$35="Mayor"),CONCATENATE("R7C",'Mapa final'!$R$35),"")</f>
        <v/>
      </c>
      <c r="AF32" s="37" t="str">
        <f>IF(AND('Mapa final'!$AB$36="Media",'Mapa final'!$AD$36="Mayor"),CONCATENATE("R7C",'Mapa final'!$R$36),"")</f>
        <v/>
      </c>
      <c r="AG32" s="38" t="str">
        <f>IF(AND('Mapa final'!$AB$37="Media",'Mapa final'!$AD$37="Mayor"),CONCATENATE("R7C",'Mapa final'!$R$37),"")</f>
        <v/>
      </c>
      <c r="AH32" s="39" t="str">
        <f>IF(AND('Mapa final'!$AB$32="Media",'Mapa final'!$AD$32="Catastrófico"),CONCATENATE("R7C",'Mapa final'!$R$32),"")</f>
        <v/>
      </c>
      <c r="AI32" s="40" t="str">
        <f>IF(AND('Mapa final'!$AB$33="Media",'Mapa final'!$AD$33="Catastrófico"),CONCATENATE("R7C",'Mapa final'!$R$33),"")</f>
        <v/>
      </c>
      <c r="AJ32" s="40" t="str">
        <f>IF(AND('Mapa final'!$AB$34="Media",'Mapa final'!$AD$34="Catastrófico"),CONCATENATE("R7C",'Mapa final'!$R$34),"")</f>
        <v/>
      </c>
      <c r="AK32" s="40" t="str">
        <f>IF(AND('Mapa final'!$AB$35="Media",'Mapa final'!$AD$35="Catastrófico"),CONCATENATE("R7C",'Mapa final'!$R$35),"")</f>
        <v/>
      </c>
      <c r="AL32" s="40" t="str">
        <f>IF(AND('Mapa final'!$AB$36="Media",'Mapa final'!$AD$36="Catastrófico"),CONCATENATE("R7C",'Mapa final'!$R$36),"")</f>
        <v/>
      </c>
      <c r="AM32" s="41" t="str">
        <f>IF(AND('Mapa final'!$AB$37="Media",'Mapa final'!$AD$37="Catastrófico"),CONCATENATE("R7C",'Mapa final'!$R$37),"")</f>
        <v/>
      </c>
      <c r="AN32" s="67"/>
      <c r="AO32" s="645"/>
      <c r="AP32" s="646"/>
      <c r="AQ32" s="646"/>
      <c r="AR32" s="646"/>
      <c r="AS32" s="646"/>
      <c r="AT32" s="64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17"/>
      <c r="C33" s="517"/>
      <c r="D33" s="518"/>
      <c r="E33" s="616"/>
      <c r="F33" s="615"/>
      <c r="G33" s="615"/>
      <c r="H33" s="615"/>
      <c r="I33" s="631"/>
      <c r="J33" s="51" t="str">
        <f>IF(AND('Mapa final'!$AB$38="Media",'Mapa final'!$AD$38="Leve"),CONCATENATE("R8C",'Mapa final'!$R$38),"")</f>
        <v/>
      </c>
      <c r="K33" s="52" t="str">
        <f>IF(AND('Mapa final'!$AB$39="Media",'Mapa final'!$AD$39="Leve"),CONCATENATE("R8C",'Mapa final'!$R$39),"")</f>
        <v/>
      </c>
      <c r="L33" s="52" t="str">
        <f>IF(AND('Mapa final'!$AB$40="Media",'Mapa final'!$AD$40="Leve"),CONCATENATE("R8C",'Mapa final'!$R$40),"")</f>
        <v/>
      </c>
      <c r="M33" s="52" t="str">
        <f>IF(AND('Mapa final'!$AB$41="Media",'Mapa final'!$AD$41="Leve"),CONCATENATE("R8C",'Mapa final'!$R$41),"")</f>
        <v/>
      </c>
      <c r="N33" s="52" t="str">
        <f>IF(AND('Mapa final'!$AB$42="Media",'Mapa final'!$AD$42="Leve"),CONCATENATE("R8C",'Mapa final'!$R$42),"")</f>
        <v/>
      </c>
      <c r="O33" s="53" t="str">
        <f>IF(AND('Mapa final'!$AB$43="Media",'Mapa final'!$AD$43="Leve"),CONCATENATE("R8C",'Mapa final'!$R$43),"")</f>
        <v/>
      </c>
      <c r="P33" s="51" t="str">
        <f>IF(AND('Mapa final'!$AB$38="Media",'Mapa final'!$AD$38="Menor"),CONCATENATE("R8C",'Mapa final'!$R$38),"")</f>
        <v/>
      </c>
      <c r="Q33" s="52" t="str">
        <f>IF(AND('Mapa final'!$AB$39="Media",'Mapa final'!$AD$39="Menor"),CONCATENATE("R8C",'Mapa final'!$R$39),"")</f>
        <v/>
      </c>
      <c r="R33" s="52" t="str">
        <f>IF(AND('Mapa final'!$AB$40="Media",'Mapa final'!$AD$40="Menor"),CONCATENATE("R8C",'Mapa final'!$R$40),"")</f>
        <v/>
      </c>
      <c r="S33" s="52" t="str">
        <f>IF(AND('Mapa final'!$AB$41="Media",'Mapa final'!$AD$41="Menor"),CONCATENATE("R8C",'Mapa final'!$R$41),"")</f>
        <v/>
      </c>
      <c r="T33" s="52" t="str">
        <f>IF(AND('Mapa final'!$AB$42="Media",'Mapa final'!$AD$42="Menor"),CONCATENATE("R8C",'Mapa final'!$R$42),"")</f>
        <v/>
      </c>
      <c r="U33" s="53" t="str">
        <f>IF(AND('Mapa final'!$AB$43="Media",'Mapa final'!$AD$43="Menor"),CONCATENATE("R8C",'Mapa final'!$R$43),"")</f>
        <v/>
      </c>
      <c r="V33" s="51" t="str">
        <f>IF(AND('Mapa final'!$AB$38="Media",'Mapa final'!$AD$38="Moderado"),CONCATENATE("R8C",'Mapa final'!$R$38),"")</f>
        <v/>
      </c>
      <c r="W33" s="52" t="str">
        <f>IF(AND('Mapa final'!$AB$39="Media",'Mapa final'!$AD$39="Moderado"),CONCATENATE("R8C",'Mapa final'!$R$39),"")</f>
        <v/>
      </c>
      <c r="X33" s="52" t="str">
        <f>IF(AND('Mapa final'!$AB$40="Media",'Mapa final'!$AD$40="Moderado"),CONCATENATE("R8C",'Mapa final'!$R$40),"")</f>
        <v/>
      </c>
      <c r="Y33" s="52" t="str">
        <f>IF(AND('Mapa final'!$AB$41="Media",'Mapa final'!$AD$41="Moderado"),CONCATENATE("R8C",'Mapa final'!$R$41),"")</f>
        <v/>
      </c>
      <c r="Z33" s="52" t="str">
        <f>IF(AND('Mapa final'!$AB$42="Media",'Mapa final'!$AD$42="Moderado"),CONCATENATE("R8C",'Mapa final'!$R$42),"")</f>
        <v/>
      </c>
      <c r="AA33" s="53" t="str">
        <f>IF(AND('Mapa final'!$AB$43="Media",'Mapa final'!$AD$43="Moderado"),CONCATENATE("R8C",'Mapa final'!$R$43),"")</f>
        <v/>
      </c>
      <c r="AB33" s="36" t="str">
        <f>IF(AND('Mapa final'!$AB$38="Media",'Mapa final'!$AD$38="Mayor"),CONCATENATE("R8C",'Mapa final'!$R$38),"")</f>
        <v/>
      </c>
      <c r="AC33" s="37" t="str">
        <f>IF(AND('Mapa final'!$AB$39="Media",'Mapa final'!$AD$39="Mayor"),CONCATENATE("R8C",'Mapa final'!$R$39),"")</f>
        <v/>
      </c>
      <c r="AD33" s="37" t="str">
        <f>IF(AND('Mapa final'!$AB$40="Media",'Mapa final'!$AD$40="Mayor"),CONCATENATE("R8C",'Mapa final'!$R$40),"")</f>
        <v/>
      </c>
      <c r="AE33" s="37" t="str">
        <f>IF(AND('Mapa final'!$AB$41="Media",'Mapa final'!$AD$41="Mayor"),CONCATENATE("R8C",'Mapa final'!$R$41),"")</f>
        <v/>
      </c>
      <c r="AF33" s="37" t="str">
        <f>IF(AND('Mapa final'!$AB$42="Media",'Mapa final'!$AD$42="Mayor"),CONCATENATE("R8C",'Mapa final'!$R$42),"")</f>
        <v/>
      </c>
      <c r="AG33" s="38" t="str">
        <f>IF(AND('Mapa final'!$AB$43="Media",'Mapa final'!$AD$43="Mayor"),CONCATENATE("R8C",'Mapa final'!$R$43),"")</f>
        <v/>
      </c>
      <c r="AH33" s="39" t="str">
        <f>IF(AND('Mapa final'!$AB$38="Media",'Mapa final'!$AD$38="Catastrófico"),CONCATENATE("R8C",'Mapa final'!$R$38),"")</f>
        <v/>
      </c>
      <c r="AI33" s="40" t="str">
        <f>IF(AND('Mapa final'!$AB$39="Media",'Mapa final'!$AD$39="Catastrófico"),CONCATENATE("R8C",'Mapa final'!$R$39),"")</f>
        <v/>
      </c>
      <c r="AJ33" s="40" t="str">
        <f>IF(AND('Mapa final'!$AB$40="Media",'Mapa final'!$AD$40="Catastrófico"),CONCATENATE("R8C",'Mapa final'!$R$40),"")</f>
        <v/>
      </c>
      <c r="AK33" s="40" t="str">
        <f>IF(AND('Mapa final'!$AB$41="Media",'Mapa final'!$AD$41="Catastrófico"),CONCATENATE("R8C",'Mapa final'!$R$41),"")</f>
        <v/>
      </c>
      <c r="AL33" s="40" t="str">
        <f>IF(AND('Mapa final'!$AB$42="Media",'Mapa final'!$AD$42="Catastrófico"),CONCATENATE("R8C",'Mapa final'!$R$42),"")</f>
        <v/>
      </c>
      <c r="AM33" s="41" t="str">
        <f>IF(AND('Mapa final'!$AB$43="Media",'Mapa final'!$AD$43="Catastrófico"),CONCATENATE("R8C",'Mapa final'!$R$43),"")</f>
        <v/>
      </c>
      <c r="AN33" s="67"/>
      <c r="AO33" s="645"/>
      <c r="AP33" s="646"/>
      <c r="AQ33" s="646"/>
      <c r="AR33" s="646"/>
      <c r="AS33" s="646"/>
      <c r="AT33" s="64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17"/>
      <c r="C34" s="517"/>
      <c r="D34" s="518"/>
      <c r="E34" s="616"/>
      <c r="F34" s="615"/>
      <c r="G34" s="615"/>
      <c r="H34" s="615"/>
      <c r="I34" s="631"/>
      <c r="J34" s="51" t="str">
        <f>IF(AND('Mapa final'!$AB$44="Media",'Mapa final'!$AD$44="Leve"),CONCATENATE("R9C",'Mapa final'!$R$44),"")</f>
        <v/>
      </c>
      <c r="K34" s="52" t="str">
        <f>IF(AND('Mapa final'!$AB$45="Media",'Mapa final'!$AD$45="Leve"),CONCATENATE("R9C",'Mapa final'!$R$45),"")</f>
        <v/>
      </c>
      <c r="L34" s="52" t="str">
        <f>IF(AND('Mapa final'!$AB$46="Media",'Mapa final'!$AD$46="Leve"),CONCATENATE("R9C",'Mapa final'!$R$46),"")</f>
        <v/>
      </c>
      <c r="M34" s="52" t="str">
        <f>IF(AND('Mapa final'!$AB$47="Media",'Mapa final'!$AD$47="Leve"),CONCATENATE("R9C",'Mapa final'!$R$47),"")</f>
        <v/>
      </c>
      <c r="N34" s="52" t="str">
        <f>IF(AND('Mapa final'!$AB$48="Media",'Mapa final'!$AD$48="Leve"),CONCATENATE("R9C",'Mapa final'!$R$48),"")</f>
        <v/>
      </c>
      <c r="O34" s="53" t="str">
        <f>IF(AND('Mapa final'!$AB$49="Media",'Mapa final'!$AD$49="Leve"),CONCATENATE("R9C",'Mapa final'!$R$49),"")</f>
        <v/>
      </c>
      <c r="P34" s="51" t="str">
        <f>IF(AND('Mapa final'!$AB$44="Media",'Mapa final'!$AD$44="Menor"),CONCATENATE("R9C",'Mapa final'!$R$44),"")</f>
        <v/>
      </c>
      <c r="Q34" s="52" t="str">
        <f>IF(AND('Mapa final'!$AB$45="Media",'Mapa final'!$AD$45="Menor"),CONCATENATE("R9C",'Mapa final'!$R$45),"")</f>
        <v/>
      </c>
      <c r="R34" s="52" t="str">
        <f>IF(AND('Mapa final'!$AB$46="Media",'Mapa final'!$AD$46="Menor"),CONCATENATE("R9C",'Mapa final'!$R$46),"")</f>
        <v/>
      </c>
      <c r="S34" s="52" t="str">
        <f>IF(AND('Mapa final'!$AB$47="Media",'Mapa final'!$AD$47="Menor"),CONCATENATE("R9C",'Mapa final'!$R$47),"")</f>
        <v/>
      </c>
      <c r="T34" s="52" t="str">
        <f>IF(AND('Mapa final'!$AB$48="Media",'Mapa final'!$AD$48="Menor"),CONCATENATE("R9C",'Mapa final'!$R$48),"")</f>
        <v/>
      </c>
      <c r="U34" s="53" t="str">
        <f>IF(AND('Mapa final'!$AB$49="Media",'Mapa final'!$AD$49="Menor"),CONCATENATE("R9C",'Mapa final'!$R$49),"")</f>
        <v/>
      </c>
      <c r="V34" s="51" t="str">
        <f>IF(AND('Mapa final'!$AB$44="Media",'Mapa final'!$AD$44="Moderado"),CONCATENATE("R9C",'Mapa final'!$R$44),"")</f>
        <v/>
      </c>
      <c r="W34" s="52" t="str">
        <f>IF(AND('Mapa final'!$AB$45="Media",'Mapa final'!$AD$45="Moderado"),CONCATENATE("R9C",'Mapa final'!$R$45),"")</f>
        <v/>
      </c>
      <c r="X34" s="52" t="str">
        <f>IF(AND('Mapa final'!$AB$46="Media",'Mapa final'!$AD$46="Moderado"),CONCATENATE("R9C",'Mapa final'!$R$46),"")</f>
        <v/>
      </c>
      <c r="Y34" s="52" t="str">
        <f>IF(AND('Mapa final'!$AB$47="Media",'Mapa final'!$AD$47="Moderado"),CONCATENATE("R9C",'Mapa final'!$R$47),"")</f>
        <v/>
      </c>
      <c r="Z34" s="52" t="str">
        <f>IF(AND('Mapa final'!$AB$48="Media",'Mapa final'!$AD$48="Moderado"),CONCATENATE("R9C",'Mapa final'!$R$48),"")</f>
        <v/>
      </c>
      <c r="AA34" s="53" t="str">
        <f>IF(AND('Mapa final'!$AB$49="Media",'Mapa final'!$AD$49="Moderado"),CONCATENATE("R9C",'Mapa final'!$R$49),"")</f>
        <v/>
      </c>
      <c r="AB34" s="36" t="str">
        <f>IF(AND('Mapa final'!$AB$44="Media",'Mapa final'!$AD$44="Mayor"),CONCATENATE("R9C",'Mapa final'!$R$44),"")</f>
        <v/>
      </c>
      <c r="AC34" s="37" t="str">
        <f>IF(AND('Mapa final'!$AB$45="Media",'Mapa final'!$AD$45="Mayor"),CONCATENATE("R9C",'Mapa final'!$R$45),"")</f>
        <v/>
      </c>
      <c r="AD34" s="37" t="str">
        <f>IF(AND('Mapa final'!$AB$46="Media",'Mapa final'!$AD$46="Mayor"),CONCATENATE("R9C",'Mapa final'!$R$46),"")</f>
        <v/>
      </c>
      <c r="AE34" s="37" t="str">
        <f>IF(AND('Mapa final'!$AB$47="Media",'Mapa final'!$AD$47="Mayor"),CONCATENATE("R9C",'Mapa final'!$R$47),"")</f>
        <v/>
      </c>
      <c r="AF34" s="37" t="str">
        <f>IF(AND('Mapa final'!$AB$48="Media",'Mapa final'!$AD$48="Mayor"),CONCATENATE("R9C",'Mapa final'!$R$48),"")</f>
        <v/>
      </c>
      <c r="AG34" s="38" t="str">
        <f>IF(AND('Mapa final'!$AB$49="Media",'Mapa final'!$AD$49="Mayor"),CONCATENATE("R9C",'Mapa final'!$R$49),"")</f>
        <v/>
      </c>
      <c r="AH34" s="39" t="str">
        <f>IF(AND('Mapa final'!$AB$44="Media",'Mapa final'!$AD$44="Catastrófico"),CONCATENATE("R9C",'Mapa final'!$R$44),"")</f>
        <v/>
      </c>
      <c r="AI34" s="40" t="str">
        <f>IF(AND('Mapa final'!$AB$45="Media",'Mapa final'!$AD$45="Catastrófico"),CONCATENATE("R9C",'Mapa final'!$R$45),"")</f>
        <v/>
      </c>
      <c r="AJ34" s="40" t="str">
        <f>IF(AND('Mapa final'!$AB$46="Media",'Mapa final'!$AD$46="Catastrófico"),CONCATENATE("R9C",'Mapa final'!$R$46),"")</f>
        <v/>
      </c>
      <c r="AK34" s="40" t="str">
        <f>IF(AND('Mapa final'!$AB$47="Media",'Mapa final'!$AD$47="Catastrófico"),CONCATENATE("R9C",'Mapa final'!$R$47),"")</f>
        <v/>
      </c>
      <c r="AL34" s="40" t="str">
        <f>IF(AND('Mapa final'!$AB$48="Media",'Mapa final'!$AD$48="Catastrófico"),CONCATENATE("R9C",'Mapa final'!$R$48),"")</f>
        <v/>
      </c>
      <c r="AM34" s="41" t="str">
        <f>IF(AND('Mapa final'!$AB$49="Media",'Mapa final'!$AD$49="Catastrófico"),CONCATENATE("R9C",'Mapa final'!$R$49),"")</f>
        <v/>
      </c>
      <c r="AN34" s="67"/>
      <c r="AO34" s="645"/>
      <c r="AP34" s="646"/>
      <c r="AQ34" s="646"/>
      <c r="AR34" s="646"/>
      <c r="AS34" s="646"/>
      <c r="AT34" s="64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17"/>
      <c r="C35" s="517"/>
      <c r="D35" s="518"/>
      <c r="E35" s="617"/>
      <c r="F35" s="618"/>
      <c r="G35" s="618"/>
      <c r="H35" s="618"/>
      <c r="I35" s="632"/>
      <c r="J35" s="51" t="str">
        <f>IF(AND('Mapa final'!$AB$50="Media",'Mapa final'!$AD$50="Leve"),CONCATENATE("R10C",'Mapa final'!$R$50),"")</f>
        <v/>
      </c>
      <c r="K35" s="52" t="str">
        <f>IF(AND('Mapa final'!$AB$51="Media",'Mapa final'!$AD$51="Leve"),CONCATENATE("R10C",'Mapa final'!$R$51),"")</f>
        <v/>
      </c>
      <c r="L35" s="52" t="str">
        <f>IF(AND('Mapa final'!$AB$52="Media",'Mapa final'!$AD$52="Leve"),CONCATENATE("R10C",'Mapa final'!$R$52),"")</f>
        <v/>
      </c>
      <c r="M35" s="52" t="str">
        <f>IF(AND('Mapa final'!$AB$53="Media",'Mapa final'!$AD$53="Leve"),CONCATENATE("R10C",'Mapa final'!$R$53),"")</f>
        <v/>
      </c>
      <c r="N35" s="52" t="str">
        <f>IF(AND('Mapa final'!$AB$54="Media",'Mapa final'!$AD$54="Leve"),CONCATENATE("R10C",'Mapa final'!$R$54),"")</f>
        <v/>
      </c>
      <c r="O35" s="53" t="str">
        <f>IF(AND('Mapa final'!$AB$55="Media",'Mapa final'!$AD$55="Leve"),CONCATENATE("R10C",'Mapa final'!$R$55),"")</f>
        <v/>
      </c>
      <c r="P35" s="51" t="str">
        <f>IF(AND('Mapa final'!$AB$50="Media",'Mapa final'!$AD$50="Menor"),CONCATENATE("R10C",'Mapa final'!$R$50),"")</f>
        <v/>
      </c>
      <c r="Q35" s="52" t="str">
        <f>IF(AND('Mapa final'!$AB$51="Media",'Mapa final'!$AD$51="Menor"),CONCATENATE("R10C",'Mapa final'!$R$51),"")</f>
        <v/>
      </c>
      <c r="R35" s="52" t="str">
        <f>IF(AND('Mapa final'!$AB$52="Media",'Mapa final'!$AD$52="Menor"),CONCATENATE("R10C",'Mapa final'!$R$52),"")</f>
        <v/>
      </c>
      <c r="S35" s="52" t="str">
        <f>IF(AND('Mapa final'!$AB$53="Media",'Mapa final'!$AD$53="Menor"),CONCATENATE("R10C",'Mapa final'!$R$53),"")</f>
        <v/>
      </c>
      <c r="T35" s="52" t="str">
        <f>IF(AND('Mapa final'!$AB$54="Media",'Mapa final'!$AD$54="Menor"),CONCATENATE("R10C",'Mapa final'!$R$54),"")</f>
        <v/>
      </c>
      <c r="U35" s="53" t="str">
        <f>IF(AND('Mapa final'!$AB$55="Media",'Mapa final'!$AD$55="Menor"),CONCATENATE("R10C",'Mapa final'!$R$55),"")</f>
        <v/>
      </c>
      <c r="V35" s="51" t="str">
        <f>IF(AND('Mapa final'!$AB$50="Media",'Mapa final'!$AD$50="Moderado"),CONCATENATE("R10C",'Mapa final'!$R$50),"")</f>
        <v/>
      </c>
      <c r="W35" s="52" t="str">
        <f>IF(AND('Mapa final'!$AB$51="Media",'Mapa final'!$AD$51="Moderado"),CONCATENATE("R10C",'Mapa final'!$R$51),"")</f>
        <v/>
      </c>
      <c r="X35" s="52" t="str">
        <f>IF(AND('Mapa final'!$AB$52="Media",'Mapa final'!$AD$52="Moderado"),CONCATENATE("R10C",'Mapa final'!$R$52),"")</f>
        <v/>
      </c>
      <c r="Y35" s="52" t="str">
        <f>IF(AND('Mapa final'!$AB$53="Media",'Mapa final'!$AD$53="Moderado"),CONCATENATE("R10C",'Mapa final'!$R$53),"")</f>
        <v/>
      </c>
      <c r="Z35" s="52" t="str">
        <f>IF(AND('Mapa final'!$AB$54="Media",'Mapa final'!$AD$54="Moderado"),CONCATENATE("R10C",'Mapa final'!$R$54),"")</f>
        <v/>
      </c>
      <c r="AA35" s="53" t="str">
        <f>IF(AND('Mapa final'!$AB$55="Media",'Mapa final'!$AD$55="Moderado"),CONCATENATE("R10C",'Mapa final'!$R$55),"")</f>
        <v/>
      </c>
      <c r="AB35" s="42" t="str">
        <f>IF(AND('Mapa final'!$AB$50="Media",'Mapa final'!$AD$50="Mayor"),CONCATENATE("R10C",'Mapa final'!$R$50),"")</f>
        <v/>
      </c>
      <c r="AC35" s="43" t="str">
        <f>IF(AND('Mapa final'!$AB$51="Media",'Mapa final'!$AD$51="Mayor"),CONCATENATE("R10C",'Mapa final'!$R$51),"")</f>
        <v/>
      </c>
      <c r="AD35" s="43" t="str">
        <f>IF(AND('Mapa final'!$AB$52="Media",'Mapa final'!$AD$52="Mayor"),CONCATENATE("R10C",'Mapa final'!$R$52),"")</f>
        <v/>
      </c>
      <c r="AE35" s="43" t="str">
        <f>IF(AND('Mapa final'!$AB$53="Media",'Mapa final'!$AD$53="Mayor"),CONCATENATE("R10C",'Mapa final'!$R$53),"")</f>
        <v/>
      </c>
      <c r="AF35" s="43" t="str">
        <f>IF(AND('Mapa final'!$AB$54="Media",'Mapa final'!$AD$54="Mayor"),CONCATENATE("R10C",'Mapa final'!$R$54),"")</f>
        <v/>
      </c>
      <c r="AG35" s="44" t="str">
        <f>IF(AND('Mapa final'!$AB$55="Media",'Mapa final'!$AD$55="Mayor"),CONCATENATE("R10C",'Mapa final'!$R$55),"")</f>
        <v/>
      </c>
      <c r="AH35" s="45" t="str">
        <f>IF(AND('Mapa final'!$AB$50="Media",'Mapa final'!$AD$50="Catastrófico"),CONCATENATE("R10C",'Mapa final'!$R$50),"")</f>
        <v/>
      </c>
      <c r="AI35" s="46" t="str">
        <f>IF(AND('Mapa final'!$AB$51="Media",'Mapa final'!$AD$51="Catastrófico"),CONCATENATE("R10C",'Mapa final'!$R$51),"")</f>
        <v/>
      </c>
      <c r="AJ35" s="46" t="str">
        <f>IF(AND('Mapa final'!$AB$52="Media",'Mapa final'!$AD$52="Catastrófico"),CONCATENATE("R10C",'Mapa final'!$R$52),"")</f>
        <v/>
      </c>
      <c r="AK35" s="46" t="str">
        <f>IF(AND('Mapa final'!$AB$53="Media",'Mapa final'!$AD$53="Catastrófico"),CONCATENATE("R10C",'Mapa final'!$R$53),"")</f>
        <v/>
      </c>
      <c r="AL35" s="46" t="str">
        <f>IF(AND('Mapa final'!$AB$54="Media",'Mapa final'!$AD$54="Catastrófico"),CONCATENATE("R10C",'Mapa final'!$R$54),"")</f>
        <v/>
      </c>
      <c r="AM35" s="47" t="str">
        <f>IF(AND('Mapa final'!$AB$55="Media",'Mapa final'!$AD$55="Catastrófico"),CONCATENATE("R10C",'Mapa final'!$R$55),"")</f>
        <v/>
      </c>
      <c r="AN35" s="67"/>
      <c r="AO35" s="648"/>
      <c r="AP35" s="649"/>
      <c r="AQ35" s="649"/>
      <c r="AR35" s="649"/>
      <c r="AS35" s="649"/>
      <c r="AT35" s="650"/>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17"/>
      <c r="C36" s="517"/>
      <c r="D36" s="518"/>
      <c r="E36" s="612" t="s">
        <v>108</v>
      </c>
      <c r="F36" s="613"/>
      <c r="G36" s="613"/>
      <c r="H36" s="613"/>
      <c r="I36" s="613"/>
      <c r="J36" s="57" t="str">
        <f>IF(AND('Mapa final'!$AB$10="Baja",'Mapa final'!$AD$10="Leve"),CONCATENATE("R1C",'Mapa final'!$R$10),"")</f>
        <v/>
      </c>
      <c r="K36" s="58" t="str">
        <f>IF(AND('Mapa final'!$AB$11="Baja",'Mapa final'!$AD$11="Leve"),CONCATENATE("R1C",'Mapa final'!$R$11),"")</f>
        <v/>
      </c>
      <c r="L36" s="58" t="e">
        <f>IF(AND('Mapa final'!#REF!="Baja",'Mapa final'!#REF!="Leve"),CONCATENATE("R1C",'Mapa final'!#REF!),"")</f>
        <v>#REF!</v>
      </c>
      <c r="M36" s="58" t="str">
        <f>IF(AND('Mapa final'!$AB$13="Baja",'Mapa final'!$AD$13="Leve"),CONCATENATE("R1C",'Mapa final'!$R$13),"")</f>
        <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e">
        <f>IF(AND('Mapa final'!#REF!="Baja",'Mapa final'!#REF!="Menor"),CONCATENATE("R1C",'Mapa final'!#REF!),"")</f>
        <v>#REF!</v>
      </c>
      <c r="S36" s="49" t="str">
        <f>IF(AND('Mapa final'!$AB$13="Baja",'Mapa final'!$AD$13="Menor"),CONCATENATE("R1C",'Mapa final'!$R$13),"")</f>
        <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e">
        <f>IF(AND('Mapa final'!#REF!="Baja",'Mapa final'!#REF!="Moderado"),CONCATENATE("R1C",'Mapa final'!#REF!),"")</f>
        <v>#REF!</v>
      </c>
      <c r="Y36" s="49" t="str">
        <f>IF(AND('Mapa final'!$AB$13="Baja",'Mapa final'!$AD$13="Moderado"),CONCATENATE("R1C",'Mapa final'!$R$13),"")</f>
        <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e">
        <f>IF(AND('Mapa final'!#REF!="Baja",'Mapa final'!#REF!="Mayor"),CONCATENATE("R1C",'Mapa final'!#REF!),"")</f>
        <v>#REF!</v>
      </c>
      <c r="AE36" s="31" t="str">
        <f>IF(AND('Mapa final'!$AB$13="Baja",'Mapa final'!$AD$13="Mayor"),CONCATENATE("R1C",'Mapa final'!$R$13),"")</f>
        <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e">
        <f>IF(AND('Mapa final'!#REF!="Baja",'Mapa final'!#REF!="Catastrófico"),CONCATENATE("R1C",'Mapa final'!#REF!),"")</f>
        <v>#REF!</v>
      </c>
      <c r="AK36" s="34" t="str">
        <f>IF(AND('Mapa final'!$AB$13="Baja",'Mapa final'!$AD$13="Catastrófico"),CONCATENATE("R1C",'Mapa final'!$R$13),"")</f>
        <v/>
      </c>
      <c r="AL36" s="34" t="e">
        <f>IF(AND('Mapa final'!#REF!="Baja",'Mapa final'!#REF!="Catastrófico"),CONCATENATE("R1C",'Mapa final'!#REF!),"")</f>
        <v>#REF!</v>
      </c>
      <c r="AM36" s="35" t="e">
        <f>IF(AND('Mapa final'!#REF!="Baja",'Mapa final'!#REF!="Catastrófico"),CONCATENATE("R1C",'Mapa final'!#REF!),"")</f>
        <v>#REF!</v>
      </c>
      <c r="AN36" s="67"/>
      <c r="AO36" s="633" t="s">
        <v>80</v>
      </c>
      <c r="AP36" s="634"/>
      <c r="AQ36" s="634"/>
      <c r="AR36" s="634"/>
      <c r="AS36" s="634"/>
      <c r="AT36" s="635"/>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17"/>
      <c r="C37" s="517"/>
      <c r="D37" s="518"/>
      <c r="E37" s="614"/>
      <c r="F37" s="615"/>
      <c r="G37" s="615"/>
      <c r="H37" s="615"/>
      <c r="I37" s="615"/>
      <c r="J37" s="60" t="str">
        <f>IF(AND('Mapa final'!$AB$14="Baja",'Mapa final'!$AD$14="Leve"),CONCATENATE("R2C",'Mapa final'!$R$14),"")</f>
        <v/>
      </c>
      <c r="K37" s="61" t="str">
        <f>IF(AND('Mapa final'!$AB$15="Baja",'Mapa final'!$AD$15="Leve"),CONCATENATE("R2C",'Mapa final'!$R$15),"")</f>
        <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str">
        <f>IF(AND('Mapa final'!$AB$14="Baja",'Mapa final'!$AD$14="Menor"),CONCATENATE("R2C",'Mapa final'!$R$14),"")</f>
        <v/>
      </c>
      <c r="Q37" s="52" t="str">
        <f>IF(AND('Mapa final'!$AB$15="Baja",'Mapa final'!$AD$15="Menor"),CONCATENATE("R2C",'Mapa final'!$R$15),"")</f>
        <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str">
        <f>IF(AND('Mapa final'!$AB$14="Baja",'Mapa final'!$AD$14="Moderado"),CONCATENATE("R2C",'Mapa final'!$R$14),"")</f>
        <v/>
      </c>
      <c r="W37" s="52" t="str">
        <f>IF(AND('Mapa final'!$AB$15="Baja",'Mapa final'!$AD$15="Moderado"),CONCATENATE("R2C",'Mapa final'!$R$15),"")</f>
        <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str">
        <f>IF(AND('Mapa final'!$AB$14="Baja",'Mapa final'!$AD$14="Mayor"),CONCATENATE("R2C",'Mapa final'!$R$14),"")</f>
        <v/>
      </c>
      <c r="AC37" s="37" t="str">
        <f>IF(AND('Mapa final'!$AB$15="Baja",'Mapa final'!$AD$15="Mayor"),CONCATENATE("R2C",'Mapa final'!$R$15),"")</f>
        <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final'!$AB$14="Baja",'Mapa final'!$AD$14="Catastrófico"),CONCATENATE("R2C",'Mapa final'!$R$14),"")</f>
        <v/>
      </c>
      <c r="AI37" s="40" t="str">
        <f>IF(AND('Mapa final'!$AB$15="Baja",'Mapa final'!$AD$15="Catastrófico"),CONCATENATE("R2C",'Mapa final'!$R$15),"")</f>
        <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636"/>
      <c r="AP37" s="637"/>
      <c r="AQ37" s="637"/>
      <c r="AR37" s="637"/>
      <c r="AS37" s="637"/>
      <c r="AT37" s="638"/>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17"/>
      <c r="C38" s="517"/>
      <c r="D38" s="518"/>
      <c r="E38" s="616"/>
      <c r="F38" s="615"/>
      <c r="G38" s="615"/>
      <c r="H38" s="615"/>
      <c r="I38" s="615"/>
      <c r="J38" s="60" t="str">
        <f>IF(AND('Mapa final'!$AB$16="Baja",'Mapa final'!$AD$16="Leve"),CONCATENATE("R3C",'Mapa final'!$R$16),"")</f>
        <v/>
      </c>
      <c r="K38" s="61" t="str">
        <f>IF(AND('Mapa final'!$AB$17="Baja",'Mapa final'!$AD$17="Leve"),CONCATENATE("R3C",'Mapa final'!$R$17),"")</f>
        <v/>
      </c>
      <c r="L38" s="61" t="str">
        <f>IF(AND('Mapa final'!$AB$18="Baja",'Mapa final'!$AD$18="Leve"),CONCATENATE("R3C",'Mapa final'!$R$18),"")</f>
        <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str">
        <f>IF(AND('Mapa final'!$AB$16="Baja",'Mapa final'!$AD$16="Menor"),CONCATENATE("R3C",'Mapa final'!$R$16),"")</f>
        <v/>
      </c>
      <c r="Q38" s="52" t="str">
        <f>IF(AND('Mapa final'!$AB$17="Baja",'Mapa final'!$AD$17="Menor"),CONCATENATE("R3C",'Mapa final'!$R$17),"")</f>
        <v/>
      </c>
      <c r="R38" s="52" t="str">
        <f>IF(AND('Mapa final'!$AB$18="Baja",'Mapa final'!$AD$18="Menor"),CONCATENATE("R3C",'Mapa final'!$R$18),"")</f>
        <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str">
        <f>IF(AND('Mapa final'!$AB$16="Baja",'Mapa final'!$AD$16="Moderado"),CONCATENATE("R3C",'Mapa final'!$R$16),"")</f>
        <v/>
      </c>
      <c r="W38" s="52" t="str">
        <f>IF(AND('Mapa final'!$AB$17="Baja",'Mapa final'!$AD$17="Moderado"),CONCATENATE("R3C",'Mapa final'!$R$17),"")</f>
        <v/>
      </c>
      <c r="X38" s="52" t="str">
        <f>IF(AND('Mapa final'!$AB$18="Baja",'Mapa final'!$AD$18="Moderado"),CONCATENATE("R3C",'Mapa final'!$R$18),"")</f>
        <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str">
        <f>IF(AND('Mapa final'!$AB$16="Baja",'Mapa final'!$AD$16="Mayor"),CONCATENATE("R3C",'Mapa final'!$R$16),"")</f>
        <v/>
      </c>
      <c r="AC38" s="37" t="str">
        <f>IF(AND('Mapa final'!$AB$17="Baja",'Mapa final'!$AD$17="Mayor"),CONCATENATE("R3C",'Mapa final'!$R$17),"")</f>
        <v/>
      </c>
      <c r="AD38" s="37" t="str">
        <f>IF(AND('Mapa final'!$AB$18="Baja",'Mapa final'!$AD$18="Mayor"),CONCATENATE("R3C",'Mapa final'!$R$18),"")</f>
        <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str">
        <f>IF(AND('Mapa final'!$AB$16="Baja",'Mapa final'!$AD$16="Catastrófico"),CONCATENATE("R3C",'Mapa final'!$R$16),"")</f>
        <v/>
      </c>
      <c r="AI38" s="40" t="str">
        <f>IF(AND('Mapa final'!$AB$17="Baja",'Mapa final'!$AD$17="Catastrófico"),CONCATENATE("R3C",'Mapa final'!$R$17),"")</f>
        <v/>
      </c>
      <c r="AJ38" s="40" t="str">
        <f>IF(AND('Mapa final'!$AB$18="Baja",'Mapa final'!$AD$18="Catastrófico"),CONCATENATE("R3C",'Mapa final'!$R$18),"")</f>
        <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636"/>
      <c r="AP38" s="637"/>
      <c r="AQ38" s="637"/>
      <c r="AR38" s="637"/>
      <c r="AS38" s="637"/>
      <c r="AT38" s="638"/>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17"/>
      <c r="C39" s="517"/>
      <c r="D39" s="518"/>
      <c r="E39" s="616"/>
      <c r="F39" s="615"/>
      <c r="G39" s="615"/>
      <c r="H39" s="615"/>
      <c r="I39" s="615"/>
      <c r="J39" s="60" t="str">
        <f>IF(AND('Mapa final'!$AB$19="Baja",'Mapa final'!$AD$19="Leve"),CONCATENATE("R4C",'Mapa final'!$R$19),"")</f>
        <v/>
      </c>
      <c r="K39" s="61" t="e">
        <f>IF(AND('Mapa final'!#REF!="Baja",'Mapa final'!#REF!="Leve"),CONCATENATE("R4C",'Mapa final'!#REF!),"")</f>
        <v>#REF!</v>
      </c>
      <c r="L39" s="61" t="e">
        <f>IF(AND('Mapa final'!#REF!="Baja",'Mapa final'!#REF!="Leve"),CONCATENATE("R4C",'Mapa final'!#REF!),"")</f>
        <v>#REF!</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str">
        <f>IF(AND('Mapa final'!$AB$19="Baja",'Mapa final'!$AD$19="Menor"),CONCATENATE("R4C",'Mapa final'!$R$19),"")</f>
        <v/>
      </c>
      <c r="Q39" s="52" t="e">
        <f>IF(AND('Mapa final'!#REF!="Baja",'Mapa final'!#REF!="Menor"),CONCATENATE("R4C",'Mapa final'!#REF!),"")</f>
        <v>#REF!</v>
      </c>
      <c r="R39" s="52" t="e">
        <f>IF(AND('Mapa final'!#REF!="Baja",'Mapa final'!#REF!="Menor"),CONCATENATE("R4C",'Mapa final'!#REF!),"")</f>
        <v>#REF!</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str">
        <f>IF(AND('Mapa final'!$AB$19="Baja",'Mapa final'!$AD$19="Moderado"),CONCATENATE("R4C",'Mapa final'!$R$19),"")</f>
        <v/>
      </c>
      <c r="W39" s="52" t="e">
        <f>IF(AND('Mapa final'!#REF!="Baja",'Mapa final'!#REF!="Moderado"),CONCATENATE("R4C",'Mapa final'!#REF!),"")</f>
        <v>#REF!</v>
      </c>
      <c r="X39" s="52" t="e">
        <f>IF(AND('Mapa final'!#REF!="Baja",'Mapa final'!#REF!="Moderado"),CONCATENATE("R4C",'Mapa final'!#REF!),"")</f>
        <v>#REF!</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str">
        <f>IF(AND('Mapa final'!$AB$19="Baja",'Mapa final'!$AD$19="Mayor"),CONCATENATE("R4C",'Mapa final'!$R$19),"")</f>
        <v/>
      </c>
      <c r="AC39" s="37" t="e">
        <f>IF(AND('Mapa final'!#REF!="Baja",'Mapa final'!#REF!="Mayor"),CONCATENATE("R4C",'Mapa final'!#REF!),"")</f>
        <v>#REF!</v>
      </c>
      <c r="AD39" s="37" t="e">
        <f>IF(AND('Mapa final'!#REF!="Baja",'Mapa final'!#REF!="Mayor"),CONCATENATE("R4C",'Mapa final'!#REF!),"")</f>
        <v>#REF!</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str">
        <f>IF(AND('Mapa final'!$AB$19="Baja",'Mapa final'!$AD$19="Catastrófico"),CONCATENATE("R4C",'Mapa final'!$R$19),"")</f>
        <v/>
      </c>
      <c r="AI39" s="40" t="e">
        <f>IF(AND('Mapa final'!#REF!="Baja",'Mapa final'!#REF!="Catastrófico"),CONCATENATE("R4C",'Mapa final'!#REF!),"")</f>
        <v>#REF!</v>
      </c>
      <c r="AJ39" s="40" t="e">
        <f>IF(AND('Mapa final'!#REF!="Baja",'Mapa final'!#REF!="Catastrófico"),CONCATENATE("R4C",'Mapa final'!#REF!),"")</f>
        <v>#REF!</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636"/>
      <c r="AP39" s="637"/>
      <c r="AQ39" s="637"/>
      <c r="AR39" s="637"/>
      <c r="AS39" s="637"/>
      <c r="AT39" s="638"/>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17"/>
      <c r="C40" s="517"/>
      <c r="D40" s="518"/>
      <c r="E40" s="616"/>
      <c r="F40" s="615"/>
      <c r="G40" s="615"/>
      <c r="H40" s="615"/>
      <c r="I40" s="615"/>
      <c r="J40" s="60" t="str">
        <f>IF(AND('Mapa final'!$AB$20="Baja",'Mapa final'!$AD$20="Leve"),CONCATENATE("R5C",'Mapa final'!$R$20),"")</f>
        <v/>
      </c>
      <c r="K40" s="61" t="str">
        <f>IF(AND('Mapa final'!$AB$21="Baja",'Mapa final'!$AD$21="Leve"),CONCATENATE("R5C",'Mapa final'!$R$21),"")</f>
        <v/>
      </c>
      <c r="L40" s="61" t="str">
        <f>IF(AND('Mapa final'!$AB$22="Baja",'Mapa final'!$AD$22="Leve"),CONCATENATE("R5C",'Mapa final'!$R$22),"")</f>
        <v/>
      </c>
      <c r="M40" s="61" t="str">
        <f>IF(AND('Mapa final'!$AB$23="Baja",'Mapa final'!$AD$23="Leve"),CONCATENATE("R5C",'Mapa final'!$R$23),"")</f>
        <v/>
      </c>
      <c r="N40" s="61" t="str">
        <f>IF(AND('Mapa final'!$AB$24="Baja",'Mapa final'!$AD$24="Leve"),CONCATENATE("R5C",'Mapa final'!$R$24),"")</f>
        <v/>
      </c>
      <c r="O40" s="62" t="str">
        <f>IF(AND('Mapa final'!$AB$25="Baja",'Mapa final'!$AD$25="Leve"),CONCATENATE("R5C",'Mapa final'!$R$25),"")</f>
        <v/>
      </c>
      <c r="P40" s="51" t="str">
        <f>IF(AND('Mapa final'!$AB$20="Baja",'Mapa final'!$AD$20="Menor"),CONCATENATE("R5C",'Mapa final'!$R$20),"")</f>
        <v/>
      </c>
      <c r="Q40" s="52" t="str">
        <f>IF(AND('Mapa final'!$AB$21="Baja",'Mapa final'!$AD$21="Menor"),CONCATENATE("R5C",'Mapa final'!$R$21),"")</f>
        <v/>
      </c>
      <c r="R40" s="52" t="str">
        <f>IF(AND('Mapa final'!$AB$22="Baja",'Mapa final'!$AD$22="Menor"),CONCATENATE("R5C",'Mapa final'!$R$22),"")</f>
        <v/>
      </c>
      <c r="S40" s="52" t="str">
        <f>IF(AND('Mapa final'!$AB$23="Baja",'Mapa final'!$AD$23="Menor"),CONCATENATE("R5C",'Mapa final'!$R$23),"")</f>
        <v/>
      </c>
      <c r="T40" s="52" t="str">
        <f>IF(AND('Mapa final'!$AB$24="Baja",'Mapa final'!$AD$24="Menor"),CONCATENATE("R5C",'Mapa final'!$R$24),"")</f>
        <v/>
      </c>
      <c r="U40" s="53" t="str">
        <f>IF(AND('Mapa final'!$AB$25="Baja",'Mapa final'!$AD$25="Menor"),CONCATENATE("R5C",'Mapa final'!$R$25),"")</f>
        <v/>
      </c>
      <c r="V40" s="51" t="str">
        <f>IF(AND('Mapa final'!$AB$20="Baja",'Mapa final'!$AD$20="Moderado"),CONCATENATE("R5C",'Mapa final'!$R$20),"")</f>
        <v/>
      </c>
      <c r="W40" s="52" t="str">
        <f>IF(AND('Mapa final'!$AB$21="Baja",'Mapa final'!$AD$21="Moderado"),CONCATENATE("R5C",'Mapa final'!$R$21),"")</f>
        <v/>
      </c>
      <c r="X40" s="52" t="str">
        <f>IF(AND('Mapa final'!$AB$22="Baja",'Mapa final'!$AD$22="Moderado"),CONCATENATE("R5C",'Mapa final'!$R$22),"")</f>
        <v/>
      </c>
      <c r="Y40" s="52" t="str">
        <f>IF(AND('Mapa final'!$AB$23="Baja",'Mapa final'!$AD$23="Moderado"),CONCATENATE("R5C",'Mapa final'!$R$23),"")</f>
        <v/>
      </c>
      <c r="Z40" s="52" t="str">
        <f>IF(AND('Mapa final'!$AB$24="Baja",'Mapa final'!$AD$24="Moderado"),CONCATENATE("R5C",'Mapa final'!$R$24),"")</f>
        <v/>
      </c>
      <c r="AA40" s="53" t="str">
        <f>IF(AND('Mapa final'!$AB$25="Baja",'Mapa final'!$AD$25="Moderado"),CONCATENATE("R5C",'Mapa final'!$R$25),"")</f>
        <v/>
      </c>
      <c r="AB40" s="36" t="str">
        <f>IF(AND('Mapa final'!$AB$20="Baja",'Mapa final'!$AD$20="Mayor"),CONCATENATE("R5C",'Mapa final'!$R$20),"")</f>
        <v/>
      </c>
      <c r="AC40" s="37" t="str">
        <f>IF(AND('Mapa final'!$AB$21="Baja",'Mapa final'!$AD$21="Mayor"),CONCATENATE("R5C",'Mapa final'!$R$21),"")</f>
        <v/>
      </c>
      <c r="AD40" s="37" t="str">
        <f>IF(AND('Mapa final'!$AB$22="Baja",'Mapa final'!$AD$22="Mayor"),CONCATENATE("R5C",'Mapa final'!$R$22),"")</f>
        <v/>
      </c>
      <c r="AE40" s="37" t="str">
        <f>IF(AND('Mapa final'!$AB$23="Baja",'Mapa final'!$AD$23="Mayor"),CONCATENATE("R5C",'Mapa final'!$R$23),"")</f>
        <v/>
      </c>
      <c r="AF40" s="37" t="str">
        <f>IF(AND('Mapa final'!$AB$24="Baja",'Mapa final'!$AD$24="Mayor"),CONCATENATE("R5C",'Mapa final'!$R$24),"")</f>
        <v/>
      </c>
      <c r="AG40" s="38" t="str">
        <f>IF(AND('Mapa final'!$AB$25="Baja",'Mapa final'!$AD$25="Mayor"),CONCATENATE("R5C",'Mapa final'!$R$25),"")</f>
        <v/>
      </c>
      <c r="AH40" s="39" t="str">
        <f>IF(AND('Mapa final'!$AB$20="Baja",'Mapa final'!$AD$20="Catastrófico"),CONCATENATE("R5C",'Mapa final'!$R$20),"")</f>
        <v/>
      </c>
      <c r="AI40" s="40" t="str">
        <f>IF(AND('Mapa final'!$AB$21="Baja",'Mapa final'!$AD$21="Catastrófico"),CONCATENATE("R5C",'Mapa final'!$R$21),"")</f>
        <v/>
      </c>
      <c r="AJ40" s="40" t="str">
        <f>IF(AND('Mapa final'!$AB$22="Baja",'Mapa final'!$AD$22="Catastrófico"),CONCATENATE("R5C",'Mapa final'!$R$22),"")</f>
        <v/>
      </c>
      <c r="AK40" s="40" t="str">
        <f>IF(AND('Mapa final'!$AB$23="Baja",'Mapa final'!$AD$23="Catastrófico"),CONCATENATE("R5C",'Mapa final'!$R$23),"")</f>
        <v/>
      </c>
      <c r="AL40" s="40" t="str">
        <f>IF(AND('Mapa final'!$AB$24="Baja",'Mapa final'!$AD$24="Catastrófico"),CONCATENATE("R5C",'Mapa final'!$R$24),"")</f>
        <v/>
      </c>
      <c r="AM40" s="41" t="str">
        <f>IF(AND('Mapa final'!$AB$25="Baja",'Mapa final'!$AD$25="Catastrófico"),CONCATENATE("R5C",'Mapa final'!$R$25),"")</f>
        <v/>
      </c>
      <c r="AN40" s="67"/>
      <c r="AO40" s="636"/>
      <c r="AP40" s="637"/>
      <c r="AQ40" s="637"/>
      <c r="AR40" s="637"/>
      <c r="AS40" s="637"/>
      <c r="AT40" s="638"/>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17"/>
      <c r="C41" s="517"/>
      <c r="D41" s="518"/>
      <c r="E41" s="616"/>
      <c r="F41" s="615"/>
      <c r="G41" s="615"/>
      <c r="H41" s="615"/>
      <c r="I41" s="615"/>
      <c r="J41" s="60" t="str">
        <f>IF(AND('Mapa final'!$AB$26="Baja",'Mapa final'!$AD$26="Leve"),CONCATENATE("R6C",'Mapa final'!$R$26),"")</f>
        <v/>
      </c>
      <c r="K41" s="61" t="str">
        <f>IF(AND('Mapa final'!$AB$27="Baja",'Mapa final'!$AD$27="Leve"),CONCATENATE("R6C",'Mapa final'!$R$27),"")</f>
        <v/>
      </c>
      <c r="L41" s="61" t="str">
        <f>IF(AND('Mapa final'!$AB$28="Baja",'Mapa final'!$AD$28="Leve"),CONCATENATE("R6C",'Mapa final'!$R$28),"")</f>
        <v/>
      </c>
      <c r="M41" s="61" t="str">
        <f>IF(AND('Mapa final'!$AB$29="Baja",'Mapa final'!$AD$29="Leve"),CONCATENATE("R6C",'Mapa final'!$R$29),"")</f>
        <v/>
      </c>
      <c r="N41" s="61" t="str">
        <f>IF(AND('Mapa final'!$AB$30="Baja",'Mapa final'!$AD$30="Leve"),CONCATENATE("R6C",'Mapa final'!$R$30),"")</f>
        <v/>
      </c>
      <c r="O41" s="62" t="str">
        <f>IF(AND('Mapa final'!$AB$31="Baja",'Mapa final'!$AD$31="Leve"),CONCATENATE("R6C",'Mapa final'!$R$31),"")</f>
        <v/>
      </c>
      <c r="P41" s="51" t="str">
        <f>IF(AND('Mapa final'!$AB$26="Baja",'Mapa final'!$AD$26="Menor"),CONCATENATE("R6C",'Mapa final'!$R$26),"")</f>
        <v/>
      </c>
      <c r="Q41" s="52" t="str">
        <f>IF(AND('Mapa final'!$AB$27="Baja",'Mapa final'!$AD$27="Menor"),CONCATENATE("R6C",'Mapa final'!$R$27),"")</f>
        <v/>
      </c>
      <c r="R41" s="52" t="str">
        <f>IF(AND('Mapa final'!$AB$28="Baja",'Mapa final'!$AD$28="Menor"),CONCATENATE("R6C",'Mapa final'!$R$28),"")</f>
        <v/>
      </c>
      <c r="S41" s="52" t="str">
        <f>IF(AND('Mapa final'!$AB$29="Baja",'Mapa final'!$AD$29="Menor"),CONCATENATE("R6C",'Mapa final'!$R$29),"")</f>
        <v/>
      </c>
      <c r="T41" s="52" t="str">
        <f>IF(AND('Mapa final'!$AB$30="Baja",'Mapa final'!$AD$30="Menor"),CONCATENATE("R6C",'Mapa final'!$R$30),"")</f>
        <v/>
      </c>
      <c r="U41" s="53" t="str">
        <f>IF(AND('Mapa final'!$AB$31="Baja",'Mapa final'!$AD$31="Menor"),CONCATENATE("R6C",'Mapa final'!$R$31),"")</f>
        <v/>
      </c>
      <c r="V41" s="51" t="str">
        <f>IF(AND('Mapa final'!$AB$26="Baja",'Mapa final'!$AD$26="Moderado"),CONCATENATE("R6C",'Mapa final'!$R$26),"")</f>
        <v/>
      </c>
      <c r="W41" s="52" t="str">
        <f>IF(AND('Mapa final'!$AB$27="Baja",'Mapa final'!$AD$27="Moderado"),CONCATENATE("R6C",'Mapa final'!$R$27),"")</f>
        <v/>
      </c>
      <c r="X41" s="52" t="str">
        <f>IF(AND('Mapa final'!$AB$28="Baja",'Mapa final'!$AD$28="Moderado"),CONCATENATE("R6C",'Mapa final'!$R$28),"")</f>
        <v/>
      </c>
      <c r="Y41" s="52" t="str">
        <f>IF(AND('Mapa final'!$AB$29="Baja",'Mapa final'!$AD$29="Moderado"),CONCATENATE("R6C",'Mapa final'!$R$29),"")</f>
        <v/>
      </c>
      <c r="Z41" s="52" t="str">
        <f>IF(AND('Mapa final'!$AB$30="Baja",'Mapa final'!$AD$30="Moderado"),CONCATENATE("R6C",'Mapa final'!$R$30),"")</f>
        <v/>
      </c>
      <c r="AA41" s="53" t="str">
        <f>IF(AND('Mapa final'!$AB$31="Baja",'Mapa final'!$AD$31="Moderado"),CONCATENATE("R6C",'Mapa final'!$R$31),"")</f>
        <v/>
      </c>
      <c r="AB41" s="36" t="str">
        <f>IF(AND('Mapa final'!$AB$26="Baja",'Mapa final'!$AD$26="Mayor"),CONCATENATE("R6C",'Mapa final'!$R$26),"")</f>
        <v/>
      </c>
      <c r="AC41" s="37" t="str">
        <f>IF(AND('Mapa final'!$AB$27="Baja",'Mapa final'!$AD$27="Mayor"),CONCATENATE("R6C",'Mapa final'!$R$27),"")</f>
        <v/>
      </c>
      <c r="AD41" s="37" t="str">
        <f>IF(AND('Mapa final'!$AB$28="Baja",'Mapa final'!$AD$28="Mayor"),CONCATENATE("R6C",'Mapa final'!$R$28),"")</f>
        <v/>
      </c>
      <c r="AE41" s="37" t="str">
        <f>IF(AND('Mapa final'!$AB$29="Baja",'Mapa final'!$AD$29="Mayor"),CONCATENATE("R6C",'Mapa final'!$R$29),"")</f>
        <v/>
      </c>
      <c r="AF41" s="37" t="str">
        <f>IF(AND('Mapa final'!$AB$30="Baja",'Mapa final'!$AD$30="Mayor"),CONCATENATE("R6C",'Mapa final'!$R$30),"")</f>
        <v/>
      </c>
      <c r="AG41" s="38" t="str">
        <f>IF(AND('Mapa final'!$AB$31="Baja",'Mapa final'!$AD$31="Mayor"),CONCATENATE("R6C",'Mapa final'!$R$31),"")</f>
        <v/>
      </c>
      <c r="AH41" s="39" t="str">
        <f>IF(AND('Mapa final'!$AB$26="Baja",'Mapa final'!$AD$26="Catastrófico"),CONCATENATE("R6C",'Mapa final'!$R$26),"")</f>
        <v/>
      </c>
      <c r="AI41" s="40" t="str">
        <f>IF(AND('Mapa final'!$AB$27="Baja",'Mapa final'!$AD$27="Catastrófico"),CONCATENATE("R6C",'Mapa final'!$R$27),"")</f>
        <v/>
      </c>
      <c r="AJ41" s="40" t="str">
        <f>IF(AND('Mapa final'!$AB$28="Baja",'Mapa final'!$AD$28="Catastrófico"),CONCATENATE("R6C",'Mapa final'!$R$28),"")</f>
        <v/>
      </c>
      <c r="AK41" s="40" t="str">
        <f>IF(AND('Mapa final'!$AB$29="Baja",'Mapa final'!$AD$29="Catastrófico"),CONCATENATE("R6C",'Mapa final'!$R$29),"")</f>
        <v/>
      </c>
      <c r="AL41" s="40" t="str">
        <f>IF(AND('Mapa final'!$AB$30="Baja",'Mapa final'!$AD$30="Catastrófico"),CONCATENATE("R6C",'Mapa final'!$R$30),"")</f>
        <v/>
      </c>
      <c r="AM41" s="41" t="str">
        <f>IF(AND('Mapa final'!$AB$31="Baja",'Mapa final'!$AD$31="Catastrófico"),CONCATENATE("R6C",'Mapa final'!$R$31),"")</f>
        <v/>
      </c>
      <c r="AN41" s="67"/>
      <c r="AO41" s="636"/>
      <c r="AP41" s="637"/>
      <c r="AQ41" s="637"/>
      <c r="AR41" s="637"/>
      <c r="AS41" s="637"/>
      <c r="AT41" s="638"/>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17"/>
      <c r="C42" s="517"/>
      <c r="D42" s="518"/>
      <c r="E42" s="616"/>
      <c r="F42" s="615"/>
      <c r="G42" s="615"/>
      <c r="H42" s="615"/>
      <c r="I42" s="615"/>
      <c r="J42" s="60" t="str">
        <f>IF(AND('Mapa final'!$AB$32="Baja",'Mapa final'!$AD$32="Leve"),CONCATENATE("R7C",'Mapa final'!$R$32),"")</f>
        <v/>
      </c>
      <c r="K42" s="61" t="str">
        <f>IF(AND('Mapa final'!$AB$33="Baja",'Mapa final'!$AD$33="Leve"),CONCATENATE("R7C",'Mapa final'!$R$33),"")</f>
        <v/>
      </c>
      <c r="L42" s="61" t="str">
        <f>IF(AND('Mapa final'!$AB$34="Baja",'Mapa final'!$AD$34="Leve"),CONCATENATE("R7C",'Mapa final'!$R$34),"")</f>
        <v/>
      </c>
      <c r="M42" s="61" t="str">
        <f>IF(AND('Mapa final'!$AB$35="Baja",'Mapa final'!$AD$35="Leve"),CONCATENATE("R7C",'Mapa final'!$R$35),"")</f>
        <v/>
      </c>
      <c r="N42" s="61" t="str">
        <f>IF(AND('Mapa final'!$AB$36="Baja",'Mapa final'!$AD$36="Leve"),CONCATENATE("R7C",'Mapa final'!$R$36),"")</f>
        <v/>
      </c>
      <c r="O42" s="62" t="str">
        <f>IF(AND('Mapa final'!$AB$37="Baja",'Mapa final'!$AD$37="Leve"),CONCATENATE("R7C",'Mapa final'!$R$37),"")</f>
        <v/>
      </c>
      <c r="P42" s="51" t="str">
        <f>IF(AND('Mapa final'!$AB$32="Baja",'Mapa final'!$AD$32="Menor"),CONCATENATE("R7C",'Mapa final'!$R$32),"")</f>
        <v/>
      </c>
      <c r="Q42" s="52" t="str">
        <f>IF(AND('Mapa final'!$AB$33="Baja",'Mapa final'!$AD$33="Menor"),CONCATENATE("R7C",'Mapa final'!$R$33),"")</f>
        <v/>
      </c>
      <c r="R42" s="52" t="str">
        <f>IF(AND('Mapa final'!$AB$34="Baja",'Mapa final'!$AD$34="Menor"),CONCATENATE("R7C",'Mapa final'!$R$34),"")</f>
        <v/>
      </c>
      <c r="S42" s="52" t="str">
        <f>IF(AND('Mapa final'!$AB$35="Baja",'Mapa final'!$AD$35="Menor"),CONCATENATE("R7C",'Mapa final'!$R$35),"")</f>
        <v/>
      </c>
      <c r="T42" s="52" t="str">
        <f>IF(AND('Mapa final'!$AB$36="Baja",'Mapa final'!$AD$36="Menor"),CONCATENATE("R7C",'Mapa final'!$R$36),"")</f>
        <v/>
      </c>
      <c r="U42" s="53" t="str">
        <f>IF(AND('Mapa final'!$AB$37="Baja",'Mapa final'!$AD$37="Menor"),CONCATENATE("R7C",'Mapa final'!$R$37),"")</f>
        <v/>
      </c>
      <c r="V42" s="51" t="str">
        <f>IF(AND('Mapa final'!$AB$32="Baja",'Mapa final'!$AD$32="Moderado"),CONCATENATE("R7C",'Mapa final'!$R$32),"")</f>
        <v/>
      </c>
      <c r="W42" s="52" t="str">
        <f>IF(AND('Mapa final'!$AB$33="Baja",'Mapa final'!$AD$33="Moderado"),CONCATENATE("R7C",'Mapa final'!$R$33),"")</f>
        <v/>
      </c>
      <c r="X42" s="52" t="str">
        <f>IF(AND('Mapa final'!$AB$34="Baja",'Mapa final'!$AD$34="Moderado"),CONCATENATE("R7C",'Mapa final'!$R$34),"")</f>
        <v/>
      </c>
      <c r="Y42" s="52" t="str">
        <f>IF(AND('Mapa final'!$AB$35="Baja",'Mapa final'!$AD$35="Moderado"),CONCATENATE("R7C",'Mapa final'!$R$35),"")</f>
        <v/>
      </c>
      <c r="Z42" s="52" t="str">
        <f>IF(AND('Mapa final'!$AB$36="Baja",'Mapa final'!$AD$36="Moderado"),CONCATENATE("R7C",'Mapa final'!$R$36),"")</f>
        <v/>
      </c>
      <c r="AA42" s="53" t="str">
        <f>IF(AND('Mapa final'!$AB$37="Baja",'Mapa final'!$AD$37="Moderado"),CONCATENATE("R7C",'Mapa final'!$R$37),"")</f>
        <v/>
      </c>
      <c r="AB42" s="36" t="str">
        <f>IF(AND('Mapa final'!$AB$32="Baja",'Mapa final'!$AD$32="Mayor"),CONCATENATE("R7C",'Mapa final'!$R$32),"")</f>
        <v/>
      </c>
      <c r="AC42" s="37" t="str">
        <f>IF(AND('Mapa final'!$AB$33="Baja",'Mapa final'!$AD$33="Mayor"),CONCATENATE("R7C",'Mapa final'!$R$33),"")</f>
        <v/>
      </c>
      <c r="AD42" s="37" t="str">
        <f>IF(AND('Mapa final'!$AB$34="Baja",'Mapa final'!$AD$34="Mayor"),CONCATENATE("R7C",'Mapa final'!$R$34),"")</f>
        <v/>
      </c>
      <c r="AE42" s="37" t="str">
        <f>IF(AND('Mapa final'!$AB$35="Baja",'Mapa final'!$AD$35="Mayor"),CONCATENATE("R7C",'Mapa final'!$R$35),"")</f>
        <v/>
      </c>
      <c r="AF42" s="37" t="str">
        <f>IF(AND('Mapa final'!$AB$36="Baja",'Mapa final'!$AD$36="Mayor"),CONCATENATE("R7C",'Mapa final'!$R$36),"")</f>
        <v/>
      </c>
      <c r="AG42" s="38" t="str">
        <f>IF(AND('Mapa final'!$AB$37="Baja",'Mapa final'!$AD$37="Mayor"),CONCATENATE("R7C",'Mapa final'!$R$37),"")</f>
        <v/>
      </c>
      <c r="AH42" s="39" t="str">
        <f>IF(AND('Mapa final'!$AB$32="Baja",'Mapa final'!$AD$32="Catastrófico"),CONCATENATE("R7C",'Mapa final'!$R$32),"")</f>
        <v/>
      </c>
      <c r="AI42" s="40" t="str">
        <f>IF(AND('Mapa final'!$AB$33="Baja",'Mapa final'!$AD$33="Catastrófico"),CONCATENATE("R7C",'Mapa final'!$R$33),"")</f>
        <v/>
      </c>
      <c r="AJ42" s="40" t="str">
        <f>IF(AND('Mapa final'!$AB$34="Baja",'Mapa final'!$AD$34="Catastrófico"),CONCATENATE("R7C",'Mapa final'!$R$34),"")</f>
        <v/>
      </c>
      <c r="AK42" s="40" t="str">
        <f>IF(AND('Mapa final'!$AB$35="Baja",'Mapa final'!$AD$35="Catastrófico"),CONCATENATE("R7C",'Mapa final'!$R$35),"")</f>
        <v/>
      </c>
      <c r="AL42" s="40" t="str">
        <f>IF(AND('Mapa final'!$AB$36="Baja",'Mapa final'!$AD$36="Catastrófico"),CONCATENATE("R7C",'Mapa final'!$R$36),"")</f>
        <v/>
      </c>
      <c r="AM42" s="41" t="str">
        <f>IF(AND('Mapa final'!$AB$37="Baja",'Mapa final'!$AD$37="Catastrófico"),CONCATENATE("R7C",'Mapa final'!$R$37),"")</f>
        <v/>
      </c>
      <c r="AN42" s="67"/>
      <c r="AO42" s="636"/>
      <c r="AP42" s="637"/>
      <c r="AQ42" s="637"/>
      <c r="AR42" s="637"/>
      <c r="AS42" s="637"/>
      <c r="AT42" s="638"/>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17"/>
      <c r="C43" s="517"/>
      <c r="D43" s="518"/>
      <c r="E43" s="616"/>
      <c r="F43" s="615"/>
      <c r="G43" s="615"/>
      <c r="H43" s="615"/>
      <c r="I43" s="615"/>
      <c r="J43" s="60" t="str">
        <f>IF(AND('Mapa final'!$AB$38="Baja",'Mapa final'!$AD$38="Leve"),CONCATENATE("R8C",'Mapa final'!$R$38),"")</f>
        <v/>
      </c>
      <c r="K43" s="61" t="str">
        <f>IF(AND('Mapa final'!$AB$39="Baja",'Mapa final'!$AD$39="Leve"),CONCATENATE("R8C",'Mapa final'!$R$39),"")</f>
        <v/>
      </c>
      <c r="L43" s="61" t="str">
        <f>IF(AND('Mapa final'!$AB$40="Baja",'Mapa final'!$AD$40="Leve"),CONCATENATE("R8C",'Mapa final'!$R$40),"")</f>
        <v/>
      </c>
      <c r="M43" s="61" t="str">
        <f>IF(AND('Mapa final'!$AB$41="Baja",'Mapa final'!$AD$41="Leve"),CONCATENATE("R8C",'Mapa final'!$R$41),"")</f>
        <v/>
      </c>
      <c r="N43" s="61" t="str">
        <f>IF(AND('Mapa final'!$AB$42="Baja",'Mapa final'!$AD$42="Leve"),CONCATENATE("R8C",'Mapa final'!$R$42),"")</f>
        <v/>
      </c>
      <c r="O43" s="62" t="str">
        <f>IF(AND('Mapa final'!$AB$43="Baja",'Mapa final'!$AD$43="Leve"),CONCATENATE("R8C",'Mapa final'!$R$43),"")</f>
        <v/>
      </c>
      <c r="P43" s="51" t="str">
        <f>IF(AND('Mapa final'!$AB$38="Baja",'Mapa final'!$AD$38="Menor"),CONCATENATE("R8C",'Mapa final'!$R$38),"")</f>
        <v/>
      </c>
      <c r="Q43" s="52" t="str">
        <f>IF(AND('Mapa final'!$AB$39="Baja",'Mapa final'!$AD$39="Menor"),CONCATENATE("R8C",'Mapa final'!$R$39),"")</f>
        <v/>
      </c>
      <c r="R43" s="52" t="str">
        <f>IF(AND('Mapa final'!$AB$40="Baja",'Mapa final'!$AD$40="Menor"),CONCATENATE("R8C",'Mapa final'!$R$40),"")</f>
        <v/>
      </c>
      <c r="S43" s="52" t="str">
        <f>IF(AND('Mapa final'!$AB$41="Baja",'Mapa final'!$AD$41="Menor"),CONCATENATE("R8C",'Mapa final'!$R$41),"")</f>
        <v/>
      </c>
      <c r="T43" s="52" t="str">
        <f>IF(AND('Mapa final'!$AB$42="Baja",'Mapa final'!$AD$42="Menor"),CONCATENATE("R8C",'Mapa final'!$R$42),"")</f>
        <v/>
      </c>
      <c r="U43" s="53" t="str">
        <f>IF(AND('Mapa final'!$AB$43="Baja",'Mapa final'!$AD$43="Menor"),CONCATENATE("R8C",'Mapa final'!$R$43),"")</f>
        <v/>
      </c>
      <c r="V43" s="51" t="str">
        <f>IF(AND('Mapa final'!$AB$38="Baja",'Mapa final'!$AD$38="Moderado"),CONCATENATE("R8C",'Mapa final'!$R$38),"")</f>
        <v/>
      </c>
      <c r="W43" s="52" t="str">
        <f>IF(AND('Mapa final'!$AB$39="Baja",'Mapa final'!$AD$39="Moderado"),CONCATENATE("R8C",'Mapa final'!$R$39),"")</f>
        <v/>
      </c>
      <c r="X43" s="52" t="str">
        <f>IF(AND('Mapa final'!$AB$40="Baja",'Mapa final'!$AD$40="Moderado"),CONCATENATE("R8C",'Mapa final'!$R$40),"")</f>
        <v/>
      </c>
      <c r="Y43" s="52" t="str">
        <f>IF(AND('Mapa final'!$AB$41="Baja",'Mapa final'!$AD$41="Moderado"),CONCATENATE("R8C",'Mapa final'!$R$41),"")</f>
        <v/>
      </c>
      <c r="Z43" s="52" t="str">
        <f>IF(AND('Mapa final'!$AB$42="Baja",'Mapa final'!$AD$42="Moderado"),CONCATENATE("R8C",'Mapa final'!$R$42),"")</f>
        <v/>
      </c>
      <c r="AA43" s="53" t="str">
        <f>IF(AND('Mapa final'!$AB$43="Baja",'Mapa final'!$AD$43="Moderado"),CONCATENATE("R8C",'Mapa final'!$R$43),"")</f>
        <v/>
      </c>
      <c r="AB43" s="36" t="str">
        <f>IF(AND('Mapa final'!$AB$38="Baja",'Mapa final'!$AD$38="Mayor"),CONCATENATE("R8C",'Mapa final'!$R$38),"")</f>
        <v/>
      </c>
      <c r="AC43" s="37" t="str">
        <f>IF(AND('Mapa final'!$AB$39="Baja",'Mapa final'!$AD$39="Mayor"),CONCATENATE("R8C",'Mapa final'!$R$39),"")</f>
        <v/>
      </c>
      <c r="AD43" s="37" t="str">
        <f>IF(AND('Mapa final'!$AB$40="Baja",'Mapa final'!$AD$40="Mayor"),CONCATENATE("R8C",'Mapa final'!$R$40),"")</f>
        <v/>
      </c>
      <c r="AE43" s="37" t="str">
        <f>IF(AND('Mapa final'!$AB$41="Baja",'Mapa final'!$AD$41="Mayor"),CONCATENATE("R8C",'Mapa final'!$R$41),"")</f>
        <v/>
      </c>
      <c r="AF43" s="37" t="str">
        <f>IF(AND('Mapa final'!$AB$42="Baja",'Mapa final'!$AD$42="Mayor"),CONCATENATE("R8C",'Mapa final'!$R$42),"")</f>
        <v/>
      </c>
      <c r="AG43" s="38" t="str">
        <f>IF(AND('Mapa final'!$AB$43="Baja",'Mapa final'!$AD$43="Mayor"),CONCATENATE("R8C",'Mapa final'!$R$43),"")</f>
        <v/>
      </c>
      <c r="AH43" s="39" t="str">
        <f>IF(AND('Mapa final'!$AB$38="Baja",'Mapa final'!$AD$38="Catastrófico"),CONCATENATE("R8C",'Mapa final'!$R$38),"")</f>
        <v/>
      </c>
      <c r="AI43" s="40" t="str">
        <f>IF(AND('Mapa final'!$AB$39="Baja",'Mapa final'!$AD$39="Catastrófico"),CONCATENATE("R8C",'Mapa final'!$R$39),"")</f>
        <v/>
      </c>
      <c r="AJ43" s="40" t="str">
        <f>IF(AND('Mapa final'!$AB$40="Baja",'Mapa final'!$AD$40="Catastrófico"),CONCATENATE("R8C",'Mapa final'!$R$40),"")</f>
        <v/>
      </c>
      <c r="AK43" s="40" t="str">
        <f>IF(AND('Mapa final'!$AB$41="Baja",'Mapa final'!$AD$41="Catastrófico"),CONCATENATE("R8C",'Mapa final'!$R$41),"")</f>
        <v/>
      </c>
      <c r="AL43" s="40" t="str">
        <f>IF(AND('Mapa final'!$AB$42="Baja",'Mapa final'!$AD$42="Catastrófico"),CONCATENATE("R8C",'Mapa final'!$R$42),"")</f>
        <v/>
      </c>
      <c r="AM43" s="41" t="str">
        <f>IF(AND('Mapa final'!$AB$43="Baja",'Mapa final'!$AD$43="Catastrófico"),CONCATENATE("R8C",'Mapa final'!$R$43),"")</f>
        <v/>
      </c>
      <c r="AN43" s="67"/>
      <c r="AO43" s="636"/>
      <c r="AP43" s="637"/>
      <c r="AQ43" s="637"/>
      <c r="AR43" s="637"/>
      <c r="AS43" s="637"/>
      <c r="AT43" s="638"/>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17"/>
      <c r="C44" s="517"/>
      <c r="D44" s="518"/>
      <c r="E44" s="616"/>
      <c r="F44" s="615"/>
      <c r="G44" s="615"/>
      <c r="H44" s="615"/>
      <c r="I44" s="615"/>
      <c r="J44" s="60" t="str">
        <f>IF(AND('Mapa final'!$AB$44="Baja",'Mapa final'!$AD$44="Leve"),CONCATENATE("R9C",'Mapa final'!$R$44),"")</f>
        <v/>
      </c>
      <c r="K44" s="61" t="str">
        <f>IF(AND('Mapa final'!$AB$45="Baja",'Mapa final'!$AD$45="Leve"),CONCATENATE("R9C",'Mapa final'!$R$45),"")</f>
        <v/>
      </c>
      <c r="L44" s="61" t="str">
        <f>IF(AND('Mapa final'!$AB$46="Baja",'Mapa final'!$AD$46="Leve"),CONCATENATE("R9C",'Mapa final'!$R$46),"")</f>
        <v/>
      </c>
      <c r="M44" s="61" t="str">
        <f>IF(AND('Mapa final'!$AB$47="Baja",'Mapa final'!$AD$47="Leve"),CONCATENATE("R9C",'Mapa final'!$R$47),"")</f>
        <v/>
      </c>
      <c r="N44" s="61" t="str">
        <f>IF(AND('Mapa final'!$AB$48="Baja",'Mapa final'!$AD$48="Leve"),CONCATENATE("R9C",'Mapa final'!$R$48),"")</f>
        <v/>
      </c>
      <c r="O44" s="62" t="str">
        <f>IF(AND('Mapa final'!$AB$49="Baja",'Mapa final'!$AD$49="Leve"),CONCATENATE("R9C",'Mapa final'!$R$49),"")</f>
        <v/>
      </c>
      <c r="P44" s="51" t="str">
        <f>IF(AND('Mapa final'!$AB$44="Baja",'Mapa final'!$AD$44="Menor"),CONCATENATE("R9C",'Mapa final'!$R$44),"")</f>
        <v/>
      </c>
      <c r="Q44" s="52" t="str">
        <f>IF(AND('Mapa final'!$AB$45="Baja",'Mapa final'!$AD$45="Menor"),CONCATENATE("R9C",'Mapa final'!$R$45),"")</f>
        <v/>
      </c>
      <c r="R44" s="52" t="str">
        <f>IF(AND('Mapa final'!$AB$46="Baja",'Mapa final'!$AD$46="Menor"),CONCATENATE("R9C",'Mapa final'!$R$46),"")</f>
        <v/>
      </c>
      <c r="S44" s="52" t="str">
        <f>IF(AND('Mapa final'!$AB$47="Baja",'Mapa final'!$AD$47="Menor"),CONCATENATE("R9C",'Mapa final'!$R$47),"")</f>
        <v/>
      </c>
      <c r="T44" s="52" t="str">
        <f>IF(AND('Mapa final'!$AB$48="Baja",'Mapa final'!$AD$48="Menor"),CONCATENATE("R9C",'Mapa final'!$R$48),"")</f>
        <v/>
      </c>
      <c r="U44" s="53" t="str">
        <f>IF(AND('Mapa final'!$AB$49="Baja",'Mapa final'!$AD$49="Menor"),CONCATENATE("R9C",'Mapa final'!$R$49),"")</f>
        <v/>
      </c>
      <c r="V44" s="51" t="str">
        <f>IF(AND('Mapa final'!$AB$44="Baja",'Mapa final'!$AD$44="Moderado"),CONCATENATE("R9C",'Mapa final'!$R$44),"")</f>
        <v/>
      </c>
      <c r="W44" s="52" t="str">
        <f>IF(AND('Mapa final'!$AB$45="Baja",'Mapa final'!$AD$45="Moderado"),CONCATENATE("R9C",'Mapa final'!$R$45),"")</f>
        <v/>
      </c>
      <c r="X44" s="52" t="str">
        <f>IF(AND('Mapa final'!$AB$46="Baja",'Mapa final'!$AD$46="Moderado"),CONCATENATE("R9C",'Mapa final'!$R$46),"")</f>
        <v/>
      </c>
      <c r="Y44" s="52" t="str">
        <f>IF(AND('Mapa final'!$AB$47="Baja",'Mapa final'!$AD$47="Moderado"),CONCATENATE("R9C",'Mapa final'!$R$47),"")</f>
        <v/>
      </c>
      <c r="Z44" s="52" t="str">
        <f>IF(AND('Mapa final'!$AB$48="Baja",'Mapa final'!$AD$48="Moderado"),CONCATENATE("R9C",'Mapa final'!$R$48),"")</f>
        <v/>
      </c>
      <c r="AA44" s="53" t="str">
        <f>IF(AND('Mapa final'!$AB$49="Baja",'Mapa final'!$AD$49="Moderado"),CONCATENATE("R9C",'Mapa final'!$R$49),"")</f>
        <v/>
      </c>
      <c r="AB44" s="36" t="str">
        <f>IF(AND('Mapa final'!$AB$44="Baja",'Mapa final'!$AD$44="Mayor"),CONCATENATE("R9C",'Mapa final'!$R$44),"")</f>
        <v/>
      </c>
      <c r="AC44" s="37" t="str">
        <f>IF(AND('Mapa final'!$AB$45="Baja",'Mapa final'!$AD$45="Mayor"),CONCATENATE("R9C",'Mapa final'!$R$45),"")</f>
        <v/>
      </c>
      <c r="AD44" s="37" t="str">
        <f>IF(AND('Mapa final'!$AB$46="Baja",'Mapa final'!$AD$46="Mayor"),CONCATENATE("R9C",'Mapa final'!$R$46),"")</f>
        <v/>
      </c>
      <c r="AE44" s="37" t="str">
        <f>IF(AND('Mapa final'!$AB$47="Baja",'Mapa final'!$AD$47="Mayor"),CONCATENATE("R9C",'Mapa final'!$R$47),"")</f>
        <v/>
      </c>
      <c r="AF44" s="37" t="str">
        <f>IF(AND('Mapa final'!$AB$48="Baja",'Mapa final'!$AD$48="Mayor"),CONCATENATE("R9C",'Mapa final'!$R$48),"")</f>
        <v/>
      </c>
      <c r="AG44" s="38" t="str">
        <f>IF(AND('Mapa final'!$AB$49="Baja",'Mapa final'!$AD$49="Mayor"),CONCATENATE("R9C",'Mapa final'!$R$49),"")</f>
        <v/>
      </c>
      <c r="AH44" s="39" t="str">
        <f>IF(AND('Mapa final'!$AB$44="Baja",'Mapa final'!$AD$44="Catastrófico"),CONCATENATE("R9C",'Mapa final'!$R$44),"")</f>
        <v/>
      </c>
      <c r="AI44" s="40" t="str">
        <f>IF(AND('Mapa final'!$AB$45="Baja",'Mapa final'!$AD$45="Catastrófico"),CONCATENATE("R9C",'Mapa final'!$R$45),"")</f>
        <v/>
      </c>
      <c r="AJ44" s="40" t="str">
        <f>IF(AND('Mapa final'!$AB$46="Baja",'Mapa final'!$AD$46="Catastrófico"),CONCATENATE("R9C",'Mapa final'!$R$46),"")</f>
        <v/>
      </c>
      <c r="AK44" s="40" t="str">
        <f>IF(AND('Mapa final'!$AB$47="Baja",'Mapa final'!$AD$47="Catastrófico"),CONCATENATE("R9C",'Mapa final'!$R$47),"")</f>
        <v/>
      </c>
      <c r="AL44" s="40" t="str">
        <f>IF(AND('Mapa final'!$AB$48="Baja",'Mapa final'!$AD$48="Catastrófico"),CONCATENATE("R9C",'Mapa final'!$R$48),"")</f>
        <v/>
      </c>
      <c r="AM44" s="41" t="str">
        <f>IF(AND('Mapa final'!$AB$49="Baja",'Mapa final'!$AD$49="Catastrófico"),CONCATENATE("R9C",'Mapa final'!$R$49),"")</f>
        <v/>
      </c>
      <c r="AN44" s="67"/>
      <c r="AO44" s="636"/>
      <c r="AP44" s="637"/>
      <c r="AQ44" s="637"/>
      <c r="AR44" s="637"/>
      <c r="AS44" s="637"/>
      <c r="AT44" s="638"/>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17"/>
      <c r="C45" s="517"/>
      <c r="D45" s="518"/>
      <c r="E45" s="617"/>
      <c r="F45" s="618"/>
      <c r="G45" s="618"/>
      <c r="H45" s="618"/>
      <c r="I45" s="618"/>
      <c r="J45" s="63" t="str">
        <f>IF(AND('Mapa final'!$AB$50="Baja",'Mapa final'!$AD$50="Leve"),CONCATENATE("R10C",'Mapa final'!$R$50),"")</f>
        <v/>
      </c>
      <c r="K45" s="64" t="str">
        <f>IF(AND('Mapa final'!$AB$51="Baja",'Mapa final'!$AD$51="Leve"),CONCATENATE("R10C",'Mapa final'!$R$51),"")</f>
        <v/>
      </c>
      <c r="L45" s="64" t="str">
        <f>IF(AND('Mapa final'!$AB$52="Baja",'Mapa final'!$AD$52="Leve"),CONCATENATE("R10C",'Mapa final'!$R$52),"")</f>
        <v/>
      </c>
      <c r="M45" s="64" t="str">
        <f>IF(AND('Mapa final'!$AB$53="Baja",'Mapa final'!$AD$53="Leve"),CONCATENATE("R10C",'Mapa final'!$R$53),"")</f>
        <v/>
      </c>
      <c r="N45" s="64" t="str">
        <f>IF(AND('Mapa final'!$AB$54="Baja",'Mapa final'!$AD$54="Leve"),CONCATENATE("R10C",'Mapa final'!$R$54),"")</f>
        <v/>
      </c>
      <c r="O45" s="65" t="str">
        <f>IF(AND('Mapa final'!$AB$55="Baja",'Mapa final'!$AD$55="Leve"),CONCATENATE("R10C",'Mapa final'!$R$55),"")</f>
        <v/>
      </c>
      <c r="P45" s="51" t="str">
        <f>IF(AND('Mapa final'!$AB$50="Baja",'Mapa final'!$AD$50="Menor"),CONCATENATE("R10C",'Mapa final'!$R$50),"")</f>
        <v/>
      </c>
      <c r="Q45" s="52" t="str">
        <f>IF(AND('Mapa final'!$AB$51="Baja",'Mapa final'!$AD$51="Menor"),CONCATENATE("R10C",'Mapa final'!$R$51),"")</f>
        <v/>
      </c>
      <c r="R45" s="52" t="str">
        <f>IF(AND('Mapa final'!$AB$52="Baja",'Mapa final'!$AD$52="Menor"),CONCATENATE("R10C",'Mapa final'!$R$52),"")</f>
        <v/>
      </c>
      <c r="S45" s="52" t="str">
        <f>IF(AND('Mapa final'!$AB$53="Baja",'Mapa final'!$AD$53="Menor"),CONCATENATE("R10C",'Mapa final'!$R$53),"")</f>
        <v/>
      </c>
      <c r="T45" s="52" t="str">
        <f>IF(AND('Mapa final'!$AB$54="Baja",'Mapa final'!$AD$54="Menor"),CONCATENATE("R10C",'Mapa final'!$R$54),"")</f>
        <v/>
      </c>
      <c r="U45" s="53" t="str">
        <f>IF(AND('Mapa final'!$AB$55="Baja",'Mapa final'!$AD$55="Menor"),CONCATENATE("R10C",'Mapa final'!$R$55),"")</f>
        <v/>
      </c>
      <c r="V45" s="54" t="str">
        <f>IF(AND('Mapa final'!$AB$50="Baja",'Mapa final'!$AD$50="Moderado"),CONCATENATE("R10C",'Mapa final'!$R$50),"")</f>
        <v/>
      </c>
      <c r="W45" s="55" t="str">
        <f>IF(AND('Mapa final'!$AB$51="Baja",'Mapa final'!$AD$51="Moderado"),CONCATENATE("R10C",'Mapa final'!$R$51),"")</f>
        <v/>
      </c>
      <c r="X45" s="55" t="str">
        <f>IF(AND('Mapa final'!$AB$52="Baja",'Mapa final'!$AD$52="Moderado"),CONCATENATE("R10C",'Mapa final'!$R$52),"")</f>
        <v/>
      </c>
      <c r="Y45" s="55" t="str">
        <f>IF(AND('Mapa final'!$AB$53="Baja",'Mapa final'!$AD$53="Moderado"),CONCATENATE("R10C",'Mapa final'!$R$53),"")</f>
        <v/>
      </c>
      <c r="Z45" s="55" t="str">
        <f>IF(AND('Mapa final'!$AB$54="Baja",'Mapa final'!$AD$54="Moderado"),CONCATENATE("R10C",'Mapa final'!$R$54),"")</f>
        <v/>
      </c>
      <c r="AA45" s="56" t="str">
        <f>IF(AND('Mapa final'!$AB$55="Baja",'Mapa final'!$AD$55="Moderado"),CONCATENATE("R10C",'Mapa final'!$R$55),"")</f>
        <v/>
      </c>
      <c r="AB45" s="42" t="str">
        <f>IF(AND('Mapa final'!$AB$50="Baja",'Mapa final'!$AD$50="Mayor"),CONCATENATE("R10C",'Mapa final'!$R$50),"")</f>
        <v/>
      </c>
      <c r="AC45" s="43" t="str">
        <f>IF(AND('Mapa final'!$AB$51="Baja",'Mapa final'!$AD$51="Mayor"),CONCATENATE("R10C",'Mapa final'!$R$51),"")</f>
        <v/>
      </c>
      <c r="AD45" s="43" t="str">
        <f>IF(AND('Mapa final'!$AB$52="Baja",'Mapa final'!$AD$52="Mayor"),CONCATENATE("R10C",'Mapa final'!$R$52),"")</f>
        <v/>
      </c>
      <c r="AE45" s="43" t="str">
        <f>IF(AND('Mapa final'!$AB$53="Baja",'Mapa final'!$AD$53="Mayor"),CONCATENATE("R10C",'Mapa final'!$R$53),"")</f>
        <v/>
      </c>
      <c r="AF45" s="43" t="str">
        <f>IF(AND('Mapa final'!$AB$54="Baja",'Mapa final'!$AD$54="Mayor"),CONCATENATE("R10C",'Mapa final'!$R$54),"")</f>
        <v/>
      </c>
      <c r="AG45" s="44" t="str">
        <f>IF(AND('Mapa final'!$AB$55="Baja",'Mapa final'!$AD$55="Mayor"),CONCATENATE("R10C",'Mapa final'!$R$55),"")</f>
        <v/>
      </c>
      <c r="AH45" s="45" t="str">
        <f>IF(AND('Mapa final'!$AB$50="Baja",'Mapa final'!$AD$50="Catastrófico"),CONCATENATE("R10C",'Mapa final'!$R$50),"")</f>
        <v/>
      </c>
      <c r="AI45" s="46" t="str">
        <f>IF(AND('Mapa final'!$AB$51="Baja",'Mapa final'!$AD$51="Catastrófico"),CONCATENATE("R10C",'Mapa final'!$R$51),"")</f>
        <v/>
      </c>
      <c r="AJ45" s="46" t="str">
        <f>IF(AND('Mapa final'!$AB$52="Baja",'Mapa final'!$AD$52="Catastrófico"),CONCATENATE("R10C",'Mapa final'!$R$52),"")</f>
        <v/>
      </c>
      <c r="AK45" s="46" t="str">
        <f>IF(AND('Mapa final'!$AB$53="Baja",'Mapa final'!$AD$53="Catastrófico"),CONCATENATE("R10C",'Mapa final'!$R$53),"")</f>
        <v/>
      </c>
      <c r="AL45" s="46" t="str">
        <f>IF(AND('Mapa final'!$AB$54="Baja",'Mapa final'!$AD$54="Catastrófico"),CONCATENATE("R10C",'Mapa final'!$R$54),"")</f>
        <v/>
      </c>
      <c r="AM45" s="47" t="str">
        <f>IF(AND('Mapa final'!$AB$55="Baja",'Mapa final'!$AD$55="Catastrófico"),CONCATENATE("R10C",'Mapa final'!$R$55),"")</f>
        <v/>
      </c>
      <c r="AN45" s="67"/>
      <c r="AO45" s="639"/>
      <c r="AP45" s="640"/>
      <c r="AQ45" s="640"/>
      <c r="AR45" s="640"/>
      <c r="AS45" s="640"/>
      <c r="AT45" s="641"/>
    </row>
    <row r="46" spans="1:80" ht="46.5" customHeight="1" x14ac:dyDescent="0.45">
      <c r="A46" s="67"/>
      <c r="B46" s="517"/>
      <c r="C46" s="517"/>
      <c r="D46" s="518"/>
      <c r="E46" s="612" t="s">
        <v>107</v>
      </c>
      <c r="F46" s="613"/>
      <c r="G46" s="613"/>
      <c r="H46" s="613"/>
      <c r="I46" s="630"/>
      <c r="J46" s="57" t="str">
        <f>IF(AND('Mapa final'!$AB$10="Muy Baja",'Mapa final'!$AD$10="Leve"),CONCATENATE("R1C",'Mapa final'!$R$10),"")</f>
        <v/>
      </c>
      <c r="K46" s="58" t="str">
        <f>IF(AND('Mapa final'!$AB$11="Muy Baja",'Mapa final'!$AD$11="Leve"),CONCATENATE("R1C",'Mapa final'!$R$11),"")</f>
        <v/>
      </c>
      <c r="L46" s="58" t="e">
        <f>IF(AND('Mapa final'!#REF!="Muy Baja",'Mapa final'!#REF!="Leve"),CONCATENATE("R1C",'Mapa final'!#REF!),"")</f>
        <v>#REF!</v>
      </c>
      <c r="M46" s="58" t="str">
        <f>IF(AND('Mapa final'!$AB$13="Muy Baja",'Mapa final'!$AD$13="Leve"),CONCATENATE("R1C",'Mapa final'!$R$13),"")</f>
        <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e">
        <f>IF(AND('Mapa final'!#REF!="Muy Baja",'Mapa final'!#REF!="Menor"),CONCATENATE("R1C",'Mapa final'!#REF!),"")</f>
        <v>#REF!</v>
      </c>
      <c r="S46" s="58" t="str">
        <f>IF(AND('Mapa final'!$AB$13="Muy Baja",'Mapa final'!$AD$13="Menor"),CONCATENATE("R1C",'Mapa final'!$R$13),"")</f>
        <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e">
        <f>IF(AND('Mapa final'!#REF!="Muy Baja",'Mapa final'!#REF!="Moderado"),CONCATENATE("R1C",'Mapa final'!#REF!),"")</f>
        <v>#REF!</v>
      </c>
      <c r="Y46" s="49" t="str">
        <f>IF(AND('Mapa final'!$AB$13="Muy Baja",'Mapa final'!$AD$13="Moderado"),CONCATENATE("R1C",'Mapa final'!$R$13),"")</f>
        <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e">
        <f>IF(AND('Mapa final'!#REF!="Muy Baja",'Mapa final'!#REF!="Mayor"),CONCATENATE("R1C",'Mapa final'!#REF!),"")</f>
        <v>#REF!</v>
      </c>
      <c r="AE46" s="31" t="str">
        <f>IF(AND('Mapa final'!$AB$13="Muy Baja",'Mapa final'!$AD$13="Mayor"),CONCATENATE("R1C",'Mapa final'!$R$13),"")</f>
        <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e">
        <f>IF(AND('Mapa final'!#REF!="Muy Baja",'Mapa final'!#REF!="Catastrófico"),CONCATENATE("R1C",'Mapa final'!#REF!),"")</f>
        <v>#REF!</v>
      </c>
      <c r="AK46" s="34" t="str">
        <f>IF(AND('Mapa final'!$AB$13="Muy Baja",'Mapa final'!$AD$13="Catastrófico"),CONCATENATE("R1C",'Mapa final'!$R$13),"")</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17"/>
      <c r="C47" s="517"/>
      <c r="D47" s="518"/>
      <c r="E47" s="614"/>
      <c r="F47" s="615"/>
      <c r="G47" s="615"/>
      <c r="H47" s="615"/>
      <c r="I47" s="631"/>
      <c r="J47" s="60" t="str">
        <f>IF(AND('Mapa final'!$AB$14="Muy Baja",'Mapa final'!$AD$14="Leve"),CONCATENATE("R2C",'Mapa final'!$R$14),"")</f>
        <v/>
      </c>
      <c r="K47" s="61" t="str">
        <f>IF(AND('Mapa final'!$AB$15="Muy Baja",'Mapa final'!$AD$15="Leve"),CONCATENATE("R2C",'Mapa final'!$R$15),"")</f>
        <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str">
        <f>IF(AND('Mapa final'!$AB$14="Muy Baja",'Mapa final'!$AD$14="Menor"),CONCATENATE("R2C",'Mapa final'!$R$14),"")</f>
        <v/>
      </c>
      <c r="Q47" s="61" t="str">
        <f>IF(AND('Mapa final'!$AB$15="Muy Baja",'Mapa final'!$AD$15="Menor"),CONCATENATE("R2C",'Mapa final'!$R$15),"")</f>
        <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str">
        <f>IF(AND('Mapa final'!$AB$14="Muy Baja",'Mapa final'!$AD$14="Moderado"),CONCATENATE("R2C",'Mapa final'!$R$14),"")</f>
        <v/>
      </c>
      <c r="W47" s="52" t="str">
        <f>IF(AND('Mapa final'!$AB$15="Muy Baja",'Mapa final'!$AD$15="Moderado"),CONCATENATE("R2C",'Mapa final'!$R$15),"")</f>
        <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str">
        <f>IF(AND('Mapa final'!$AB$14="Muy Baja",'Mapa final'!$AD$14="Mayor"),CONCATENATE("R2C",'Mapa final'!$R$14),"")</f>
        <v/>
      </c>
      <c r="AC47" s="37" t="str">
        <f>IF(AND('Mapa final'!$AB$15="Muy Baja",'Mapa final'!$AD$15="Mayor"),CONCATENATE("R2C",'Mapa final'!$R$15),"")</f>
        <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final'!$AB$14="Muy Baja",'Mapa final'!$AD$14="Catastrófico"),CONCATENATE("R2C",'Mapa final'!$R$14),"")</f>
        <v/>
      </c>
      <c r="AI47" s="40" t="str">
        <f>IF(AND('Mapa final'!$AB$15="Muy Baja",'Mapa final'!$AD$15="Catastrófico"),CONCATENATE("R2C",'Mapa final'!$R$15),"")</f>
        <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17"/>
      <c r="C48" s="517"/>
      <c r="D48" s="518"/>
      <c r="E48" s="614"/>
      <c r="F48" s="615"/>
      <c r="G48" s="615"/>
      <c r="H48" s="615"/>
      <c r="I48" s="631"/>
      <c r="J48" s="60" t="str">
        <f>IF(AND('Mapa final'!$AB$16="Muy Baja",'Mapa final'!$AD$16="Leve"),CONCATENATE("R3C",'Mapa final'!$R$16),"")</f>
        <v/>
      </c>
      <c r="K48" s="61" t="str">
        <f>IF(AND('Mapa final'!$AB$17="Muy Baja",'Mapa final'!$AD$17="Leve"),CONCATENATE("R3C",'Mapa final'!$R$17),"")</f>
        <v/>
      </c>
      <c r="L48" s="61" t="str">
        <f>IF(AND('Mapa final'!$AB$18="Muy Baja",'Mapa final'!$AD$18="Leve"),CONCATENATE("R3C",'Mapa final'!$R$18),"")</f>
        <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str">
        <f>IF(AND('Mapa final'!$AB$16="Muy Baja",'Mapa final'!$AD$16="Menor"),CONCATENATE("R3C",'Mapa final'!$R$16),"")</f>
        <v/>
      </c>
      <c r="Q48" s="61" t="str">
        <f>IF(AND('Mapa final'!$AB$17="Muy Baja",'Mapa final'!$AD$17="Menor"),CONCATENATE("R3C",'Mapa final'!$R$17),"")</f>
        <v/>
      </c>
      <c r="R48" s="61" t="str">
        <f>IF(AND('Mapa final'!$AB$18="Muy Baja",'Mapa final'!$AD$18="Menor"),CONCATENATE("R3C",'Mapa final'!$R$18),"")</f>
        <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str">
        <f>IF(AND('Mapa final'!$AB$16="Muy Baja",'Mapa final'!$AD$16="Moderado"),CONCATENATE("R3C",'Mapa final'!$R$16),"")</f>
        <v/>
      </c>
      <c r="W48" s="52" t="str">
        <f>IF(AND('Mapa final'!$AB$17="Muy Baja",'Mapa final'!$AD$17="Moderado"),CONCATENATE("R3C",'Mapa final'!$R$17),"")</f>
        <v/>
      </c>
      <c r="X48" s="52" t="str">
        <f>IF(AND('Mapa final'!$AB$18="Muy Baja",'Mapa final'!$AD$18="Moderado"),CONCATENATE("R3C",'Mapa final'!$R$18),"")</f>
        <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str">
        <f>IF(AND('Mapa final'!$AB$16="Muy Baja",'Mapa final'!$AD$16="Mayor"),CONCATENATE("R3C",'Mapa final'!$R$16),"")</f>
        <v/>
      </c>
      <c r="AC48" s="37" t="str">
        <f>IF(AND('Mapa final'!$AB$17="Muy Baja",'Mapa final'!$AD$17="Mayor"),CONCATENATE("R3C",'Mapa final'!$R$17),"")</f>
        <v/>
      </c>
      <c r="AD48" s="37" t="str">
        <f>IF(AND('Mapa final'!$AB$18="Muy Baja",'Mapa final'!$AD$18="Mayor"),CONCATENATE("R3C",'Mapa final'!$R$18),"")</f>
        <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str">
        <f>IF(AND('Mapa final'!$AB$16="Muy Baja",'Mapa final'!$AD$16="Catastrófico"),CONCATENATE("R3C",'Mapa final'!$R$16),"")</f>
        <v/>
      </c>
      <c r="AI48" s="40" t="str">
        <f>IF(AND('Mapa final'!$AB$17="Muy Baja",'Mapa final'!$AD$17="Catastrófico"),CONCATENATE("R3C",'Mapa final'!$R$17),"")</f>
        <v/>
      </c>
      <c r="AJ48" s="40" t="str">
        <f>IF(AND('Mapa final'!$AB$18="Muy Baja",'Mapa final'!$AD$18="Catastrófico"),CONCATENATE("R3C",'Mapa final'!$R$18),"")</f>
        <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17"/>
      <c r="C49" s="517"/>
      <c r="D49" s="518"/>
      <c r="E49" s="616"/>
      <c r="F49" s="615"/>
      <c r="G49" s="615"/>
      <c r="H49" s="615"/>
      <c r="I49" s="631"/>
      <c r="J49" s="60" t="str">
        <f>IF(AND('Mapa final'!$AB$19="Muy Baja",'Mapa final'!$AD$19="Leve"),CONCATENATE("R4C",'Mapa final'!$R$19),"")</f>
        <v/>
      </c>
      <c r="K49" s="61" t="e">
        <f>IF(AND('Mapa final'!#REF!="Muy Baja",'Mapa final'!#REF!="Leve"),CONCATENATE("R4C",'Mapa final'!#REF!),"")</f>
        <v>#REF!</v>
      </c>
      <c r="L49" s="61" t="e">
        <f>IF(AND('Mapa final'!#REF!="Muy Baja",'Mapa final'!#REF!="Leve"),CONCATENATE("R4C",'Mapa final'!#REF!),"")</f>
        <v>#REF!</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str">
        <f>IF(AND('Mapa final'!$AB$19="Muy Baja",'Mapa final'!$AD$19="Menor"),CONCATENATE("R4C",'Mapa final'!$R$19),"")</f>
        <v/>
      </c>
      <c r="Q49" s="61" t="e">
        <f>IF(AND('Mapa final'!#REF!="Muy Baja",'Mapa final'!#REF!="Menor"),CONCATENATE("R4C",'Mapa final'!#REF!),"")</f>
        <v>#REF!</v>
      </c>
      <c r="R49" s="61" t="e">
        <f>IF(AND('Mapa final'!#REF!="Muy Baja",'Mapa final'!#REF!="Menor"),CONCATENATE("R4C",'Mapa final'!#REF!),"")</f>
        <v>#REF!</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str">
        <f>IF(AND('Mapa final'!$AB$19="Muy Baja",'Mapa final'!$AD$19="Moderado"),CONCATENATE("R4C",'Mapa final'!$R$19),"")</f>
        <v/>
      </c>
      <c r="W49" s="52" t="e">
        <f>IF(AND('Mapa final'!#REF!="Muy Baja",'Mapa final'!#REF!="Moderado"),CONCATENATE("R4C",'Mapa final'!#REF!),"")</f>
        <v>#REF!</v>
      </c>
      <c r="X49" s="52" t="e">
        <f>IF(AND('Mapa final'!#REF!="Muy Baja",'Mapa final'!#REF!="Moderado"),CONCATENATE("R4C",'Mapa final'!#REF!),"")</f>
        <v>#REF!</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str">
        <f>IF(AND('Mapa final'!$AB$19="Muy Baja",'Mapa final'!$AD$19="Mayor"),CONCATENATE("R4C",'Mapa final'!$R$19),"")</f>
        <v/>
      </c>
      <c r="AC49" s="37" t="e">
        <f>IF(AND('Mapa final'!#REF!="Muy Baja",'Mapa final'!#REF!="Mayor"),CONCATENATE("R4C",'Mapa final'!#REF!),"")</f>
        <v>#REF!</v>
      </c>
      <c r="AD49" s="37" t="e">
        <f>IF(AND('Mapa final'!#REF!="Muy Baja",'Mapa final'!#REF!="Mayor"),CONCATENATE("R4C",'Mapa final'!#REF!),"")</f>
        <v>#REF!</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str">
        <f>IF(AND('Mapa final'!$AB$19="Muy Baja",'Mapa final'!$AD$19="Catastrófico"),CONCATENATE("R4C",'Mapa final'!$R$19),"")</f>
        <v/>
      </c>
      <c r="AI49" s="40" t="e">
        <f>IF(AND('Mapa final'!#REF!="Muy Baja",'Mapa final'!#REF!="Catastrófico"),CONCATENATE("R4C",'Mapa final'!#REF!),"")</f>
        <v>#REF!</v>
      </c>
      <c r="AJ49" s="40" t="e">
        <f>IF(AND('Mapa final'!#REF!="Muy Baja",'Mapa final'!#REF!="Catastrófico"),CONCATENATE("R4C",'Mapa final'!#REF!),"")</f>
        <v>#REF!</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17"/>
      <c r="C50" s="517"/>
      <c r="D50" s="518"/>
      <c r="E50" s="616"/>
      <c r="F50" s="615"/>
      <c r="G50" s="615"/>
      <c r="H50" s="615"/>
      <c r="I50" s="631"/>
      <c r="J50" s="60" t="str">
        <f>IF(AND('Mapa final'!$AB$20="Muy Baja",'Mapa final'!$AD$20="Leve"),CONCATENATE("R5C",'Mapa final'!$R$20),"")</f>
        <v/>
      </c>
      <c r="K50" s="61" t="str">
        <f>IF(AND('Mapa final'!$AB$21="Muy Baja",'Mapa final'!$AD$21="Leve"),CONCATENATE("R5C",'Mapa final'!$R$21),"")</f>
        <v/>
      </c>
      <c r="L50" s="61" t="str">
        <f>IF(AND('Mapa final'!$AB$22="Muy Baja",'Mapa final'!$AD$22="Leve"),CONCATENATE("R5C",'Mapa final'!$R$22),"")</f>
        <v/>
      </c>
      <c r="M50" s="61" t="str">
        <f>IF(AND('Mapa final'!$AB$23="Muy Baja",'Mapa final'!$AD$23="Leve"),CONCATENATE("R5C",'Mapa final'!$R$23),"")</f>
        <v/>
      </c>
      <c r="N50" s="61" t="str">
        <f>IF(AND('Mapa final'!$AB$24="Muy Baja",'Mapa final'!$AD$24="Leve"),CONCATENATE("R5C",'Mapa final'!$R$24),"")</f>
        <v/>
      </c>
      <c r="O50" s="62" t="str">
        <f>IF(AND('Mapa final'!$AB$25="Muy Baja",'Mapa final'!$AD$25="Leve"),CONCATENATE("R5C",'Mapa final'!$R$25),"")</f>
        <v/>
      </c>
      <c r="P50" s="60" t="str">
        <f>IF(AND('Mapa final'!$AB$20="Muy Baja",'Mapa final'!$AD$20="Menor"),CONCATENATE("R5C",'Mapa final'!$R$20),"")</f>
        <v/>
      </c>
      <c r="Q50" s="61" t="str">
        <f>IF(AND('Mapa final'!$AB$21="Muy Baja",'Mapa final'!$AD$21="Menor"),CONCATENATE("R5C",'Mapa final'!$R$21),"")</f>
        <v/>
      </c>
      <c r="R50" s="61" t="str">
        <f>IF(AND('Mapa final'!$AB$22="Muy Baja",'Mapa final'!$AD$22="Menor"),CONCATENATE("R5C",'Mapa final'!$R$22),"")</f>
        <v/>
      </c>
      <c r="S50" s="61" t="str">
        <f>IF(AND('Mapa final'!$AB$23="Muy Baja",'Mapa final'!$AD$23="Menor"),CONCATENATE("R5C",'Mapa final'!$R$23),"")</f>
        <v/>
      </c>
      <c r="T50" s="61" t="str">
        <f>IF(AND('Mapa final'!$AB$24="Muy Baja",'Mapa final'!$AD$24="Menor"),CONCATENATE("R5C",'Mapa final'!$R$24),"")</f>
        <v/>
      </c>
      <c r="U50" s="62" t="str">
        <f>IF(AND('Mapa final'!$AB$25="Muy Baja",'Mapa final'!$AD$25="Menor"),CONCATENATE("R5C",'Mapa final'!$R$25),"")</f>
        <v/>
      </c>
      <c r="V50" s="51" t="str">
        <f>IF(AND('Mapa final'!$AB$20="Muy Baja",'Mapa final'!$AD$20="Moderado"),CONCATENATE("R5C",'Mapa final'!$R$20),"")</f>
        <v/>
      </c>
      <c r="W50" s="52" t="str">
        <f>IF(AND('Mapa final'!$AB$21="Muy Baja",'Mapa final'!$AD$21="Moderado"),CONCATENATE("R5C",'Mapa final'!$R$21),"")</f>
        <v/>
      </c>
      <c r="X50" s="52" t="str">
        <f>IF(AND('Mapa final'!$AB$22="Muy Baja",'Mapa final'!$AD$22="Moderado"),CONCATENATE("R5C",'Mapa final'!$R$22),"")</f>
        <v/>
      </c>
      <c r="Y50" s="52" t="str">
        <f>IF(AND('Mapa final'!$AB$23="Muy Baja",'Mapa final'!$AD$23="Moderado"),CONCATENATE("R5C",'Mapa final'!$R$23),"")</f>
        <v/>
      </c>
      <c r="Z50" s="52" t="str">
        <f>IF(AND('Mapa final'!$AB$24="Muy Baja",'Mapa final'!$AD$24="Moderado"),CONCATENATE("R5C",'Mapa final'!$R$24),"")</f>
        <v/>
      </c>
      <c r="AA50" s="53" t="str">
        <f>IF(AND('Mapa final'!$AB$25="Muy Baja",'Mapa final'!$AD$25="Moderado"),CONCATENATE("R5C",'Mapa final'!$R$25),"")</f>
        <v/>
      </c>
      <c r="AB50" s="36" t="str">
        <f>IF(AND('Mapa final'!$AB$20="Muy Baja",'Mapa final'!$AD$20="Mayor"),CONCATENATE("R5C",'Mapa final'!$R$20),"")</f>
        <v/>
      </c>
      <c r="AC50" s="37" t="str">
        <f>IF(AND('Mapa final'!$AB$21="Muy Baja",'Mapa final'!$AD$21="Mayor"),CONCATENATE("R5C",'Mapa final'!$R$21),"")</f>
        <v/>
      </c>
      <c r="AD50" s="37" t="str">
        <f>IF(AND('Mapa final'!$AB$22="Muy Baja",'Mapa final'!$AD$22="Mayor"),CONCATENATE("R5C",'Mapa final'!$R$22),"")</f>
        <v/>
      </c>
      <c r="AE50" s="37" t="str">
        <f>IF(AND('Mapa final'!$AB$23="Muy Baja",'Mapa final'!$AD$23="Mayor"),CONCATENATE("R5C",'Mapa final'!$R$23),"")</f>
        <v/>
      </c>
      <c r="AF50" s="37" t="str">
        <f>IF(AND('Mapa final'!$AB$24="Muy Baja",'Mapa final'!$AD$24="Mayor"),CONCATENATE("R5C",'Mapa final'!$R$24),"")</f>
        <v/>
      </c>
      <c r="AG50" s="38" t="str">
        <f>IF(AND('Mapa final'!$AB$25="Muy Baja",'Mapa final'!$AD$25="Mayor"),CONCATENATE("R5C",'Mapa final'!$R$25),"")</f>
        <v/>
      </c>
      <c r="AH50" s="39" t="str">
        <f>IF(AND('Mapa final'!$AB$20="Muy Baja",'Mapa final'!$AD$20="Catastrófico"),CONCATENATE("R5C",'Mapa final'!$R$20),"")</f>
        <v/>
      </c>
      <c r="AI50" s="40" t="str">
        <f>IF(AND('Mapa final'!$AB$21="Muy Baja",'Mapa final'!$AD$21="Catastrófico"),CONCATENATE("R5C",'Mapa final'!$R$21),"")</f>
        <v/>
      </c>
      <c r="AJ50" s="40" t="str">
        <f>IF(AND('Mapa final'!$AB$22="Muy Baja",'Mapa final'!$AD$22="Catastrófico"),CONCATENATE("R5C",'Mapa final'!$R$22),"")</f>
        <v/>
      </c>
      <c r="AK50" s="40" t="str">
        <f>IF(AND('Mapa final'!$AB$23="Muy Baja",'Mapa final'!$AD$23="Catastrófico"),CONCATENATE("R5C",'Mapa final'!$R$23),"")</f>
        <v/>
      </c>
      <c r="AL50" s="40" t="str">
        <f>IF(AND('Mapa final'!$AB$24="Muy Baja",'Mapa final'!$AD$24="Catastrófico"),CONCATENATE("R5C",'Mapa final'!$R$24),"")</f>
        <v/>
      </c>
      <c r="AM50" s="41" t="str">
        <f>IF(AND('Mapa final'!$AB$25="Muy Baja",'Mapa final'!$AD$25="Catastrófico"),CONCATENATE("R5C",'Mapa final'!$R$25),"")</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17"/>
      <c r="C51" s="517"/>
      <c r="D51" s="518"/>
      <c r="E51" s="616"/>
      <c r="F51" s="615"/>
      <c r="G51" s="615"/>
      <c r="H51" s="615"/>
      <c r="I51" s="631"/>
      <c r="J51" s="60" t="str">
        <f>IF(AND('Mapa final'!$AB$26="Muy Baja",'Mapa final'!$AD$26="Leve"),CONCATENATE("R6C",'Mapa final'!$R$26),"")</f>
        <v/>
      </c>
      <c r="K51" s="61" t="str">
        <f>IF(AND('Mapa final'!$AB$27="Muy Baja",'Mapa final'!$AD$27="Leve"),CONCATENATE("R6C",'Mapa final'!$R$27),"")</f>
        <v/>
      </c>
      <c r="L51" s="61" t="str">
        <f>IF(AND('Mapa final'!$AB$28="Muy Baja",'Mapa final'!$AD$28="Leve"),CONCATENATE("R6C",'Mapa final'!$R$28),"")</f>
        <v/>
      </c>
      <c r="M51" s="61" t="str">
        <f>IF(AND('Mapa final'!$AB$29="Muy Baja",'Mapa final'!$AD$29="Leve"),CONCATENATE("R6C",'Mapa final'!$R$29),"")</f>
        <v/>
      </c>
      <c r="N51" s="61" t="str">
        <f>IF(AND('Mapa final'!$AB$30="Muy Baja",'Mapa final'!$AD$30="Leve"),CONCATENATE("R6C",'Mapa final'!$R$30),"")</f>
        <v/>
      </c>
      <c r="O51" s="62" t="str">
        <f>IF(AND('Mapa final'!$AB$31="Muy Baja",'Mapa final'!$AD$31="Leve"),CONCATENATE("R6C",'Mapa final'!$R$31),"")</f>
        <v/>
      </c>
      <c r="P51" s="60" t="str">
        <f>IF(AND('Mapa final'!$AB$26="Muy Baja",'Mapa final'!$AD$26="Menor"),CONCATENATE("R6C",'Mapa final'!$R$26),"")</f>
        <v/>
      </c>
      <c r="Q51" s="61" t="str">
        <f>IF(AND('Mapa final'!$AB$27="Muy Baja",'Mapa final'!$AD$27="Menor"),CONCATENATE("R6C",'Mapa final'!$R$27),"")</f>
        <v/>
      </c>
      <c r="R51" s="61" t="str">
        <f>IF(AND('Mapa final'!$AB$28="Muy Baja",'Mapa final'!$AD$28="Menor"),CONCATENATE("R6C",'Mapa final'!$R$28),"")</f>
        <v/>
      </c>
      <c r="S51" s="61" t="str">
        <f>IF(AND('Mapa final'!$AB$29="Muy Baja",'Mapa final'!$AD$29="Menor"),CONCATENATE("R6C",'Mapa final'!$R$29),"")</f>
        <v/>
      </c>
      <c r="T51" s="61" t="str">
        <f>IF(AND('Mapa final'!$AB$30="Muy Baja",'Mapa final'!$AD$30="Menor"),CONCATENATE("R6C",'Mapa final'!$R$30),"")</f>
        <v/>
      </c>
      <c r="U51" s="62" t="str">
        <f>IF(AND('Mapa final'!$AB$31="Muy Baja",'Mapa final'!$AD$31="Menor"),CONCATENATE("R6C",'Mapa final'!$R$31),"")</f>
        <v/>
      </c>
      <c r="V51" s="51" t="str">
        <f>IF(AND('Mapa final'!$AB$26="Muy Baja",'Mapa final'!$AD$26="Moderado"),CONCATENATE("R6C",'Mapa final'!$R$26),"")</f>
        <v/>
      </c>
      <c r="W51" s="52" t="str">
        <f>IF(AND('Mapa final'!$AB$27="Muy Baja",'Mapa final'!$AD$27="Moderado"),CONCATENATE("R6C",'Mapa final'!$R$27),"")</f>
        <v/>
      </c>
      <c r="X51" s="52" t="str">
        <f>IF(AND('Mapa final'!$AB$28="Muy Baja",'Mapa final'!$AD$28="Moderado"),CONCATENATE("R6C",'Mapa final'!$R$28),"")</f>
        <v/>
      </c>
      <c r="Y51" s="52" t="str">
        <f>IF(AND('Mapa final'!$AB$29="Muy Baja",'Mapa final'!$AD$29="Moderado"),CONCATENATE("R6C",'Mapa final'!$R$29),"")</f>
        <v/>
      </c>
      <c r="Z51" s="52" t="str">
        <f>IF(AND('Mapa final'!$AB$30="Muy Baja",'Mapa final'!$AD$30="Moderado"),CONCATENATE("R6C",'Mapa final'!$R$30),"")</f>
        <v/>
      </c>
      <c r="AA51" s="53" t="str">
        <f>IF(AND('Mapa final'!$AB$31="Muy Baja",'Mapa final'!$AD$31="Moderado"),CONCATENATE("R6C",'Mapa final'!$R$31),"")</f>
        <v/>
      </c>
      <c r="AB51" s="36" t="str">
        <f>IF(AND('Mapa final'!$AB$26="Muy Baja",'Mapa final'!$AD$26="Mayor"),CONCATENATE("R6C",'Mapa final'!$R$26),"")</f>
        <v/>
      </c>
      <c r="AC51" s="37" t="str">
        <f>IF(AND('Mapa final'!$AB$27="Muy Baja",'Mapa final'!$AD$27="Mayor"),CONCATENATE("R6C",'Mapa final'!$R$27),"")</f>
        <v/>
      </c>
      <c r="AD51" s="37" t="str">
        <f>IF(AND('Mapa final'!$AB$28="Muy Baja",'Mapa final'!$AD$28="Mayor"),CONCATENATE("R6C",'Mapa final'!$R$28),"")</f>
        <v/>
      </c>
      <c r="AE51" s="37" t="str">
        <f>IF(AND('Mapa final'!$AB$29="Muy Baja",'Mapa final'!$AD$29="Mayor"),CONCATENATE("R6C",'Mapa final'!$R$29),"")</f>
        <v/>
      </c>
      <c r="AF51" s="37" t="str">
        <f>IF(AND('Mapa final'!$AB$30="Muy Baja",'Mapa final'!$AD$30="Mayor"),CONCATENATE("R6C",'Mapa final'!$R$30),"")</f>
        <v/>
      </c>
      <c r="AG51" s="38" t="str">
        <f>IF(AND('Mapa final'!$AB$31="Muy Baja",'Mapa final'!$AD$31="Mayor"),CONCATENATE("R6C",'Mapa final'!$R$31),"")</f>
        <v/>
      </c>
      <c r="AH51" s="39" t="str">
        <f>IF(AND('Mapa final'!$AB$26="Muy Baja",'Mapa final'!$AD$26="Catastrófico"),CONCATENATE("R6C",'Mapa final'!$R$26),"")</f>
        <v/>
      </c>
      <c r="AI51" s="40" t="str">
        <f>IF(AND('Mapa final'!$AB$27="Muy Baja",'Mapa final'!$AD$27="Catastrófico"),CONCATENATE("R6C",'Mapa final'!$R$27),"")</f>
        <v/>
      </c>
      <c r="AJ51" s="40" t="str">
        <f>IF(AND('Mapa final'!$AB$28="Muy Baja",'Mapa final'!$AD$28="Catastrófico"),CONCATENATE("R6C",'Mapa final'!$R$28),"")</f>
        <v/>
      </c>
      <c r="AK51" s="40" t="str">
        <f>IF(AND('Mapa final'!$AB$29="Muy Baja",'Mapa final'!$AD$29="Catastrófico"),CONCATENATE("R6C",'Mapa final'!$R$29),"")</f>
        <v/>
      </c>
      <c r="AL51" s="40" t="str">
        <f>IF(AND('Mapa final'!$AB$30="Muy Baja",'Mapa final'!$AD$30="Catastrófico"),CONCATENATE("R6C",'Mapa final'!$R$30),"")</f>
        <v/>
      </c>
      <c r="AM51" s="41" t="str">
        <f>IF(AND('Mapa final'!$AB$31="Muy Baja",'Mapa final'!$AD$31="Catastrófico"),CONCATENATE("R6C",'Mapa final'!$R$31),"")</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17"/>
      <c r="C52" s="517"/>
      <c r="D52" s="518"/>
      <c r="E52" s="616"/>
      <c r="F52" s="615"/>
      <c r="G52" s="615"/>
      <c r="H52" s="615"/>
      <c r="I52" s="631"/>
      <c r="J52" s="60" t="str">
        <f>IF(AND('Mapa final'!$AB$32="Muy Baja",'Mapa final'!$AD$32="Leve"),CONCATENATE("R7C",'Mapa final'!$R$32),"")</f>
        <v/>
      </c>
      <c r="K52" s="61" t="str">
        <f>IF(AND('Mapa final'!$AB$33="Muy Baja",'Mapa final'!$AD$33="Leve"),CONCATENATE("R7C",'Mapa final'!$R$33),"")</f>
        <v/>
      </c>
      <c r="L52" s="61" t="str">
        <f>IF(AND('Mapa final'!$AB$34="Muy Baja",'Mapa final'!$AD$34="Leve"),CONCATENATE("R7C",'Mapa final'!$R$34),"")</f>
        <v/>
      </c>
      <c r="M52" s="61" t="str">
        <f>IF(AND('Mapa final'!$AB$35="Muy Baja",'Mapa final'!$AD$35="Leve"),CONCATENATE("R7C",'Mapa final'!$R$35),"")</f>
        <v/>
      </c>
      <c r="N52" s="61" t="str">
        <f>IF(AND('Mapa final'!$AB$36="Muy Baja",'Mapa final'!$AD$36="Leve"),CONCATENATE("R7C",'Mapa final'!$R$36),"")</f>
        <v/>
      </c>
      <c r="O52" s="62" t="str">
        <f>IF(AND('Mapa final'!$AB$37="Muy Baja",'Mapa final'!$AD$37="Leve"),CONCATENATE("R7C",'Mapa final'!$R$37),"")</f>
        <v/>
      </c>
      <c r="P52" s="60" t="str">
        <f>IF(AND('Mapa final'!$AB$32="Muy Baja",'Mapa final'!$AD$32="Menor"),CONCATENATE("R7C",'Mapa final'!$R$32),"")</f>
        <v/>
      </c>
      <c r="Q52" s="61" t="str">
        <f>IF(AND('Mapa final'!$AB$33="Muy Baja",'Mapa final'!$AD$33="Menor"),CONCATENATE("R7C",'Mapa final'!$R$33),"")</f>
        <v/>
      </c>
      <c r="R52" s="61" t="str">
        <f>IF(AND('Mapa final'!$AB$34="Muy Baja",'Mapa final'!$AD$34="Menor"),CONCATENATE("R7C",'Mapa final'!$R$34),"")</f>
        <v/>
      </c>
      <c r="S52" s="61" t="str">
        <f>IF(AND('Mapa final'!$AB$35="Muy Baja",'Mapa final'!$AD$35="Menor"),CONCATENATE("R7C",'Mapa final'!$R$35),"")</f>
        <v/>
      </c>
      <c r="T52" s="61" t="str">
        <f>IF(AND('Mapa final'!$AB$36="Muy Baja",'Mapa final'!$AD$36="Menor"),CONCATENATE("R7C",'Mapa final'!$R$36),"")</f>
        <v/>
      </c>
      <c r="U52" s="62" t="str">
        <f>IF(AND('Mapa final'!$AB$37="Muy Baja",'Mapa final'!$AD$37="Menor"),CONCATENATE("R7C",'Mapa final'!$R$37),"")</f>
        <v/>
      </c>
      <c r="V52" s="51" t="str">
        <f>IF(AND('Mapa final'!$AB$32="Muy Baja",'Mapa final'!$AD$32="Moderado"),CONCATENATE("R7C",'Mapa final'!$R$32),"")</f>
        <v/>
      </c>
      <c r="W52" s="52" t="str">
        <f>IF(AND('Mapa final'!$AB$33="Muy Baja",'Mapa final'!$AD$33="Moderado"),CONCATENATE("R7C",'Mapa final'!$R$33),"")</f>
        <v/>
      </c>
      <c r="X52" s="52" t="str">
        <f>IF(AND('Mapa final'!$AB$34="Muy Baja",'Mapa final'!$AD$34="Moderado"),CONCATENATE("R7C",'Mapa final'!$R$34),"")</f>
        <v/>
      </c>
      <c r="Y52" s="52" t="str">
        <f>IF(AND('Mapa final'!$AB$35="Muy Baja",'Mapa final'!$AD$35="Moderado"),CONCATENATE("R7C",'Mapa final'!$R$35),"")</f>
        <v/>
      </c>
      <c r="Z52" s="52" t="str">
        <f>IF(AND('Mapa final'!$AB$36="Muy Baja",'Mapa final'!$AD$36="Moderado"),CONCATENATE("R7C",'Mapa final'!$R$36),"")</f>
        <v/>
      </c>
      <c r="AA52" s="53" t="str">
        <f>IF(AND('Mapa final'!$AB$37="Muy Baja",'Mapa final'!$AD$37="Moderado"),CONCATENATE("R7C",'Mapa final'!$R$37),"")</f>
        <v/>
      </c>
      <c r="AB52" s="36" t="str">
        <f>IF(AND('Mapa final'!$AB$32="Muy Baja",'Mapa final'!$AD$32="Mayor"),CONCATENATE("R7C",'Mapa final'!$R$32),"")</f>
        <v/>
      </c>
      <c r="AC52" s="37" t="str">
        <f>IF(AND('Mapa final'!$AB$33="Muy Baja",'Mapa final'!$AD$33="Mayor"),CONCATENATE("R7C",'Mapa final'!$R$33),"")</f>
        <v/>
      </c>
      <c r="AD52" s="37" t="str">
        <f>IF(AND('Mapa final'!$AB$34="Muy Baja",'Mapa final'!$AD$34="Mayor"),CONCATENATE("R7C",'Mapa final'!$R$34),"")</f>
        <v/>
      </c>
      <c r="AE52" s="37" t="str">
        <f>IF(AND('Mapa final'!$AB$35="Muy Baja",'Mapa final'!$AD$35="Mayor"),CONCATENATE("R7C",'Mapa final'!$R$35),"")</f>
        <v/>
      </c>
      <c r="AF52" s="37" t="str">
        <f>IF(AND('Mapa final'!$AB$36="Muy Baja",'Mapa final'!$AD$36="Mayor"),CONCATENATE("R7C",'Mapa final'!$R$36),"")</f>
        <v/>
      </c>
      <c r="AG52" s="38" t="str">
        <f>IF(AND('Mapa final'!$AB$37="Muy Baja",'Mapa final'!$AD$37="Mayor"),CONCATENATE("R7C",'Mapa final'!$R$37),"")</f>
        <v/>
      </c>
      <c r="AH52" s="39" t="str">
        <f>IF(AND('Mapa final'!$AB$32="Muy Baja",'Mapa final'!$AD$32="Catastrófico"),CONCATENATE("R7C",'Mapa final'!$R$32),"")</f>
        <v/>
      </c>
      <c r="AI52" s="40" t="str">
        <f>IF(AND('Mapa final'!$AB$33="Muy Baja",'Mapa final'!$AD$33="Catastrófico"),CONCATENATE("R7C",'Mapa final'!$R$33),"")</f>
        <v/>
      </c>
      <c r="AJ52" s="40" t="str">
        <f>IF(AND('Mapa final'!$AB$34="Muy Baja",'Mapa final'!$AD$34="Catastrófico"),CONCATENATE("R7C",'Mapa final'!$R$34),"")</f>
        <v/>
      </c>
      <c r="AK52" s="40" t="str">
        <f>IF(AND('Mapa final'!$AB$35="Muy Baja",'Mapa final'!$AD$35="Catastrófico"),CONCATENATE("R7C",'Mapa final'!$R$35),"")</f>
        <v/>
      </c>
      <c r="AL52" s="40" t="str">
        <f>IF(AND('Mapa final'!$AB$36="Muy Baja",'Mapa final'!$AD$36="Catastrófico"),CONCATENATE("R7C",'Mapa final'!$R$36),"")</f>
        <v/>
      </c>
      <c r="AM52" s="41" t="str">
        <f>IF(AND('Mapa final'!$AB$37="Muy Baja",'Mapa final'!$AD$37="Catastrófico"),CONCATENATE("R7C",'Mapa final'!$R$37),"")</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17"/>
      <c r="C53" s="517"/>
      <c r="D53" s="518"/>
      <c r="E53" s="616"/>
      <c r="F53" s="615"/>
      <c r="G53" s="615"/>
      <c r="H53" s="615"/>
      <c r="I53" s="631"/>
      <c r="J53" s="60" t="str">
        <f>IF(AND('Mapa final'!$AB$38="Muy Baja",'Mapa final'!$AD$38="Leve"),CONCATENATE("R8C",'Mapa final'!$R$38),"")</f>
        <v/>
      </c>
      <c r="K53" s="61" t="str">
        <f>IF(AND('Mapa final'!$AB$39="Muy Baja",'Mapa final'!$AD$39="Leve"),CONCATENATE("R8C",'Mapa final'!$R$39),"")</f>
        <v/>
      </c>
      <c r="L53" s="61" t="str">
        <f>IF(AND('Mapa final'!$AB$40="Muy Baja",'Mapa final'!$AD$40="Leve"),CONCATENATE("R8C",'Mapa final'!$R$40),"")</f>
        <v/>
      </c>
      <c r="M53" s="61" t="str">
        <f>IF(AND('Mapa final'!$AB$41="Muy Baja",'Mapa final'!$AD$41="Leve"),CONCATENATE("R8C",'Mapa final'!$R$41),"")</f>
        <v/>
      </c>
      <c r="N53" s="61" t="str">
        <f>IF(AND('Mapa final'!$AB$42="Muy Baja",'Mapa final'!$AD$42="Leve"),CONCATENATE("R8C",'Mapa final'!$R$42),"")</f>
        <v/>
      </c>
      <c r="O53" s="62" t="str">
        <f>IF(AND('Mapa final'!$AB$43="Muy Baja",'Mapa final'!$AD$43="Leve"),CONCATENATE("R8C",'Mapa final'!$R$43),"")</f>
        <v/>
      </c>
      <c r="P53" s="60" t="str">
        <f>IF(AND('Mapa final'!$AB$38="Muy Baja",'Mapa final'!$AD$38="Menor"),CONCATENATE("R8C",'Mapa final'!$R$38),"")</f>
        <v/>
      </c>
      <c r="Q53" s="61" t="str">
        <f>IF(AND('Mapa final'!$AB$39="Muy Baja",'Mapa final'!$AD$39="Menor"),CONCATENATE("R8C",'Mapa final'!$R$39),"")</f>
        <v/>
      </c>
      <c r="R53" s="61" t="str">
        <f>IF(AND('Mapa final'!$AB$40="Muy Baja",'Mapa final'!$AD$40="Menor"),CONCATENATE("R8C",'Mapa final'!$R$40),"")</f>
        <v/>
      </c>
      <c r="S53" s="61" t="str">
        <f>IF(AND('Mapa final'!$AB$41="Muy Baja",'Mapa final'!$AD$41="Menor"),CONCATENATE("R8C",'Mapa final'!$R$41),"")</f>
        <v/>
      </c>
      <c r="T53" s="61" t="str">
        <f>IF(AND('Mapa final'!$AB$42="Muy Baja",'Mapa final'!$AD$42="Menor"),CONCATENATE("R8C",'Mapa final'!$R$42),"")</f>
        <v/>
      </c>
      <c r="U53" s="62" t="str">
        <f>IF(AND('Mapa final'!$AB$43="Muy Baja",'Mapa final'!$AD$43="Menor"),CONCATENATE("R8C",'Mapa final'!$R$43),"")</f>
        <v/>
      </c>
      <c r="V53" s="51" t="str">
        <f>IF(AND('Mapa final'!$AB$38="Muy Baja",'Mapa final'!$AD$38="Moderado"),CONCATENATE("R8C",'Mapa final'!$R$38),"")</f>
        <v/>
      </c>
      <c r="W53" s="52" t="str">
        <f>IF(AND('Mapa final'!$AB$39="Muy Baja",'Mapa final'!$AD$39="Moderado"),CONCATENATE("R8C",'Mapa final'!$R$39),"")</f>
        <v/>
      </c>
      <c r="X53" s="52" t="str">
        <f>IF(AND('Mapa final'!$AB$40="Muy Baja",'Mapa final'!$AD$40="Moderado"),CONCATENATE("R8C",'Mapa final'!$R$40),"")</f>
        <v/>
      </c>
      <c r="Y53" s="52" t="str">
        <f>IF(AND('Mapa final'!$AB$41="Muy Baja",'Mapa final'!$AD$41="Moderado"),CONCATENATE("R8C",'Mapa final'!$R$41),"")</f>
        <v/>
      </c>
      <c r="Z53" s="52" t="str">
        <f>IF(AND('Mapa final'!$AB$42="Muy Baja",'Mapa final'!$AD$42="Moderado"),CONCATENATE("R8C",'Mapa final'!$R$42),"")</f>
        <v/>
      </c>
      <c r="AA53" s="53" t="str">
        <f>IF(AND('Mapa final'!$AB$43="Muy Baja",'Mapa final'!$AD$43="Moderado"),CONCATENATE("R8C",'Mapa final'!$R$43),"")</f>
        <v/>
      </c>
      <c r="AB53" s="36" t="str">
        <f>IF(AND('Mapa final'!$AB$38="Muy Baja",'Mapa final'!$AD$38="Mayor"),CONCATENATE("R8C",'Mapa final'!$R$38),"")</f>
        <v/>
      </c>
      <c r="AC53" s="37" t="str">
        <f>IF(AND('Mapa final'!$AB$39="Muy Baja",'Mapa final'!$AD$39="Mayor"),CONCATENATE("R8C",'Mapa final'!$R$39),"")</f>
        <v/>
      </c>
      <c r="AD53" s="37" t="str">
        <f>IF(AND('Mapa final'!$AB$40="Muy Baja",'Mapa final'!$AD$40="Mayor"),CONCATENATE("R8C",'Mapa final'!$R$40),"")</f>
        <v/>
      </c>
      <c r="AE53" s="37" t="str">
        <f>IF(AND('Mapa final'!$AB$41="Muy Baja",'Mapa final'!$AD$41="Mayor"),CONCATENATE("R8C",'Mapa final'!$R$41),"")</f>
        <v/>
      </c>
      <c r="AF53" s="37" t="str">
        <f>IF(AND('Mapa final'!$AB$42="Muy Baja",'Mapa final'!$AD$42="Mayor"),CONCATENATE("R8C",'Mapa final'!$R$42),"")</f>
        <v/>
      </c>
      <c r="AG53" s="38" t="str">
        <f>IF(AND('Mapa final'!$AB$43="Muy Baja",'Mapa final'!$AD$43="Mayor"),CONCATENATE("R8C",'Mapa final'!$R$43),"")</f>
        <v/>
      </c>
      <c r="AH53" s="39" t="str">
        <f>IF(AND('Mapa final'!$AB$38="Muy Baja",'Mapa final'!$AD$38="Catastrófico"),CONCATENATE("R8C",'Mapa final'!$R$38),"")</f>
        <v/>
      </c>
      <c r="AI53" s="40" t="str">
        <f>IF(AND('Mapa final'!$AB$39="Muy Baja",'Mapa final'!$AD$39="Catastrófico"),CONCATENATE("R8C",'Mapa final'!$R$39),"")</f>
        <v/>
      </c>
      <c r="AJ53" s="40" t="str">
        <f>IF(AND('Mapa final'!$AB$40="Muy Baja",'Mapa final'!$AD$40="Catastrófico"),CONCATENATE("R8C",'Mapa final'!$R$40),"")</f>
        <v/>
      </c>
      <c r="AK53" s="40" t="str">
        <f>IF(AND('Mapa final'!$AB$41="Muy Baja",'Mapa final'!$AD$41="Catastrófico"),CONCATENATE("R8C",'Mapa final'!$R$41),"")</f>
        <v/>
      </c>
      <c r="AL53" s="40" t="str">
        <f>IF(AND('Mapa final'!$AB$42="Muy Baja",'Mapa final'!$AD$42="Catastrófico"),CONCATENATE("R8C",'Mapa final'!$R$42),"")</f>
        <v/>
      </c>
      <c r="AM53" s="41" t="str">
        <f>IF(AND('Mapa final'!$AB$43="Muy Baja",'Mapa final'!$AD$43="Catastrófico"),CONCATENATE("R8C",'Mapa final'!$R$43),"")</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17"/>
      <c r="C54" s="517"/>
      <c r="D54" s="518"/>
      <c r="E54" s="616"/>
      <c r="F54" s="615"/>
      <c r="G54" s="615"/>
      <c r="H54" s="615"/>
      <c r="I54" s="631"/>
      <c r="J54" s="60" t="str">
        <f>IF(AND('Mapa final'!$AB$44="Muy Baja",'Mapa final'!$AD$44="Leve"),CONCATENATE("R9C",'Mapa final'!$R$44),"")</f>
        <v/>
      </c>
      <c r="K54" s="61" t="str">
        <f>IF(AND('Mapa final'!$AB$45="Muy Baja",'Mapa final'!$AD$45="Leve"),CONCATENATE("R9C",'Mapa final'!$R$45),"")</f>
        <v/>
      </c>
      <c r="L54" s="61" t="str">
        <f>IF(AND('Mapa final'!$AB$46="Muy Baja",'Mapa final'!$AD$46="Leve"),CONCATENATE("R9C",'Mapa final'!$R$46),"")</f>
        <v/>
      </c>
      <c r="M54" s="61" t="str">
        <f>IF(AND('Mapa final'!$AB$47="Muy Baja",'Mapa final'!$AD$47="Leve"),CONCATENATE("R9C",'Mapa final'!$R$47),"")</f>
        <v/>
      </c>
      <c r="N54" s="61" t="str">
        <f>IF(AND('Mapa final'!$AB$48="Muy Baja",'Mapa final'!$AD$48="Leve"),CONCATENATE("R9C",'Mapa final'!$R$48),"")</f>
        <v/>
      </c>
      <c r="O54" s="62" t="str">
        <f>IF(AND('Mapa final'!$AB$49="Muy Baja",'Mapa final'!$AD$49="Leve"),CONCATENATE("R9C",'Mapa final'!$R$49),"")</f>
        <v/>
      </c>
      <c r="P54" s="60" t="str">
        <f>IF(AND('Mapa final'!$AB$44="Muy Baja",'Mapa final'!$AD$44="Menor"),CONCATENATE("R9C",'Mapa final'!$R$44),"")</f>
        <v/>
      </c>
      <c r="Q54" s="61" t="str">
        <f>IF(AND('Mapa final'!$AB$45="Muy Baja",'Mapa final'!$AD$45="Menor"),CONCATENATE("R9C",'Mapa final'!$R$45),"")</f>
        <v/>
      </c>
      <c r="R54" s="61" t="str">
        <f>IF(AND('Mapa final'!$AB$46="Muy Baja",'Mapa final'!$AD$46="Menor"),CONCATENATE("R9C",'Mapa final'!$R$46),"")</f>
        <v/>
      </c>
      <c r="S54" s="61" t="str">
        <f>IF(AND('Mapa final'!$AB$47="Muy Baja",'Mapa final'!$AD$47="Menor"),CONCATENATE("R9C",'Mapa final'!$R$47),"")</f>
        <v/>
      </c>
      <c r="T54" s="61" t="str">
        <f>IF(AND('Mapa final'!$AB$48="Muy Baja",'Mapa final'!$AD$48="Menor"),CONCATENATE("R9C",'Mapa final'!$R$48),"")</f>
        <v/>
      </c>
      <c r="U54" s="62" t="str">
        <f>IF(AND('Mapa final'!$AB$49="Muy Baja",'Mapa final'!$AD$49="Menor"),CONCATENATE("R9C",'Mapa final'!$R$49),"")</f>
        <v/>
      </c>
      <c r="V54" s="51" t="str">
        <f>IF(AND('Mapa final'!$AB$44="Muy Baja",'Mapa final'!$AD$44="Moderado"),CONCATENATE("R9C",'Mapa final'!$R$44),"")</f>
        <v/>
      </c>
      <c r="W54" s="52" t="str">
        <f>IF(AND('Mapa final'!$AB$45="Muy Baja",'Mapa final'!$AD$45="Moderado"),CONCATENATE("R9C",'Mapa final'!$R$45),"")</f>
        <v/>
      </c>
      <c r="X54" s="52" t="str">
        <f>IF(AND('Mapa final'!$AB$46="Muy Baja",'Mapa final'!$AD$46="Moderado"),CONCATENATE("R9C",'Mapa final'!$R$46),"")</f>
        <v/>
      </c>
      <c r="Y54" s="52" t="str">
        <f>IF(AND('Mapa final'!$AB$47="Muy Baja",'Mapa final'!$AD$47="Moderado"),CONCATENATE("R9C",'Mapa final'!$R$47),"")</f>
        <v/>
      </c>
      <c r="Z54" s="52" t="str">
        <f>IF(AND('Mapa final'!$AB$48="Muy Baja",'Mapa final'!$AD$48="Moderado"),CONCATENATE("R9C",'Mapa final'!$R$48),"")</f>
        <v/>
      </c>
      <c r="AA54" s="53" t="str">
        <f>IF(AND('Mapa final'!$AB$49="Muy Baja",'Mapa final'!$AD$49="Moderado"),CONCATENATE("R9C",'Mapa final'!$R$49),"")</f>
        <v/>
      </c>
      <c r="AB54" s="36" t="str">
        <f>IF(AND('Mapa final'!$AB$44="Muy Baja",'Mapa final'!$AD$44="Mayor"),CONCATENATE("R9C",'Mapa final'!$R$44),"")</f>
        <v/>
      </c>
      <c r="AC54" s="37" t="str">
        <f>IF(AND('Mapa final'!$AB$45="Muy Baja",'Mapa final'!$AD$45="Mayor"),CONCATENATE("R9C",'Mapa final'!$R$45),"")</f>
        <v/>
      </c>
      <c r="AD54" s="37" t="str">
        <f>IF(AND('Mapa final'!$AB$46="Muy Baja",'Mapa final'!$AD$46="Mayor"),CONCATENATE("R9C",'Mapa final'!$R$46),"")</f>
        <v/>
      </c>
      <c r="AE54" s="37" t="str">
        <f>IF(AND('Mapa final'!$AB$47="Muy Baja",'Mapa final'!$AD$47="Mayor"),CONCATENATE("R9C",'Mapa final'!$R$47),"")</f>
        <v/>
      </c>
      <c r="AF54" s="37" t="str">
        <f>IF(AND('Mapa final'!$AB$48="Muy Baja",'Mapa final'!$AD$48="Mayor"),CONCATENATE("R9C",'Mapa final'!$R$48),"")</f>
        <v/>
      </c>
      <c r="AG54" s="38" t="str">
        <f>IF(AND('Mapa final'!$AB$49="Muy Baja",'Mapa final'!$AD$49="Mayor"),CONCATENATE("R9C",'Mapa final'!$R$49),"")</f>
        <v/>
      </c>
      <c r="AH54" s="39" t="str">
        <f>IF(AND('Mapa final'!$AB$44="Muy Baja",'Mapa final'!$AD$44="Catastrófico"),CONCATENATE("R9C",'Mapa final'!$R$44),"")</f>
        <v/>
      </c>
      <c r="AI54" s="40" t="str">
        <f>IF(AND('Mapa final'!$AB$45="Muy Baja",'Mapa final'!$AD$45="Catastrófico"),CONCATENATE("R9C",'Mapa final'!$R$45),"")</f>
        <v/>
      </c>
      <c r="AJ54" s="40" t="str">
        <f>IF(AND('Mapa final'!$AB$46="Muy Baja",'Mapa final'!$AD$46="Catastrófico"),CONCATENATE("R9C",'Mapa final'!$R$46),"")</f>
        <v/>
      </c>
      <c r="AK54" s="40" t="str">
        <f>IF(AND('Mapa final'!$AB$47="Muy Baja",'Mapa final'!$AD$47="Catastrófico"),CONCATENATE("R9C",'Mapa final'!$R$47),"")</f>
        <v/>
      </c>
      <c r="AL54" s="40" t="str">
        <f>IF(AND('Mapa final'!$AB$48="Muy Baja",'Mapa final'!$AD$48="Catastrófico"),CONCATENATE("R9C",'Mapa final'!$R$48),"")</f>
        <v/>
      </c>
      <c r="AM54" s="41" t="str">
        <f>IF(AND('Mapa final'!$AB$49="Muy Baja",'Mapa final'!$AD$49="Catastrófico"),CONCATENATE("R9C",'Mapa final'!$R$49),"")</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17"/>
      <c r="C55" s="517"/>
      <c r="D55" s="518"/>
      <c r="E55" s="617"/>
      <c r="F55" s="618"/>
      <c r="G55" s="618"/>
      <c r="H55" s="618"/>
      <c r="I55" s="632"/>
      <c r="J55" s="63" t="str">
        <f>IF(AND('Mapa final'!$AB$50="Muy Baja",'Mapa final'!$AD$50="Leve"),CONCATENATE("R10C",'Mapa final'!$R$50),"")</f>
        <v/>
      </c>
      <c r="K55" s="64" t="str">
        <f>IF(AND('Mapa final'!$AB$51="Muy Baja",'Mapa final'!$AD$51="Leve"),CONCATENATE("R10C",'Mapa final'!$R$51),"")</f>
        <v/>
      </c>
      <c r="L55" s="64" t="str">
        <f>IF(AND('Mapa final'!$AB$52="Muy Baja",'Mapa final'!$AD$52="Leve"),CONCATENATE("R10C",'Mapa final'!$R$52),"")</f>
        <v/>
      </c>
      <c r="M55" s="64" t="str">
        <f>IF(AND('Mapa final'!$AB$53="Muy Baja",'Mapa final'!$AD$53="Leve"),CONCATENATE("R10C",'Mapa final'!$R$53),"")</f>
        <v/>
      </c>
      <c r="N55" s="64" t="str">
        <f>IF(AND('Mapa final'!$AB$54="Muy Baja",'Mapa final'!$AD$54="Leve"),CONCATENATE("R10C",'Mapa final'!$R$54),"")</f>
        <v/>
      </c>
      <c r="O55" s="65" t="str">
        <f>IF(AND('Mapa final'!$AB$55="Muy Baja",'Mapa final'!$AD$55="Leve"),CONCATENATE("R10C",'Mapa final'!$R$55),"")</f>
        <v/>
      </c>
      <c r="P55" s="63" t="str">
        <f>IF(AND('Mapa final'!$AB$50="Muy Baja",'Mapa final'!$AD$50="Menor"),CONCATENATE("R10C",'Mapa final'!$R$50),"")</f>
        <v/>
      </c>
      <c r="Q55" s="64" t="str">
        <f>IF(AND('Mapa final'!$AB$51="Muy Baja",'Mapa final'!$AD$51="Menor"),CONCATENATE("R10C",'Mapa final'!$R$51),"")</f>
        <v/>
      </c>
      <c r="R55" s="64" t="str">
        <f>IF(AND('Mapa final'!$AB$52="Muy Baja",'Mapa final'!$AD$52="Menor"),CONCATENATE("R10C",'Mapa final'!$R$52),"")</f>
        <v/>
      </c>
      <c r="S55" s="64" t="str">
        <f>IF(AND('Mapa final'!$AB$53="Muy Baja",'Mapa final'!$AD$53="Menor"),CONCATENATE("R10C",'Mapa final'!$R$53),"")</f>
        <v/>
      </c>
      <c r="T55" s="64" t="str">
        <f>IF(AND('Mapa final'!$AB$54="Muy Baja",'Mapa final'!$AD$54="Menor"),CONCATENATE("R10C",'Mapa final'!$R$54),"")</f>
        <v/>
      </c>
      <c r="U55" s="65" t="str">
        <f>IF(AND('Mapa final'!$AB$55="Muy Baja",'Mapa final'!$AD$55="Menor"),CONCATENATE("R10C",'Mapa final'!$R$55),"")</f>
        <v/>
      </c>
      <c r="V55" s="54" t="str">
        <f>IF(AND('Mapa final'!$AB$50="Muy Baja",'Mapa final'!$AD$50="Moderado"),CONCATENATE("R10C",'Mapa final'!$R$50),"")</f>
        <v/>
      </c>
      <c r="W55" s="55" t="str">
        <f>IF(AND('Mapa final'!$AB$51="Muy Baja",'Mapa final'!$AD$51="Moderado"),CONCATENATE("R10C",'Mapa final'!$R$51),"")</f>
        <v/>
      </c>
      <c r="X55" s="55" t="str">
        <f>IF(AND('Mapa final'!$AB$52="Muy Baja",'Mapa final'!$AD$52="Moderado"),CONCATENATE("R10C",'Mapa final'!$R$52),"")</f>
        <v/>
      </c>
      <c r="Y55" s="55" t="str">
        <f>IF(AND('Mapa final'!$AB$53="Muy Baja",'Mapa final'!$AD$53="Moderado"),CONCATENATE("R10C",'Mapa final'!$R$53),"")</f>
        <v/>
      </c>
      <c r="Z55" s="55" t="str">
        <f>IF(AND('Mapa final'!$AB$54="Muy Baja",'Mapa final'!$AD$54="Moderado"),CONCATENATE("R10C",'Mapa final'!$R$54),"")</f>
        <v/>
      </c>
      <c r="AA55" s="56" t="str">
        <f>IF(AND('Mapa final'!$AB$55="Muy Baja",'Mapa final'!$AD$55="Moderado"),CONCATENATE("R10C",'Mapa final'!$R$55),"")</f>
        <v/>
      </c>
      <c r="AB55" s="42" t="str">
        <f>IF(AND('Mapa final'!$AB$50="Muy Baja",'Mapa final'!$AD$50="Mayor"),CONCATENATE("R10C",'Mapa final'!$R$50),"")</f>
        <v/>
      </c>
      <c r="AC55" s="43" t="str">
        <f>IF(AND('Mapa final'!$AB$51="Muy Baja",'Mapa final'!$AD$51="Mayor"),CONCATENATE("R10C",'Mapa final'!$R$51),"")</f>
        <v/>
      </c>
      <c r="AD55" s="43" t="str">
        <f>IF(AND('Mapa final'!$AB$52="Muy Baja",'Mapa final'!$AD$52="Mayor"),CONCATENATE("R10C",'Mapa final'!$R$52),"")</f>
        <v/>
      </c>
      <c r="AE55" s="43" t="str">
        <f>IF(AND('Mapa final'!$AB$53="Muy Baja",'Mapa final'!$AD$53="Mayor"),CONCATENATE("R10C",'Mapa final'!$R$53),"")</f>
        <v/>
      </c>
      <c r="AF55" s="43" t="str">
        <f>IF(AND('Mapa final'!$AB$54="Muy Baja",'Mapa final'!$AD$54="Mayor"),CONCATENATE("R10C",'Mapa final'!$R$54),"")</f>
        <v/>
      </c>
      <c r="AG55" s="44" t="str">
        <f>IF(AND('Mapa final'!$AB$55="Muy Baja",'Mapa final'!$AD$55="Mayor"),CONCATENATE("R10C",'Mapa final'!$R$55),"")</f>
        <v/>
      </c>
      <c r="AH55" s="45" t="str">
        <f>IF(AND('Mapa final'!$AB$50="Muy Baja",'Mapa final'!$AD$50="Catastrófico"),CONCATENATE("R10C",'Mapa final'!$R$50),"")</f>
        <v/>
      </c>
      <c r="AI55" s="46" t="str">
        <f>IF(AND('Mapa final'!$AB$51="Muy Baja",'Mapa final'!$AD$51="Catastrófico"),CONCATENATE("R10C",'Mapa final'!$R$51),"")</f>
        <v/>
      </c>
      <c r="AJ55" s="46" t="str">
        <f>IF(AND('Mapa final'!$AB$52="Muy Baja",'Mapa final'!$AD$52="Catastrófico"),CONCATENATE("R10C",'Mapa final'!$R$52),"")</f>
        <v/>
      </c>
      <c r="AK55" s="46" t="str">
        <f>IF(AND('Mapa final'!$AB$53="Muy Baja",'Mapa final'!$AD$53="Catastrófico"),CONCATENATE("R10C",'Mapa final'!$R$53),"")</f>
        <v/>
      </c>
      <c r="AL55" s="46" t="str">
        <f>IF(AND('Mapa final'!$AB$54="Muy Baja",'Mapa final'!$AD$54="Catastrófico"),CONCATENATE("R10C",'Mapa final'!$R$54),"")</f>
        <v/>
      </c>
      <c r="AM55" s="47" t="str">
        <f>IF(AND('Mapa final'!$AB$55="Muy Baja",'Mapa final'!$AD$55="Catastrófico"),CONCATENATE("R10C",'Mapa final'!$R$55),"")</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12" t="s">
        <v>106</v>
      </c>
      <c r="K56" s="613"/>
      <c r="L56" s="613"/>
      <c r="M56" s="613"/>
      <c r="N56" s="613"/>
      <c r="O56" s="630"/>
      <c r="P56" s="612" t="s">
        <v>105</v>
      </c>
      <c r="Q56" s="613"/>
      <c r="R56" s="613"/>
      <c r="S56" s="613"/>
      <c r="T56" s="613"/>
      <c r="U56" s="630"/>
      <c r="V56" s="612" t="s">
        <v>104</v>
      </c>
      <c r="W56" s="613"/>
      <c r="X56" s="613"/>
      <c r="Y56" s="613"/>
      <c r="Z56" s="613"/>
      <c r="AA56" s="630"/>
      <c r="AB56" s="612" t="s">
        <v>103</v>
      </c>
      <c r="AC56" s="651"/>
      <c r="AD56" s="613"/>
      <c r="AE56" s="613"/>
      <c r="AF56" s="613"/>
      <c r="AG56" s="630"/>
      <c r="AH56" s="612" t="s">
        <v>102</v>
      </c>
      <c r="AI56" s="613"/>
      <c r="AJ56" s="613"/>
      <c r="AK56" s="613"/>
      <c r="AL56" s="613"/>
      <c r="AM56" s="630"/>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16"/>
      <c r="K57" s="615"/>
      <c r="L57" s="615"/>
      <c r="M57" s="615"/>
      <c r="N57" s="615"/>
      <c r="O57" s="631"/>
      <c r="P57" s="616"/>
      <c r="Q57" s="615"/>
      <c r="R57" s="615"/>
      <c r="S57" s="615"/>
      <c r="T57" s="615"/>
      <c r="U57" s="631"/>
      <c r="V57" s="616"/>
      <c r="W57" s="615"/>
      <c r="X57" s="615"/>
      <c r="Y57" s="615"/>
      <c r="Z57" s="615"/>
      <c r="AA57" s="631"/>
      <c r="AB57" s="616"/>
      <c r="AC57" s="615"/>
      <c r="AD57" s="615"/>
      <c r="AE57" s="615"/>
      <c r="AF57" s="615"/>
      <c r="AG57" s="631"/>
      <c r="AH57" s="616"/>
      <c r="AI57" s="615"/>
      <c r="AJ57" s="615"/>
      <c r="AK57" s="615"/>
      <c r="AL57" s="615"/>
      <c r="AM57" s="631"/>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16"/>
      <c r="K58" s="615"/>
      <c r="L58" s="615"/>
      <c r="M58" s="615"/>
      <c r="N58" s="615"/>
      <c r="O58" s="631"/>
      <c r="P58" s="616"/>
      <c r="Q58" s="615"/>
      <c r="R58" s="615"/>
      <c r="S58" s="615"/>
      <c r="T58" s="615"/>
      <c r="U58" s="631"/>
      <c r="V58" s="616"/>
      <c r="W58" s="615"/>
      <c r="X58" s="615"/>
      <c r="Y58" s="615"/>
      <c r="Z58" s="615"/>
      <c r="AA58" s="631"/>
      <c r="AB58" s="616"/>
      <c r="AC58" s="615"/>
      <c r="AD58" s="615"/>
      <c r="AE58" s="615"/>
      <c r="AF58" s="615"/>
      <c r="AG58" s="631"/>
      <c r="AH58" s="616"/>
      <c r="AI58" s="615"/>
      <c r="AJ58" s="615"/>
      <c r="AK58" s="615"/>
      <c r="AL58" s="615"/>
      <c r="AM58" s="631"/>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16"/>
      <c r="K59" s="615"/>
      <c r="L59" s="615"/>
      <c r="M59" s="615"/>
      <c r="N59" s="615"/>
      <c r="O59" s="631"/>
      <c r="P59" s="616"/>
      <c r="Q59" s="615"/>
      <c r="R59" s="615"/>
      <c r="S59" s="615"/>
      <c r="T59" s="615"/>
      <c r="U59" s="631"/>
      <c r="V59" s="616"/>
      <c r="W59" s="615"/>
      <c r="X59" s="615"/>
      <c r="Y59" s="615"/>
      <c r="Z59" s="615"/>
      <c r="AA59" s="631"/>
      <c r="AB59" s="616"/>
      <c r="AC59" s="615"/>
      <c r="AD59" s="615"/>
      <c r="AE59" s="615"/>
      <c r="AF59" s="615"/>
      <c r="AG59" s="631"/>
      <c r="AH59" s="616"/>
      <c r="AI59" s="615"/>
      <c r="AJ59" s="615"/>
      <c r="AK59" s="615"/>
      <c r="AL59" s="615"/>
      <c r="AM59" s="631"/>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16"/>
      <c r="K60" s="615"/>
      <c r="L60" s="615"/>
      <c r="M60" s="615"/>
      <c r="N60" s="615"/>
      <c r="O60" s="631"/>
      <c r="P60" s="616"/>
      <c r="Q60" s="615"/>
      <c r="R60" s="615"/>
      <c r="S60" s="615"/>
      <c r="T60" s="615"/>
      <c r="U60" s="631"/>
      <c r="V60" s="616"/>
      <c r="W60" s="615"/>
      <c r="X60" s="615"/>
      <c r="Y60" s="615"/>
      <c r="Z60" s="615"/>
      <c r="AA60" s="631"/>
      <c r="AB60" s="616"/>
      <c r="AC60" s="615"/>
      <c r="AD60" s="615"/>
      <c r="AE60" s="615"/>
      <c r="AF60" s="615"/>
      <c r="AG60" s="631"/>
      <c r="AH60" s="616"/>
      <c r="AI60" s="615"/>
      <c r="AJ60" s="615"/>
      <c r="AK60" s="615"/>
      <c r="AL60" s="615"/>
      <c r="AM60" s="631"/>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17"/>
      <c r="K61" s="618"/>
      <c r="L61" s="618"/>
      <c r="M61" s="618"/>
      <c r="N61" s="618"/>
      <c r="O61" s="632"/>
      <c r="P61" s="617"/>
      <c r="Q61" s="618"/>
      <c r="R61" s="618"/>
      <c r="S61" s="618"/>
      <c r="T61" s="618"/>
      <c r="U61" s="632"/>
      <c r="V61" s="617"/>
      <c r="W61" s="618"/>
      <c r="X61" s="618"/>
      <c r="Y61" s="618"/>
      <c r="Z61" s="618"/>
      <c r="AA61" s="632"/>
      <c r="AB61" s="617"/>
      <c r="AC61" s="618"/>
      <c r="AD61" s="618"/>
      <c r="AE61" s="618"/>
      <c r="AF61" s="618"/>
      <c r="AG61" s="632"/>
      <c r="AH61" s="617"/>
      <c r="AI61" s="618"/>
      <c r="AJ61" s="618"/>
      <c r="AK61" s="618"/>
      <c r="AL61" s="618"/>
      <c r="AM61" s="632"/>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rgb="FF00B0F0"/>
  </sheetPr>
  <dimension ref="A1:AK55"/>
  <sheetViews>
    <sheetView workbookViewId="0">
      <selection activeCell="D6" sqref="D6"/>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52" t="s">
        <v>54</v>
      </c>
      <c r="C1" s="652"/>
      <c r="D1" s="652"/>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tabColor theme="6" tint="-0.249977111117893"/>
  </sheetPr>
  <dimension ref="A1:U224"/>
  <sheetViews>
    <sheetView zoomScale="70" zoomScaleNormal="70" workbookViewId="0">
      <selection activeCell="D8" sqref="D8"/>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53" t="s">
        <v>61</v>
      </c>
      <c r="C1" s="653"/>
      <c r="D1" s="653"/>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32" t="s">
        <v>55</v>
      </c>
      <c r="D3" s="132" t="s">
        <v>56</v>
      </c>
      <c r="E3" s="89"/>
      <c r="F3" s="89"/>
      <c r="G3" s="89"/>
      <c r="H3" s="89"/>
      <c r="I3" s="89"/>
      <c r="J3" s="89"/>
      <c r="K3" s="89"/>
      <c r="L3" s="89"/>
      <c r="M3" s="89"/>
      <c r="N3" s="89"/>
      <c r="O3" s="89"/>
      <c r="P3" s="89"/>
      <c r="Q3" s="89"/>
      <c r="R3" s="89"/>
      <c r="S3" s="89"/>
      <c r="T3" s="89"/>
      <c r="U3" s="89"/>
    </row>
    <row r="4" spans="1:21" ht="32.4" x14ac:dyDescent="0.3">
      <c r="A4" s="89" t="s">
        <v>81</v>
      </c>
      <c r="B4" s="133" t="s">
        <v>95</v>
      </c>
      <c r="C4" s="134" t="s">
        <v>204</v>
      </c>
      <c r="D4" s="135" t="s">
        <v>91</v>
      </c>
      <c r="E4" s="89"/>
      <c r="F4" s="89"/>
      <c r="G4" s="89"/>
      <c r="H4" s="89"/>
      <c r="I4" s="89"/>
      <c r="J4" s="89"/>
      <c r="K4" s="89"/>
      <c r="L4" s="89"/>
      <c r="M4" s="89"/>
      <c r="N4" s="89"/>
      <c r="O4" s="89"/>
      <c r="P4" s="89"/>
      <c r="Q4" s="89"/>
      <c r="R4" s="89"/>
      <c r="S4" s="89"/>
      <c r="T4" s="89"/>
      <c r="U4" s="89"/>
    </row>
    <row r="5" spans="1:21" ht="64.8" x14ac:dyDescent="0.3">
      <c r="A5" s="89" t="s">
        <v>82</v>
      </c>
      <c r="B5" s="136" t="s">
        <v>57</v>
      </c>
      <c r="C5" s="137" t="s">
        <v>205</v>
      </c>
      <c r="D5" s="138" t="s">
        <v>92</v>
      </c>
      <c r="E5" s="89"/>
      <c r="F5" s="89"/>
      <c r="G5" s="89"/>
      <c r="H5" s="89"/>
      <c r="I5" s="89"/>
      <c r="J5" s="89"/>
      <c r="K5" s="89"/>
      <c r="L5" s="89"/>
      <c r="M5" s="89"/>
      <c r="N5" s="89"/>
      <c r="O5" s="89"/>
      <c r="P5" s="89"/>
      <c r="Q5" s="89"/>
      <c r="R5" s="89"/>
      <c r="S5" s="89"/>
      <c r="T5" s="89"/>
      <c r="U5" s="89"/>
    </row>
    <row r="6" spans="1:21" ht="64.8" x14ac:dyDescent="0.3">
      <c r="A6" s="89" t="s">
        <v>79</v>
      </c>
      <c r="B6" s="139" t="s">
        <v>58</v>
      </c>
      <c r="C6" s="137" t="s">
        <v>208</v>
      </c>
      <c r="D6" s="138" t="s">
        <v>94</v>
      </c>
      <c r="E6" s="89"/>
      <c r="F6" s="89"/>
      <c r="G6" s="89"/>
      <c r="H6" s="89"/>
      <c r="I6" s="89"/>
      <c r="J6" s="89"/>
      <c r="K6" s="89"/>
      <c r="L6" s="89"/>
      <c r="M6" s="89"/>
      <c r="N6" s="89"/>
      <c r="O6" s="89"/>
      <c r="P6" s="89"/>
      <c r="Q6" s="89"/>
      <c r="R6" s="89"/>
      <c r="S6" s="89"/>
      <c r="T6" s="89"/>
      <c r="U6" s="89"/>
    </row>
    <row r="7" spans="1:21" ht="97.2" x14ac:dyDescent="0.3">
      <c r="A7" s="89" t="s">
        <v>7</v>
      </c>
      <c r="B7" s="140" t="s">
        <v>59</v>
      </c>
      <c r="C7" s="137" t="s">
        <v>209</v>
      </c>
      <c r="D7" s="138" t="s">
        <v>93</v>
      </c>
      <c r="E7" s="89"/>
      <c r="F7" s="89"/>
      <c r="G7" s="89"/>
      <c r="H7" s="89"/>
      <c r="I7" s="89"/>
      <c r="J7" s="89"/>
      <c r="K7" s="89"/>
      <c r="L7" s="89"/>
      <c r="M7" s="89"/>
      <c r="N7" s="89"/>
      <c r="O7" s="89"/>
      <c r="P7" s="89"/>
      <c r="Q7" s="89"/>
      <c r="R7" s="89"/>
      <c r="S7" s="89"/>
      <c r="T7" s="89"/>
      <c r="U7" s="89"/>
    </row>
    <row r="8" spans="1:21" ht="64.8" x14ac:dyDescent="0.3">
      <c r="A8" s="89" t="s">
        <v>83</v>
      </c>
      <c r="B8" s="141" t="s">
        <v>60</v>
      </c>
      <c r="C8" s="137" t="s">
        <v>206</v>
      </c>
      <c r="D8" s="138"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5"/>
      <c r="D9" s="145"/>
      <c r="E9" s="87"/>
      <c r="F9" s="87"/>
      <c r="G9" s="87"/>
      <c r="H9" s="87"/>
      <c r="I9" s="87"/>
      <c r="J9" s="87"/>
      <c r="K9" s="87"/>
      <c r="L9" s="87"/>
      <c r="M9" s="87"/>
      <c r="N9" s="87"/>
      <c r="O9" s="87"/>
      <c r="P9" s="87"/>
      <c r="Q9" s="87"/>
      <c r="R9" s="87"/>
      <c r="S9" s="87"/>
      <c r="T9" s="87"/>
      <c r="U9" s="87"/>
    </row>
    <row r="10" spans="1:21" s="23" customFormat="1" x14ac:dyDescent="0.3">
      <c r="A10" s="87"/>
      <c r="B10" s="146"/>
      <c r="C10" s="146"/>
      <c r="D10" s="146"/>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210</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212</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211</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5"/>
      <c r="D22" s="145"/>
      <c r="E22" s="87"/>
      <c r="F22" s="87"/>
      <c r="G22" s="87"/>
      <c r="H22" s="87"/>
      <c r="I22" s="87"/>
      <c r="J22" s="87"/>
      <c r="K22" s="87"/>
      <c r="L22" s="87"/>
      <c r="M22" s="87"/>
      <c r="N22" s="87"/>
      <c r="O22" s="87"/>
    </row>
    <row r="23" spans="1:15" s="23" customFormat="1" ht="20.399999999999999" x14ac:dyDescent="0.3">
      <c r="A23" s="87"/>
      <c r="B23" s="87"/>
      <c r="C23" s="145"/>
      <c r="D23" s="145"/>
      <c r="E23" s="87"/>
      <c r="F23" s="87"/>
      <c r="G23" s="87"/>
      <c r="H23" s="87"/>
      <c r="I23" s="87"/>
      <c r="J23" s="87"/>
      <c r="K23" s="87"/>
      <c r="L23" s="87"/>
      <c r="M23" s="87"/>
      <c r="N23" s="87"/>
      <c r="O23" s="87"/>
    </row>
    <row r="24" spans="1:15" s="23" customFormat="1" ht="20.399999999999999" x14ac:dyDescent="0.3">
      <c r="A24" s="87"/>
      <c r="B24" s="87"/>
      <c r="C24" s="145"/>
      <c r="D24" s="145"/>
      <c r="E24" s="87"/>
      <c r="F24" s="87"/>
      <c r="G24" s="87"/>
      <c r="H24" s="87"/>
      <c r="I24" s="87"/>
      <c r="J24" s="87"/>
      <c r="K24" s="87"/>
      <c r="L24" s="87"/>
      <c r="M24" s="87"/>
      <c r="N24" s="87"/>
      <c r="O24" s="87"/>
    </row>
    <row r="25" spans="1:15" s="23" customFormat="1" ht="20.399999999999999" x14ac:dyDescent="0.3">
      <c r="A25" s="87"/>
      <c r="B25" s="87"/>
      <c r="C25" s="145"/>
      <c r="D25" s="145"/>
      <c r="E25" s="87"/>
      <c r="F25" s="87"/>
      <c r="G25" s="87"/>
      <c r="H25" s="87"/>
      <c r="I25" s="87"/>
      <c r="J25" s="87"/>
      <c r="K25" s="87"/>
      <c r="L25" s="87"/>
      <c r="M25" s="87"/>
      <c r="N25" s="87"/>
      <c r="O25" s="87"/>
    </row>
    <row r="26" spans="1:15" s="23" customFormat="1" ht="20.399999999999999" x14ac:dyDescent="0.3">
      <c r="A26" s="87"/>
      <c r="B26" s="87"/>
      <c r="C26" s="145"/>
      <c r="D26" s="145"/>
      <c r="E26" s="87"/>
      <c r="F26" s="87"/>
      <c r="G26" s="87"/>
      <c r="H26" s="87"/>
      <c r="I26" s="87"/>
      <c r="J26" s="87"/>
      <c r="K26" s="87"/>
      <c r="L26" s="87"/>
      <c r="M26" s="87"/>
      <c r="N26" s="87"/>
      <c r="O26" s="87"/>
    </row>
    <row r="27" spans="1:15" s="23" customFormat="1" ht="20.399999999999999" x14ac:dyDescent="0.3">
      <c r="A27" s="87"/>
      <c r="B27" s="87"/>
      <c r="C27" s="145"/>
      <c r="D27" s="145"/>
      <c r="E27" s="87"/>
      <c r="F27" s="87"/>
      <c r="G27" s="87"/>
      <c r="H27" s="87"/>
      <c r="I27" s="87"/>
      <c r="J27" s="87"/>
      <c r="K27" s="87"/>
      <c r="L27" s="87"/>
      <c r="M27" s="87"/>
      <c r="N27" s="87"/>
      <c r="O27" s="87"/>
    </row>
    <row r="28" spans="1:15" s="23" customFormat="1" ht="20.399999999999999" x14ac:dyDescent="0.3">
      <c r="A28" s="87"/>
      <c r="B28" s="87"/>
      <c r="C28" s="145"/>
      <c r="D28" s="145"/>
      <c r="E28" s="87"/>
      <c r="F28" s="87"/>
      <c r="G28" s="87"/>
      <c r="H28" s="87"/>
      <c r="I28" s="87"/>
      <c r="J28" s="87"/>
      <c r="K28" s="87"/>
      <c r="L28" s="87"/>
      <c r="M28" s="87"/>
      <c r="N28" s="87"/>
      <c r="O28" s="87"/>
    </row>
    <row r="29" spans="1:15" s="23" customFormat="1" ht="20.399999999999999" x14ac:dyDescent="0.3">
      <c r="A29" s="87"/>
      <c r="B29" s="87"/>
      <c r="C29" s="145"/>
      <c r="D29" s="145"/>
      <c r="E29" s="87"/>
      <c r="F29" s="87"/>
      <c r="G29" s="87"/>
      <c r="H29" s="87"/>
      <c r="I29" s="87"/>
      <c r="J29" s="87"/>
      <c r="K29" s="87"/>
      <c r="L29" s="87"/>
      <c r="M29" s="87"/>
      <c r="N29" s="87"/>
      <c r="O29" s="87"/>
    </row>
    <row r="30" spans="1:15" s="23" customFormat="1" ht="20.399999999999999" x14ac:dyDescent="0.3">
      <c r="A30" s="87"/>
      <c r="B30" s="87"/>
      <c r="C30" s="145"/>
      <c r="D30" s="145"/>
      <c r="E30" s="87"/>
      <c r="F30" s="87"/>
      <c r="G30" s="87"/>
      <c r="H30" s="87"/>
      <c r="I30" s="87"/>
      <c r="J30" s="87"/>
      <c r="K30" s="87"/>
      <c r="L30" s="87"/>
      <c r="M30" s="87"/>
      <c r="N30" s="87"/>
      <c r="O30" s="87"/>
    </row>
    <row r="31" spans="1:15" s="23" customFormat="1" ht="20.399999999999999" x14ac:dyDescent="0.3">
      <c r="A31" s="87"/>
      <c r="B31" s="87"/>
      <c r="C31" s="145"/>
      <c r="D31" s="145"/>
      <c r="E31" s="87"/>
      <c r="F31" s="87"/>
      <c r="G31" s="87"/>
      <c r="H31" s="87"/>
      <c r="I31" s="87"/>
      <c r="J31" s="87"/>
      <c r="K31" s="87"/>
      <c r="L31" s="87"/>
      <c r="M31" s="87"/>
      <c r="N31" s="87"/>
      <c r="O31" s="87"/>
    </row>
    <row r="32" spans="1:15" s="23" customFormat="1" ht="20.399999999999999" x14ac:dyDescent="0.3">
      <c r="A32" s="87"/>
      <c r="B32" s="87"/>
      <c r="C32" s="145"/>
      <c r="D32" s="145"/>
      <c r="E32" s="87"/>
      <c r="F32" s="87"/>
      <c r="G32" s="87"/>
      <c r="H32" s="87"/>
      <c r="I32" s="87"/>
      <c r="J32" s="87"/>
      <c r="K32" s="87"/>
      <c r="L32" s="87"/>
      <c r="M32" s="87"/>
      <c r="N32" s="87"/>
      <c r="O32" s="87"/>
    </row>
    <row r="33" spans="1:15" s="23" customFormat="1" ht="20.399999999999999" x14ac:dyDescent="0.3">
      <c r="A33" s="87"/>
      <c r="B33" s="87"/>
      <c r="C33" s="145"/>
      <c r="D33" s="145"/>
      <c r="E33" s="87"/>
      <c r="F33" s="87"/>
      <c r="G33" s="87"/>
      <c r="H33" s="87"/>
      <c r="I33" s="87"/>
      <c r="J33" s="87"/>
      <c r="K33" s="87"/>
      <c r="L33" s="87"/>
      <c r="M33" s="87"/>
      <c r="N33" s="87"/>
      <c r="O33" s="87"/>
    </row>
    <row r="34" spans="1:15" s="23" customFormat="1" ht="20.399999999999999" x14ac:dyDescent="0.3">
      <c r="A34" s="87"/>
      <c r="B34" s="87"/>
      <c r="C34" s="145"/>
      <c r="D34" s="145"/>
      <c r="E34" s="87"/>
      <c r="F34" s="87"/>
      <c r="G34" s="87"/>
      <c r="H34" s="87"/>
      <c r="I34" s="87"/>
      <c r="J34" s="87"/>
      <c r="K34" s="87"/>
      <c r="L34" s="87"/>
      <c r="M34" s="87"/>
      <c r="N34" s="87"/>
      <c r="O34" s="87"/>
    </row>
    <row r="35" spans="1:15" s="23" customFormat="1" ht="20.399999999999999" x14ac:dyDescent="0.3">
      <c r="A35" s="87"/>
      <c r="B35" s="87"/>
      <c r="C35" s="145"/>
      <c r="D35" s="145"/>
      <c r="E35" s="87"/>
      <c r="F35" s="87"/>
      <c r="G35" s="87"/>
      <c r="H35" s="87"/>
      <c r="I35" s="87"/>
      <c r="J35" s="87"/>
      <c r="K35" s="87"/>
      <c r="L35" s="87"/>
      <c r="M35" s="87"/>
      <c r="N35" s="87"/>
      <c r="O35" s="87"/>
    </row>
    <row r="36" spans="1:15" s="23" customFormat="1" ht="20.399999999999999" x14ac:dyDescent="0.3">
      <c r="A36" s="87"/>
      <c r="B36" s="87"/>
      <c r="C36" s="145"/>
      <c r="D36" s="145"/>
      <c r="E36" s="87"/>
      <c r="F36" s="87"/>
      <c r="G36" s="87"/>
      <c r="H36" s="87"/>
      <c r="I36" s="87"/>
      <c r="J36" s="87"/>
      <c r="K36" s="87"/>
      <c r="L36" s="87"/>
      <c r="M36" s="87"/>
      <c r="N36" s="87"/>
      <c r="O36" s="87"/>
    </row>
    <row r="37" spans="1:15" s="23" customFormat="1" ht="20.399999999999999" x14ac:dyDescent="0.3">
      <c r="A37" s="87"/>
      <c r="B37" s="87"/>
      <c r="C37" s="145"/>
      <c r="D37" s="145"/>
      <c r="E37" s="87"/>
      <c r="F37" s="87"/>
      <c r="G37" s="87"/>
      <c r="H37" s="87"/>
      <c r="I37" s="87"/>
      <c r="J37" s="87"/>
      <c r="K37" s="87"/>
      <c r="L37" s="87"/>
      <c r="M37" s="87"/>
      <c r="N37" s="87"/>
      <c r="O37" s="87"/>
    </row>
    <row r="38" spans="1:15" s="23" customFormat="1" ht="20.399999999999999" x14ac:dyDescent="0.3">
      <c r="A38" s="87"/>
      <c r="B38" s="87"/>
      <c r="C38" s="145"/>
      <c r="D38" s="145"/>
      <c r="E38" s="87"/>
      <c r="F38" s="87"/>
      <c r="G38" s="87"/>
      <c r="H38" s="87"/>
      <c r="I38" s="87"/>
      <c r="J38" s="87"/>
      <c r="K38" s="87"/>
      <c r="L38" s="87"/>
      <c r="M38" s="87"/>
      <c r="N38" s="87"/>
      <c r="O38" s="87"/>
    </row>
    <row r="39" spans="1:15" s="23" customFormat="1" ht="20.399999999999999" x14ac:dyDescent="0.3">
      <c r="A39" s="87"/>
      <c r="B39" s="87"/>
      <c r="C39" s="145"/>
      <c r="D39" s="145"/>
      <c r="E39" s="87"/>
      <c r="F39" s="87"/>
      <c r="G39" s="87"/>
      <c r="H39" s="87"/>
      <c r="I39" s="87"/>
      <c r="J39" s="87"/>
      <c r="K39" s="87"/>
      <c r="L39" s="87"/>
      <c r="M39" s="87"/>
      <c r="N39" s="87"/>
      <c r="O39" s="87"/>
    </row>
    <row r="40" spans="1:15" s="23" customFormat="1" ht="20.399999999999999" x14ac:dyDescent="0.3">
      <c r="A40" s="87"/>
      <c r="B40" s="87"/>
      <c r="C40" s="145"/>
      <c r="D40" s="145"/>
      <c r="E40" s="87"/>
      <c r="F40" s="87"/>
      <c r="G40" s="87"/>
      <c r="H40" s="87"/>
      <c r="I40" s="87"/>
      <c r="J40" s="87"/>
      <c r="K40" s="87"/>
      <c r="L40" s="87"/>
      <c r="M40" s="87"/>
      <c r="N40" s="87"/>
      <c r="O40" s="87"/>
    </row>
    <row r="41" spans="1:15" s="23" customFormat="1" ht="20.399999999999999" x14ac:dyDescent="0.3">
      <c r="A41" s="87"/>
      <c r="B41" s="87"/>
      <c r="C41" s="145"/>
      <c r="D41" s="145"/>
      <c r="E41" s="87"/>
      <c r="F41" s="87"/>
      <c r="G41" s="87"/>
      <c r="H41" s="87"/>
      <c r="I41" s="87"/>
      <c r="J41" s="87"/>
      <c r="K41" s="87"/>
      <c r="L41" s="87"/>
      <c r="M41" s="87"/>
      <c r="N41" s="87"/>
      <c r="O41" s="87"/>
    </row>
    <row r="42" spans="1:15" s="23" customFormat="1" ht="20.399999999999999" x14ac:dyDescent="0.3">
      <c r="A42" s="87"/>
      <c r="B42" s="87"/>
      <c r="C42" s="145"/>
      <c r="D42" s="145"/>
      <c r="E42" s="87"/>
      <c r="F42" s="87"/>
      <c r="G42" s="87"/>
      <c r="H42" s="87"/>
      <c r="I42" s="87"/>
      <c r="J42" s="87"/>
      <c r="K42" s="87"/>
      <c r="L42" s="87"/>
      <c r="M42" s="87"/>
      <c r="N42" s="87"/>
      <c r="O42" s="87"/>
    </row>
    <row r="43" spans="1:15" s="23" customFormat="1" ht="20.399999999999999" x14ac:dyDescent="0.3">
      <c r="A43" s="87"/>
      <c r="B43" s="87"/>
      <c r="C43" s="145"/>
      <c r="D43" s="145"/>
      <c r="E43" s="87"/>
      <c r="F43" s="87"/>
      <c r="G43" s="87"/>
      <c r="H43" s="87"/>
      <c r="I43" s="87"/>
      <c r="J43" s="87"/>
      <c r="K43" s="87"/>
      <c r="L43" s="87"/>
      <c r="M43" s="87"/>
      <c r="N43" s="87"/>
      <c r="O43" s="87"/>
    </row>
    <row r="44" spans="1:15" s="23" customFormat="1" ht="20.399999999999999" x14ac:dyDescent="0.3">
      <c r="A44" s="87"/>
      <c r="B44" s="87"/>
      <c r="C44" s="145"/>
      <c r="D44" s="145"/>
      <c r="E44" s="87"/>
      <c r="F44" s="87"/>
      <c r="G44" s="87"/>
      <c r="H44" s="87"/>
      <c r="I44" s="87"/>
      <c r="J44" s="87"/>
      <c r="K44" s="87"/>
      <c r="L44" s="87"/>
      <c r="M44" s="87"/>
      <c r="N44" s="87"/>
      <c r="O44" s="87"/>
    </row>
    <row r="45" spans="1:15" s="23" customFormat="1" ht="20.399999999999999" x14ac:dyDescent="0.3">
      <c r="A45" s="87"/>
      <c r="B45" s="87"/>
      <c r="C45" s="145"/>
      <c r="D45" s="145"/>
      <c r="E45" s="87"/>
      <c r="F45" s="87"/>
      <c r="G45" s="87"/>
      <c r="H45" s="87"/>
      <c r="I45" s="87"/>
      <c r="J45" s="87"/>
      <c r="K45" s="87"/>
      <c r="L45" s="87"/>
      <c r="M45" s="87"/>
      <c r="N45" s="87"/>
      <c r="O45" s="87"/>
    </row>
    <row r="46" spans="1:15" s="23" customFormat="1" ht="20.399999999999999" x14ac:dyDescent="0.3">
      <c r="A46" s="87"/>
      <c r="B46" s="87"/>
      <c r="C46" s="145"/>
      <c r="D46" s="145"/>
      <c r="E46" s="87"/>
      <c r="F46" s="87"/>
      <c r="G46" s="87"/>
      <c r="H46" s="87"/>
      <c r="I46" s="87"/>
      <c r="J46" s="87"/>
      <c r="K46" s="87"/>
      <c r="L46" s="87"/>
      <c r="M46" s="87"/>
      <c r="N46" s="87"/>
      <c r="O46" s="87"/>
    </row>
    <row r="47" spans="1:15" s="23" customFormat="1" ht="20.399999999999999" x14ac:dyDescent="0.3">
      <c r="A47" s="87"/>
      <c r="B47" s="87"/>
      <c r="C47" s="145"/>
      <c r="D47" s="145"/>
      <c r="E47" s="87"/>
      <c r="F47" s="87"/>
      <c r="G47" s="87"/>
      <c r="H47" s="87"/>
      <c r="I47" s="87"/>
      <c r="J47" s="87"/>
      <c r="K47" s="87"/>
      <c r="L47" s="87"/>
      <c r="M47" s="87"/>
      <c r="N47" s="87"/>
      <c r="O47" s="87"/>
    </row>
    <row r="48" spans="1:15" s="23" customFormat="1" ht="20.399999999999999" x14ac:dyDescent="0.3">
      <c r="A48" s="87"/>
      <c r="B48" s="87"/>
      <c r="C48" s="145"/>
      <c r="D48" s="145"/>
      <c r="E48" s="87"/>
      <c r="F48" s="87"/>
      <c r="G48" s="87"/>
      <c r="H48" s="87"/>
      <c r="I48" s="87"/>
      <c r="J48" s="87"/>
      <c r="K48" s="87"/>
      <c r="L48" s="87"/>
      <c r="M48" s="87"/>
      <c r="N48" s="87"/>
      <c r="O48" s="87"/>
    </row>
    <row r="49" spans="1:15" s="23" customFormat="1" ht="20.399999999999999" x14ac:dyDescent="0.3">
      <c r="A49" s="87"/>
      <c r="B49" s="87"/>
      <c r="C49" s="145"/>
      <c r="D49" s="145"/>
      <c r="E49" s="87"/>
      <c r="F49" s="87"/>
      <c r="G49" s="87"/>
      <c r="H49" s="87"/>
      <c r="I49" s="87"/>
      <c r="J49" s="87"/>
      <c r="K49" s="87"/>
      <c r="L49" s="87"/>
      <c r="M49" s="87"/>
      <c r="N49" s="87"/>
      <c r="O49" s="87"/>
    </row>
    <row r="50" spans="1:15" s="23" customFormat="1" ht="20.399999999999999" x14ac:dyDescent="0.3">
      <c r="A50" s="87"/>
      <c r="B50" s="87"/>
      <c r="C50" s="145"/>
      <c r="D50" s="145"/>
      <c r="E50" s="87"/>
      <c r="F50" s="87"/>
      <c r="G50" s="87"/>
      <c r="H50" s="87"/>
      <c r="I50" s="87"/>
      <c r="J50" s="87"/>
      <c r="K50" s="87"/>
      <c r="L50" s="87"/>
      <c r="M50" s="87"/>
      <c r="N50" s="87"/>
      <c r="O50" s="87"/>
    </row>
    <row r="51" spans="1:15" s="23" customFormat="1" ht="20.399999999999999" x14ac:dyDescent="0.3">
      <c r="A51" s="87"/>
      <c r="B51" s="87"/>
      <c r="C51" s="145"/>
      <c r="D51" s="145"/>
      <c r="E51" s="87"/>
      <c r="F51" s="87"/>
      <c r="G51" s="87"/>
      <c r="H51" s="87"/>
      <c r="I51" s="87"/>
      <c r="J51" s="87"/>
      <c r="K51" s="87"/>
      <c r="L51" s="87"/>
      <c r="M51" s="87"/>
      <c r="N51" s="87"/>
      <c r="O51" s="87"/>
    </row>
    <row r="52" spans="1:15" s="23" customFormat="1" ht="20.399999999999999" x14ac:dyDescent="0.3">
      <c r="A52" s="87"/>
      <c r="C52" s="147"/>
      <c r="D52" s="147"/>
    </row>
    <row r="53" spans="1:15" s="23" customFormat="1" ht="20.399999999999999" x14ac:dyDescent="0.3">
      <c r="A53" s="87"/>
      <c r="C53" s="147"/>
      <c r="D53" s="147"/>
    </row>
    <row r="54" spans="1:15" s="23" customFormat="1" ht="20.399999999999999" x14ac:dyDescent="0.3">
      <c r="A54" s="87"/>
      <c r="C54" s="147"/>
      <c r="D54" s="147"/>
    </row>
    <row r="55" spans="1:15" s="23" customFormat="1" ht="20.399999999999999" x14ac:dyDescent="0.3">
      <c r="A55" s="87"/>
      <c r="C55" s="147"/>
      <c r="D55" s="147"/>
    </row>
    <row r="56" spans="1:15" s="23" customFormat="1" ht="20.399999999999999" x14ac:dyDescent="0.3">
      <c r="A56" s="87"/>
      <c r="C56" s="147"/>
      <c r="D56" s="147"/>
    </row>
    <row r="57" spans="1:15" s="23" customFormat="1" ht="20.399999999999999" x14ac:dyDescent="0.3">
      <c r="A57" s="87"/>
      <c r="C57" s="147"/>
      <c r="D57" s="147"/>
    </row>
    <row r="58" spans="1:15" s="23" customFormat="1" ht="20.399999999999999" x14ac:dyDescent="0.3">
      <c r="A58" s="87"/>
      <c r="C58" s="147"/>
      <c r="D58" s="147"/>
    </row>
    <row r="59" spans="1:15" s="23" customFormat="1" ht="20.399999999999999" x14ac:dyDescent="0.3">
      <c r="A59" s="87"/>
      <c r="C59" s="147"/>
      <c r="D59" s="147"/>
    </row>
    <row r="60" spans="1:15" s="23" customFormat="1" ht="20.399999999999999" x14ac:dyDescent="0.3">
      <c r="A60" s="87"/>
      <c r="C60" s="147"/>
      <c r="D60" s="147"/>
    </row>
    <row r="61" spans="1:15" s="23" customFormat="1" ht="20.399999999999999" x14ac:dyDescent="0.3">
      <c r="A61" s="87"/>
      <c r="C61" s="147"/>
      <c r="D61" s="147"/>
    </row>
    <row r="62" spans="1:15" s="23" customFormat="1" ht="20.399999999999999" x14ac:dyDescent="0.3">
      <c r="A62" s="87"/>
      <c r="C62" s="147"/>
      <c r="D62" s="147"/>
    </row>
    <row r="63" spans="1:15" s="23" customFormat="1" ht="20.399999999999999" x14ac:dyDescent="0.3">
      <c r="A63" s="87"/>
      <c r="C63" s="147"/>
      <c r="D63" s="147"/>
    </row>
    <row r="64" spans="1:15" s="23" customFormat="1" ht="20.399999999999999" x14ac:dyDescent="0.3">
      <c r="A64" s="87"/>
      <c r="C64" s="147"/>
      <c r="D64" s="147"/>
    </row>
    <row r="65" spans="1:4" s="23" customFormat="1" ht="20.399999999999999" x14ac:dyDescent="0.3">
      <c r="A65" s="87"/>
      <c r="C65" s="147"/>
      <c r="D65" s="147"/>
    </row>
    <row r="66" spans="1:4" s="23" customFormat="1" ht="20.399999999999999" x14ac:dyDescent="0.3">
      <c r="A66" s="87"/>
      <c r="C66" s="147"/>
      <c r="D66" s="147"/>
    </row>
    <row r="67" spans="1:4" s="23" customFormat="1" ht="20.399999999999999" x14ac:dyDescent="0.3">
      <c r="A67" s="87"/>
      <c r="C67" s="147"/>
      <c r="D67" s="147"/>
    </row>
    <row r="68" spans="1:4" s="23" customFormat="1" ht="20.399999999999999" x14ac:dyDescent="0.3">
      <c r="A68" s="87"/>
      <c r="C68" s="147"/>
      <c r="D68" s="147"/>
    </row>
    <row r="69" spans="1:4" s="23" customFormat="1" ht="20.399999999999999" x14ac:dyDescent="0.3">
      <c r="A69" s="87"/>
      <c r="C69" s="147"/>
      <c r="D69" s="147"/>
    </row>
    <row r="70" spans="1:4" s="23" customFormat="1" ht="20.399999999999999" x14ac:dyDescent="0.3">
      <c r="A70" s="87"/>
      <c r="C70" s="147"/>
      <c r="D70" s="147"/>
    </row>
    <row r="71" spans="1:4" s="23" customFormat="1" ht="20.399999999999999" x14ac:dyDescent="0.3">
      <c r="A71" s="87"/>
      <c r="C71" s="147"/>
      <c r="D71" s="147"/>
    </row>
    <row r="72" spans="1:4" s="23" customFormat="1" ht="20.399999999999999" x14ac:dyDescent="0.3">
      <c r="A72" s="87"/>
      <c r="C72" s="147"/>
      <c r="D72" s="147"/>
    </row>
    <row r="73" spans="1:4" s="23" customFormat="1" ht="20.399999999999999" x14ac:dyDescent="0.3">
      <c r="A73" s="87"/>
      <c r="C73" s="147"/>
      <c r="D73" s="147"/>
    </row>
    <row r="74" spans="1:4" s="23" customFormat="1" ht="20.399999999999999" x14ac:dyDescent="0.3">
      <c r="A74" s="87"/>
      <c r="C74" s="147"/>
      <c r="D74" s="147"/>
    </row>
    <row r="75" spans="1:4" s="23" customFormat="1" ht="20.399999999999999" x14ac:dyDescent="0.3">
      <c r="A75" s="87"/>
      <c r="C75" s="147"/>
      <c r="D75" s="147"/>
    </row>
    <row r="76" spans="1:4" s="23" customFormat="1" ht="20.399999999999999" x14ac:dyDescent="0.3">
      <c r="A76" s="87"/>
      <c r="C76" s="147"/>
      <c r="D76" s="147"/>
    </row>
    <row r="77" spans="1:4" s="23" customFormat="1" ht="20.399999999999999" x14ac:dyDescent="0.3">
      <c r="A77" s="87"/>
      <c r="C77" s="147"/>
      <c r="D77" s="147"/>
    </row>
    <row r="78" spans="1:4" s="23" customFormat="1" ht="20.399999999999999" x14ac:dyDescent="0.3">
      <c r="A78" s="87"/>
      <c r="C78" s="147"/>
      <c r="D78" s="147"/>
    </row>
    <row r="79" spans="1:4" s="23" customFormat="1" ht="20.399999999999999" x14ac:dyDescent="0.3">
      <c r="A79" s="87"/>
      <c r="C79" s="147"/>
      <c r="D79" s="147"/>
    </row>
    <row r="80" spans="1:4" s="23" customFormat="1" ht="20.399999999999999" x14ac:dyDescent="0.3">
      <c r="A80" s="87"/>
      <c r="C80" s="147"/>
      <c r="D80" s="147"/>
    </row>
    <row r="81" spans="1:4" s="23" customFormat="1" ht="20.399999999999999" x14ac:dyDescent="0.3">
      <c r="A81" s="87"/>
      <c r="C81" s="147"/>
      <c r="D81" s="147"/>
    </row>
    <row r="82" spans="1:4" s="23" customFormat="1" ht="20.399999999999999" x14ac:dyDescent="0.3">
      <c r="A82" s="87"/>
      <c r="C82" s="147"/>
      <c r="D82" s="147"/>
    </row>
    <row r="83" spans="1:4" s="23" customFormat="1" ht="20.399999999999999" x14ac:dyDescent="0.3">
      <c r="A83" s="87"/>
      <c r="C83" s="147"/>
      <c r="D83" s="147"/>
    </row>
    <row r="84" spans="1:4" s="23" customFormat="1" ht="20.399999999999999" x14ac:dyDescent="0.3">
      <c r="A84" s="87"/>
      <c r="C84" s="147"/>
      <c r="D84" s="147"/>
    </row>
    <row r="85" spans="1:4" s="23" customFormat="1" ht="20.399999999999999" x14ac:dyDescent="0.3">
      <c r="A85" s="87"/>
      <c r="C85" s="147"/>
      <c r="D85" s="147"/>
    </row>
    <row r="86" spans="1:4" s="23" customFormat="1" ht="20.399999999999999" x14ac:dyDescent="0.3">
      <c r="A86" s="87"/>
      <c r="C86" s="147"/>
      <c r="D86" s="147"/>
    </row>
    <row r="87" spans="1:4" s="23" customFormat="1" ht="20.399999999999999" x14ac:dyDescent="0.3">
      <c r="A87" s="87"/>
      <c r="C87" s="147"/>
      <c r="D87" s="147"/>
    </row>
    <row r="88" spans="1:4" s="23" customFormat="1" ht="20.399999999999999" x14ac:dyDescent="0.3">
      <c r="A88" s="87"/>
      <c r="C88" s="147"/>
      <c r="D88" s="147"/>
    </row>
    <row r="89" spans="1:4" s="23" customFormat="1" ht="20.399999999999999" x14ac:dyDescent="0.3">
      <c r="A89" s="87"/>
      <c r="C89" s="147"/>
      <c r="D89" s="147"/>
    </row>
    <row r="90" spans="1:4" s="23" customFormat="1" ht="20.399999999999999" x14ac:dyDescent="0.3">
      <c r="A90" s="87"/>
      <c r="C90" s="147"/>
      <c r="D90" s="147"/>
    </row>
    <row r="91" spans="1:4" s="23" customFormat="1" ht="20.399999999999999" x14ac:dyDescent="0.3">
      <c r="A91" s="87"/>
      <c r="C91" s="147"/>
      <c r="D91" s="147"/>
    </row>
    <row r="92" spans="1:4" s="23" customFormat="1" ht="20.399999999999999" x14ac:dyDescent="0.3">
      <c r="A92" s="87"/>
      <c r="C92" s="147"/>
      <c r="D92" s="147"/>
    </row>
    <row r="93" spans="1:4" s="23" customFormat="1" ht="20.399999999999999" x14ac:dyDescent="0.3">
      <c r="A93" s="87"/>
      <c r="C93" s="147"/>
      <c r="D93" s="147"/>
    </row>
    <row r="94" spans="1:4" s="23" customFormat="1" ht="20.399999999999999" x14ac:dyDescent="0.3">
      <c r="A94" s="87"/>
      <c r="C94" s="147"/>
      <c r="D94" s="147"/>
    </row>
    <row r="95" spans="1:4" s="23" customFormat="1" ht="20.399999999999999" x14ac:dyDescent="0.3">
      <c r="A95" s="87"/>
      <c r="C95" s="147"/>
      <c r="D95" s="147"/>
    </row>
    <row r="96" spans="1:4" s="23" customFormat="1" ht="20.399999999999999" x14ac:dyDescent="0.3">
      <c r="A96" s="87"/>
      <c r="C96" s="147"/>
      <c r="D96" s="147"/>
    </row>
    <row r="97" spans="1:4" s="23" customFormat="1" ht="20.399999999999999" x14ac:dyDescent="0.3">
      <c r="A97" s="87"/>
      <c r="C97" s="147"/>
      <c r="D97" s="147"/>
    </row>
    <row r="98" spans="1:4" s="23" customFormat="1" ht="20.399999999999999" x14ac:dyDescent="0.3">
      <c r="A98" s="87"/>
      <c r="C98" s="147"/>
      <c r="D98" s="147"/>
    </row>
    <row r="99" spans="1:4" s="23" customFormat="1" ht="20.399999999999999" x14ac:dyDescent="0.3">
      <c r="A99" s="87"/>
      <c r="C99" s="147"/>
      <c r="D99" s="147"/>
    </row>
    <row r="100" spans="1:4" s="23" customFormat="1" ht="20.399999999999999" x14ac:dyDescent="0.3">
      <c r="A100" s="87"/>
      <c r="C100" s="147"/>
      <c r="D100" s="147"/>
    </row>
    <row r="101" spans="1:4" s="23" customFormat="1" ht="20.399999999999999" x14ac:dyDescent="0.3">
      <c r="A101" s="87"/>
      <c r="C101" s="147"/>
      <c r="D101" s="147"/>
    </row>
    <row r="102" spans="1:4" s="23" customFormat="1" ht="20.399999999999999" x14ac:dyDescent="0.3">
      <c r="A102" s="87"/>
      <c r="C102" s="147"/>
      <c r="D102" s="147"/>
    </row>
    <row r="103" spans="1:4" s="23" customFormat="1" ht="20.399999999999999" x14ac:dyDescent="0.3">
      <c r="A103" s="87"/>
      <c r="C103" s="147"/>
      <c r="D103" s="147"/>
    </row>
    <row r="104" spans="1:4" s="23" customFormat="1" ht="20.399999999999999" x14ac:dyDescent="0.3">
      <c r="A104" s="87"/>
      <c r="C104" s="147"/>
      <c r="D104" s="147"/>
    </row>
    <row r="105" spans="1:4" s="23" customFormat="1" ht="20.399999999999999" x14ac:dyDescent="0.3">
      <c r="A105" s="87"/>
      <c r="C105" s="147"/>
      <c r="D105" s="147"/>
    </row>
    <row r="106" spans="1:4" s="23" customFormat="1" ht="20.399999999999999" x14ac:dyDescent="0.3">
      <c r="A106" s="87"/>
      <c r="C106" s="147"/>
      <c r="D106" s="147"/>
    </row>
    <row r="107" spans="1:4" s="23" customFormat="1" ht="20.399999999999999" x14ac:dyDescent="0.3">
      <c r="A107" s="87"/>
      <c r="C107" s="147"/>
      <c r="D107" s="147"/>
    </row>
    <row r="108" spans="1:4" s="23" customFormat="1" ht="20.399999999999999" x14ac:dyDescent="0.3">
      <c r="A108" s="87"/>
      <c r="C108" s="147"/>
      <c r="D108" s="147"/>
    </row>
    <row r="109" spans="1:4" s="23" customFormat="1" ht="20.399999999999999" x14ac:dyDescent="0.3">
      <c r="A109" s="87"/>
      <c r="C109" s="147"/>
      <c r="D109" s="147"/>
    </row>
    <row r="110" spans="1:4" s="23" customFormat="1" ht="20.399999999999999" x14ac:dyDescent="0.3">
      <c r="A110" s="87"/>
      <c r="C110" s="147"/>
      <c r="D110" s="147"/>
    </row>
    <row r="111" spans="1:4" s="23" customFormat="1" ht="20.399999999999999" x14ac:dyDescent="0.3">
      <c r="A111" s="87"/>
      <c r="C111" s="147"/>
      <c r="D111" s="147"/>
    </row>
    <row r="112" spans="1:4" s="23" customFormat="1" ht="20.399999999999999" x14ac:dyDescent="0.3">
      <c r="A112" s="87"/>
      <c r="C112" s="147"/>
      <c r="D112" s="147"/>
    </row>
    <row r="113" spans="1:4" s="23" customFormat="1" ht="20.399999999999999" x14ac:dyDescent="0.3">
      <c r="A113" s="87"/>
      <c r="C113" s="147"/>
      <c r="D113" s="147"/>
    </row>
    <row r="114" spans="1:4" s="23" customFormat="1" ht="20.399999999999999" x14ac:dyDescent="0.3">
      <c r="A114" s="87"/>
      <c r="C114" s="147"/>
      <c r="D114" s="147"/>
    </row>
    <row r="115" spans="1:4" s="23" customFormat="1" ht="20.399999999999999" x14ac:dyDescent="0.3">
      <c r="A115" s="87"/>
      <c r="C115" s="147"/>
      <c r="D115" s="147"/>
    </row>
    <row r="116" spans="1:4" s="23" customFormat="1" ht="20.399999999999999" x14ac:dyDescent="0.3">
      <c r="A116" s="87"/>
      <c r="C116" s="147"/>
      <c r="D116" s="147"/>
    </row>
    <row r="117" spans="1:4" s="23" customFormat="1" ht="20.399999999999999" x14ac:dyDescent="0.3">
      <c r="A117" s="87"/>
      <c r="C117" s="147"/>
      <c r="D117" s="147"/>
    </row>
    <row r="118" spans="1:4" s="23" customFormat="1" ht="20.399999999999999" x14ac:dyDescent="0.3">
      <c r="A118" s="87"/>
      <c r="C118" s="147"/>
      <c r="D118" s="147"/>
    </row>
    <row r="119" spans="1:4" s="23" customFormat="1" ht="20.399999999999999" x14ac:dyDescent="0.3">
      <c r="A119" s="87"/>
      <c r="C119" s="147"/>
      <c r="D119" s="147"/>
    </row>
    <row r="120" spans="1:4" s="23" customFormat="1" ht="20.399999999999999" x14ac:dyDescent="0.3">
      <c r="A120" s="87"/>
      <c r="C120" s="147"/>
      <c r="D120" s="147"/>
    </row>
    <row r="121" spans="1:4" s="23" customFormat="1" ht="20.399999999999999" x14ac:dyDescent="0.3">
      <c r="A121" s="87"/>
      <c r="C121" s="147"/>
      <c r="D121" s="147"/>
    </row>
    <row r="122" spans="1:4" s="23" customFormat="1" ht="20.399999999999999" x14ac:dyDescent="0.3">
      <c r="A122" s="87"/>
      <c r="C122" s="147"/>
      <c r="D122" s="147"/>
    </row>
    <row r="123" spans="1:4" s="23" customFormat="1" ht="20.399999999999999" x14ac:dyDescent="0.3">
      <c r="A123" s="87"/>
      <c r="C123" s="147"/>
      <c r="D123" s="147"/>
    </row>
    <row r="124" spans="1:4" s="23" customFormat="1" ht="20.399999999999999" x14ac:dyDescent="0.3">
      <c r="A124" s="87"/>
      <c r="C124" s="147"/>
      <c r="D124" s="147"/>
    </row>
    <row r="125" spans="1:4" s="23" customFormat="1" ht="20.399999999999999" x14ac:dyDescent="0.3">
      <c r="A125" s="87"/>
      <c r="C125" s="147"/>
      <c r="D125" s="147"/>
    </row>
    <row r="126" spans="1:4" s="23" customFormat="1" ht="20.399999999999999" x14ac:dyDescent="0.3">
      <c r="A126" s="87"/>
      <c r="C126" s="147"/>
      <c r="D126" s="147"/>
    </row>
    <row r="127" spans="1:4" s="23" customFormat="1" ht="20.399999999999999" x14ac:dyDescent="0.3">
      <c r="A127" s="87"/>
      <c r="C127" s="147"/>
      <c r="D127" s="147"/>
    </row>
    <row r="128" spans="1:4" s="23" customFormat="1" ht="20.399999999999999" x14ac:dyDescent="0.3">
      <c r="A128" s="87"/>
      <c r="C128" s="147"/>
      <c r="D128" s="147"/>
    </row>
    <row r="129" spans="1:4" s="23" customFormat="1" ht="20.399999999999999" x14ac:dyDescent="0.3">
      <c r="A129" s="87"/>
      <c r="C129" s="147"/>
      <c r="D129" s="147"/>
    </row>
    <row r="130" spans="1:4" s="23" customFormat="1" ht="20.399999999999999" x14ac:dyDescent="0.3">
      <c r="A130" s="87"/>
      <c r="C130" s="147"/>
      <c r="D130" s="147"/>
    </row>
    <row r="131" spans="1:4" s="23" customFormat="1" ht="20.399999999999999" x14ac:dyDescent="0.3">
      <c r="A131" s="87"/>
      <c r="C131" s="147"/>
      <c r="D131" s="147"/>
    </row>
    <row r="132" spans="1:4" s="23" customFormat="1" ht="20.399999999999999" x14ac:dyDescent="0.3">
      <c r="A132" s="87"/>
      <c r="C132" s="147"/>
      <c r="D132" s="147"/>
    </row>
    <row r="133" spans="1:4" s="23" customFormat="1" ht="20.399999999999999" x14ac:dyDescent="0.3">
      <c r="A133" s="87"/>
      <c r="C133" s="147"/>
      <c r="D133" s="147"/>
    </row>
    <row r="134" spans="1:4" s="23" customFormat="1" ht="20.399999999999999" x14ac:dyDescent="0.3">
      <c r="A134" s="87"/>
      <c r="C134" s="147"/>
      <c r="D134" s="147"/>
    </row>
    <row r="135" spans="1:4" s="23" customFormat="1" ht="20.399999999999999" x14ac:dyDescent="0.3">
      <c r="A135" s="87"/>
      <c r="C135" s="147"/>
      <c r="D135" s="147"/>
    </row>
    <row r="136" spans="1:4" s="23" customFormat="1" ht="20.399999999999999" x14ac:dyDescent="0.3">
      <c r="A136" s="87"/>
      <c r="C136" s="147"/>
      <c r="D136" s="147"/>
    </row>
    <row r="137" spans="1:4" s="23" customFormat="1" ht="20.399999999999999" x14ac:dyDescent="0.3">
      <c r="A137" s="87"/>
      <c r="C137" s="147"/>
      <c r="D137" s="147"/>
    </row>
    <row r="138" spans="1:4" s="23" customFormat="1" ht="20.399999999999999" x14ac:dyDescent="0.3">
      <c r="A138" s="87"/>
      <c r="C138" s="147"/>
      <c r="D138" s="147"/>
    </row>
    <row r="139" spans="1:4" s="23" customFormat="1" ht="20.399999999999999" x14ac:dyDescent="0.3">
      <c r="A139" s="87"/>
      <c r="C139" s="147"/>
      <c r="D139" s="147"/>
    </row>
    <row r="140" spans="1:4" s="23" customFormat="1" ht="20.399999999999999" x14ac:dyDescent="0.3">
      <c r="A140" s="87"/>
      <c r="C140" s="147"/>
      <c r="D140" s="147"/>
    </row>
    <row r="141" spans="1:4" s="23" customFormat="1" ht="20.399999999999999" x14ac:dyDescent="0.3">
      <c r="A141" s="87"/>
      <c r="C141" s="147"/>
      <c r="D141" s="147"/>
    </row>
    <row r="142" spans="1:4" s="23" customFormat="1" ht="20.399999999999999" x14ac:dyDescent="0.3">
      <c r="A142" s="87"/>
      <c r="C142" s="147"/>
      <c r="D142" s="147"/>
    </row>
    <row r="143" spans="1:4" s="23" customFormat="1" ht="20.399999999999999" x14ac:dyDescent="0.3">
      <c r="A143" s="87"/>
      <c r="C143" s="147"/>
      <c r="D143" s="147"/>
    </row>
    <row r="144" spans="1:4" s="23" customFormat="1" ht="20.399999999999999" x14ac:dyDescent="0.3">
      <c r="A144" s="87"/>
      <c r="C144" s="147"/>
      <c r="D144" s="147"/>
    </row>
    <row r="145" spans="1:4" s="23" customFormat="1" ht="20.399999999999999" x14ac:dyDescent="0.3">
      <c r="A145" s="87"/>
      <c r="C145" s="147"/>
      <c r="D145" s="147"/>
    </row>
    <row r="146" spans="1:4" s="23" customFormat="1" ht="20.399999999999999" x14ac:dyDescent="0.3">
      <c r="A146" s="87"/>
      <c r="C146" s="147"/>
      <c r="D146" s="147"/>
    </row>
    <row r="147" spans="1:4" s="23" customFormat="1" ht="20.399999999999999" x14ac:dyDescent="0.3">
      <c r="A147" s="87"/>
      <c r="C147" s="147"/>
      <c r="D147" s="147"/>
    </row>
    <row r="148" spans="1:4" s="23" customFormat="1" ht="20.399999999999999" x14ac:dyDescent="0.3">
      <c r="A148" s="87"/>
      <c r="C148" s="147"/>
      <c r="D148" s="147"/>
    </row>
    <row r="149" spans="1:4" s="23" customFormat="1" ht="20.399999999999999" x14ac:dyDescent="0.3">
      <c r="A149" s="87"/>
      <c r="C149" s="147"/>
      <c r="D149" s="147"/>
    </row>
    <row r="150" spans="1:4" s="23" customFormat="1" ht="20.399999999999999" x14ac:dyDescent="0.3">
      <c r="A150" s="87"/>
      <c r="C150" s="147"/>
      <c r="D150" s="147"/>
    </row>
    <row r="151" spans="1:4" s="23" customFormat="1" ht="20.399999999999999" x14ac:dyDescent="0.3">
      <c r="A151" s="87"/>
      <c r="C151" s="147"/>
      <c r="D151" s="147"/>
    </row>
    <row r="152" spans="1:4" s="23" customFormat="1" ht="20.399999999999999" x14ac:dyDescent="0.3">
      <c r="A152" s="87"/>
      <c r="C152" s="147"/>
      <c r="D152" s="147"/>
    </row>
    <row r="153" spans="1:4" s="23" customFormat="1" ht="20.399999999999999" x14ac:dyDescent="0.3">
      <c r="A153" s="87"/>
      <c r="C153" s="147"/>
      <c r="D153" s="147"/>
    </row>
    <row r="154" spans="1:4" s="23" customFormat="1" ht="20.399999999999999" x14ac:dyDescent="0.3">
      <c r="A154" s="87"/>
      <c r="C154" s="147"/>
      <c r="D154" s="147"/>
    </row>
    <row r="155" spans="1:4" s="23" customFormat="1" ht="20.399999999999999" x14ac:dyDescent="0.3">
      <c r="A155" s="87"/>
      <c r="C155" s="147"/>
      <c r="D155" s="147"/>
    </row>
    <row r="156" spans="1:4" s="23" customFormat="1" ht="20.399999999999999" x14ac:dyDescent="0.3">
      <c r="A156" s="87"/>
      <c r="C156" s="147"/>
      <c r="D156" s="147"/>
    </row>
    <row r="157" spans="1:4" s="23" customFormat="1" ht="20.399999999999999" x14ac:dyDescent="0.3">
      <c r="A157" s="87"/>
      <c r="C157" s="147"/>
      <c r="D157" s="147"/>
    </row>
    <row r="158" spans="1:4" s="23" customFormat="1" ht="20.399999999999999" x14ac:dyDescent="0.3">
      <c r="A158" s="87"/>
      <c r="C158" s="147"/>
      <c r="D158" s="147"/>
    </row>
    <row r="159" spans="1:4" s="23" customFormat="1" ht="20.399999999999999" x14ac:dyDescent="0.3">
      <c r="A159" s="87"/>
      <c r="C159" s="147"/>
      <c r="D159" s="147"/>
    </row>
    <row r="160" spans="1:4" s="23" customFormat="1" ht="20.399999999999999" x14ac:dyDescent="0.3">
      <c r="A160" s="87"/>
      <c r="C160" s="147"/>
      <c r="D160" s="147"/>
    </row>
    <row r="161" spans="1:4" s="23" customFormat="1" ht="20.399999999999999" x14ac:dyDescent="0.3">
      <c r="A161" s="87"/>
      <c r="C161" s="147"/>
      <c r="D161" s="147"/>
    </row>
    <row r="162" spans="1:4" s="23" customFormat="1" ht="20.399999999999999" x14ac:dyDescent="0.3">
      <c r="A162" s="87"/>
      <c r="C162" s="147"/>
      <c r="D162" s="147"/>
    </row>
    <row r="163" spans="1:4" s="23" customFormat="1" ht="20.399999999999999" x14ac:dyDescent="0.3">
      <c r="A163" s="87"/>
      <c r="C163" s="147"/>
      <c r="D163" s="147"/>
    </row>
    <row r="164" spans="1:4" s="23" customFormat="1" ht="20.399999999999999" x14ac:dyDescent="0.3">
      <c r="A164" s="87"/>
      <c r="C164" s="147"/>
      <c r="D164" s="147"/>
    </row>
    <row r="165" spans="1:4" s="23" customFormat="1" ht="20.399999999999999" x14ac:dyDescent="0.3">
      <c r="A165" s="87"/>
      <c r="C165" s="147"/>
      <c r="D165" s="147"/>
    </row>
    <row r="166" spans="1:4" s="23" customFormat="1" ht="20.399999999999999" x14ac:dyDescent="0.3">
      <c r="A166" s="87"/>
      <c r="C166" s="147"/>
      <c r="D166" s="147"/>
    </row>
    <row r="167" spans="1:4" s="23" customFormat="1" ht="20.399999999999999" x14ac:dyDescent="0.3">
      <c r="A167" s="87"/>
      <c r="C167" s="147"/>
      <c r="D167" s="147"/>
    </row>
    <row r="168" spans="1:4" s="23" customFormat="1" ht="20.399999999999999" x14ac:dyDescent="0.3">
      <c r="A168" s="87"/>
      <c r="C168" s="147"/>
      <c r="D168" s="147"/>
    </row>
    <row r="169" spans="1:4" s="23" customFormat="1" ht="20.399999999999999" x14ac:dyDescent="0.3">
      <c r="A169" s="87"/>
      <c r="C169" s="147"/>
      <c r="D169" s="147"/>
    </row>
    <row r="170" spans="1:4" s="23" customFormat="1" ht="20.399999999999999" x14ac:dyDescent="0.3">
      <c r="A170" s="87"/>
      <c r="C170" s="147"/>
      <c r="D170" s="147"/>
    </row>
    <row r="171" spans="1:4" s="23" customFormat="1" ht="20.399999999999999" x14ac:dyDescent="0.3">
      <c r="A171" s="87"/>
      <c r="C171" s="147"/>
      <c r="D171" s="147"/>
    </row>
    <row r="172" spans="1:4" s="23" customFormat="1" ht="20.399999999999999" x14ac:dyDescent="0.3">
      <c r="A172" s="87"/>
      <c r="C172" s="147"/>
      <c r="D172" s="147"/>
    </row>
    <row r="173" spans="1:4" s="23" customFormat="1" ht="20.399999999999999" x14ac:dyDescent="0.3">
      <c r="A173" s="87"/>
      <c r="C173" s="147"/>
      <c r="D173" s="147"/>
    </row>
    <row r="174" spans="1:4" s="23" customFormat="1" ht="20.399999999999999" x14ac:dyDescent="0.3">
      <c r="A174" s="87"/>
      <c r="C174" s="147"/>
      <c r="D174" s="147"/>
    </row>
    <row r="175" spans="1:4" s="23" customFormat="1" ht="20.399999999999999" x14ac:dyDescent="0.3">
      <c r="A175" s="87"/>
      <c r="C175" s="147"/>
      <c r="D175" s="147"/>
    </row>
    <row r="176" spans="1:4" s="23" customFormat="1" ht="20.399999999999999" x14ac:dyDescent="0.3">
      <c r="A176" s="87"/>
      <c r="C176" s="147"/>
      <c r="D176" s="147"/>
    </row>
    <row r="177" spans="1:4" s="23" customFormat="1" ht="20.399999999999999" x14ac:dyDescent="0.3">
      <c r="A177" s="87"/>
      <c r="C177" s="147"/>
      <c r="D177" s="147"/>
    </row>
    <row r="178" spans="1:4" s="23" customFormat="1" ht="20.399999999999999" x14ac:dyDescent="0.3">
      <c r="A178" s="87"/>
      <c r="C178" s="147"/>
      <c r="D178" s="147"/>
    </row>
    <row r="179" spans="1:4" s="23" customFormat="1" ht="20.399999999999999" x14ac:dyDescent="0.3">
      <c r="A179" s="87"/>
      <c r="C179" s="147"/>
      <c r="D179" s="147"/>
    </row>
    <row r="180" spans="1:4" s="23" customFormat="1" ht="20.399999999999999" x14ac:dyDescent="0.3">
      <c r="A180" s="87"/>
      <c r="C180" s="147"/>
      <c r="D180" s="147"/>
    </row>
    <row r="181" spans="1:4" s="23" customFormat="1" ht="20.399999999999999" x14ac:dyDescent="0.3">
      <c r="A181" s="87"/>
      <c r="C181" s="147"/>
      <c r="D181" s="147"/>
    </row>
    <row r="182" spans="1:4" s="23" customFormat="1" ht="20.399999999999999" x14ac:dyDescent="0.3">
      <c r="A182" s="87"/>
      <c r="C182" s="147"/>
      <c r="D182" s="147"/>
    </row>
    <row r="183" spans="1:4" s="23" customFormat="1" ht="20.399999999999999" x14ac:dyDescent="0.3">
      <c r="A183" s="87"/>
      <c r="C183" s="147"/>
      <c r="D183" s="147"/>
    </row>
    <row r="184" spans="1:4" s="23" customFormat="1" ht="20.399999999999999" x14ac:dyDescent="0.3">
      <c r="A184" s="87"/>
      <c r="C184" s="147"/>
      <c r="D184" s="147"/>
    </row>
    <row r="185" spans="1:4" s="23" customFormat="1" ht="20.399999999999999" x14ac:dyDescent="0.3">
      <c r="A185" s="87"/>
      <c r="C185" s="147"/>
      <c r="D185" s="147"/>
    </row>
    <row r="186" spans="1:4" s="23" customFormat="1" ht="20.399999999999999" x14ac:dyDescent="0.3">
      <c r="A186" s="87"/>
      <c r="C186" s="147"/>
      <c r="D186" s="147"/>
    </row>
    <row r="187" spans="1:4" s="23" customFormat="1" ht="20.399999999999999" x14ac:dyDescent="0.3">
      <c r="A187" s="87"/>
      <c r="C187" s="147"/>
      <c r="D187" s="147"/>
    </row>
    <row r="188" spans="1:4" s="23" customFormat="1" ht="20.399999999999999" x14ac:dyDescent="0.3">
      <c r="A188" s="87"/>
      <c r="C188" s="147"/>
      <c r="D188" s="147"/>
    </row>
    <row r="189" spans="1:4" s="23" customFormat="1" ht="20.399999999999999" x14ac:dyDescent="0.3">
      <c r="A189" s="87"/>
      <c r="C189" s="147"/>
      <c r="D189" s="147"/>
    </row>
    <row r="190" spans="1:4" s="23" customFormat="1" ht="20.399999999999999" x14ac:dyDescent="0.3">
      <c r="A190" s="87"/>
      <c r="C190" s="147"/>
      <c r="D190" s="147"/>
    </row>
    <row r="191" spans="1:4" s="23" customFormat="1" ht="20.399999999999999" x14ac:dyDescent="0.3">
      <c r="A191" s="87"/>
      <c r="C191" s="147"/>
      <c r="D191" s="147"/>
    </row>
    <row r="192" spans="1:4" s="23" customFormat="1" ht="20.399999999999999" x14ac:dyDescent="0.3">
      <c r="A192" s="87"/>
      <c r="C192" s="147"/>
      <c r="D192" s="147"/>
    </row>
    <row r="193" spans="1:4" s="23" customFormat="1" ht="20.399999999999999" x14ac:dyDescent="0.3">
      <c r="A193" s="87"/>
      <c r="C193" s="147"/>
      <c r="D193" s="147"/>
    </row>
    <row r="194" spans="1:4" s="23" customFormat="1" ht="20.399999999999999" x14ac:dyDescent="0.3">
      <c r="A194" s="87"/>
      <c r="C194" s="147"/>
      <c r="D194" s="147"/>
    </row>
    <row r="195" spans="1:4" s="23" customFormat="1" ht="20.399999999999999" x14ac:dyDescent="0.3">
      <c r="A195" s="87"/>
      <c r="C195" s="147"/>
      <c r="D195" s="147"/>
    </row>
    <row r="196" spans="1:4" s="23" customFormat="1" ht="20.399999999999999" x14ac:dyDescent="0.3">
      <c r="A196" s="87"/>
      <c r="C196" s="147"/>
      <c r="D196" s="147"/>
    </row>
    <row r="197" spans="1:4" s="23" customFormat="1" ht="20.399999999999999" x14ac:dyDescent="0.3">
      <c r="A197" s="87"/>
      <c r="C197" s="147"/>
      <c r="D197" s="147"/>
    </row>
    <row r="198" spans="1:4" s="23" customFormat="1" ht="20.399999999999999" x14ac:dyDescent="0.3">
      <c r="A198" s="87"/>
      <c r="C198" s="147"/>
      <c r="D198" s="147"/>
    </row>
    <row r="199" spans="1:4" s="23" customFormat="1" ht="20.399999999999999" x14ac:dyDescent="0.3">
      <c r="A199" s="87"/>
      <c r="C199" s="147"/>
      <c r="D199" s="147"/>
    </row>
    <row r="200" spans="1:4" s="23" customFormat="1" ht="20.399999999999999" x14ac:dyDescent="0.3">
      <c r="A200" s="87"/>
      <c r="C200" s="147"/>
      <c r="D200" s="147"/>
    </row>
    <row r="201" spans="1:4" s="23" customFormat="1" ht="20.399999999999999" x14ac:dyDescent="0.3">
      <c r="A201" s="87"/>
      <c r="C201" s="147"/>
      <c r="D201" s="147"/>
    </row>
    <row r="202" spans="1:4" s="23" customFormat="1" ht="20.399999999999999" x14ac:dyDescent="0.3">
      <c r="A202" s="87"/>
      <c r="C202" s="147"/>
      <c r="D202" s="147"/>
    </row>
    <row r="203" spans="1:4" s="23" customFormat="1" ht="20.399999999999999" x14ac:dyDescent="0.3">
      <c r="A203" s="87"/>
      <c r="C203" s="147"/>
      <c r="D203" s="147"/>
    </row>
    <row r="204" spans="1:4" s="23" customFormat="1" ht="20.399999999999999" x14ac:dyDescent="0.3">
      <c r="A204" s="87"/>
      <c r="C204" s="147"/>
      <c r="D204" s="147"/>
    </row>
    <row r="205" spans="1:4" s="23" customFormat="1" ht="20.399999999999999" x14ac:dyDescent="0.3">
      <c r="A205" s="87"/>
      <c r="C205" s="147"/>
      <c r="D205" s="147"/>
    </row>
    <row r="206" spans="1:4" s="23" customFormat="1" ht="20.399999999999999" x14ac:dyDescent="0.3">
      <c r="A206" s="87"/>
      <c r="C206" s="147"/>
      <c r="D206" s="147"/>
    </row>
    <row r="207" spans="1:4" s="23" customFormat="1" ht="20.399999999999999" x14ac:dyDescent="0.3">
      <c r="A207" s="87"/>
      <c r="C207" s="147"/>
      <c r="D207" s="147"/>
    </row>
    <row r="208" spans="1:4" s="23" customFormat="1" x14ac:dyDescent="0.3">
      <c r="A208" s="87"/>
    </row>
    <row r="209" spans="1:8" s="23" customFormat="1" ht="20.399999999999999" x14ac:dyDescent="0.3">
      <c r="A209" s="87"/>
      <c r="B209" s="148" t="s">
        <v>86</v>
      </c>
      <c r="C209" s="148" t="s">
        <v>139</v>
      </c>
      <c r="D209" s="149" t="s">
        <v>86</v>
      </c>
      <c r="E209" s="149" t="s">
        <v>139</v>
      </c>
    </row>
    <row r="210" spans="1:8" s="23" customFormat="1" ht="42" x14ac:dyDescent="0.4">
      <c r="A210" s="87"/>
      <c r="B210" s="150" t="s">
        <v>88</v>
      </c>
      <c r="C210" s="150"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50" t="s">
        <v>88</v>
      </c>
      <c r="C211" s="150" t="s">
        <v>205</v>
      </c>
      <c r="E211" s="23" t="s">
        <v>204</v>
      </c>
      <c r="F211" s="23" t="str">
        <f t="shared" ref="F211:F221" si="0">IF(NOT(ISBLANK(D211)),D211,IF(NOT(ISBLANK(E211)),"     "&amp;E211,FALSE))</f>
        <v xml:space="preserve">     Afectación menor a 200 SMLMV</v>
      </c>
    </row>
    <row r="212" spans="1:8" s="23" customFormat="1" ht="42" x14ac:dyDescent="0.4">
      <c r="A212" s="87"/>
      <c r="B212" s="150" t="s">
        <v>88</v>
      </c>
      <c r="C212" s="150" t="s">
        <v>208</v>
      </c>
      <c r="E212" s="23" t="s">
        <v>205</v>
      </c>
      <c r="F212" s="23" t="str">
        <f t="shared" si="0"/>
        <v xml:space="preserve">     Entre 200 y 1000 SMLMV</v>
      </c>
    </row>
    <row r="213" spans="1:8" s="23" customFormat="1" ht="42" x14ac:dyDescent="0.4">
      <c r="A213" s="87"/>
      <c r="B213" s="150" t="s">
        <v>88</v>
      </c>
      <c r="C213" s="150" t="s">
        <v>209</v>
      </c>
      <c r="E213" s="23" t="s">
        <v>208</v>
      </c>
      <c r="F213" s="23" t="str">
        <f t="shared" si="0"/>
        <v xml:space="preserve">     Entre 1000 y 5000 SMLMV </v>
      </c>
    </row>
    <row r="214" spans="1:8" s="23" customFormat="1" ht="42" x14ac:dyDescent="0.4">
      <c r="A214" s="87"/>
      <c r="B214" s="150" t="s">
        <v>88</v>
      </c>
      <c r="C214" s="150" t="s">
        <v>206</v>
      </c>
      <c r="E214" s="23" t="s">
        <v>209</v>
      </c>
      <c r="F214" s="23" t="str">
        <f t="shared" si="0"/>
        <v xml:space="preserve">     Entre 5000 y 10000 SMLMV</v>
      </c>
    </row>
    <row r="215" spans="1:8" s="23" customFormat="1" ht="21" x14ac:dyDescent="0.4">
      <c r="A215" s="87"/>
      <c r="B215" s="150" t="s">
        <v>56</v>
      </c>
      <c r="C215" s="150" t="s">
        <v>91</v>
      </c>
      <c r="E215" s="23" t="s">
        <v>206</v>
      </c>
      <c r="F215" s="23" t="str">
        <f t="shared" si="0"/>
        <v xml:space="preserve">     Mayor a 10000 SMLMV</v>
      </c>
    </row>
    <row r="216" spans="1:8" s="23" customFormat="1" ht="63" x14ac:dyDescent="0.4">
      <c r="A216" s="87"/>
      <c r="B216" s="150" t="s">
        <v>56</v>
      </c>
      <c r="C216" s="150" t="s">
        <v>92</v>
      </c>
      <c r="D216" s="23" t="s">
        <v>56</v>
      </c>
      <c r="F216" s="23" t="str">
        <f t="shared" si="0"/>
        <v>Pérdida Reputacional</v>
      </c>
    </row>
    <row r="217" spans="1:8" s="23" customFormat="1" ht="42" x14ac:dyDescent="0.4">
      <c r="A217" s="87"/>
      <c r="B217" s="150" t="s">
        <v>56</v>
      </c>
      <c r="C217" s="150" t="s">
        <v>94</v>
      </c>
      <c r="E217" s="23" t="s">
        <v>91</v>
      </c>
      <c r="F217" s="23" t="str">
        <f>IF(NOT(ISBLANK(D217)),D217,IF(NOT(ISBLANK(E217)),"     "&amp;E217,FALSE))</f>
        <v xml:space="preserve">     El riesgo afecta la imagen de alguna área de la organización</v>
      </c>
    </row>
    <row r="218" spans="1:8" s="23" customFormat="1" ht="63" x14ac:dyDescent="0.4">
      <c r="A218" s="87"/>
      <c r="B218" s="150" t="s">
        <v>56</v>
      </c>
      <c r="C218" s="150"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50" t="s">
        <v>56</v>
      </c>
      <c r="C219" s="150"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51" t="s">
        <v>140</v>
      </c>
    </row>
    <row r="224" spans="1:8" s="23" customFormat="1" x14ac:dyDescent="0.3">
      <c r="F224" s="151"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Intructivo</vt:lpstr>
      <vt:lpstr>Contexto</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2022-10-21T19:18:20Z</cp:lastPrinted>
  <dcterms:created xsi:type="dcterms:W3CDTF">2020-03-24T23:12:47Z</dcterms:created>
  <dcterms:modified xsi:type="dcterms:W3CDTF">2025-05-09T04:35:31Z</dcterms:modified>
</cp:coreProperties>
</file>