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 SEC HACIENDA\"/>
    </mc:Choice>
  </mc:AlternateContent>
  <xr:revisionPtr revIDLastSave="0" documentId="13_ncr:1_{11905BDD-6BE1-4DA2-A170-0AB8247126CB}" xr6:coauthVersionLast="47" xr6:coauthVersionMax="47" xr10:uidLastSave="{00000000-0000-0000-0000-000000000000}"/>
  <bookViews>
    <workbookView xWindow="-108" yWindow="-108" windowWidth="23256" windowHeight="12456" firstSheet="2" activeTab="3" xr2:uid="{00000000-000D-0000-FFFF-FFFF00000000}"/>
  </bookViews>
  <sheets>
    <sheet name="Intructivo" sheetId="20" r:id="rId1"/>
    <sheet name="Contexto" sheetId="21" r:id="rId2"/>
    <sheet name="Priorizacion de Causas" sheetId="22" r:id="rId3"/>
    <sheet name="Mapa final" sheetId="1" r:id="rId4"/>
    <sheet name="DOFA" sheetId="23"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Print_Area" localSheetId="3">'Mapa final'!$A$1:$AM$71</definedName>
    <definedName name="_xlnm.Print_Titles" localSheetId="3">'Mapa final'!$8:$9</definedName>
  </definedNames>
  <calcPr calcId="191029"/>
  <pivotCaches>
    <pivotCache cacheId="5"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R38" i="22"/>
  <c r="S38" i="22"/>
  <c r="R37" i="22"/>
  <c r="E33" i="1"/>
  <c r="E28" i="1"/>
  <c r="E22" i="1"/>
  <c r="E16" i="1"/>
  <c r="S10" i="1" l="1"/>
  <c r="S22" i="1" l="1"/>
  <c r="S39" i="1" l="1"/>
  <c r="B1" i="22" l="1"/>
  <c r="A5" i="23"/>
  <c r="E39" i="1" l="1"/>
  <c r="A6" i="23"/>
  <c r="A7" i="22"/>
  <c r="A6" i="22"/>
  <c r="S34" i="1" l="1"/>
  <c r="K34" i="1"/>
  <c r="L34" i="1" s="1"/>
  <c r="T34" i="1" l="1"/>
  <c r="T33" i="1"/>
  <c r="S33" i="1" l="1"/>
  <c r="S30" i="1"/>
  <c r="S31" i="1"/>
  <c r="S32" i="1"/>
  <c r="K16" i="1" l="1"/>
  <c r="E10" i="1"/>
  <c r="R34" i="22"/>
  <c r="S34" i="22"/>
  <c r="S63" i="1" l="1"/>
  <c r="S57" i="1"/>
  <c r="S51" i="1"/>
  <c r="S45" i="1"/>
  <c r="S28" i="1" l="1"/>
  <c r="S16" i="1" l="1"/>
  <c r="J10" i="1" l="1"/>
  <c r="K10" i="1" s="1"/>
  <c r="T11" i="1"/>
  <c r="W11" i="1"/>
  <c r="T12" i="1"/>
  <c r="W12" i="1"/>
  <c r="T13" i="1"/>
  <c r="W13" i="1"/>
  <c r="T14" i="1"/>
  <c r="W14" i="1"/>
  <c r="T15" i="1"/>
  <c r="W15" i="1"/>
  <c r="S42" i="22"/>
  <c r="R12" i="22"/>
  <c r="S12" i="22"/>
  <c r="R13" i="22"/>
  <c r="S13" i="22"/>
  <c r="R14" i="22"/>
  <c r="S14" i="22"/>
  <c r="R15" i="22"/>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5" i="22"/>
  <c r="S35" i="22"/>
  <c r="R36" i="22"/>
  <c r="S36" i="22"/>
  <c r="S37" i="22"/>
  <c r="R39" i="22"/>
  <c r="S39" i="22"/>
  <c r="R40" i="22"/>
  <c r="S40" i="22"/>
  <c r="R41" i="22"/>
  <c r="S41" i="22"/>
  <c r="R42" i="22"/>
  <c r="R11" i="22"/>
  <c r="S11" i="22"/>
  <c r="N13" i="1"/>
  <c r="N11" i="1"/>
  <c r="N15" i="1"/>
  <c r="N14" i="1"/>
  <c r="N12" i="1"/>
  <c r="S43" i="22" l="1"/>
  <c r="S44" i="22" s="1"/>
  <c r="AE15" i="1"/>
  <c r="AD15" i="1" s="1"/>
  <c r="AA14" i="1"/>
  <c r="AC14" i="1" s="1"/>
  <c r="AE12" i="1"/>
  <c r="AD12" i="1" s="1"/>
  <c r="AA13" i="1"/>
  <c r="AC13" i="1" s="1"/>
  <c r="AA15" i="1"/>
  <c r="AB15" i="1" s="1"/>
  <c r="AE13" i="1"/>
  <c r="AD13" i="1" s="1"/>
  <c r="AA12" i="1"/>
  <c r="AB12" i="1" s="1"/>
  <c r="AE14" i="1"/>
  <c r="AD14" i="1" s="1"/>
  <c r="AF12" i="1" l="1"/>
  <c r="AF15" i="1"/>
  <c r="AB14" i="1"/>
  <c r="AF14" i="1" s="1"/>
  <c r="AB13" i="1"/>
  <c r="AF13" i="1" s="1"/>
  <c r="AC15" i="1"/>
  <c r="AC12" i="1"/>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W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AE20" i="1" l="1"/>
  <c r="AD20" i="1" s="1"/>
  <c r="AE31" i="1"/>
  <c r="AD31" i="1" s="1"/>
  <c r="AE47" i="1"/>
  <c r="AD47" i="1" s="1"/>
  <c r="AE35" i="1"/>
  <c r="AD35" i="1" s="1"/>
  <c r="AE43" i="1"/>
  <c r="AD43" i="1" s="1"/>
  <c r="AE24" i="1"/>
  <c r="AD24" i="1" s="1"/>
  <c r="AE19" i="1"/>
  <c r="AD19" i="1" s="1"/>
  <c r="AE23" i="1"/>
  <c r="AD23" i="1" s="1"/>
  <c r="AE27" i="1"/>
  <c r="AD27" i="1" s="1"/>
  <c r="AE30" i="1"/>
  <c r="AD30" i="1" s="1"/>
  <c r="AE38" i="1"/>
  <c r="AD38" i="1" s="1"/>
  <c r="AE42" i="1"/>
  <c r="AD42" i="1" s="1"/>
  <c r="AE46" i="1"/>
  <c r="AD46" i="1" s="1"/>
  <c r="AE50" i="1"/>
  <c r="AD50" i="1" s="1"/>
  <c r="AE54" i="1"/>
  <c r="AD54" i="1" s="1"/>
  <c r="AE58" i="1"/>
  <c r="AD58" i="1" s="1"/>
  <c r="AE66" i="1"/>
  <c r="AD66" i="1" s="1"/>
  <c r="AE18" i="1"/>
  <c r="AD18" i="1" s="1"/>
  <c r="AE29" i="1"/>
  <c r="AD29" i="1" s="1"/>
  <c r="AE37" i="1"/>
  <c r="AD37" i="1" s="1"/>
  <c r="AE41" i="1"/>
  <c r="AD41" i="1" s="1"/>
  <c r="AE49" i="1"/>
  <c r="AD49" i="1" s="1"/>
  <c r="AE53" i="1"/>
  <c r="AD53" i="1" s="1"/>
  <c r="AE61" i="1"/>
  <c r="AD61" i="1" s="1"/>
  <c r="AE26" i="1"/>
  <c r="AD26" i="1" s="1"/>
  <c r="AE65" i="1"/>
  <c r="AD65" i="1" s="1"/>
  <c r="AE62" i="1"/>
  <c r="AD62" i="1" s="1"/>
  <c r="AE55" i="1"/>
  <c r="AD55" i="1" s="1"/>
  <c r="AE59" i="1"/>
  <c r="AD59" i="1" s="1"/>
  <c r="AE67" i="1"/>
  <c r="AD67" i="1" s="1"/>
  <c r="AE17" i="1"/>
  <c r="AD17" i="1" s="1"/>
  <c r="AE21" i="1"/>
  <c r="AD21" i="1" s="1"/>
  <c r="AE25" i="1"/>
  <c r="AD25"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41" i="1"/>
  <c r="AA43" i="1"/>
  <c r="AA40" i="1"/>
  <c r="AA42" i="1"/>
  <c r="AA44" i="1"/>
  <c r="AA35" i="1"/>
  <c r="AA37" i="1"/>
  <c r="AA36" i="1"/>
  <c r="AA38" i="1"/>
  <c r="AA29" i="1"/>
  <c r="AA31" i="1"/>
  <c r="AA30" i="1"/>
  <c r="AA32" i="1"/>
  <c r="AA24" i="1"/>
  <c r="AA26" i="1"/>
  <c r="AA23" i="1"/>
  <c r="AA25" i="1"/>
  <c r="AA27" i="1"/>
  <c r="AA18" i="1"/>
  <c r="AA20" i="1"/>
  <c r="AA17" i="1"/>
  <c r="AA19" i="1"/>
  <c r="AA21"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8" i="1"/>
  <c r="AB38" i="1"/>
  <c r="AF38" i="1" s="1"/>
  <c r="AC36" i="1"/>
  <c r="AB36" i="1"/>
  <c r="AF36" i="1" s="1"/>
  <c r="AB37" i="1"/>
  <c r="AF37" i="1" s="1"/>
  <c r="AC37" i="1"/>
  <c r="AB35" i="1"/>
  <c r="AF35" i="1" s="1"/>
  <c r="AC35" i="1"/>
  <c r="AC32" i="1"/>
  <c r="AB32" i="1"/>
  <c r="AF32" i="1" s="1"/>
  <c r="AC30" i="1"/>
  <c r="AB30" i="1"/>
  <c r="AF30" i="1" s="1"/>
  <c r="AC31" i="1"/>
  <c r="AB31" i="1"/>
  <c r="AF31" i="1" s="1"/>
  <c r="AC29" i="1"/>
  <c r="AB29" i="1"/>
  <c r="AF29" i="1" s="1"/>
  <c r="AC25" i="1"/>
  <c r="AB25" i="1"/>
  <c r="AF25" i="1" s="1"/>
  <c r="AC23" i="1"/>
  <c r="AB23" i="1"/>
  <c r="AF23" i="1" s="1"/>
  <c r="AC26" i="1"/>
  <c r="AB26" i="1"/>
  <c r="AF26" i="1" s="1"/>
  <c r="AC27" i="1"/>
  <c r="AB27" i="1"/>
  <c r="AF27" i="1" s="1"/>
  <c r="AC24" i="1"/>
  <c r="AB24" i="1"/>
  <c r="AF24" i="1" s="1"/>
  <c r="AC21" i="1"/>
  <c r="AB21" i="1"/>
  <c r="AF21" i="1" s="1"/>
  <c r="AC19" i="1"/>
  <c r="AB19" i="1"/>
  <c r="AF19" i="1" s="1"/>
  <c r="AC20" i="1"/>
  <c r="AB20" i="1"/>
  <c r="AF20" i="1" s="1"/>
  <c r="AC18" i="1"/>
  <c r="AB18" i="1"/>
  <c r="AF18" i="1" s="1"/>
  <c r="AC17" i="1"/>
  <c r="AB17" i="1"/>
  <c r="AF17" i="1" s="1"/>
  <c r="K22" i="1" l="1"/>
  <c r="L22" i="1" s="1"/>
  <c r="AA22" i="1" s="1"/>
  <c r="K28" i="1"/>
  <c r="K33" i="1"/>
  <c r="L33" i="1" s="1"/>
  <c r="AA33" i="1" s="1"/>
  <c r="K39" i="1"/>
  <c r="L39" i="1" s="1"/>
  <c r="AA39" i="1" s="1"/>
  <c r="K45" i="1"/>
  <c r="L45" i="1" s="1"/>
  <c r="K51" i="1"/>
  <c r="L51" i="1" s="1"/>
  <c r="K57" i="1"/>
  <c r="L57" i="1" s="1"/>
  <c r="K63" i="1"/>
  <c r="L63" i="1" s="1"/>
  <c r="N56" i="1"/>
  <c r="N62" i="1"/>
  <c r="N61" i="1"/>
  <c r="N40" i="1"/>
  <c r="N41" i="1"/>
  <c r="N38" i="1"/>
  <c r="N60" i="1"/>
  <c r="N49" i="1"/>
  <c r="N52" i="1"/>
  <c r="N50" i="1"/>
  <c r="N53" i="1"/>
  <c r="N58" i="1"/>
  <c r="N55" i="1"/>
  <c r="N68" i="1"/>
  <c r="N30" i="1"/>
  <c r="N42" i="1"/>
  <c r="N64" i="1"/>
  <c r="N54" i="1"/>
  <c r="N32" i="1"/>
  <c r="N48" i="1"/>
  <c r="N25" i="1"/>
  <c r="N24" i="1"/>
  <c r="N37" i="1"/>
  <c r="N59" i="1"/>
  <c r="N31" i="1"/>
  <c r="N27" i="1"/>
  <c r="N35" i="1"/>
  <c r="N23" i="1"/>
  <c r="N67" i="1"/>
  <c r="N43" i="1"/>
  <c r="N44" i="1"/>
  <c r="N36" i="1"/>
  <c r="N29" i="1"/>
  <c r="N26" i="1"/>
  <c r="N47" i="1"/>
  <c r="N65" i="1"/>
  <c r="N66" i="1"/>
  <c r="N34" i="1"/>
  <c r="O34" i="1" s="1"/>
  <c r="N46" i="1"/>
  <c r="P34" i="1" l="1"/>
  <c r="Q34" i="1"/>
  <c r="AC39" i="1"/>
  <c r="AB39" i="1"/>
  <c r="AC33" i="1"/>
  <c r="AA34" i="1" s="1"/>
  <c r="AB33" i="1"/>
  <c r="AC22" i="1"/>
  <c r="AB22" i="1"/>
  <c r="L28" i="1"/>
  <c r="AA28" i="1" s="1"/>
  <c r="AC34" i="1" l="1"/>
  <c r="AB34" i="1"/>
  <c r="AC28" i="1"/>
  <c r="AB28" i="1"/>
  <c r="F217" i="13"/>
  <c r="W10" i="1" l="1"/>
  <c r="T10" i="1"/>
  <c r="AE11" i="1" l="1"/>
  <c r="AD11" i="1" s="1"/>
  <c r="AA11" i="1"/>
  <c r="L10" i="1"/>
  <c r="N21" i="1"/>
  <c r="N18" i="1"/>
  <c r="N20" i="1"/>
  <c r="N19" i="1"/>
  <c r="N17" i="1"/>
  <c r="AB11" i="1" l="1"/>
  <c r="AF11" i="1" s="1"/>
  <c r="AC11" i="1"/>
  <c r="F221" i="13"/>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L16" i="1" l="1"/>
  <c r="AA16" i="1" s="1"/>
  <c r="AC16" i="1" l="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V25" i="19" l="1"/>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N22" i="1" l="1"/>
  <c r="O22" i="1" s="1"/>
  <c r="N28" i="1"/>
  <c r="O28" i="1" s="1"/>
  <c r="N33" i="1"/>
  <c r="O33" i="1" s="1"/>
  <c r="N39" i="1"/>
  <c r="O39" i="1" s="1"/>
  <c r="N45" i="1"/>
  <c r="O45" i="1" s="1"/>
  <c r="N51" i="1"/>
  <c r="O51" i="1" s="1"/>
  <c r="N57" i="1"/>
  <c r="O57" i="1" s="1"/>
  <c r="N63" i="1"/>
  <c r="O63" i="1" s="1"/>
  <c r="N16" i="1"/>
  <c r="O16" i="1" s="1"/>
  <c r="N10" i="1"/>
  <c r="O10" i="1" s="1"/>
  <c r="P38" i="18" l="1"/>
  <c r="J6" i="18"/>
  <c r="V6" i="18"/>
  <c r="J22" i="18"/>
  <c r="V22" i="18"/>
  <c r="AH6" i="18"/>
  <c r="P22" i="18"/>
  <c r="AH22" i="18"/>
  <c r="P6" i="18"/>
  <c r="P10" i="1"/>
  <c r="AE10"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AE39" i="1" s="1"/>
  <c r="AD39" i="1" s="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E33" i="1" s="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AE28" i="1" s="1"/>
  <c r="AD28" i="1" s="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AE22" i="1" s="1"/>
  <c r="AD22" i="1" s="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33" i="1" l="1"/>
  <c r="J50" i="19" s="1"/>
  <c r="AE34" i="1"/>
  <c r="AD34" i="1" s="1"/>
  <c r="AF39" i="1"/>
  <c r="J11" i="19"/>
  <c r="J31" i="19"/>
  <c r="J21" i="19"/>
  <c r="V41" i="19"/>
  <c r="P51" i="19"/>
  <c r="J51" i="19"/>
  <c r="P11" i="19"/>
  <c r="V11" i="19"/>
  <c r="AB41" i="19"/>
  <c r="AB31" i="19"/>
  <c r="V31" i="19"/>
  <c r="V21" i="19"/>
  <c r="AH51" i="19"/>
  <c r="AB21" i="19"/>
  <c r="AH41" i="19"/>
  <c r="AB51" i="19"/>
  <c r="AH21" i="19"/>
  <c r="AH31" i="19"/>
  <c r="AH11" i="19"/>
  <c r="P31" i="19"/>
  <c r="P41" i="19"/>
  <c r="P21" i="19"/>
  <c r="AB11" i="19"/>
  <c r="V51" i="19"/>
  <c r="J41" i="19"/>
  <c r="AF28" i="1"/>
  <c r="AB9" i="19"/>
  <c r="AB49" i="19"/>
  <c r="AH19" i="19"/>
  <c r="J49" i="19"/>
  <c r="AH39" i="19"/>
  <c r="V39" i="19"/>
  <c r="AB29" i="19"/>
  <c r="AH29" i="19"/>
  <c r="AH9" i="19"/>
  <c r="J9" i="19"/>
  <c r="P9" i="19"/>
  <c r="V9" i="19"/>
  <c r="P49" i="19"/>
  <c r="AB19" i="19"/>
  <c r="J39" i="19"/>
  <c r="V19" i="19"/>
  <c r="AB39" i="19"/>
  <c r="J29" i="19"/>
  <c r="P19" i="19"/>
  <c r="P39" i="19"/>
  <c r="P29" i="19"/>
  <c r="AH49" i="19"/>
  <c r="J19" i="19"/>
  <c r="V49" i="19"/>
  <c r="V29" i="19"/>
  <c r="AF22" i="1"/>
  <c r="P38" i="19"/>
  <c r="P48" i="19"/>
  <c r="J8" i="19"/>
  <c r="AH48" i="19"/>
  <c r="V18" i="19"/>
  <c r="J38" i="19"/>
  <c r="AH28" i="19"/>
  <c r="AB48" i="19"/>
  <c r="J28" i="19"/>
  <c r="V28" i="19"/>
  <c r="P28" i="19"/>
  <c r="AB18" i="19"/>
  <c r="AH18" i="19"/>
  <c r="AB8" i="19"/>
  <c r="V48" i="19"/>
  <c r="V38" i="19"/>
  <c r="AB38" i="19"/>
  <c r="P8" i="19"/>
  <c r="J18" i="19"/>
  <c r="V8" i="19"/>
  <c r="J48" i="19"/>
  <c r="AH38" i="19"/>
  <c r="AH8" i="19"/>
  <c r="P18" i="19"/>
  <c r="AB28" i="19"/>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B50" i="19" l="1"/>
  <c r="AB30" i="19"/>
  <c r="J20" i="19"/>
  <c r="V30" i="19"/>
  <c r="J30" i="19"/>
  <c r="P50" i="19"/>
  <c r="AH50" i="19"/>
  <c r="P20" i="19"/>
  <c r="V40" i="19"/>
  <c r="AB20" i="19"/>
  <c r="AF33" i="1"/>
  <c r="AB10" i="19"/>
  <c r="V20" i="19"/>
  <c r="P30" i="19"/>
  <c r="J10" i="19"/>
  <c r="P40" i="19"/>
  <c r="AH20" i="19"/>
  <c r="J40" i="19"/>
  <c r="V50" i="19"/>
  <c r="AB40" i="19"/>
  <c r="P10" i="19"/>
  <c r="AH30" i="19"/>
  <c r="AH40" i="19"/>
  <c r="V10" i="19"/>
  <c r="AH10" i="19"/>
  <c r="AF34" i="1"/>
  <c r="AC40" i="19"/>
  <c r="W20" i="19"/>
  <c r="W40" i="19"/>
  <c r="Q20" i="19"/>
  <c r="K20" i="19"/>
  <c r="W10" i="19"/>
  <c r="K10" i="19"/>
  <c r="AC50" i="19"/>
  <c r="Q40" i="19"/>
  <c r="AC10" i="19"/>
  <c r="K30" i="19"/>
  <c r="W50" i="19"/>
  <c r="Q10" i="19"/>
  <c r="AI10" i="19"/>
  <c r="AI30" i="19"/>
  <c r="Q30" i="19"/>
  <c r="AI50" i="19"/>
  <c r="AC20" i="19"/>
  <c r="AI20" i="19"/>
  <c r="W30" i="19"/>
  <c r="K40" i="19"/>
  <c r="K50" i="19"/>
  <c r="AC30" i="19"/>
  <c r="Q50" i="19"/>
  <c r="AI40" i="19"/>
  <c r="P26" i="19"/>
  <c r="V26" i="19"/>
  <c r="AH46" i="19"/>
  <c r="P6" i="19"/>
  <c r="J36" i="19"/>
  <c r="J6" i="19"/>
  <c r="V36" i="19"/>
  <c r="P46" i="19"/>
  <c r="J16" i="19"/>
  <c r="AH36" i="19"/>
  <c r="J46" i="19"/>
  <c r="AB16" i="19"/>
  <c r="J26" i="19"/>
  <c r="AB26" i="19"/>
  <c r="AB6" i="19"/>
  <c r="AB46" i="19"/>
  <c r="AF10" i="1"/>
  <c r="AH6" i="19"/>
  <c r="P16" i="19"/>
  <c r="AH16" i="19"/>
  <c r="AB36" i="19"/>
  <c r="AH26" i="19"/>
  <c r="V16" i="19"/>
  <c r="V4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B8" authorId="0" shapeId="0" xr:uid="{00000000-0006-0000-0400-000001000000}">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00000000-0006-0000-0400-000002000000}">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00000000-0006-0000-0400-000003000000}">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00000000-0006-0000-0400-000004000000}">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00000000-0006-0000-0400-000005000000}">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0000000-0006-0000-0400-000006000000}">
      <text>
        <r>
          <rPr>
            <b/>
            <sz val="9"/>
            <color indexed="81"/>
            <rFont val="Tahoma"/>
            <family val="2"/>
          </rPr>
          <t>HACIENDA:</t>
        </r>
        <r>
          <rPr>
            <sz val="9"/>
            <color indexed="81"/>
            <rFont val="Tahoma"/>
            <family val="2"/>
          </rPr>
          <t xml:space="preserve">
aplico el tipo de riesgo ver pag 38
</t>
        </r>
      </text>
    </comment>
    <comment ref="S8" authorId="0" shapeId="0" xr:uid="{00000000-0006-0000-0400-00000700000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00000000-0006-0000-0400-000008000000}">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00000000-0006-0000-0400-000009000000}">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00000000-0006-0000-0400-00000A000000}">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00000000-0006-0000-0400-00000B000000}">
      <text>
        <r>
          <rPr>
            <b/>
            <sz val="9"/>
            <color indexed="81"/>
            <rFont val="Tahoma"/>
            <family val="2"/>
          </rPr>
          <t>HACIENDA:</t>
        </r>
        <r>
          <rPr>
            <sz val="9"/>
            <color indexed="81"/>
            <rFont val="Tahoma"/>
            <family val="2"/>
          </rPr>
          <t xml:space="preserve">
11 reportes de ejecución y 3 a la alata gerencia (trimestral)</t>
        </r>
      </text>
    </comment>
    <comment ref="J22" authorId="0" shapeId="0" xr:uid="{00000000-0006-0000-0400-00000C000000}">
      <text>
        <r>
          <rPr>
            <b/>
            <sz val="9"/>
            <color indexed="81"/>
            <rFont val="Tahoma"/>
            <family val="2"/>
          </rPr>
          <t>HACIENDA:</t>
        </r>
        <r>
          <rPr>
            <sz val="9"/>
            <color indexed="81"/>
            <rFont val="Tahoma"/>
            <family val="2"/>
          </rPr>
          <t xml:space="preserve">
Revisión de documentos 1 vez al año y normograma trimestral (4 veces en el año)</t>
        </r>
      </text>
    </comment>
    <comment ref="J33" authorId="0" shapeId="0" xr:uid="{00000000-0006-0000-0400-00000D000000}">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34" authorId="0" shapeId="0" xr:uid="{4C5CE5E3-CDB0-4FD7-A78B-EAC29480FA81}">
      <text>
        <r>
          <rPr>
            <b/>
            <sz val="9"/>
            <color indexed="81"/>
            <rFont val="Tahoma"/>
            <family val="2"/>
          </rPr>
          <t>HACIENDA:</t>
        </r>
        <r>
          <rPr>
            <sz val="9"/>
            <color indexed="81"/>
            <rFont val="Tahoma"/>
            <family val="2"/>
          </rPr>
          <t xml:space="preserve">
promedio con riedgo de prescripcion anual cartera prescrita 2023-300,000,000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E26" authorId="0" shapeId="0" xr:uid="{00000000-0006-0000-0300-000001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 ref="E50" authorId="0" shapeId="0" xr:uid="{00000000-0006-0000-0300-000002000000}">
      <text>
        <r>
          <rPr>
            <b/>
            <sz val="9"/>
            <color indexed="81"/>
            <rFont val="Tahoma"/>
            <family val="2"/>
          </rPr>
          <t>HACIENDA:</t>
        </r>
        <r>
          <rPr>
            <sz val="9"/>
            <color indexed="81"/>
            <rFont val="Tahoma"/>
            <family val="2"/>
          </rPr>
          <t xml:space="preserve">
 DA
pueden servir para la formulación de acciones de contingencia para reestablecer la normatividad de manera inmediata al momento qque el riesgo se materialice.</t>
        </r>
      </text>
    </comment>
    <comment ref="G50" authorId="0" shapeId="0" xr:uid="{00000000-0006-0000-0300-000003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List>
</comments>
</file>

<file path=xl/sharedStrings.xml><?xml version="1.0" encoding="utf-8"?>
<sst xmlns="http://schemas.openxmlformats.org/spreadsheetml/2006/main" count="662" uniqueCount="432">
  <si>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</si>
  <si>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</si>
  <si>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</si>
  <si>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</si>
  <si>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</si>
  <si>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</si>
  <si>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</si>
  <si>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</si>
  <si>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</si>
  <si>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</si>
  <si>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</si>
  <si>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</si>
  <si>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</si>
  <si>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</si>
  <si>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</si>
  <si>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</si>
  <si>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</si>
  <si>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</si>
  <si>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</si>
  <si>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</si>
  <si>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</si>
  <si>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</si>
  <si>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</si>
  <si>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</si>
  <si>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</si>
  <si>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</si>
  <si>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</si>
  <si>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</si>
  <si>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</si>
  <si>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</si>
  <si>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</si>
  <si>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</si>
  <si>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</si>
  <si>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</si>
  <si>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</si>
  <si>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</si>
  <si>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</si>
  <si>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</si>
  <si>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</si>
  <si>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</si>
  <si>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</si>
  <si>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</si>
  <si>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</si>
  <si>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</si>
  <si>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</si>
  <si>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</si>
  <si>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</si>
  <si>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</si>
  <si>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</si>
  <si>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</si>
  <si>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</si>
  <si>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</si>
  <si>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</si>
  <si>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</si>
  <si>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</si>
  <si>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</si>
  <si>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</si>
  <si>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</si>
  <si>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</si>
  <si>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</si>
  <si>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</si>
  <si>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</si>
  <si>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</si>
  <si>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</si>
  <si>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</si>
  <si>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</si>
  <si>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</si>
  <si>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</si>
  <si>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</si>
  <si>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</si>
  <si>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</si>
  <si>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</si>
  <si>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</si>
  <si>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</si>
  <si>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</si>
  <si>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</si>
  <si>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</si>
  <si>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</si>
  <si>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</si>
  <si>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</si>
  <si>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</si>
  <si>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</si>
  <si>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</si>
  <si>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</si>
  <si>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</si>
  <si>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</si>
  <si>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</si>
  <si>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</si>
  <si>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</si>
  <si>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</si>
  <si>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</si>
  <si>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</si>
  <si>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</si>
  <si>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</si>
  <si>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</si>
  <si>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</si>
  <si>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</si>
  <si>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</si>
  <si>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</si>
  <si>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</si>
  <si>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</si>
  <si>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</si>
  <si>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</si>
  <si>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</si>
  <si>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</si>
  <si>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</si>
  <si>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</si>
  <si>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</si>
  <si>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</si>
  <si>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</si>
  <si>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</si>
  <si>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</si>
  <si>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</si>
  <si>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</si>
  <si>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</si>
  <si>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</si>
  <si>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</si>
  <si>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</si>
  <si>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</si>
  <si>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</si>
  <si>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</si>
  <si>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</si>
  <si>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</si>
  <si>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</si>
  <si>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</si>
  <si>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</si>
  <si>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</si>
  <si>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</si>
  <si>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</si>
  <si>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</si>
  <si>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</si>
  <si>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</si>
  <si>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</si>
  <si>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</si>
  <si>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</si>
  <si>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</si>
  <si>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</si>
  <si>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</si>
  <si>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</si>
  <si>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</si>
  <si>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</si>
  <si>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</si>
  <si>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</si>
  <si>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</si>
  <si>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</si>
  <si>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</si>
  <si>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</si>
  <si>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</si>
  <si>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</si>
  <si>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</si>
  <si>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</si>
  <si>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</si>
  <si>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</si>
  <si>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</si>
  <si>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</si>
  <si>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</si>
  <si>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</si>
  <si>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</si>
  <si>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</si>
  <si>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</si>
  <si>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</si>
  <si>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</si>
  <si>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</si>
  <si>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</si>
  <si>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</si>
  <si>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</si>
  <si>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</si>
  <si>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</si>
  <si>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</si>
  <si>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</si>
  <si>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</si>
  <si>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</si>
  <si>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</si>
  <si>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</si>
  <si>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</si>
  <si>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</si>
  <si>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</si>
  <si>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</si>
  <si>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</si>
  <si>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</si>
  <si>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</si>
  <si>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</si>
  <si>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</si>
  <si>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</si>
  <si>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</si>
  <si>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</si>
  <si>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</si>
  <si>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</si>
  <si>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</si>
  <si>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</si>
  <si>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</si>
  <si>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</si>
  <si>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</si>
  <si>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</si>
  <si>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</si>
  <si>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</si>
  <si>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</si>
  <si>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</si>
  <si>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</si>
  <si>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</si>
  <si>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</si>
  <si>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</si>
  <si>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</si>
  <si>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</si>
  <si>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</si>
  <si>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</si>
  <si>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</si>
  <si>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</si>
  <si>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</si>
  <si>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</si>
  <si>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</si>
  <si>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</si>
  <si>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</si>
  <si>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</si>
  <si>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</si>
  <si>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</si>
  <si>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</si>
  <si>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</si>
  <si>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</si>
  <si>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</si>
  <si>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</si>
  <si>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</si>
  <si>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</si>
  <si>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</si>
  <si>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</si>
  <si>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</si>
  <si>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</si>
  <si>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</si>
  <si>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</si>
  <si>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</si>
  <si>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</si>
  <si>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</si>
  <si>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</si>
  <si>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</si>
  <si>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</si>
  <si>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</si>
  <si>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</si>
  <si>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</si>
  <si>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</si>
  <si>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</si>
  <si>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</si>
  <si>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</si>
  <si>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</si>
  <si>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</si>
  <si>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</si>
  <si>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</si>
  <si>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</si>
  <si>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</si>
  <si>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</si>
  <si>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</si>
  <si>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</si>
  <si>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</si>
  <si>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</si>
  <si>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</si>
  <si>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</si>
  <si>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</si>
  <si>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</si>
  <si>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</si>
  <si>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</si>
  <si>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</si>
  <si>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</si>
  <si>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</si>
  <si>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</si>
  <si>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</si>
  <si>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</si>
  <si>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1. Alta rotación de personal  afectando la continuidad en los procesos.</t>
  </si>
  <si>
    <t>2. Falta  de inducción y capacitación para conocer adecuadamente las actividades propias del proceso</t>
  </si>
  <si>
    <t xml:space="preserve">3. Falta de ética profesional y compromiso en el desarrollo de las actividades del procesos </t>
  </si>
  <si>
    <t>4. Baja capacidad de liderazgo</t>
  </si>
  <si>
    <t>5. Falta de integralidad en los módulos en los sistemas de información</t>
  </si>
  <si>
    <t>6. Deficiencia en la comunicación interna de la alta dirección con la parte operativa y viceversa.</t>
  </si>
  <si>
    <t>7.Falta de personal de planta para asumir las responsabilidades en la operación y continuidad de los procesos.</t>
  </si>
  <si>
    <t>8. Declataroria de la Urgencia manifiesta, ambiental, economica y Social por Pandemias o catastrófes nacionales</t>
  </si>
  <si>
    <t>9. Falta de seguimiento y gestión al proceso de peticiones, quejas y reclamos y/o tramites de gestión de Hacienda Pública.</t>
  </si>
  <si>
    <t>10. Falta de controles de la gestión de trámites</t>
  </si>
  <si>
    <t>11. Falta de digitalización de la totalidad de los expedientes que reposan en las diferentes direcciones.</t>
  </si>
  <si>
    <t xml:space="preserve">1. Módulo de predial, autoliquidador de industria y comercio, Módulo de constituciónde titulo, Módulo central de cuentas, Modulo de contabilidad, Módulo de Tesoreria, Módulo de deuda pública. </t>
  </si>
  <si>
    <t>2. constante actualizacion y socializacion  de los cambios normativos (normograma)</t>
  </si>
  <si>
    <t xml:space="preserve">3. Plan de Acción secretaria de Hacienda </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</si>
  <si>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</si>
  <si>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 xml:space="preserve">5. Recepción, trámite y pago de contratos en el periodo de confinamiento. </t>
  </si>
  <si>
    <t>6. Apoyo técnico por parte de la Dirección del Grupo de Informática</t>
  </si>
  <si>
    <t>7) Se cuenta con una política integral desarrollada en el  Sistema Integrado de Gestión de la Alcaldía municipal de Ibagué -SIGAMI</t>
  </si>
  <si>
    <t xml:space="preserve">8) contamos con un plan institucional de Capacitación PIC </t>
  </si>
  <si>
    <t>9) programa de inducción y reinducción</t>
  </si>
  <si>
    <t>1) Lineamientos nacionales, departamentales y municipales de hacienda publica que incentivan el pago de impuesto,  según decreto 678 del 20 de mayo 2020</t>
  </si>
  <si>
    <t xml:space="preserve">2) Apoyo técnico en las herramientas de las TICS </t>
  </si>
  <si>
    <t xml:space="preserve">3) Contamos con 4 certificaciones de sistema de Gestión en la Alcaldía </t>
  </si>
  <si>
    <t xml:space="preserve">4) Modelo Integrado de Planeación y Gestión - MIPG </t>
  </si>
  <si>
    <t>5) Normatividad Constitucional y Legal Colombiana.</t>
  </si>
  <si>
    <t>6)  Acciones para implementar en la Administracion publica las medidas establecidas en el protocolo general de bioseguridad adoptado en la Resolución 666 del 24 abril del 2020 del Ministerio de salud y Protección social.</t>
  </si>
  <si>
    <t xml:space="preserve">7) Código de Integridad y Buen Gobierno </t>
  </si>
  <si>
    <t xml:space="preserve">8)  Reorganización administrativa basada en estudios técnicos </t>
  </si>
  <si>
    <t xml:space="preserve">D5. O2 La secretaria de Hacienda convocará a mesas de trabajo a  las TICS junto al comité de Riesgos, para definir un plan de integralidad en la operación de los modulos del proceso de Gestión de Hacienda pública.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</si>
  <si>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</si>
  <si>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D6. O4 Incentivar en la secretaria de Hacienda la realización de los comites técnicos de forma periodica que faciliten la comunicación del nivel directivo y el nivel operativo y viceversa</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</si>
  <si>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</si>
  <si>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D3, O7 Sensibilización a los funcionarios en principios,ética y valores Institucionales Aplicación del Código de Integridad y buen Gobierno, para la satisfacción de clientes y grupos de valor.</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</si>
  <si>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</si>
  <si>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D7 O8 Solicitar personal de planta para la secretaria con el fin de garantizar la continuidad de los procesos. </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</si>
  <si>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</si>
  <si>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</si>
  <si>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</si>
  <si>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</si>
  <si>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</si>
  <si>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</si>
  <si>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F2. O5 Realizar una constante actualizacion y socializacion  de los cambios normativos (normograma) de la secretaria de Hacienda para su correcta aplicabilidad.</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</si>
  <si>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</si>
  <si>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F.8 O4 Se cuenta con una política integral desarrollada en el  Sistema Integrado de Gestión de la Alcaldía municipal de Ibagué -SIGAMI. 4) Modelo Integrado de Planeación y Gestión - MIPG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</si>
  <si>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</si>
  <si>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</si>
  <si>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</si>
  <si>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</si>
  <si>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</si>
  <si>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</si>
  <si>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</si>
  <si>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</si>
  <si>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</si>
  <si>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</si>
  <si>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</si>
  <si>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</si>
  <si>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</si>
  <si>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</si>
  <si>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</si>
  <si>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</si>
  <si>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</si>
  <si>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</si>
  <si>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</si>
  <si>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</si>
  <si>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</si>
  <si>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</si>
  <si>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</si>
  <si>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CAUSA</t>
  </si>
  <si>
    <t>EXTER</t>
  </si>
  <si>
    <t>INTERNA</t>
  </si>
  <si>
    <t>PROCESO</t>
  </si>
  <si>
    <t>INTERACCION CON OTROS PROCESOS</t>
  </si>
  <si>
    <t>Deficiente seguimiento por parte de los ordenadores del gasto  en la ejecución presupuestal</t>
  </si>
  <si>
    <t>subcausa</t>
  </si>
  <si>
    <t>RESPONSABLES DEL PROCESO</t>
  </si>
  <si>
    <t>Falta de aplicación de las políticas del proceso de gestión docuemntal en el control y préstamo de la documentación.</t>
  </si>
  <si>
    <t>ESTRATEGICO</t>
  </si>
  <si>
    <t>1, Retraso en la entrega de información relacionada con actualización y/o conservación catastral por parte del Gestor catastral.  Notificación indebida y/o extemporanea</t>
  </si>
  <si>
    <t>PROCEDIMIENTOS ASOCIADOS</t>
  </si>
  <si>
    <r>
      <t xml:space="preserve"> </t>
    </r>
    <r>
      <rPr>
        <sz val="11"/>
        <color rgb="FFFF0000"/>
        <rFont val="Arial"/>
        <family val="2"/>
      </rPr>
      <t>falta de actualización de los documentos de los procesos de gestión de la Secretaría de Hacienda.</t>
    </r>
  </si>
  <si>
    <r>
      <rPr>
        <sz val="11"/>
        <color rgb="FFFF0000"/>
        <rFont val="Arial"/>
        <family val="2"/>
      </rPr>
      <t>1. Inconsistencia en los cruces entre bancos y las certificacion</t>
    </r>
    <r>
      <rPr>
        <sz val="11"/>
        <color theme="1"/>
        <rFont val="Arial"/>
        <family val="2"/>
      </rPr>
      <t>es</t>
    </r>
  </si>
  <si>
    <t>LEGALES Y REGLAMENTARIOS</t>
  </si>
  <si>
    <t>ECONÓMICOS Y FINANCIEROS</t>
  </si>
  <si>
    <t>Declataroria de la Urgencia manifiesta, ambiental, economica y Social por Pandemias o catastófes nacionales</t>
  </si>
  <si>
    <t>PERSONAL DE LA ENTIDAD (Capacidad del personal, políticas de manejo del talento humano, idoneidad)</t>
  </si>
  <si>
    <t>PROCESOS OPERATIVOS</t>
  </si>
  <si>
    <t>ESTRATÉGICOS</t>
  </si>
  <si>
    <t>TECNOLOGÍA (integridad de datos, disponibilidad de datos y sistemas, desarrollo, producción, mantenimiento de sistemas de información)</t>
  </si>
  <si>
    <t>FINANCIEROS</t>
  </si>
  <si>
    <t>COMMUNICACIÓN INTERNA</t>
  </si>
  <si>
    <t>Incumplimiento en la gestión del CLDO del Impuesto predial unificado dentro de los términos establecidos en el procedimiento PRO-GHP-05 FACTURACION  I.P.U para la actividad No. 11-12 y 13 (C.L.D.O)</t>
  </si>
  <si>
    <t>INTERACCIÓN CON LOS PROCESOS</t>
  </si>
  <si>
    <t>PROCEDIMIENTOS DEL PROCESO</t>
  </si>
  <si>
    <t>COMUNICACIÓN ENTRE LOS PROCESOS</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</si>
  <si>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</si>
  <si>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</si>
  <si>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</si>
  <si>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ejecución presupuestal de gastos de inversión del Municipio de parte de las Secretarias Ejecutor</t>
  </si>
  <si>
    <t>Gestión</t>
  </si>
  <si>
    <t>Ejecución y administración del presupuesto de las Secretarías Ejecutoras</t>
  </si>
  <si>
    <r>
      <rPr>
        <b/>
        <sz val="11"/>
        <color theme="1"/>
        <rFont val="Arial"/>
        <family val="2"/>
      </rPr>
      <t>DO Y FA</t>
    </r>
    <r>
      <rPr>
        <sz val="11"/>
        <color theme="1"/>
        <rFont val="Arial"/>
        <family val="2"/>
      </rPr>
      <t xml:space="preserve">
acciones de control para el tratamiento de riesgos, por cuanto están atacando las causas (debilidades y amenazas)</t>
    </r>
  </si>
  <si>
    <r>
      <rPr>
        <b/>
        <sz val="11"/>
        <color theme="1"/>
        <rFont val="Arial"/>
        <family val="2"/>
      </rPr>
      <t xml:space="preserve"> DA</t>
    </r>
    <r>
      <rPr>
        <sz val="11"/>
        <color theme="1"/>
        <rFont val="Arial"/>
        <family val="2"/>
      </rPr>
      <t xml:space="preserve">
pueden servir para la formulación de acciones de contingencia para reestablecer la normatividad de manera inmediata al momento qque el riesgo se materialice.</t>
    </r>
  </si>
  <si>
    <t>Pérdida de memoria institucional y sanciones disciplinarias, fiscales y administrativa</t>
  </si>
  <si>
    <t>Custodia del archivo físico y digital de los expedientes de Gestión de Hacienda Pública</t>
  </si>
  <si>
    <t>12, Falta de seguimiento y control en la entrega y devolución de expedientes que reposan en el Archivo Físico</t>
  </si>
  <si>
    <t>sanciones disciplinarias  y administrativas</t>
  </si>
  <si>
    <t>Deficiencia en la aplicación de los cambios normativos para entidades del gobiern</t>
  </si>
  <si>
    <t>actualización de los documentos y normograma</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</si>
  <si>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</si>
  <si>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</si>
  <si>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</si>
  <si>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</si>
  <si>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</si>
  <si>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</si>
  <si>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3, Falta de aplicación de las actividades del procedimiento PRO-GHP-05 FACTURACION  I.P.U para la actividad No. 11-12 y 13 (C.L.D.O)</t>
  </si>
  <si>
    <t>D1.A3. Solictar personal de planta para la Secretaría de Hacienda para dar aplicación  al procedimiento ,  PRO-GHP-05 FACTURACION  I.P.U para la actividad No. 11-12 y 13 (C.L.D.O)</t>
  </si>
  <si>
    <r>
      <t xml:space="preserve">D1, D3, D12, O4, O7, F7 </t>
    </r>
    <r>
      <rPr>
        <b/>
        <sz val="10"/>
        <color rgb="FFFF0000"/>
        <rFont val="Arial"/>
        <family val="2"/>
      </rPr>
      <t xml:space="preserve">El Profesional Universitado y/o técnico Operativo </t>
    </r>
    <r>
      <rPr>
        <b/>
        <sz val="10"/>
        <color rgb="FF00B050"/>
        <rFont val="Arial"/>
        <family val="2"/>
      </rPr>
      <t xml:space="preserve">cada vez que se requiera </t>
    </r>
    <r>
      <rPr>
        <b/>
        <sz val="10"/>
        <color rgb="FF0070C0"/>
        <rFont val="Arial"/>
        <family val="2"/>
      </rPr>
      <t>controla el prestamo y devolución de expedientes   deacuerdo a los lineamientos establecidos por Gestión Documental</t>
    </r>
    <r>
      <rPr>
        <b/>
        <sz val="10"/>
        <rFont val="Arial"/>
        <family val="2"/>
      </rPr>
      <t xml:space="preserve">, </t>
    </r>
    <r>
      <rPr>
        <b/>
        <sz val="10"/>
        <color rgb="FFC00000"/>
        <rFont val="Arial"/>
        <family val="2"/>
      </rPr>
      <t>dejando como Evidencia Planillas de control.
(GESTION DOCUMENTAL: FORMATO CONTROL PRESTAMO: PRO-GD-03)</t>
    </r>
  </si>
  <si>
    <t xml:space="preserve">SECRETARIO DE HACIENDA 
Y/O 
DIRECTORES </t>
  </si>
  <si>
    <t>sanciones disciplinarias  y/o administrativas</t>
  </si>
  <si>
    <t>Certificaciones superavit y de cuentas bancarias</t>
  </si>
  <si>
    <t xml:space="preserve">9) Cambios políticos que afectan positivamente. </t>
  </si>
  <si>
    <t>13,Dificultad del trabajo en equipo</t>
  </si>
  <si>
    <t xml:space="preserve">14, Desconocimiento del proceso y procedimientos  por parte del personal de planta y contrato. </t>
  </si>
  <si>
    <t>10)Conocimiento,  experiencia, habilidades y compromiso por parte de  líderes del proceso</t>
  </si>
  <si>
    <t xml:space="preserve">11)Profesionales y técnicos con experiencia y conocimiento en el área de comunicaciones y protocolo. </t>
  </si>
  <si>
    <t xml:space="preserve">4, Baja efectividad de los flujos de informacion (demora en los tiempos de respuesta) </t>
  </si>
  <si>
    <r>
      <t xml:space="preserve">D 13, D14. O10, F11 , A4. </t>
    </r>
    <r>
      <rPr>
        <b/>
        <sz val="10"/>
        <color rgb="FFFF0000"/>
        <rFont val="Arial"/>
        <family val="2"/>
      </rPr>
      <t>El Director de Tesoreria</t>
    </r>
    <r>
      <rPr>
        <b/>
        <sz val="10"/>
        <rFont val="Arial"/>
        <family val="2"/>
      </rPr>
      <t xml:space="preserve"> ,</t>
    </r>
    <r>
      <rPr>
        <b/>
        <sz val="10"/>
        <color rgb="FF00B050"/>
        <rFont val="Arial"/>
        <family val="2"/>
      </rPr>
      <t xml:space="preserve"> anualmente, emitirá</t>
    </r>
    <r>
      <rPr>
        <b/>
        <sz val="10"/>
        <rFont val="Arial"/>
        <family val="2"/>
      </rPr>
      <t xml:space="preserve"> </t>
    </r>
    <r>
      <rPr>
        <b/>
        <sz val="10"/>
        <color theme="3" tint="0.39997558519241921"/>
        <rFont val="Arial"/>
        <family val="2"/>
      </rPr>
      <t>Certificado de superávit o déficit fiscal</t>
    </r>
    <r>
      <rPr>
        <b/>
        <sz val="10"/>
        <rFont val="Arial"/>
        <family val="2"/>
      </rPr>
      <t xml:space="preserve">, </t>
    </r>
    <r>
      <rPr>
        <b/>
        <sz val="10"/>
        <color rgb="FFC00000"/>
        <rFont val="Arial"/>
        <family val="2"/>
      </rPr>
      <t>dejando como evidencia dicha certificación. 
(PRO-GHP-010: PROCEDIMIENTO: CIERRE DEL EJERCICIO FISCAL)</t>
    </r>
  </si>
  <si>
    <t>DIRECTOR DE TESORERIA</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</si>
  <si>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</si>
  <si>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</si>
  <si>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10) Mejoramiento de los procesos de comunicación interna dentro de la entidad.</t>
  </si>
  <si>
    <t xml:space="preserve">Pagos efectuados a contratistas </t>
  </si>
  <si>
    <t xml:space="preserve">Inadecuada deducción de impuestos, tasas o contribuciones al contratista </t>
  </si>
  <si>
    <t>Inadecuada deducción de impuestos, tasas o contribuciones al contratista</t>
  </si>
  <si>
    <t>FISCAL</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</si>
  <si>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</si>
  <si>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t xml:space="preserve">HACIENDA:
subcausa(sacada de la act del proceso-ojo revisar proceso), con los 6pasos para el control
V5:  Estructura para la descripción del control: 
para una adecuada redacción del control se propone una estructura que facilitará más adelante entender su tipología y otros atributos para su valoración. La estructura es la siguiente:
Responsable de ejecutar el control: identifica el cargo del servidor que ejecuta el control, en caso de que sean controles automáticos se identificará el sistema que realiza la activ idad.
Acción: se determina mediante verbos que indican la acción que deben realizar como parte del control.
Complemento: corresponde a los detalles que permiten identificar claramente el objeto del control.
EJ:
(Responsable)El profesional de Contratación + ( Acción) verifica que la información suministrada por el proveedor corresponda con los requisitos establecidos acorde con el tipo de contratación,+ (COMPLEMENTO) a través de una lista de chequeo donde están los requisitos de información y la revisa con la información física suministrada por el proveedor, los contratos que cumplen son registrados en el sistema de información de contratación.
 </t>
  </si>
  <si>
    <r>
      <rPr>
        <b/>
        <sz val="10"/>
        <color rgb="FFFF0000"/>
        <rFont val="Arial"/>
        <family val="2"/>
      </rPr>
      <t>El técnico, los profesionales y el Grupo de Apoyo</t>
    </r>
    <r>
      <rPr>
        <sz val="10"/>
        <color rgb="FF00B050"/>
        <rFont val="Arial"/>
        <family val="2"/>
      </rPr>
      <t xml:space="preserve"> cada vez que llegue al correo documentos y órdenes de pago para tramite</t>
    </r>
    <r>
      <rPr>
        <sz val="10"/>
        <rFont val="Arial"/>
        <family val="2"/>
      </rPr>
      <t xml:space="preserv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t>
    </r>
    <r>
      <rPr>
        <b/>
        <sz val="10"/>
        <color rgb="FF00B050"/>
        <rFont val="Arial"/>
        <family val="2"/>
      </rPr>
      <t>PROCEDIMIENTO: ÓRDENES DE PAGO Código: PRO-GHP-008</t>
    </r>
  </si>
  <si>
    <t>Aplicación del procedimiento PRO-GHP-05 FACTURACION  Impuesto Predial Unificado.</t>
  </si>
  <si>
    <t xml:space="preserve">Deudas a favor de la entidad </t>
  </si>
  <si>
    <t xml:space="preserve">Vencimiento de plazos para la labor de cobro directo (persuasivo o coactivo) o judicial </t>
  </si>
  <si>
    <t>DIRECTOR DE PRESUPUESTO</t>
  </si>
  <si>
    <t>Al inicio de los procesos coactivos de la cartera del municipio</t>
  </si>
  <si>
    <r>
      <rPr>
        <b/>
        <sz val="10"/>
        <color rgb="FFFF0000"/>
        <rFont val="Arial"/>
        <family val="2"/>
      </rPr>
      <t>F10, A4, D5, O10  El director (a) de Rentas</t>
    </r>
    <r>
      <rPr>
        <sz val="10"/>
        <rFont val="Arial"/>
        <family val="2"/>
      </rPr>
      <t xml:space="preserve">,el Profesional Especializado </t>
    </r>
    <r>
      <rPr>
        <b/>
        <sz val="10"/>
        <rFont val="Arial"/>
        <family val="2"/>
      </rPr>
      <t xml:space="preserve">encargado de Causar el impuesto predial Unificado, </t>
    </r>
    <r>
      <rPr>
        <b/>
        <sz val="10"/>
        <color rgb="FFFF0000"/>
        <rFont val="Arial"/>
        <family val="2"/>
      </rPr>
      <t>con su equipo de trabajo</t>
    </r>
    <r>
      <rPr>
        <b/>
        <sz val="10"/>
        <color theme="3" tint="0.39997558519241921"/>
        <rFont val="Arial"/>
        <family val="2"/>
      </rPr>
      <t xml:space="preserve">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t>
    </r>
    <r>
      <rPr>
        <b/>
        <sz val="10"/>
        <color rgb="FFFF0000"/>
        <rFont val="Arial"/>
        <family val="2"/>
      </rPr>
      <t>. dejando como evidencia los avances presentados en el plan de accion de gestion trimestral de la direccion de rentas. 
 PRO-GHP-05 FACTURACION  Impuesto Predial Unificado.</t>
    </r>
  </si>
  <si>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</si>
  <si>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</si>
  <si>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Baja calificación en los indicadores de desempeño fiscal, pérdida de confianza de los ciudadanos hacia la administración y posible reducción en las asignaciones de recursos del Sistema General de Participacion - SGP</t>
  </si>
  <si>
    <t>PROCESO:  SECRETARIA DE HACIENDA PUBLICA MUNICIPAL</t>
  </si>
  <si>
    <t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</si>
  <si>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</si>
  <si>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</si>
  <si>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</si>
  <si>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</si>
  <si>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</si>
  <si>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</si>
  <si>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</si>
  <si>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</si>
  <si>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</si>
  <si>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</si>
  <si>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</si>
  <si>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</si>
  <si>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r>
      <t>D3, O4-El</t>
    </r>
    <r>
      <rPr>
        <b/>
        <sz val="10"/>
        <color rgb="FFFF0000"/>
        <rFont val="Arial"/>
        <family val="2"/>
      </rPr>
      <t xml:space="preserve"> director (a) de Presupuesto por medio de su equipo de trabajo, </t>
    </r>
    <r>
      <rPr>
        <b/>
        <sz val="10"/>
        <color rgb="FF0070C0"/>
        <rFont val="Arial"/>
        <family val="2"/>
      </rPr>
      <t xml:space="preserve">realizará seguimiento a la ejecución presupuestal elaborando y presentando de manera </t>
    </r>
    <r>
      <rPr>
        <b/>
        <sz val="10"/>
        <color rgb="FF00B050"/>
        <rFont val="Arial"/>
        <family val="2"/>
      </rPr>
      <t xml:space="preserve">mensual </t>
    </r>
    <r>
      <rPr>
        <b/>
        <sz val="10"/>
        <color rgb="FF0070C0"/>
        <rFont val="Arial"/>
        <family val="2"/>
      </rPr>
      <t>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t>
    </r>
    <r>
      <rPr>
        <b/>
        <sz val="10"/>
        <rFont val="Arial"/>
        <family val="2"/>
      </rPr>
      <t xml:space="preserve">
</t>
    </r>
    <r>
      <rPr>
        <b/>
        <sz val="10"/>
        <color theme="9" tint="-0.499984740745262"/>
        <rFont val="Arial"/>
        <family val="2"/>
      </rPr>
      <t>Dejando como evidencia los correos electrónicos institucionales. (MANUAL  PRESUPUESTO: MAN-GHP-01- E</t>
    </r>
    <r>
      <rPr>
        <b/>
        <sz val="9"/>
        <color theme="9" tint="-0.499984740745262"/>
        <rFont val="Arial"/>
        <family val="2"/>
      </rPr>
      <t>LABORACIÓN DEL INFORME EJECUTIVO DE EJECUCIÓN PRESUPUESTAL DE GASTOS</t>
    </r>
    <r>
      <rPr>
        <b/>
        <sz val="10"/>
        <color theme="9" tint="-0.499984740745262"/>
        <rFont val="Arial"/>
        <family val="2"/>
      </rPr>
      <t xml:space="preserve"> //CARACTERIZACION DEL PROCESO: CAR-GHP-001 )</t>
    </r>
  </si>
  <si>
    <r>
      <rPr>
        <b/>
        <sz val="10"/>
        <color theme="9" tint="-0.249977111117893"/>
        <rFont val="Arial"/>
        <family val="2"/>
      </rPr>
      <t>F10, A4, D5, O10 , El director de Tesorería trimestralmente</t>
    </r>
    <r>
      <rPr>
        <b/>
        <sz val="10"/>
        <rFont val="Arial"/>
        <family val="2"/>
      </rPr>
      <t xml:space="preserv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t>
    </r>
    <r>
      <rPr>
        <b/>
        <sz val="10"/>
        <color theme="9" tint="-0.249977111117893"/>
        <rFont val="Arial"/>
        <family val="2"/>
      </rPr>
      <t xml:space="preserve">dejando como evidencia los informes trimestrales presentados al Director de Tesoreria
</t>
    </r>
    <r>
      <rPr>
        <sz val="10"/>
        <color theme="9" tint="-0.499984740745262"/>
        <rFont val="Arial"/>
        <family val="2"/>
      </rPr>
      <t xml:space="preserve">
</t>
    </r>
    <r>
      <rPr>
        <sz val="11"/>
        <color theme="9" tint="-0.499984740745262"/>
        <rFont val="Arial"/>
        <family val="2"/>
      </rPr>
      <t>MANUAL ESPECÍFICO DE FUNCIONES Y COMPETENCIAS
LABORALES (MAN-GHS-003) (</t>
    </r>
    <r>
      <rPr>
        <sz val="10"/>
        <color theme="9" tint="-0.499984740745262"/>
        <rFont val="Arial"/>
        <family val="2"/>
      </rPr>
      <t xml:space="preserve"> </t>
    </r>
    <r>
      <rPr>
        <sz val="8"/>
        <color theme="9" tint="-0.499984740745262"/>
        <rFont val="Arial"/>
        <family val="2"/>
      </rPr>
      <t>DESCRIPCION DE FUNCIONES ESENCIALES</t>
    </r>
    <r>
      <rPr>
        <sz val="10"/>
        <color theme="9" tint="-0.499984740745262"/>
        <rFont val="Arial"/>
        <family val="2"/>
      </rPr>
      <t xml:space="preserve"> y Página: 491 de 731)</t>
    </r>
  </si>
  <si>
    <r>
      <t xml:space="preserve">D2, D6,  F2, O5 </t>
    </r>
    <r>
      <rPr>
        <b/>
        <sz val="10"/>
        <color rgb="FFFF0000"/>
        <rFont val="Arial"/>
        <family val="2"/>
      </rPr>
      <t xml:space="preserve">Los Directores  </t>
    </r>
    <r>
      <rPr>
        <b/>
        <sz val="10"/>
        <color rgb="FF002060"/>
        <rFont val="Arial"/>
        <family val="2"/>
      </rPr>
      <t>por medio de su equipo de trabajo revisarán los documentos del proceso de gestión de Hacienda Pública</t>
    </r>
    <r>
      <rPr>
        <b/>
        <sz val="10"/>
        <rFont val="Arial"/>
        <family val="2"/>
      </rPr>
      <t xml:space="preserve">  </t>
    </r>
    <r>
      <rPr>
        <b/>
        <sz val="10"/>
        <color rgb="FF00B050"/>
        <rFont val="Arial"/>
        <family val="2"/>
      </rPr>
      <t>y actualizará si se requiere  anualmente</t>
    </r>
    <r>
      <rPr>
        <b/>
        <sz val="10"/>
        <rFont val="Arial"/>
        <family val="2"/>
      </rPr>
      <t xml:space="preserve"> los documentos, </t>
    </r>
    <r>
      <rPr>
        <b/>
        <sz val="10"/>
        <color theme="9" tint="-0.499984740745262"/>
        <rFont val="Arial"/>
        <family val="2"/>
      </rPr>
      <t>dejando como evidencia el correo electrónico con el envío de los docuementos a actualizar a la Dirección de Fortalecimiento Institucional.
(GESTION DOCUMENTAL: POLITICA GESTION DOCUMENTAL: POL-GD-001-PRO-SIG-001 CONTROL DE DOCUMENTOS DEL SIGAMI)</t>
    </r>
  </si>
  <si>
    <t>PROCESO: SISTEMA INTEGRADO DE GESTIÓN Y MIPG</t>
  </si>
  <si>
    <t xml:space="preserve">Debilidad de la Dirección de Tesorería-grupo Cobro Coactivo para efectuar el control de  los impulsos procesales de la cartera de cobro.  </t>
  </si>
  <si>
    <t>Inconsistencia en los cruces entre bancos y las certificaciones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</si>
</sst>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FF0000"/>
      <name val="Arial"/>
      <family val="2"/>
    </font>
    <font>
      <sz val="9"/>
      <color indexed="81"/>
      <name val="Tahoma"/>
      <family val="2"/>
    </font>
    <font>
      <b/>
      <sz val="9"/>
      <color indexed="81"/>
      <name val="Tahoma"/>
      <family val="2"/>
    </font>
    <font>
      <sz val="8"/>
      <color rgb="FF000000"/>
      <name val="Segoe UI"/>
      <family val="2"/>
    </font>
    <font>
      <b/>
      <sz val="10"/>
      <color rgb="FF0070C0"/>
      <name val="Arial"/>
      <family val="2"/>
    </font>
    <font>
      <b/>
      <sz val="10"/>
      <color rgb="FF00B050"/>
      <name val="Arial"/>
      <family val="2"/>
    </font>
    <font>
      <b/>
      <sz val="10"/>
      <color rgb="FFFF0000"/>
      <name val="Arial"/>
      <family val="2"/>
    </font>
    <font>
      <b/>
      <sz val="10"/>
      <color theme="9" tint="-0.499984740745262"/>
      <name val="Arial"/>
      <family val="2"/>
    </font>
    <font>
      <b/>
      <sz val="11"/>
      <color rgb="FF0070C0"/>
      <name val="Arial Narrow"/>
      <family val="2"/>
    </font>
    <font>
      <b/>
      <sz val="11"/>
      <color rgb="FF00B050"/>
      <name val="Arial Narrow"/>
      <family val="2"/>
    </font>
    <font>
      <b/>
      <sz val="10"/>
      <color rgb="FFC00000"/>
      <name val="Arial"/>
      <family val="2"/>
    </font>
    <font>
      <b/>
      <sz val="10"/>
      <color rgb="FF002060"/>
      <name val="Arial"/>
      <family val="2"/>
    </font>
    <font>
      <b/>
      <sz val="10"/>
      <color theme="3" tint="0.39997558519241921"/>
      <name val="Arial"/>
      <family val="2"/>
    </font>
    <font>
      <sz val="11"/>
      <color rgb="FFFF0000"/>
      <name val="Arial Narrow"/>
      <family val="2"/>
    </font>
    <font>
      <sz val="11"/>
      <color theme="9" tint="-0.249977111117893"/>
      <name val="Arial Narrow"/>
      <family val="2"/>
    </font>
    <font>
      <sz val="10"/>
      <color rgb="FF00B050"/>
      <name val="Arial"/>
      <family val="2"/>
    </font>
    <font>
      <b/>
      <sz val="10"/>
      <color theme="9" tint="-0.249977111117893"/>
      <name val="Arial"/>
      <family val="2"/>
    </font>
    <font>
      <b/>
      <sz val="10"/>
      <color rgb="FF002060"/>
      <name val="Arial Narrow"/>
      <family val="2"/>
    </font>
    <font>
      <b/>
      <sz val="10"/>
      <color rgb="FF00B050"/>
      <name val="Arial Narrow"/>
      <family val="2"/>
    </font>
    <font>
      <b/>
      <sz val="10"/>
      <color theme="1"/>
      <name val="Arial Narrow"/>
      <family val="2"/>
    </font>
    <font>
      <b/>
      <sz val="10"/>
      <color rgb="FFFF0000"/>
      <name val="Arial Narrow"/>
      <family val="2"/>
    </font>
    <font>
      <b/>
      <sz val="10"/>
      <color rgb="FFFF9900"/>
      <name val="Arial Narrow"/>
      <family val="2"/>
    </font>
    <font>
      <b/>
      <sz val="10"/>
      <color rgb="FF0070C0"/>
      <name val="Arial Narrow"/>
      <family val="2"/>
    </font>
    <font>
      <b/>
      <sz val="10"/>
      <color rgb="FF00B0F0"/>
      <name val="Arial Narrow"/>
      <family val="2"/>
    </font>
    <font>
      <b/>
      <sz val="10"/>
      <color rgb="FFFFC000"/>
      <name val="Arial Narrow"/>
      <family val="2"/>
    </font>
    <font>
      <b/>
      <sz val="9"/>
      <color theme="9" tint="-0.499984740745262"/>
      <name val="Arial"/>
      <family val="2"/>
    </font>
    <font>
      <sz val="10"/>
      <color theme="9" tint="-0.499984740745262"/>
      <name val="Arial"/>
      <family val="2"/>
    </font>
    <font>
      <sz val="11"/>
      <color theme="9" tint="-0.499984740745262"/>
      <name val="Arial"/>
      <family val="2"/>
    </font>
    <font>
      <sz val="8"/>
      <color theme="9" tint="-0.499984740745262"/>
      <name val="Arial"/>
      <family val="2"/>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C8C5E"/>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86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18" borderId="39" xfId="0" applyFont="1" applyFill="1" applyBorder="1" applyAlignment="1">
      <alignment vertical="center" wrapText="1"/>
    </xf>
    <xf numFmtId="0" fontId="61" fillId="18" borderId="40" xfId="0" applyFont="1" applyFill="1" applyBorder="1" applyAlignment="1">
      <alignmen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61" fillId="0" borderId="94" xfId="0" applyFont="1" applyBorder="1" applyAlignment="1" applyProtection="1">
      <alignment horizontal="center" vertical="center"/>
      <protection locked="0"/>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22" borderId="33" xfId="0" applyFill="1" applyBorder="1"/>
    <xf numFmtId="0" fontId="0" fillId="21" borderId="33" xfId="0" applyFill="1" applyBorder="1"/>
    <xf numFmtId="0" fontId="0" fillId="23" borderId="33" xfId="0" applyFill="1" applyBorder="1"/>
    <xf numFmtId="0" fontId="61" fillId="22" borderId="78" xfId="0" applyFont="1" applyFill="1" applyBorder="1" applyAlignment="1">
      <alignment horizontal="left" vertical="center" wrapText="1"/>
    </xf>
    <xf numFmtId="0" fontId="61" fillId="22" borderId="33" xfId="0" applyFont="1" applyFill="1" applyBorder="1" applyAlignment="1">
      <alignment horizontal="left" vertical="center" wrapText="1"/>
    </xf>
    <xf numFmtId="0" fontId="61" fillId="22" borderId="33" xfId="0" applyFont="1" applyFill="1" applyBorder="1" applyAlignment="1">
      <alignment horizontal="left" vertical="center"/>
    </xf>
    <xf numFmtId="0" fontId="61" fillId="22" borderId="40" xfId="0" applyFont="1" applyFill="1" applyBorder="1" applyAlignment="1">
      <alignment horizontal="left" vertical="center" wrapText="1"/>
    </xf>
    <xf numFmtId="0" fontId="61" fillId="24" borderId="78"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5" fillId="24" borderId="33" xfId="0" applyFont="1" applyFill="1" applyBorder="1" applyAlignment="1">
      <alignment horizontal="left" vertical="center" wrapText="1"/>
    </xf>
    <xf numFmtId="0" fontId="65" fillId="24" borderId="40" xfId="0" applyFont="1" applyFill="1" applyBorder="1" applyAlignment="1">
      <alignment horizontal="left" vertical="center" wrapText="1"/>
    </xf>
    <xf numFmtId="0" fontId="61" fillId="25" borderId="38" xfId="0" applyFont="1" applyFill="1" applyBorder="1" applyAlignment="1">
      <alignment horizontal="left" vertical="center" wrapText="1"/>
    </xf>
    <xf numFmtId="0" fontId="61" fillId="25" borderId="41" xfId="0" applyFont="1" applyFill="1" applyBorder="1" applyAlignment="1">
      <alignment horizontal="left" vertical="center" wrapText="1"/>
    </xf>
    <xf numFmtId="0" fontId="61" fillId="0" borderId="0" xfId="0" applyFont="1" applyAlignment="1">
      <alignment horizontal="justify" vertical="top"/>
    </xf>
    <xf numFmtId="0" fontId="74" fillId="25" borderId="79" xfId="0" applyFont="1" applyFill="1" applyBorder="1" applyAlignment="1">
      <alignment horizontal="left" vertical="center" wrapText="1"/>
    </xf>
    <xf numFmtId="0" fontId="74" fillId="25" borderId="38"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61" fillId="13" borderId="105" xfId="0" applyFont="1" applyFill="1" applyBorder="1" applyAlignment="1">
      <alignment wrapText="1"/>
    </xf>
    <xf numFmtId="0" fontId="61" fillId="26" borderId="105" xfId="0" applyFont="1" applyFill="1" applyBorder="1" applyAlignment="1">
      <alignment vertical="top" wrapText="1"/>
    </xf>
    <xf numFmtId="0" fontId="61" fillId="0" borderId="0" xfId="0" applyFont="1" applyAlignment="1">
      <alignment vertical="top"/>
    </xf>
    <xf numFmtId="0" fontId="1" fillId="3" borderId="0" xfId="0" applyFont="1" applyFill="1" applyAlignment="1">
      <alignment horizontal="left"/>
    </xf>
    <xf numFmtId="0" fontId="1" fillId="0" borderId="0" xfId="0" applyFont="1" applyAlignment="1">
      <alignment horizontal="left"/>
    </xf>
    <xf numFmtId="0" fontId="1" fillId="0" borderId="75" xfId="0" applyFont="1" applyBorder="1" applyAlignment="1" applyProtection="1">
      <alignment horizontal="left" vertical="top" wrapText="1"/>
      <protection locked="0"/>
    </xf>
    <xf numFmtId="0" fontId="1" fillId="0" borderId="0" xfId="0" applyFont="1" applyAlignment="1">
      <alignment horizontal="left" vertical="center"/>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3" borderId="0" xfId="0" applyFont="1" applyFill="1" applyAlignment="1">
      <alignment horizontal="left" vertical="top"/>
    </xf>
    <xf numFmtId="0" fontId="1" fillId="0" borderId="0" xfId="0" applyFont="1" applyAlignment="1">
      <alignment horizontal="left" vertical="top"/>
    </xf>
    <xf numFmtId="0" fontId="1" fillId="3" borderId="0" xfId="0" applyFont="1" applyFill="1" applyAlignment="1">
      <alignment textRotation="180"/>
    </xf>
    <xf numFmtId="0" fontId="1" fillId="0" borderId="0" xfId="0" applyFont="1" applyAlignment="1">
      <alignment textRotation="180"/>
    </xf>
    <xf numFmtId="0" fontId="4" fillId="2" borderId="8" xfId="0" applyFont="1" applyFill="1" applyBorder="1" applyAlignment="1">
      <alignment horizontal="center" vertical="center" textRotation="180"/>
    </xf>
    <xf numFmtId="14" fontId="1" fillId="0" borderId="2" xfId="0" applyNumberFormat="1" applyFont="1" applyBorder="1" applyAlignment="1" applyProtection="1">
      <alignment horizontal="center" vertical="top" textRotation="180"/>
      <protection locked="0"/>
    </xf>
    <xf numFmtId="0" fontId="93" fillId="3" borderId="75" xfId="0" applyFont="1" applyFill="1" applyBorder="1" applyAlignment="1">
      <alignment horizontal="justify" vertical="top" wrapText="1"/>
    </xf>
    <xf numFmtId="0" fontId="6" fillId="0" borderId="2" xfId="0" applyFont="1" applyBorder="1" applyAlignment="1">
      <alignment horizontal="justify" vertical="top"/>
    </xf>
    <xf numFmtId="0" fontId="6" fillId="0" borderId="2" xfId="0" applyFont="1" applyBorder="1" applyAlignment="1" applyProtection="1">
      <alignment horizontal="justify" vertical="top"/>
      <protection hidden="1"/>
    </xf>
    <xf numFmtId="0" fontId="6" fillId="0" borderId="2" xfId="0" applyFont="1" applyBorder="1" applyAlignment="1" applyProtection="1">
      <alignment horizontal="justify" vertical="top" textRotation="90"/>
      <protection locked="0"/>
    </xf>
    <xf numFmtId="9" fontId="6" fillId="0" borderId="2" xfId="0" applyNumberFormat="1" applyFont="1" applyBorder="1" applyAlignment="1" applyProtection="1">
      <alignment horizontal="justify" vertical="top"/>
      <protection hidden="1"/>
    </xf>
    <xf numFmtId="164" fontId="6" fillId="0" borderId="2" xfId="1" applyNumberFormat="1" applyFont="1" applyBorder="1" applyAlignment="1">
      <alignment horizontal="justify" vertical="top"/>
    </xf>
    <xf numFmtId="0" fontId="93" fillId="0" borderId="2" xfId="0" applyFont="1" applyBorder="1" applyAlignment="1" applyProtection="1">
      <alignment horizontal="justify" vertical="top" textRotation="90" wrapText="1"/>
      <protection hidden="1"/>
    </xf>
    <xf numFmtId="9" fontId="6" fillId="0" borderId="4" xfId="0" applyNumberFormat="1" applyFont="1" applyBorder="1" applyAlignment="1" applyProtection="1">
      <alignment horizontal="justify" vertical="top"/>
      <protection hidden="1"/>
    </xf>
    <xf numFmtId="0" fontId="93" fillId="0" borderId="2" xfId="0" applyFont="1" applyBorder="1" applyAlignment="1" applyProtection="1">
      <alignment horizontal="justify" vertical="top" textRotation="90"/>
      <protection hidden="1"/>
    </xf>
    <xf numFmtId="0" fontId="6" fillId="0" borderId="4" xfId="0" applyFont="1" applyBorder="1" applyAlignment="1" applyProtection="1">
      <alignment horizontal="justify" vertical="top" textRotation="90"/>
      <protection locked="0"/>
    </xf>
    <xf numFmtId="14" fontId="6" fillId="0" borderId="2" xfId="0" applyNumberFormat="1" applyFont="1" applyBorder="1" applyAlignment="1" applyProtection="1">
      <alignment horizontal="justify" vertical="top" textRotation="180"/>
      <protection locked="0"/>
    </xf>
    <xf numFmtId="14" fontId="6" fillId="0" borderId="2" xfId="0" applyNumberFormat="1" applyFont="1" applyBorder="1" applyAlignment="1" applyProtection="1">
      <alignment horizontal="justify" vertical="top"/>
      <protection locked="0"/>
    </xf>
    <xf numFmtId="0" fontId="6" fillId="0" borderId="2" xfId="0" applyFont="1" applyBorder="1" applyAlignment="1" applyProtection="1">
      <alignment horizontal="justify" vertical="top"/>
      <protection locked="0"/>
    </xf>
    <xf numFmtId="0" fontId="6" fillId="3" borderId="0" xfId="0" applyFont="1" applyFill="1" applyAlignment="1">
      <alignment horizontal="justify" vertical="top"/>
    </xf>
    <xf numFmtId="0" fontId="6" fillId="0" borderId="0" xfId="0" applyFont="1" applyAlignment="1">
      <alignment horizontal="justify" vertical="top"/>
    </xf>
    <xf numFmtId="0" fontId="6" fillId="0" borderId="75" xfId="0" applyFont="1" applyBorder="1" applyAlignment="1" applyProtection="1">
      <alignment horizontal="justify" vertical="top" wrapText="1"/>
      <protection locked="0"/>
    </xf>
    <xf numFmtId="0" fontId="40" fillId="0" borderId="75" xfId="0" applyFont="1" applyBorder="1" applyAlignment="1" applyProtection="1">
      <alignment horizontal="justify" vertical="top" wrapText="1"/>
      <protection locked="0"/>
    </xf>
    <xf numFmtId="0" fontId="6" fillId="0" borderId="4" xfId="0" applyFont="1" applyBorder="1" applyAlignment="1">
      <alignment vertical="top"/>
    </xf>
    <xf numFmtId="0" fontId="44" fillId="0" borderId="75" xfId="0" applyFont="1" applyBorder="1" applyAlignment="1" applyProtection="1">
      <alignment vertical="top" wrapText="1"/>
      <protection locked="0"/>
    </xf>
    <xf numFmtId="0" fontId="93" fillId="0" borderId="4" xfId="0" applyFont="1" applyBorder="1" applyAlignment="1" applyProtection="1">
      <alignment vertical="top" textRotation="180" wrapText="1"/>
      <protection hidden="1"/>
    </xf>
    <xf numFmtId="9" fontId="6" fillId="0" borderId="4" xfId="0" applyNumberFormat="1" applyFont="1" applyBorder="1" applyAlignment="1" applyProtection="1">
      <alignment vertical="top" wrapText="1"/>
      <protection hidden="1"/>
    </xf>
    <xf numFmtId="0" fontId="93" fillId="0" borderId="4" xfId="0" applyFont="1" applyBorder="1" applyAlignment="1" applyProtection="1">
      <alignment vertical="top" textRotation="180"/>
      <protection hidden="1"/>
    </xf>
    <xf numFmtId="0" fontId="6" fillId="0" borderId="8" xfId="0" applyFont="1" applyBorder="1" applyAlignment="1">
      <alignment vertical="top"/>
    </xf>
    <xf numFmtId="0" fontId="6" fillId="0" borderId="8" xfId="0" applyFont="1" applyBorder="1" applyAlignment="1" applyProtection="1">
      <alignment vertical="top" wrapText="1"/>
      <protection locked="0"/>
    </xf>
    <xf numFmtId="0" fontId="97"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40" fillId="0" borderId="97" xfId="0" applyFont="1" applyBorder="1" applyAlignment="1" applyProtection="1">
      <alignment vertical="top" textRotation="180" wrapText="1"/>
      <protection locked="0"/>
    </xf>
    <xf numFmtId="0" fontId="6" fillId="0" borderId="76" xfId="0" applyFont="1" applyBorder="1" applyAlignment="1" applyProtection="1">
      <alignment vertical="top" wrapText="1"/>
      <protection locked="0"/>
    </xf>
    <xf numFmtId="0" fontId="6" fillId="0" borderId="8" xfId="0" applyFont="1" applyBorder="1" applyAlignment="1" applyProtection="1">
      <alignment vertical="top"/>
      <protection locked="0"/>
    </xf>
    <xf numFmtId="0" fontId="93" fillId="0" borderId="8" xfId="0" applyFont="1" applyBorder="1" applyAlignment="1" applyProtection="1">
      <alignment vertical="top" textRotation="180" wrapText="1"/>
      <protection hidden="1"/>
    </xf>
    <xf numFmtId="9" fontId="6" fillId="0" borderId="8" xfId="0" applyNumberFormat="1" applyFont="1" applyBorder="1" applyAlignment="1" applyProtection="1">
      <alignment vertical="top" wrapText="1"/>
      <protection hidden="1"/>
    </xf>
    <xf numFmtId="9" fontId="6" fillId="0" borderId="8" xfId="0" applyNumberFormat="1" applyFont="1" applyBorder="1" applyAlignment="1" applyProtection="1">
      <alignment vertical="top" wrapText="1"/>
      <protection locked="0"/>
    </xf>
    <xf numFmtId="0" fontId="93" fillId="0" borderId="8" xfId="0" applyFont="1" applyBorder="1" applyAlignment="1" applyProtection="1">
      <alignment vertical="top" textRotation="180"/>
      <protection hidden="1"/>
    </xf>
    <xf numFmtId="0" fontId="6" fillId="0" borderId="5" xfId="0" applyFont="1" applyBorder="1" applyAlignment="1">
      <alignment vertical="top"/>
    </xf>
    <xf numFmtId="0" fontId="6" fillId="0" borderId="5" xfId="0" applyFont="1" applyBorder="1" applyAlignment="1" applyProtection="1">
      <alignment vertical="top" wrapText="1"/>
      <protection locked="0"/>
    </xf>
    <xf numFmtId="0" fontId="97" fillId="0" borderId="5"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40" fillId="0" borderId="98" xfId="0" applyFont="1" applyBorder="1" applyAlignment="1" applyProtection="1">
      <alignment vertical="top" textRotation="180" wrapText="1"/>
      <protection locked="0"/>
    </xf>
    <xf numFmtId="0" fontId="6" fillId="0" borderId="32" xfId="0" applyFont="1" applyBorder="1" applyAlignment="1" applyProtection="1">
      <alignment vertical="top" wrapText="1"/>
      <protection locked="0"/>
    </xf>
    <xf numFmtId="0" fontId="6" fillId="0" borderId="5" xfId="0" applyFont="1" applyBorder="1" applyAlignment="1" applyProtection="1">
      <alignment vertical="top"/>
      <protection locked="0"/>
    </xf>
    <xf numFmtId="0" fontId="93" fillId="0" borderId="5" xfId="0" applyFont="1" applyBorder="1" applyAlignment="1" applyProtection="1">
      <alignment vertical="top" textRotation="180" wrapText="1"/>
      <protection hidden="1"/>
    </xf>
    <xf numFmtId="9" fontId="6" fillId="0" borderId="5" xfId="0" applyNumberFormat="1" applyFont="1" applyBorder="1" applyAlignment="1" applyProtection="1">
      <alignment vertical="top" wrapText="1"/>
      <protection hidden="1"/>
    </xf>
    <xf numFmtId="9" fontId="6" fillId="0" borderId="5" xfId="0" applyNumberFormat="1" applyFont="1" applyBorder="1" applyAlignment="1" applyProtection="1">
      <alignment vertical="top" wrapText="1"/>
      <protection locked="0"/>
    </xf>
    <xf numFmtId="0" fontId="93" fillId="0" borderId="5" xfId="0" applyFont="1" applyBorder="1" applyAlignment="1" applyProtection="1">
      <alignment vertical="top" textRotation="180"/>
      <protection hidden="1"/>
    </xf>
    <xf numFmtId="0" fontId="93" fillId="0" borderId="4" xfId="0" applyFont="1" applyBorder="1" applyAlignment="1" applyProtection="1">
      <alignment horizontal="justify" vertical="top" textRotation="180" wrapText="1"/>
      <protection hidden="1"/>
    </xf>
    <xf numFmtId="0" fontId="93" fillId="0" borderId="4" xfId="0" applyFont="1" applyBorder="1" applyAlignment="1" applyProtection="1">
      <alignment horizontal="justify" vertical="top" textRotation="180"/>
      <protection hidden="1"/>
    </xf>
    <xf numFmtId="0" fontId="6" fillId="21" borderId="75" xfId="0" applyFont="1" applyFill="1" applyBorder="1" applyAlignment="1" applyProtection="1">
      <alignment horizontal="justify" vertical="top" wrapText="1"/>
      <protection locked="0"/>
    </xf>
    <xf numFmtId="0" fontId="40" fillId="21" borderId="75" xfId="0" applyFont="1" applyFill="1" applyBorder="1" applyAlignment="1" applyProtection="1">
      <alignment horizontal="justify" vertical="top" wrapText="1"/>
      <protection locked="0"/>
    </xf>
    <xf numFmtId="9" fontId="6" fillId="0" borderId="8" xfId="0" applyNumberFormat="1" applyFont="1" applyBorder="1" applyAlignment="1" applyProtection="1">
      <alignment horizontal="justify" vertical="top" wrapText="1"/>
      <protection locked="0"/>
    </xf>
    <xf numFmtId="0" fontId="6" fillId="0" borderId="8" xfId="0" applyFont="1" applyBorder="1" applyAlignment="1" applyProtection="1">
      <alignment horizontal="justify" vertical="top"/>
      <protection locked="0"/>
    </xf>
    <xf numFmtId="0" fontId="93" fillId="0" borderId="8" xfId="0" applyFont="1" applyBorder="1" applyAlignment="1" applyProtection="1">
      <alignment horizontal="justify" vertical="top" textRotation="180" wrapText="1"/>
      <protection hidden="1"/>
    </xf>
    <xf numFmtId="9" fontId="6" fillId="0" borderId="8" xfId="0" applyNumberFormat="1" applyFont="1" applyBorder="1" applyAlignment="1" applyProtection="1">
      <alignment horizontal="justify" vertical="top" wrapText="1"/>
      <protection hidden="1"/>
    </xf>
    <xf numFmtId="0" fontId="93" fillId="0" borderId="8" xfId="0" applyFont="1" applyBorder="1" applyAlignment="1" applyProtection="1">
      <alignment horizontal="justify" vertical="top" textRotation="180"/>
      <protection hidden="1"/>
    </xf>
    <xf numFmtId="0" fontId="6" fillId="0" borderId="5" xfId="0" applyFont="1" applyBorder="1" applyAlignment="1" applyProtection="1">
      <alignment horizontal="justify" vertical="top"/>
      <protection locked="0"/>
    </xf>
    <xf numFmtId="0" fontId="93" fillId="0" borderId="5" xfId="0" applyFont="1" applyBorder="1" applyAlignment="1" applyProtection="1">
      <alignment horizontal="justify" vertical="top" textRotation="180" wrapText="1"/>
      <protection hidden="1"/>
    </xf>
    <xf numFmtId="9" fontId="6" fillId="0" borderId="5"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locked="0"/>
    </xf>
    <xf numFmtId="0" fontId="93" fillId="0" borderId="5" xfId="0" applyFont="1" applyBorder="1" applyAlignment="1" applyProtection="1">
      <alignment horizontal="justify" vertical="top" textRotation="180"/>
      <protection hidden="1"/>
    </xf>
    <xf numFmtId="0" fontId="6" fillId="0" borderId="6" xfId="0" applyFont="1" applyBorder="1" applyAlignment="1" applyProtection="1">
      <alignment horizontal="justify" vertical="top"/>
      <protection locked="0"/>
    </xf>
    <xf numFmtId="0" fontId="44" fillId="30" borderId="75" xfId="0" applyFont="1" applyFill="1" applyBorder="1" applyAlignment="1" applyProtection="1">
      <alignment vertical="top" wrapText="1"/>
      <protection locked="0"/>
    </xf>
    <xf numFmtId="0" fontId="6" fillId="30" borderId="4" xfId="0" applyFont="1" applyFill="1" applyBorder="1" applyAlignment="1" applyProtection="1">
      <alignment vertical="top" wrapText="1"/>
      <protection locked="0"/>
    </xf>
    <xf numFmtId="0" fontId="97" fillId="30" borderId="4" xfId="0" applyFont="1" applyFill="1" applyBorder="1" applyAlignment="1" applyProtection="1">
      <alignment vertical="top" wrapText="1"/>
      <protection locked="0"/>
    </xf>
    <xf numFmtId="0" fontId="6" fillId="30" borderId="28" xfId="0" applyFont="1" applyFill="1" applyBorder="1" applyAlignment="1" applyProtection="1">
      <alignment vertical="top" wrapText="1"/>
      <protection locked="0"/>
    </xf>
    <xf numFmtId="0" fontId="93" fillId="31" borderId="75" xfId="0" applyFont="1" applyFill="1" applyBorder="1" applyAlignment="1">
      <alignment horizontal="justify" vertical="top" wrapText="1"/>
    </xf>
    <xf numFmtId="0" fontId="6" fillId="31" borderId="2" xfId="0" applyFont="1" applyFill="1" applyBorder="1" applyAlignment="1" applyProtection="1">
      <alignment horizontal="justify" vertical="top" wrapText="1"/>
      <protection locked="0"/>
    </xf>
    <xf numFmtId="0" fontId="6" fillId="31" borderId="2" xfId="0" applyFont="1" applyFill="1" applyBorder="1" applyAlignment="1" applyProtection="1">
      <alignment horizontal="justify" vertical="top"/>
      <protection hidden="1"/>
    </xf>
    <xf numFmtId="0" fontId="6" fillId="31" borderId="2" xfId="0" applyFont="1" applyFill="1" applyBorder="1" applyAlignment="1" applyProtection="1">
      <alignment horizontal="justify" vertical="top" textRotation="90"/>
      <protection locked="0"/>
    </xf>
    <xf numFmtId="9" fontId="6" fillId="31" borderId="2" xfId="0" applyNumberFormat="1" applyFont="1" applyFill="1" applyBorder="1" applyAlignment="1" applyProtection="1">
      <alignment horizontal="justify" vertical="top"/>
      <protection hidden="1"/>
    </xf>
    <xf numFmtId="164" fontId="6" fillId="31" borderId="2" xfId="1" applyNumberFormat="1" applyFont="1" applyFill="1" applyBorder="1" applyAlignment="1">
      <alignment horizontal="justify" vertical="top"/>
    </xf>
    <xf numFmtId="9" fontId="6" fillId="31" borderId="4" xfId="0" applyNumberFormat="1" applyFont="1" applyFill="1" applyBorder="1" applyAlignment="1" applyProtection="1">
      <alignment horizontal="justify" vertical="top"/>
      <protection hidden="1"/>
    </xf>
    <xf numFmtId="0" fontId="6" fillId="31" borderId="4" xfId="0" applyFont="1" applyFill="1" applyBorder="1" applyAlignment="1" applyProtection="1">
      <alignment horizontal="justify" vertical="top" textRotation="90"/>
      <protection locked="0"/>
    </xf>
    <xf numFmtId="14" fontId="6" fillId="31" borderId="2" xfId="0" applyNumberFormat="1" applyFont="1" applyFill="1" applyBorder="1" applyAlignment="1" applyProtection="1">
      <alignment horizontal="justify" vertical="top" textRotation="180"/>
      <protection locked="0"/>
    </xf>
    <xf numFmtId="14" fontId="6" fillId="31" borderId="2" xfId="0" applyNumberFormat="1" applyFont="1" applyFill="1" applyBorder="1" applyAlignment="1" applyProtection="1">
      <alignment horizontal="justify" vertical="top"/>
      <protection locked="0"/>
    </xf>
    <xf numFmtId="0" fontId="6" fillId="31" borderId="6" xfId="0" applyFont="1" applyFill="1" applyBorder="1" applyAlignment="1" applyProtection="1">
      <alignment horizontal="justify" vertical="top"/>
      <protection locked="0"/>
    </xf>
    <xf numFmtId="0" fontId="6" fillId="2" borderId="2" xfId="0" applyFont="1" applyFill="1" applyBorder="1" applyAlignment="1">
      <alignment horizontal="justify" vertical="top"/>
    </xf>
    <xf numFmtId="0" fontId="6" fillId="2" borderId="2" xfId="0" applyFont="1" applyFill="1" applyBorder="1" applyAlignment="1" applyProtection="1">
      <alignment horizontal="justify" vertical="top" wrapText="1"/>
      <protection locked="0"/>
    </xf>
    <xf numFmtId="0" fontId="6" fillId="2" borderId="2" xfId="0" applyFont="1" applyFill="1" applyBorder="1" applyAlignment="1" applyProtection="1">
      <alignment horizontal="justify" vertical="top"/>
      <protection hidden="1"/>
    </xf>
    <xf numFmtId="0" fontId="6" fillId="2" borderId="2" xfId="0" applyFont="1" applyFill="1" applyBorder="1" applyAlignment="1" applyProtection="1">
      <alignment horizontal="justify" vertical="top" textRotation="90"/>
      <protection locked="0"/>
    </xf>
    <xf numFmtId="9" fontId="6" fillId="2" borderId="2" xfId="0" applyNumberFormat="1" applyFont="1" applyFill="1" applyBorder="1" applyAlignment="1" applyProtection="1">
      <alignment horizontal="justify" vertical="top"/>
      <protection hidden="1"/>
    </xf>
    <xf numFmtId="164" fontId="6" fillId="2" borderId="2" xfId="1" applyNumberFormat="1" applyFont="1" applyFill="1" applyBorder="1" applyAlignment="1">
      <alignment horizontal="justify" vertical="top"/>
    </xf>
    <xf numFmtId="9" fontId="6" fillId="2" borderId="4" xfId="0" applyNumberFormat="1" applyFont="1" applyFill="1" applyBorder="1" applyAlignment="1" applyProtection="1">
      <alignment horizontal="justify" vertical="top"/>
      <protection hidden="1"/>
    </xf>
    <xf numFmtId="0" fontId="6" fillId="2" borderId="4" xfId="0" applyFont="1" applyFill="1" applyBorder="1" applyAlignment="1" applyProtection="1">
      <alignment horizontal="justify" vertical="top" textRotation="90"/>
      <protection locked="0"/>
    </xf>
    <xf numFmtId="14" fontId="6" fillId="2" borderId="2" xfId="0" applyNumberFormat="1" applyFont="1" applyFill="1" applyBorder="1" applyAlignment="1" applyProtection="1">
      <alignment horizontal="justify" vertical="top" textRotation="180"/>
      <protection locked="0"/>
    </xf>
    <xf numFmtId="14" fontId="6" fillId="2" borderId="2" xfId="0" applyNumberFormat="1" applyFont="1" applyFill="1" applyBorder="1" applyAlignment="1" applyProtection="1">
      <alignment horizontal="justify" vertical="top"/>
      <protection locked="0"/>
    </xf>
    <xf numFmtId="0" fontId="6" fillId="2" borderId="2" xfId="0" applyFont="1" applyFill="1" applyBorder="1" applyAlignment="1" applyProtection="1">
      <alignment horizontal="justify" vertical="top"/>
      <protection locked="0"/>
    </xf>
    <xf numFmtId="0" fontId="93" fillId="2" borderId="2" xfId="0" applyFont="1" applyFill="1" applyBorder="1" applyAlignment="1" applyProtection="1">
      <alignment horizontal="justify" vertical="top" textRotation="90" wrapText="1"/>
      <protection hidden="1"/>
    </xf>
    <xf numFmtId="9" fontId="6" fillId="2" borderId="4" xfId="0" applyNumberFormat="1" applyFont="1" applyFill="1" applyBorder="1" applyAlignment="1" applyProtection="1">
      <alignment horizontal="justify" vertical="top" wrapText="1"/>
      <protection hidden="1"/>
    </xf>
    <xf numFmtId="9" fontId="6" fillId="2" borderId="8" xfId="0" applyNumberFormat="1" applyFont="1" applyFill="1" applyBorder="1" applyAlignment="1" applyProtection="1">
      <alignment horizontal="justify" vertical="top" wrapText="1"/>
      <protection locked="0"/>
    </xf>
    <xf numFmtId="0" fontId="6" fillId="2" borderId="4" xfId="0" applyFont="1" applyFill="1" applyBorder="1" applyAlignment="1" applyProtection="1">
      <alignment horizontal="justify" vertical="top"/>
      <protection locked="0"/>
    </xf>
    <xf numFmtId="0" fontId="6" fillId="31" borderId="2" xfId="0" applyFont="1" applyFill="1" applyBorder="1" applyAlignment="1" applyProtection="1">
      <alignment horizontal="justify" vertical="top"/>
      <protection locked="0"/>
    </xf>
    <xf numFmtId="0" fontId="6" fillId="31" borderId="2" xfId="0" applyFont="1" applyFill="1" applyBorder="1" applyAlignment="1">
      <alignment horizontal="justify" vertical="top"/>
    </xf>
    <xf numFmtId="0" fontId="40" fillId="31" borderId="75" xfId="0" applyFont="1" applyFill="1" applyBorder="1" applyAlignment="1" applyProtection="1">
      <alignment horizontal="justify" vertical="top" wrapText="1"/>
      <protection locked="0"/>
    </xf>
    <xf numFmtId="0" fontId="93" fillId="31" borderId="75" xfId="0" applyFont="1" applyFill="1" applyBorder="1" applyAlignment="1" applyProtection="1">
      <alignment horizontal="justify" vertical="top" wrapText="1"/>
      <protection locked="0"/>
    </xf>
    <xf numFmtId="0" fontId="6" fillId="32" borderId="4" xfId="0" applyFont="1" applyFill="1" applyBorder="1" applyAlignment="1" applyProtection="1">
      <alignment horizontal="justify" vertical="top" textRotation="90"/>
      <protection locked="0"/>
    </xf>
    <xf numFmtId="0" fontId="6" fillId="32" borderId="2" xfId="0" applyFont="1" applyFill="1" applyBorder="1" applyAlignment="1" applyProtection="1">
      <alignment horizontal="justify" vertical="top" wrapText="1"/>
      <protection locked="0"/>
    </xf>
    <xf numFmtId="0" fontId="6" fillId="32" borderId="2" xfId="0" applyFont="1" applyFill="1" applyBorder="1" applyAlignment="1" applyProtection="1">
      <alignment horizontal="justify" vertical="top"/>
      <protection locked="0"/>
    </xf>
    <xf numFmtId="14" fontId="6" fillId="32" borderId="2" xfId="0" applyNumberFormat="1" applyFont="1" applyFill="1" applyBorder="1" applyAlignment="1" applyProtection="1">
      <alignment horizontal="justify" vertical="top" textRotation="180"/>
      <protection locked="0"/>
    </xf>
    <xf numFmtId="14" fontId="6" fillId="32" borderId="2" xfId="0" applyNumberFormat="1" applyFont="1" applyFill="1" applyBorder="1" applyAlignment="1" applyProtection="1">
      <alignment horizontal="justify" vertical="top"/>
      <protection locked="0"/>
    </xf>
    <xf numFmtId="0" fontId="6" fillId="32" borderId="6" xfId="0" applyFont="1" applyFill="1" applyBorder="1" applyAlignment="1" applyProtection="1">
      <alignment horizontal="justify" vertical="top"/>
      <protection locked="0"/>
    </xf>
    <xf numFmtId="9" fontId="6" fillId="32" borderId="4" xfId="0" applyNumberFormat="1" applyFont="1" applyFill="1" applyBorder="1" applyAlignment="1" applyProtection="1">
      <alignment horizontal="justify" vertical="top"/>
      <protection hidden="1"/>
    </xf>
    <xf numFmtId="0" fontId="6" fillId="32" borderId="2" xfId="0" applyFont="1" applyFill="1" applyBorder="1" applyAlignment="1">
      <alignment horizontal="justify" vertical="top"/>
    </xf>
    <xf numFmtId="0" fontId="6" fillId="32" borderId="2" xfId="0" applyFont="1" applyFill="1" applyBorder="1" applyAlignment="1" applyProtection="1">
      <alignment horizontal="justify" vertical="top"/>
      <protection hidden="1"/>
    </xf>
    <xf numFmtId="0" fontId="6" fillId="32" borderId="2" xfId="0" applyFont="1" applyFill="1" applyBorder="1" applyAlignment="1" applyProtection="1">
      <alignment horizontal="justify" vertical="top" textRotation="90"/>
      <protection locked="0"/>
    </xf>
    <xf numFmtId="9" fontId="6" fillId="32" borderId="2" xfId="0" applyNumberFormat="1" applyFont="1" applyFill="1" applyBorder="1" applyAlignment="1" applyProtection="1">
      <alignment horizontal="justify" vertical="top"/>
      <protection hidden="1"/>
    </xf>
    <xf numFmtId="164" fontId="6" fillId="32" borderId="2" xfId="1" applyNumberFormat="1" applyFont="1" applyFill="1" applyBorder="1" applyAlignment="1">
      <alignment horizontal="justify" vertical="top"/>
    </xf>
    <xf numFmtId="9" fontId="6" fillId="32" borderId="4" xfId="0" applyNumberFormat="1" applyFont="1" applyFill="1" applyBorder="1" applyAlignment="1" applyProtection="1">
      <alignment horizontal="justify" vertical="top" wrapText="1"/>
      <protection hidden="1"/>
    </xf>
    <xf numFmtId="9" fontId="6" fillId="32" borderId="4" xfId="0" applyNumberFormat="1" applyFont="1" applyFill="1" applyBorder="1" applyAlignment="1" applyProtection="1">
      <alignment horizontal="justify" vertical="top" wrapText="1"/>
      <protection locked="0"/>
    </xf>
    <xf numFmtId="0" fontId="6" fillId="32" borderId="4" xfId="0" applyFont="1" applyFill="1" applyBorder="1" applyAlignment="1" applyProtection="1">
      <alignment horizontal="justify" vertical="top"/>
      <protection locked="0"/>
    </xf>
    <xf numFmtId="0" fontId="44" fillId="32" borderId="75" xfId="0" applyFont="1" applyFill="1" applyBorder="1" applyAlignment="1" applyProtection="1">
      <alignment horizontal="justify" vertical="top" wrapText="1"/>
      <protection locked="0"/>
    </xf>
    <xf numFmtId="0" fontId="93" fillId="32" borderId="75"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textRotation="90"/>
      <protection locked="0"/>
    </xf>
    <xf numFmtId="0" fontId="6" fillId="25" borderId="2" xfId="0" applyFont="1" applyFill="1" applyBorder="1" applyAlignment="1" applyProtection="1">
      <alignment horizontal="justify" vertical="top" wrapText="1"/>
      <protection locked="0"/>
    </xf>
    <xf numFmtId="14" fontId="6" fillId="25" borderId="2" xfId="0" applyNumberFormat="1" applyFont="1" applyFill="1" applyBorder="1" applyAlignment="1" applyProtection="1">
      <alignment horizontal="justify" vertical="top" textRotation="180"/>
      <protection locked="0"/>
    </xf>
    <xf numFmtId="14" fontId="6" fillId="25" borderId="2" xfId="0" applyNumberFormat="1" applyFont="1" applyFill="1" applyBorder="1" applyAlignment="1" applyProtection="1">
      <alignment horizontal="justify" vertical="top"/>
      <protection locked="0"/>
    </xf>
    <xf numFmtId="0" fontId="6" fillId="25" borderId="6" xfId="0" applyFont="1" applyFill="1" applyBorder="1" applyAlignment="1" applyProtection="1">
      <alignment horizontal="justify" vertical="top"/>
      <protection locked="0"/>
    </xf>
    <xf numFmtId="9" fontId="6" fillId="25" borderId="4" xfId="0" applyNumberFormat="1" applyFont="1" applyFill="1" applyBorder="1" applyAlignment="1" applyProtection="1">
      <alignment horizontal="justify" vertical="top"/>
      <protection hidden="1"/>
    </xf>
    <xf numFmtId="164" fontId="6" fillId="25" borderId="2" xfId="1" applyNumberFormat="1" applyFont="1" applyFill="1" applyBorder="1" applyAlignment="1">
      <alignment horizontal="justify" vertical="top"/>
    </xf>
    <xf numFmtId="0" fontId="6" fillId="25" borderId="2" xfId="0" applyFont="1" applyFill="1" applyBorder="1" applyAlignment="1">
      <alignment horizontal="justify" vertical="top"/>
    </xf>
    <xf numFmtId="0" fontId="6" fillId="25" borderId="2" xfId="0" applyFont="1" applyFill="1" applyBorder="1" applyAlignment="1" applyProtection="1">
      <alignment horizontal="justify" vertical="top"/>
      <protection hidden="1"/>
    </xf>
    <xf numFmtId="0" fontId="6" fillId="25" borderId="2" xfId="0" applyFont="1" applyFill="1" applyBorder="1" applyAlignment="1" applyProtection="1">
      <alignment horizontal="justify" vertical="top" textRotation="90"/>
      <protection locked="0"/>
    </xf>
    <xf numFmtId="9" fontId="6" fillId="25" borderId="2" xfId="0" applyNumberFormat="1" applyFont="1" applyFill="1" applyBorder="1" applyAlignment="1" applyProtection="1">
      <alignment horizontal="justify" vertical="top"/>
      <protection hidden="1"/>
    </xf>
    <xf numFmtId="0" fontId="44" fillId="25" borderId="75" xfId="0" applyFont="1" applyFill="1" applyBorder="1" applyAlignment="1" applyProtection="1">
      <alignment horizontal="justify" vertical="top" wrapText="1"/>
      <protection locked="0"/>
    </xf>
    <xf numFmtId="0" fontId="40" fillId="25" borderId="75" xfId="0" applyFont="1" applyFill="1" applyBorder="1" applyAlignment="1" applyProtection="1">
      <alignment horizontal="justify" vertical="top" wrapText="1"/>
      <protection locked="0"/>
    </xf>
    <xf numFmtId="0" fontId="93" fillId="25" borderId="75"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textRotation="90"/>
      <protection locked="0"/>
    </xf>
    <xf numFmtId="0" fontId="6" fillId="24" borderId="2" xfId="0" applyFont="1" applyFill="1" applyBorder="1" applyAlignment="1" applyProtection="1">
      <alignment horizontal="justify" vertical="top" wrapText="1"/>
      <protection locked="0"/>
    </xf>
    <xf numFmtId="14" fontId="6" fillId="24" borderId="2" xfId="0" applyNumberFormat="1" applyFont="1" applyFill="1" applyBorder="1" applyAlignment="1" applyProtection="1">
      <alignment horizontal="justify" vertical="top" textRotation="180"/>
      <protection locked="0"/>
    </xf>
    <xf numFmtId="14" fontId="6" fillId="24" borderId="2" xfId="0" applyNumberFormat="1" applyFont="1" applyFill="1" applyBorder="1" applyAlignment="1" applyProtection="1">
      <alignment horizontal="justify" vertical="top"/>
      <protection locked="0"/>
    </xf>
    <xf numFmtId="0" fontId="6" fillId="24" borderId="6"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protection hidden="1"/>
    </xf>
    <xf numFmtId="0" fontId="6" fillId="24" borderId="2" xfId="0" applyFont="1" applyFill="1" applyBorder="1" applyAlignment="1">
      <alignment horizontal="justify" vertical="top"/>
    </xf>
    <xf numFmtId="0" fontId="6" fillId="24" borderId="2" xfId="0" applyFont="1" applyFill="1" applyBorder="1" applyAlignment="1" applyProtection="1">
      <alignment horizontal="justify" vertical="top"/>
      <protection hidden="1"/>
    </xf>
    <xf numFmtId="0" fontId="6" fillId="24" borderId="2" xfId="0" applyFont="1" applyFill="1" applyBorder="1" applyAlignment="1" applyProtection="1">
      <alignment horizontal="justify" vertical="top" textRotation="90"/>
      <protection locked="0"/>
    </xf>
    <xf numFmtId="9" fontId="6" fillId="24" borderId="2" xfId="0" applyNumberFormat="1" applyFont="1" applyFill="1" applyBorder="1" applyAlignment="1" applyProtection="1">
      <alignment horizontal="justify" vertical="top"/>
      <protection hidden="1"/>
    </xf>
    <xf numFmtId="164" fontId="6" fillId="24" borderId="2" xfId="1" applyNumberFormat="1" applyFont="1" applyFill="1" applyBorder="1" applyAlignment="1">
      <alignment horizontal="justify" vertical="top"/>
    </xf>
    <xf numFmtId="0" fontId="44" fillId="24" borderId="75" xfId="0" applyFont="1" applyFill="1" applyBorder="1" applyAlignment="1" applyProtection="1">
      <alignment horizontal="justify" vertical="top" wrapText="1"/>
      <protection locked="0"/>
    </xf>
    <xf numFmtId="0" fontId="40" fillId="24" borderId="75" xfId="0" applyFont="1" applyFill="1" applyBorder="1" applyAlignment="1" applyProtection="1">
      <alignment horizontal="justify" vertical="top" wrapText="1"/>
      <protection locked="0"/>
    </xf>
    <xf numFmtId="0" fontId="93" fillId="24" borderId="75" xfId="0" applyFont="1" applyFill="1" applyBorder="1" applyAlignment="1" applyProtection="1">
      <alignment horizontal="justify" vertical="top" wrapText="1"/>
      <protection locked="0"/>
    </xf>
    <xf numFmtId="0" fontId="6" fillId="24" borderId="2"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vertical="top" wrapText="1"/>
      <protection hidden="1"/>
    </xf>
    <xf numFmtId="9" fontId="6" fillId="24" borderId="4" xfId="0" applyNumberFormat="1" applyFont="1" applyFill="1" applyBorder="1" applyAlignment="1" applyProtection="1">
      <alignment vertical="top" wrapText="1"/>
      <protection locked="0"/>
    </xf>
    <xf numFmtId="0" fontId="40" fillId="24" borderId="96" xfId="0" applyFont="1" applyFill="1" applyBorder="1" applyAlignment="1" applyProtection="1">
      <alignment vertical="top" textRotation="180" wrapText="1"/>
      <protection locked="0"/>
    </xf>
    <xf numFmtId="0" fontId="6" fillId="24" borderId="30" xfId="0" applyFont="1" applyFill="1" applyBorder="1" applyAlignment="1" applyProtection="1">
      <alignment vertical="top" wrapText="1"/>
      <protection locked="0"/>
    </xf>
    <xf numFmtId="0" fontId="6" fillId="24" borderId="4" xfId="0" applyFont="1" applyFill="1" applyBorder="1" applyAlignment="1" applyProtection="1">
      <alignment vertical="top"/>
      <protection locked="0"/>
    </xf>
    <xf numFmtId="0" fontId="74" fillId="24" borderId="106" xfId="0" applyFont="1" applyFill="1" applyBorder="1" applyAlignment="1">
      <alignment horizontal="left" vertical="center" wrapText="1"/>
    </xf>
    <xf numFmtId="0" fontId="74" fillId="24" borderId="33" xfId="0" applyFont="1" applyFill="1" applyBorder="1" applyAlignment="1">
      <alignment horizontal="left" vertical="center" wrapText="1"/>
    </xf>
    <xf numFmtId="166" fontId="74" fillId="0" borderId="92" xfId="0" applyNumberFormat="1" applyFont="1" applyBorder="1" applyAlignment="1">
      <alignment horizontal="center" vertical="center"/>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58" fillId="14" borderId="33" xfId="0" applyFont="1" applyFill="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107" xfId="0" applyFont="1" applyBorder="1" applyAlignment="1">
      <alignment horizontal="left" vertical="center" wrapText="1"/>
    </xf>
    <xf numFmtId="0" fontId="61" fillId="0" borderId="49" xfId="0" applyFont="1" applyBorder="1" applyAlignment="1">
      <alignment horizontal="left" vertical="center" wrapText="1"/>
    </xf>
    <xf numFmtId="0" fontId="61" fillId="0" borderId="50" xfId="0" applyFont="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82"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textRotation="180"/>
      <protection hidden="1"/>
    </xf>
    <xf numFmtId="0" fontId="4" fillId="0" borderId="8" xfId="0" applyFont="1" applyBorder="1" applyAlignment="1" applyProtection="1">
      <alignment horizontal="center" vertical="top" textRotation="180"/>
      <protection hidden="1"/>
    </xf>
    <xf numFmtId="0" fontId="4" fillId="0" borderId="5" xfId="0" applyFont="1" applyBorder="1" applyAlignment="1" applyProtection="1">
      <alignment horizontal="center" vertical="top" textRotation="180"/>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textRotation="180" wrapText="1"/>
      <protection hidden="1"/>
    </xf>
    <xf numFmtId="0" fontId="4" fillId="0" borderId="8" xfId="0" applyFont="1" applyBorder="1" applyAlignment="1" applyProtection="1">
      <alignment horizontal="center" vertical="top" textRotation="180" wrapText="1"/>
      <protection hidden="1"/>
    </xf>
    <xf numFmtId="0" fontId="4" fillId="0" borderId="5" xfId="0" applyFont="1" applyBorder="1" applyAlignment="1" applyProtection="1">
      <alignment horizontal="center" vertical="top" textRotation="180"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0" fillId="0" borderId="96" xfId="0" applyFont="1" applyBorder="1" applyAlignment="1" applyProtection="1">
      <alignment horizontal="center" vertical="top" textRotation="180" wrapText="1"/>
      <protection locked="0"/>
    </xf>
    <xf numFmtId="0" fontId="50" fillId="0" borderId="97" xfId="0" applyFont="1" applyBorder="1" applyAlignment="1" applyProtection="1">
      <alignment horizontal="center" vertical="top" textRotation="180" wrapText="1"/>
      <protection locked="0"/>
    </xf>
    <xf numFmtId="0" fontId="50" fillId="0" borderId="98" xfId="0" applyFont="1" applyBorder="1" applyAlignment="1" applyProtection="1">
      <alignment horizontal="center" vertical="top" textRotation="180"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6" fillId="25" borderId="4" xfId="0" applyNumberFormat="1" applyFont="1" applyFill="1" applyBorder="1" applyAlignment="1" applyProtection="1">
      <alignment horizontal="justify" vertical="top" wrapText="1"/>
      <protection hidden="1"/>
    </xf>
    <xf numFmtId="9" fontId="6" fillId="25" borderId="8" xfId="0" applyNumberFormat="1" applyFont="1" applyFill="1" applyBorder="1" applyAlignment="1" applyProtection="1">
      <alignment horizontal="justify" vertical="top" wrapText="1"/>
      <protection hidden="1"/>
    </xf>
    <xf numFmtId="9" fontId="6" fillId="25" borderId="5" xfId="0" applyNumberFormat="1" applyFont="1" applyFill="1" applyBorder="1" applyAlignment="1" applyProtection="1">
      <alignment horizontal="justify" vertical="top" wrapText="1"/>
      <protection hidden="1"/>
    </xf>
    <xf numFmtId="0" fontId="93" fillId="0" borderId="4" xfId="0" applyFont="1" applyBorder="1" applyAlignment="1" applyProtection="1">
      <alignment horizontal="justify" vertical="top" textRotation="180"/>
      <protection hidden="1"/>
    </xf>
    <xf numFmtId="0" fontId="93" fillId="0" borderId="8" xfId="0" applyFont="1" applyBorder="1" applyAlignment="1" applyProtection="1">
      <alignment horizontal="justify" vertical="top" textRotation="180"/>
      <protection hidden="1"/>
    </xf>
    <xf numFmtId="0" fontId="93" fillId="0" borderId="5" xfId="0" applyFont="1" applyBorder="1" applyAlignment="1" applyProtection="1">
      <alignment horizontal="justify" vertical="top" textRotation="180"/>
      <protection hidden="1"/>
    </xf>
    <xf numFmtId="9" fontId="1" fillId="31" borderId="4" xfId="0" applyNumberFormat="1" applyFont="1" applyFill="1" applyBorder="1" applyAlignment="1" applyProtection="1">
      <alignment horizontal="center" vertical="top" wrapText="1"/>
      <protection hidden="1"/>
    </xf>
    <xf numFmtId="9" fontId="1" fillId="31" borderId="8" xfId="0" applyNumberFormat="1" applyFont="1" applyFill="1" applyBorder="1" applyAlignment="1" applyProtection="1">
      <alignment horizontal="center" vertical="top" wrapText="1"/>
      <protection hidden="1"/>
    </xf>
    <xf numFmtId="9" fontId="1" fillId="31" borderId="5" xfId="0" applyNumberFormat="1" applyFont="1" applyFill="1" applyBorder="1" applyAlignment="1" applyProtection="1">
      <alignment horizontal="center" vertical="top" wrapText="1"/>
      <protection hidden="1"/>
    </xf>
    <xf numFmtId="0" fontId="6" fillId="28" borderId="4" xfId="0" applyFont="1" applyFill="1" applyBorder="1" applyAlignment="1" applyProtection="1">
      <alignment horizontal="justify" vertical="top" wrapText="1"/>
      <protection locked="0"/>
    </xf>
    <xf numFmtId="0" fontId="6" fillId="28" borderId="8" xfId="0" applyFont="1" applyFill="1" applyBorder="1" applyAlignment="1" applyProtection="1">
      <alignment horizontal="justify" vertical="top" wrapText="1"/>
      <protection locked="0"/>
    </xf>
    <xf numFmtId="0" fontId="6" fillId="28" borderId="5" xfId="0" applyFont="1" applyFill="1" applyBorder="1" applyAlignment="1" applyProtection="1">
      <alignment horizontal="justify" vertical="top" wrapText="1"/>
      <protection locked="0"/>
    </xf>
    <xf numFmtId="0" fontId="97" fillId="28" borderId="4" xfId="0" applyFont="1" applyFill="1" applyBorder="1" applyAlignment="1" applyProtection="1">
      <alignment horizontal="justify" vertical="top" wrapText="1"/>
      <protection locked="0"/>
    </xf>
    <xf numFmtId="0" fontId="1" fillId="30" borderId="4" xfId="0" applyFont="1" applyFill="1" applyBorder="1" applyAlignment="1" applyProtection="1">
      <alignment horizontal="center" vertical="top" wrapText="1"/>
      <protection locked="0"/>
    </xf>
    <xf numFmtId="0" fontId="1" fillId="30" borderId="8" xfId="0" applyFont="1" applyFill="1" applyBorder="1" applyAlignment="1" applyProtection="1">
      <alignment horizontal="center" vertical="top" wrapText="1"/>
      <protection locked="0"/>
    </xf>
    <xf numFmtId="0" fontId="1" fillId="30" borderId="5" xfId="0" applyFont="1" applyFill="1" applyBorder="1" applyAlignment="1" applyProtection="1">
      <alignment horizontal="center" vertical="top" wrapText="1"/>
      <protection locked="0"/>
    </xf>
    <xf numFmtId="0" fontId="82" fillId="30" borderId="4" xfId="0" applyFont="1" applyFill="1" applyBorder="1" applyAlignment="1" applyProtection="1">
      <alignment horizontal="left" vertical="top" wrapText="1"/>
      <protection locked="0"/>
    </xf>
    <xf numFmtId="0" fontId="82" fillId="30" borderId="8" xfId="0" applyFont="1" applyFill="1" applyBorder="1" applyAlignment="1" applyProtection="1">
      <alignment horizontal="left" vertical="top" wrapText="1"/>
      <protection locked="0"/>
    </xf>
    <xf numFmtId="0" fontId="82" fillId="30" borderId="5" xfId="0" applyFont="1" applyFill="1" applyBorder="1" applyAlignment="1" applyProtection="1">
      <alignment horizontal="left" vertical="top" wrapText="1"/>
      <protection locked="0"/>
    </xf>
    <xf numFmtId="0" fontId="83" fillId="30" borderId="28" xfId="0" applyFont="1" applyFill="1" applyBorder="1" applyAlignment="1" applyProtection="1">
      <alignment horizontal="left" vertical="top" wrapText="1"/>
      <protection locked="0"/>
    </xf>
    <xf numFmtId="0" fontId="83" fillId="30" borderId="9" xfId="0" applyFont="1" applyFill="1" applyBorder="1" applyAlignment="1" applyProtection="1">
      <alignment horizontal="left" vertical="top" wrapText="1"/>
      <protection locked="0"/>
    </xf>
    <xf numFmtId="0" fontId="83" fillId="30" borderId="3" xfId="0" applyFont="1" applyFill="1" applyBorder="1" applyAlignment="1" applyProtection="1">
      <alignment horizontal="left" vertical="top" wrapText="1"/>
      <protection locked="0"/>
    </xf>
    <xf numFmtId="0" fontId="2" fillId="30" borderId="75" xfId="0" applyFont="1" applyFill="1" applyBorder="1" applyAlignment="1" applyProtection="1">
      <alignment horizontal="left" vertical="top" wrapText="1"/>
      <protection locked="0"/>
    </xf>
    <xf numFmtId="0" fontId="1" fillId="31" borderId="30" xfId="0" applyFont="1" applyFill="1" applyBorder="1" applyAlignment="1" applyProtection="1">
      <alignment horizontal="center" vertical="top" wrapText="1"/>
      <protection locked="0"/>
    </xf>
    <xf numFmtId="0" fontId="1" fillId="31" borderId="76" xfId="0" applyFont="1" applyFill="1" applyBorder="1" applyAlignment="1" applyProtection="1">
      <alignment horizontal="center" vertical="top" wrapText="1"/>
      <protection locked="0"/>
    </xf>
    <xf numFmtId="0" fontId="1" fillId="31" borderId="32" xfId="0" applyFont="1" applyFill="1" applyBorder="1" applyAlignment="1" applyProtection="1">
      <alignment horizontal="center" vertical="top" wrapText="1"/>
      <protection locked="0"/>
    </xf>
    <xf numFmtId="0" fontId="92" fillId="28" borderId="28" xfId="0" applyFont="1" applyFill="1" applyBorder="1" applyAlignment="1" applyProtection="1">
      <alignment horizontal="justify" vertical="top" wrapText="1"/>
      <protection locked="0"/>
    </xf>
    <xf numFmtId="0" fontId="6" fillId="28" borderId="9" xfId="0" applyFont="1" applyFill="1" applyBorder="1" applyAlignment="1" applyProtection="1">
      <alignment horizontal="justify" vertical="top" wrapText="1"/>
      <protection locked="0"/>
    </xf>
    <xf numFmtId="0" fontId="6" fillId="28" borderId="3" xfId="0" applyFont="1" applyFill="1" applyBorder="1" applyAlignment="1" applyProtection="1">
      <alignment horizontal="justify" vertical="top" wrapText="1"/>
      <protection locked="0"/>
    </xf>
    <xf numFmtId="0" fontId="44" fillId="28" borderId="75" xfId="0" applyFont="1" applyFill="1" applyBorder="1" applyAlignment="1" applyProtection="1">
      <alignment horizontal="justify" vertical="top" wrapText="1"/>
      <protection locked="0"/>
    </xf>
    <xf numFmtId="9" fontId="1" fillId="31" borderId="4" xfId="0" applyNumberFormat="1" applyFont="1" applyFill="1" applyBorder="1" applyAlignment="1" applyProtection="1">
      <alignment horizontal="center" vertical="top" wrapText="1"/>
      <protection locked="0"/>
    </xf>
    <xf numFmtId="9" fontId="1" fillId="31" borderId="8" xfId="0" applyNumberFormat="1" applyFont="1" applyFill="1" applyBorder="1" applyAlignment="1" applyProtection="1">
      <alignment horizontal="center" vertical="top" wrapText="1"/>
      <protection locked="0"/>
    </xf>
    <xf numFmtId="9" fontId="1" fillId="31" borderId="5" xfId="0" applyNumberFormat="1" applyFont="1" applyFill="1" applyBorder="1" applyAlignment="1" applyProtection="1">
      <alignment horizontal="center" vertical="top" wrapText="1"/>
      <protection locked="0"/>
    </xf>
    <xf numFmtId="0" fontId="6" fillId="25" borderId="30" xfId="0" applyFont="1" applyFill="1" applyBorder="1" applyAlignment="1" applyProtection="1">
      <alignment horizontal="justify" vertical="top" wrapText="1"/>
      <protection locked="0"/>
    </xf>
    <xf numFmtId="0" fontId="6" fillId="25" borderId="76" xfId="0" applyFont="1" applyFill="1" applyBorder="1" applyAlignment="1" applyProtection="1">
      <alignment horizontal="justify" vertical="top" wrapText="1"/>
      <protection locked="0"/>
    </xf>
    <xf numFmtId="0" fontId="6" fillId="25" borderId="32"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protection locked="0"/>
    </xf>
    <xf numFmtId="0" fontId="6" fillId="25" borderId="8" xfId="0" applyFont="1" applyFill="1" applyBorder="1" applyAlignment="1" applyProtection="1">
      <alignment horizontal="justify" vertical="top"/>
      <protection locked="0"/>
    </xf>
    <xf numFmtId="0" fontId="6" fillId="25" borderId="5" xfId="0" applyFont="1" applyFill="1" applyBorder="1" applyAlignment="1" applyProtection="1">
      <alignment horizontal="justify" vertical="top"/>
      <protection locked="0"/>
    </xf>
    <xf numFmtId="0" fontId="50" fillId="31" borderId="96" xfId="0" applyFont="1" applyFill="1" applyBorder="1" applyAlignment="1" applyProtection="1">
      <alignment horizontal="center" vertical="top" textRotation="180" wrapText="1"/>
      <protection locked="0"/>
    </xf>
    <xf numFmtId="0" fontId="50" fillId="31" borderId="97" xfId="0" applyFont="1" applyFill="1" applyBorder="1" applyAlignment="1" applyProtection="1">
      <alignment horizontal="center" vertical="top" textRotation="180" wrapText="1"/>
      <protection locked="0"/>
    </xf>
    <xf numFmtId="0" fontId="50" fillId="31" borderId="98" xfId="0" applyFont="1" applyFill="1" applyBorder="1" applyAlignment="1" applyProtection="1">
      <alignment horizontal="center" vertical="top" textRotation="180" wrapText="1"/>
      <protection locked="0"/>
    </xf>
    <xf numFmtId="0" fontId="6" fillId="0" borderId="4" xfId="0" applyFont="1" applyBorder="1" applyAlignment="1">
      <alignment horizontal="justify" vertical="top"/>
    </xf>
    <xf numFmtId="0" fontId="6" fillId="0" borderId="8" xfId="0" applyFont="1" applyBorder="1" applyAlignment="1">
      <alignment horizontal="justify" vertical="top"/>
    </xf>
    <xf numFmtId="0" fontId="6" fillId="0" borderId="5" xfId="0" applyFont="1" applyBorder="1" applyAlignment="1">
      <alignment horizontal="justify" vertical="top"/>
    </xf>
    <xf numFmtId="0" fontId="97" fillId="28" borderId="8" xfId="0" applyFont="1" applyFill="1" applyBorder="1" applyAlignment="1" applyProtection="1">
      <alignment horizontal="justify" vertical="top" wrapText="1"/>
      <protection locked="0"/>
    </xf>
    <xf numFmtId="0" fontId="97" fillId="28" borderId="5" xfId="0" applyFont="1" applyFill="1" applyBorder="1" applyAlignment="1" applyProtection="1">
      <alignment horizontal="justify" vertical="top" wrapText="1"/>
      <protection locked="0"/>
    </xf>
    <xf numFmtId="0" fontId="92" fillId="28" borderId="9" xfId="0" applyFont="1" applyFill="1" applyBorder="1" applyAlignment="1" applyProtection="1">
      <alignment horizontal="justify" vertical="top" wrapText="1"/>
      <protection locked="0"/>
    </xf>
    <xf numFmtId="0" fontId="92" fillId="28" borderId="3" xfId="0" applyFont="1" applyFill="1" applyBorder="1" applyAlignment="1" applyProtection="1">
      <alignment horizontal="justify" vertical="top" wrapText="1"/>
      <protection locked="0"/>
    </xf>
    <xf numFmtId="0" fontId="91" fillId="28" borderId="4" xfId="0" applyFont="1" applyFill="1" applyBorder="1" applyAlignment="1" applyProtection="1">
      <alignment horizontal="justify" vertical="top" wrapText="1"/>
      <protection locked="0"/>
    </xf>
    <xf numFmtId="0" fontId="91" fillId="28" borderId="8" xfId="0" applyFont="1" applyFill="1" applyBorder="1" applyAlignment="1" applyProtection="1">
      <alignment horizontal="justify" vertical="top" wrapText="1"/>
      <protection locked="0"/>
    </xf>
    <xf numFmtId="0" fontId="91" fillId="28" borderId="5" xfId="0" applyFont="1" applyFill="1" applyBorder="1" applyAlignment="1" applyProtection="1">
      <alignment horizontal="justify" vertical="top" wrapText="1"/>
      <protection locked="0"/>
    </xf>
    <xf numFmtId="0" fontId="92" fillId="28" borderId="102" xfId="0" applyFont="1" applyFill="1" applyBorder="1" applyAlignment="1" applyProtection="1">
      <alignment horizontal="justify" vertical="top" wrapText="1"/>
      <protection locked="0"/>
    </xf>
    <xf numFmtId="0" fontId="92" fillId="28" borderId="103" xfId="0" applyFont="1" applyFill="1" applyBorder="1" applyAlignment="1" applyProtection="1">
      <alignment horizontal="justify" vertical="top" wrapText="1"/>
      <protection locked="0"/>
    </xf>
    <xf numFmtId="0" fontId="92" fillId="28" borderId="104" xfId="0" applyFont="1" applyFill="1" applyBorder="1" applyAlignment="1" applyProtection="1">
      <alignment horizontal="justify" vertical="top" wrapText="1"/>
      <protection locked="0"/>
    </xf>
    <xf numFmtId="0" fontId="44" fillId="28" borderId="96" xfId="0" applyFont="1" applyFill="1" applyBorder="1" applyAlignment="1" applyProtection="1">
      <alignment horizontal="justify" vertical="top" wrapText="1"/>
      <protection locked="0"/>
    </xf>
    <xf numFmtId="0" fontId="44" fillId="28" borderId="97" xfId="0" applyFont="1" applyFill="1" applyBorder="1" applyAlignment="1" applyProtection="1">
      <alignment horizontal="justify" vertical="top" wrapText="1"/>
      <protection locked="0"/>
    </xf>
    <xf numFmtId="0" fontId="44" fillId="28" borderId="98" xfId="0" applyFont="1" applyFill="1" applyBorder="1" applyAlignment="1" applyProtection="1">
      <alignment horizontal="justify" vertical="top" wrapText="1"/>
      <protection locked="0"/>
    </xf>
    <xf numFmtId="0" fontId="6" fillId="30" borderId="4" xfId="0" applyFont="1" applyFill="1" applyBorder="1" applyAlignment="1" applyProtection="1">
      <alignment horizontal="justify" vertical="top" wrapText="1"/>
      <protection locked="0"/>
    </xf>
    <xf numFmtId="0" fontId="6" fillId="30" borderId="8" xfId="0" applyFont="1" applyFill="1" applyBorder="1" applyAlignment="1" applyProtection="1">
      <alignment horizontal="justify" vertical="top" wrapText="1"/>
      <protection locked="0"/>
    </xf>
    <xf numFmtId="0" fontId="6" fillId="30" borderId="5" xfId="0" applyFont="1" applyFill="1" applyBorder="1" applyAlignment="1" applyProtection="1">
      <alignment horizontal="justify" vertical="top" wrapText="1"/>
      <protection locked="0"/>
    </xf>
    <xf numFmtId="0" fontId="96" fillId="30" borderId="4" xfId="0" applyFont="1" applyFill="1" applyBorder="1" applyAlignment="1" applyProtection="1">
      <alignment horizontal="justify" vertical="top" wrapText="1"/>
      <protection locked="0"/>
    </xf>
    <xf numFmtId="0" fontId="96" fillId="30" borderId="8" xfId="0" applyFont="1" applyFill="1" applyBorder="1" applyAlignment="1" applyProtection="1">
      <alignment horizontal="justify" vertical="top" wrapText="1"/>
      <protection locked="0"/>
    </xf>
    <xf numFmtId="0" fontId="96" fillId="30" borderId="5" xfId="0" applyFont="1" applyFill="1" applyBorder="1" applyAlignment="1" applyProtection="1">
      <alignment horizontal="justify" vertical="top" wrapText="1"/>
      <protection locked="0"/>
    </xf>
    <xf numFmtId="0" fontId="6" fillId="30" borderId="28" xfId="0" applyFont="1" applyFill="1" applyBorder="1" applyAlignment="1" applyProtection="1">
      <alignment horizontal="justify" vertical="top" wrapText="1"/>
      <protection locked="0"/>
    </xf>
    <xf numFmtId="0" fontId="6" fillId="30" borderId="9" xfId="0" applyFont="1" applyFill="1" applyBorder="1" applyAlignment="1" applyProtection="1">
      <alignment horizontal="justify" vertical="top" wrapText="1"/>
      <protection locked="0"/>
    </xf>
    <xf numFmtId="0" fontId="6" fillId="30" borderId="3" xfId="0" applyFont="1" applyFill="1" applyBorder="1" applyAlignment="1" applyProtection="1">
      <alignment horizontal="justify" vertical="top" wrapText="1"/>
      <protection locked="0"/>
    </xf>
    <xf numFmtId="0" fontId="44" fillId="30" borderId="75" xfId="0" applyFont="1" applyFill="1" applyBorder="1" applyAlignment="1" applyProtection="1">
      <alignment horizontal="justify"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textRotation="18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6" fillId="31" borderId="4" xfId="0" applyNumberFormat="1" applyFont="1" applyFill="1" applyBorder="1" applyAlignment="1" applyProtection="1">
      <alignment horizontal="justify" vertical="top" wrapText="1"/>
      <protection locked="0"/>
    </xf>
    <xf numFmtId="9" fontId="6" fillId="31" borderId="8" xfId="0" applyNumberFormat="1" applyFont="1" applyFill="1" applyBorder="1" applyAlignment="1" applyProtection="1">
      <alignment horizontal="justify" vertical="top" wrapText="1"/>
      <protection locked="0"/>
    </xf>
    <xf numFmtId="9" fontId="6" fillId="31" borderId="5" xfId="0" applyNumberFormat="1" applyFont="1" applyFill="1" applyBorder="1" applyAlignment="1" applyProtection="1">
      <alignment horizontal="justify" vertical="top" wrapText="1"/>
      <protection locked="0"/>
    </xf>
    <xf numFmtId="9" fontId="6" fillId="0" borderId="4" xfId="0" applyNumberFormat="1" applyFont="1" applyBorder="1" applyAlignment="1" applyProtection="1">
      <alignment horizontal="justify" vertical="top" wrapText="1"/>
      <protection hidden="1"/>
    </xf>
    <xf numFmtId="9" fontId="6" fillId="0" borderId="8"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hidden="1"/>
    </xf>
    <xf numFmtId="0" fontId="93" fillId="0" borderId="4" xfId="0" applyFont="1" applyBorder="1" applyAlignment="1" applyProtection="1">
      <alignment horizontal="justify" vertical="top" textRotation="180" wrapText="1"/>
      <protection hidden="1"/>
    </xf>
    <xf numFmtId="0" fontId="93" fillId="0" borderId="8" xfId="0" applyFont="1" applyBorder="1" applyAlignment="1" applyProtection="1">
      <alignment horizontal="justify" vertical="top" textRotation="180" wrapText="1"/>
      <protection hidden="1"/>
    </xf>
    <xf numFmtId="0" fontId="93" fillId="0" borderId="5" xfId="0" applyFont="1" applyBorder="1" applyAlignment="1" applyProtection="1">
      <alignment horizontal="justify" vertical="top" textRotation="180" wrapText="1"/>
      <protection hidden="1"/>
    </xf>
    <xf numFmtId="9" fontId="6" fillId="31" borderId="4" xfId="0" applyNumberFormat="1" applyFont="1" applyFill="1" applyBorder="1" applyAlignment="1" applyProtection="1">
      <alignment horizontal="justify" vertical="top" wrapText="1"/>
      <protection hidden="1"/>
    </xf>
    <xf numFmtId="9" fontId="6" fillId="31" borderId="8" xfId="0" applyNumberFormat="1" applyFont="1" applyFill="1" applyBorder="1" applyAlignment="1" applyProtection="1">
      <alignment horizontal="justify" vertical="top" wrapText="1"/>
      <protection hidden="1"/>
    </xf>
    <xf numFmtId="9" fontId="6" fillId="31" borderId="5" xfId="0" applyNumberFormat="1" applyFont="1" applyFill="1" applyBorder="1" applyAlignment="1" applyProtection="1">
      <alignment horizontal="justify" vertical="top" wrapText="1"/>
      <protection hidden="1"/>
    </xf>
    <xf numFmtId="0" fontId="40" fillId="31" borderId="96" xfId="0" applyFont="1" applyFill="1" applyBorder="1" applyAlignment="1" applyProtection="1">
      <alignment horizontal="justify" vertical="top" wrapText="1"/>
      <protection locked="0"/>
    </xf>
    <xf numFmtId="0" fontId="40" fillId="31" borderId="97" xfId="0" applyFont="1" applyFill="1" applyBorder="1" applyAlignment="1" applyProtection="1">
      <alignment horizontal="justify" vertical="top" wrapText="1"/>
      <protection locked="0"/>
    </xf>
    <xf numFmtId="0" fontId="40" fillId="31" borderId="98" xfId="0" applyFont="1" applyFill="1" applyBorder="1" applyAlignment="1" applyProtection="1">
      <alignment horizontal="justify" vertical="top" wrapText="1"/>
      <protection locked="0"/>
    </xf>
    <xf numFmtId="0" fontId="40" fillId="31" borderId="96" xfId="0" applyFont="1" applyFill="1" applyBorder="1" applyAlignment="1" applyProtection="1">
      <alignment horizontal="justify" vertical="top" textRotation="180" wrapText="1"/>
      <protection locked="0"/>
    </xf>
    <xf numFmtId="0" fontId="40" fillId="31" borderId="97" xfId="0" applyFont="1" applyFill="1" applyBorder="1" applyAlignment="1" applyProtection="1">
      <alignment horizontal="justify" vertical="top" textRotation="180" wrapText="1"/>
      <protection locked="0"/>
    </xf>
    <xf numFmtId="0" fontId="40" fillId="31" borderId="98" xfId="0" applyFont="1" applyFill="1" applyBorder="1" applyAlignment="1" applyProtection="1">
      <alignment horizontal="justify" vertical="top" textRotation="180" wrapText="1"/>
      <protection locked="0"/>
    </xf>
    <xf numFmtId="0" fontId="4" fillId="2" borderId="5" xfId="0" applyFont="1" applyFill="1" applyBorder="1" applyAlignment="1">
      <alignment horizontal="center" vertical="center" textRotation="180" wrapText="1"/>
    </xf>
    <xf numFmtId="0" fontId="6" fillId="28" borderId="30" xfId="0" applyFont="1" applyFill="1" applyBorder="1" applyAlignment="1" applyProtection="1">
      <alignment horizontal="justify" vertical="top" wrapText="1"/>
      <protection locked="0"/>
    </xf>
    <xf numFmtId="0" fontId="6" fillId="28" borderId="76" xfId="0" applyFont="1" applyFill="1" applyBorder="1" applyAlignment="1" applyProtection="1">
      <alignment horizontal="justify" vertical="top" wrapText="1"/>
      <protection locked="0"/>
    </xf>
    <xf numFmtId="0" fontId="6" fillId="28" borderId="32" xfId="0" applyFont="1" applyFill="1" applyBorder="1" applyAlignment="1" applyProtection="1">
      <alignment horizontal="justify" vertical="top" wrapText="1"/>
      <protection locked="0"/>
    </xf>
    <xf numFmtId="0" fontId="1" fillId="31" borderId="4" xfId="0" applyFont="1" applyFill="1" applyBorder="1" applyAlignment="1" applyProtection="1">
      <alignment horizontal="center" vertical="top"/>
      <protection locked="0"/>
    </xf>
    <xf numFmtId="0" fontId="1" fillId="31" borderId="8" xfId="0" applyFont="1" applyFill="1" applyBorder="1" applyAlignment="1" applyProtection="1">
      <alignment horizontal="center" vertical="top"/>
      <protection locked="0"/>
    </xf>
    <xf numFmtId="0" fontId="1" fillId="31" borderId="5" xfId="0" applyFont="1" applyFill="1" applyBorder="1" applyAlignment="1" applyProtection="1">
      <alignment horizontal="center" vertical="top"/>
      <protection locked="0"/>
    </xf>
    <xf numFmtId="0" fontId="40" fillId="24" borderId="96" xfId="0" applyFont="1" applyFill="1" applyBorder="1" applyAlignment="1" applyProtection="1">
      <alignment horizontal="justify" vertical="top" textRotation="180" wrapText="1"/>
      <protection locked="0"/>
    </xf>
    <xf numFmtId="0" fontId="40" fillId="24" borderId="97" xfId="0" applyFont="1" applyFill="1" applyBorder="1" applyAlignment="1" applyProtection="1">
      <alignment horizontal="justify" vertical="top" textRotation="180" wrapText="1"/>
      <protection locked="0"/>
    </xf>
    <xf numFmtId="0" fontId="40" fillId="24" borderId="98" xfId="0" applyFont="1" applyFill="1" applyBorder="1" applyAlignment="1" applyProtection="1">
      <alignment horizontal="justify" vertical="top" textRotation="180" wrapText="1"/>
      <protection locked="0"/>
    </xf>
    <xf numFmtId="0" fontId="40" fillId="25" borderId="96" xfId="0" applyFont="1" applyFill="1" applyBorder="1" applyAlignment="1" applyProtection="1">
      <alignment horizontal="justify" vertical="top" textRotation="180" wrapText="1"/>
      <protection locked="0"/>
    </xf>
    <xf numFmtId="0" fontId="40" fillId="25" borderId="97" xfId="0" applyFont="1" applyFill="1" applyBorder="1" applyAlignment="1" applyProtection="1">
      <alignment horizontal="justify" vertical="top" textRotation="180" wrapText="1"/>
      <protection locked="0"/>
    </xf>
    <xf numFmtId="0" fontId="40" fillId="25" borderId="98" xfId="0" applyFont="1" applyFill="1" applyBorder="1" applyAlignment="1" applyProtection="1">
      <alignment horizontal="justify" vertical="top" textRotation="180" wrapText="1"/>
      <protection locked="0"/>
    </xf>
    <xf numFmtId="0" fontId="44" fillId="28" borderId="96" xfId="0" applyFont="1" applyFill="1" applyBorder="1" applyAlignment="1" applyProtection="1">
      <alignment horizontal="justify" vertical="top" textRotation="180" wrapText="1"/>
      <protection locked="0"/>
    </xf>
    <xf numFmtId="0" fontId="44" fillId="28" borderId="97" xfId="0" applyFont="1" applyFill="1" applyBorder="1" applyAlignment="1" applyProtection="1">
      <alignment horizontal="justify" vertical="top" textRotation="180" wrapText="1"/>
      <protection locked="0"/>
    </xf>
    <xf numFmtId="0" fontId="44" fillId="28" borderId="98" xfId="0" applyFont="1" applyFill="1" applyBorder="1" applyAlignment="1" applyProtection="1">
      <alignment horizontal="justify" vertical="top" textRotation="180" wrapText="1"/>
      <protection locked="0"/>
    </xf>
    <xf numFmtId="0" fontId="6" fillId="31" borderId="99" xfId="0" applyFont="1" applyFill="1" applyBorder="1" applyAlignment="1" applyProtection="1">
      <alignment horizontal="justify" vertical="top" wrapText="1"/>
      <protection locked="0"/>
    </xf>
    <xf numFmtId="0" fontId="6" fillId="31" borderId="100" xfId="0" applyFont="1" applyFill="1" applyBorder="1" applyAlignment="1" applyProtection="1">
      <alignment horizontal="justify" vertical="top" wrapText="1"/>
      <protection locked="0"/>
    </xf>
    <xf numFmtId="0" fontId="6" fillId="31" borderId="101" xfId="0" applyFont="1" applyFill="1" applyBorder="1" applyAlignment="1" applyProtection="1">
      <alignment horizontal="justify" vertical="top" wrapText="1"/>
      <protection locked="0"/>
    </xf>
    <xf numFmtId="0" fontId="4"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0" fontId="6" fillId="31" borderId="4" xfId="0" applyFont="1" applyFill="1" applyBorder="1" applyAlignment="1" applyProtection="1">
      <alignment horizontal="justify" vertical="top"/>
      <protection locked="0"/>
    </xf>
    <xf numFmtId="0" fontId="6" fillId="31" borderId="8" xfId="0" applyFont="1" applyFill="1" applyBorder="1" applyAlignment="1" applyProtection="1">
      <alignment horizontal="justify" vertical="top"/>
      <protection locked="0"/>
    </xf>
    <xf numFmtId="0" fontId="6" fillId="31" borderId="5" xfId="0" applyFont="1" applyFill="1" applyBorder="1" applyAlignment="1" applyProtection="1">
      <alignment horizontal="justify" vertical="top"/>
      <protection locked="0"/>
    </xf>
    <xf numFmtId="0" fontId="4" fillId="2" borderId="8" xfId="0" applyFont="1" applyFill="1" applyBorder="1" applyAlignment="1">
      <alignment horizontal="center" vertical="center" textRotation="18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textRotation="180" wrapText="1"/>
    </xf>
    <xf numFmtId="0" fontId="4" fillId="2" borderId="3" xfId="0" applyFont="1" applyFill="1" applyBorder="1" applyAlignment="1">
      <alignment horizontal="center" vertical="center" textRotation="180"/>
    </xf>
    <xf numFmtId="9" fontId="6" fillId="24" borderId="4" xfId="0" applyNumberFormat="1" applyFont="1" applyFill="1" applyBorder="1" applyAlignment="1" applyProtection="1">
      <alignment horizontal="justify" vertical="top" wrapText="1"/>
      <protection hidden="1"/>
    </xf>
    <xf numFmtId="9" fontId="6" fillId="24" borderId="8" xfId="0" applyNumberFormat="1" applyFont="1" applyFill="1" applyBorder="1" applyAlignment="1" applyProtection="1">
      <alignment horizontal="justify" vertical="top" wrapText="1"/>
      <protection hidden="1"/>
    </xf>
    <xf numFmtId="9" fontId="6" fillId="24" borderId="5" xfId="0" applyNumberFormat="1" applyFont="1" applyFill="1" applyBorder="1" applyAlignment="1" applyProtection="1">
      <alignment horizontal="justify" vertical="top" wrapText="1"/>
      <protection hidden="1"/>
    </xf>
    <xf numFmtId="9" fontId="6" fillId="25" borderId="4" xfId="0" applyNumberFormat="1" applyFont="1" applyFill="1" applyBorder="1" applyAlignment="1" applyProtection="1">
      <alignment horizontal="justify" vertical="top" wrapText="1"/>
      <protection locked="0"/>
    </xf>
    <xf numFmtId="9" fontId="6" fillId="25" borderId="8" xfId="0" applyNumberFormat="1" applyFont="1" applyFill="1" applyBorder="1" applyAlignment="1" applyProtection="1">
      <alignment horizontal="justify" vertical="top" wrapText="1"/>
      <protection locked="0"/>
    </xf>
    <xf numFmtId="9" fontId="6" fillId="25" borderId="5" xfId="0" applyNumberFormat="1" applyFont="1" applyFill="1" applyBorder="1" applyAlignment="1" applyProtection="1">
      <alignment horizontal="justify" vertical="top" wrapText="1"/>
      <protection locked="0"/>
    </xf>
    <xf numFmtId="0" fontId="6" fillId="24" borderId="30" xfId="0" applyFont="1" applyFill="1" applyBorder="1" applyAlignment="1" applyProtection="1">
      <alignment horizontal="justify" vertical="top" wrapText="1"/>
      <protection locked="0"/>
    </xf>
    <xf numFmtId="0" fontId="6" fillId="24" borderId="76" xfId="0" applyFont="1" applyFill="1" applyBorder="1" applyAlignment="1" applyProtection="1">
      <alignment horizontal="justify" vertical="top" wrapText="1"/>
      <protection locked="0"/>
    </xf>
    <xf numFmtId="0" fontId="6" fillId="24" borderId="32"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protection locked="0"/>
    </xf>
    <xf numFmtId="0" fontId="6" fillId="24" borderId="8" xfId="0" applyFont="1" applyFill="1" applyBorder="1" applyAlignment="1" applyProtection="1">
      <alignment horizontal="justify" vertical="top"/>
      <protection locked="0"/>
    </xf>
    <xf numFmtId="0" fontId="6" fillId="24" borderId="5"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wrapText="1"/>
      <protection locked="0"/>
    </xf>
    <xf numFmtId="9" fontId="6" fillId="24" borderId="8" xfId="0" applyNumberFormat="1" applyFont="1" applyFill="1" applyBorder="1" applyAlignment="1" applyProtection="1">
      <alignment horizontal="justify" vertical="top" wrapText="1"/>
      <protection locked="0"/>
    </xf>
    <xf numFmtId="9" fontId="6" fillId="24" borderId="5" xfId="0" applyNumberFormat="1" applyFont="1" applyFill="1" applyBorder="1" applyAlignment="1" applyProtection="1">
      <alignment horizontal="justify" vertical="top" wrapText="1"/>
      <protection locked="0"/>
    </xf>
    <xf numFmtId="0" fontId="61" fillId="0" borderId="108"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70" xfId="0" applyFont="1" applyBorder="1" applyAlignment="1">
      <alignment horizontal="center" vertical="center" wrapText="1"/>
    </xf>
    <xf numFmtId="0" fontId="61" fillId="0" borderId="0" xfId="0" applyFont="1" applyAlignment="1">
      <alignment horizontal="center"/>
    </xf>
    <xf numFmtId="0" fontId="61" fillId="0" borderId="69" xfId="0" applyFont="1" applyBorder="1" applyAlignment="1">
      <alignment horizontal="center"/>
    </xf>
    <xf numFmtId="0" fontId="73" fillId="3" borderId="94" xfId="0" applyFont="1" applyFill="1" applyBorder="1" applyAlignment="1" applyProtection="1">
      <alignment horizontal="justify" vertical="top" wrapText="1"/>
      <protection locked="0"/>
    </xf>
    <xf numFmtId="0" fontId="73" fillId="3" borderId="94" xfId="0" applyFont="1" applyFill="1" applyBorder="1" applyAlignment="1" applyProtection="1">
      <alignment horizontal="justify" vertical="top"/>
      <protection locked="0"/>
    </xf>
    <xf numFmtId="0" fontId="38" fillId="3" borderId="94"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38" fillId="3" borderId="0" xfId="0" applyFont="1" applyFill="1" applyAlignment="1">
      <alignment horizontal="left"/>
    </xf>
    <xf numFmtId="0" fontId="38" fillId="3" borderId="92"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top"/>
    </xf>
    <xf numFmtId="0" fontId="72" fillId="4" borderId="33" xfId="0" applyFont="1" applyFill="1" applyBorder="1" applyAlignment="1">
      <alignment horizontal="center" vertical="top" wrapText="1"/>
    </xf>
    <xf numFmtId="0" fontId="72" fillId="4" borderId="33" xfId="0" applyFont="1" applyFill="1" applyBorder="1" applyAlignment="1">
      <alignment horizontal="center" vertical="top"/>
    </xf>
    <xf numFmtId="0" fontId="72" fillId="27" borderId="92" xfId="0" applyFont="1" applyFill="1" applyBorder="1" applyAlignment="1">
      <alignment horizontal="center" vertical="top" wrapText="1"/>
    </xf>
    <xf numFmtId="0" fontId="72" fillId="27" borderId="81" xfId="0" applyFont="1" applyFill="1" applyBorder="1" applyAlignment="1">
      <alignment horizontal="center" vertical="top"/>
    </xf>
    <xf numFmtId="0" fontId="72" fillId="27" borderId="95"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justify" vertical="top" wrapText="1"/>
      <protection locked="0"/>
    </xf>
    <xf numFmtId="0" fontId="38" fillId="3" borderId="95" xfId="0" applyFont="1" applyFill="1" applyBorder="1" applyAlignment="1" applyProtection="1">
      <alignment horizontal="justify" vertical="top"/>
      <protection locked="0"/>
    </xf>
    <xf numFmtId="0" fontId="38" fillId="3" borderId="94" xfId="0" applyFont="1" applyFill="1" applyBorder="1" applyAlignment="1" applyProtection="1">
      <alignment horizontal="justify" vertical="top" wrapText="1"/>
      <protection locked="0"/>
    </xf>
    <xf numFmtId="0" fontId="38" fillId="3" borderId="94" xfId="0" applyFont="1" applyFill="1" applyBorder="1" applyAlignment="1" applyProtection="1">
      <alignment horizontal="justify" vertical="top"/>
      <protection locked="0"/>
    </xf>
    <xf numFmtId="0" fontId="38" fillId="0" borderId="92"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72" fillId="19" borderId="33" xfId="0" applyFont="1" applyFill="1" applyBorder="1" applyAlignment="1">
      <alignment horizontal="center" vertical="center"/>
    </xf>
    <xf numFmtId="0" fontId="72" fillId="27" borderId="33" xfId="0" applyFont="1" applyFill="1" applyBorder="1" applyAlignment="1">
      <alignment horizontal="center" vertical="center" wrapText="1"/>
    </xf>
    <xf numFmtId="0" fontId="72" fillId="27" borderId="33" xfId="0" applyFont="1" applyFill="1" applyBorder="1" applyAlignment="1">
      <alignment horizontal="center" vertical="center"/>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5" xfId="0" applyFont="1" applyFill="1" applyBorder="1" applyAlignment="1">
      <alignment horizontal="center" vertical="center"/>
    </xf>
    <xf numFmtId="0" fontId="73" fillId="3" borderId="92"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3" fillId="3" borderId="95"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60" fillId="29" borderId="80" xfId="0" applyFont="1" applyFill="1" applyBorder="1" applyAlignment="1">
      <alignment horizontal="center" vertical="center" wrapText="1"/>
    </xf>
    <xf numFmtId="0" fontId="60" fillId="29" borderId="81" xfId="0" applyFont="1" applyFill="1" applyBorder="1" applyAlignment="1">
      <alignment horizontal="center" vertical="center" wrapText="1"/>
    </xf>
    <xf numFmtId="0" fontId="60" fillId="29" borderId="82" xfId="0" applyFont="1" applyFill="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5"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5" xfId="0" applyFont="1" applyFill="1" applyBorder="1" applyAlignment="1">
      <alignment horizontal="center"/>
    </xf>
    <xf numFmtId="0" fontId="61" fillId="0" borderId="0" xfId="0" applyFont="1" applyAlignment="1">
      <alignment horizontal="center" vertical="top" wrapText="1"/>
    </xf>
    <xf numFmtId="0" fontId="61" fillId="0" borderId="0" xfId="0" applyFont="1" applyAlignment="1">
      <alignment horizontal="left" vertical="top"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9C8C5E"/>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1642782</xdr:colOff>
      <xdr:row>3</xdr:row>
      <xdr:rowOff>182815</xdr:rowOff>
    </xdr:to>
    <xdr:pic>
      <xdr:nvPicPr>
        <xdr:cNvPr id="3" name="Imagen 2">
          <a:extLst>
            <a:ext uri="{FF2B5EF4-FFF2-40B4-BE49-F238E27FC236}">
              <a16:creationId xmlns:a16="http://schemas.microsoft.com/office/drawing/2014/main" id="{E644918D-E1AE-4C10-B5AE-DB865A3920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42782" cy="762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41</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64945</xdr:colOff>
      <xdr:row>0</xdr:row>
      <xdr:rowOff>0</xdr:rowOff>
    </xdr:from>
    <xdr:to>
      <xdr:col>18</xdr:col>
      <xdr:colOff>823307</xdr:colOff>
      <xdr:row>3</xdr:row>
      <xdr:rowOff>159707</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2786" y="0"/>
          <a:ext cx="758362" cy="1068912"/>
        </a:xfrm>
        <a:prstGeom prst="rect">
          <a:avLst/>
        </a:prstGeom>
      </xdr:spPr>
    </xdr:pic>
    <xdr:clientData/>
  </xdr:twoCellAnchor>
  <xdr:twoCellAnchor>
    <xdr:from>
      <xdr:col>0</xdr:col>
      <xdr:colOff>0</xdr:colOff>
      <xdr:row>42</xdr:row>
      <xdr:rowOff>0</xdr:rowOff>
    </xdr:from>
    <xdr:to>
      <xdr:col>0</xdr:col>
      <xdr:colOff>2</xdr:colOff>
      <xdr:row>42</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487680</xdr:colOff>
          <xdr:row>10</xdr:row>
          <xdr:rowOff>167640</xdr:rowOff>
        </xdr:from>
        <xdr:to>
          <xdr:col>19</xdr:col>
          <xdr:colOff>876300</xdr:colOff>
          <xdr:row>10</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11</xdr:row>
          <xdr:rowOff>167640</xdr:rowOff>
        </xdr:from>
        <xdr:to>
          <xdr:col>19</xdr:col>
          <xdr:colOff>876300</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12</xdr:row>
          <xdr:rowOff>167640</xdr:rowOff>
        </xdr:from>
        <xdr:to>
          <xdr:col>19</xdr:col>
          <xdr:colOff>876300</xdr:colOff>
          <xdr:row>12</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13</xdr:row>
          <xdr:rowOff>167640</xdr:rowOff>
        </xdr:from>
        <xdr:to>
          <xdr:col>19</xdr:col>
          <xdr:colOff>876300</xdr:colOff>
          <xdr:row>13</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14</xdr:row>
          <xdr:rowOff>167640</xdr:rowOff>
        </xdr:from>
        <xdr:to>
          <xdr:col>19</xdr:col>
          <xdr:colOff>876300</xdr:colOff>
          <xdr:row>14</xdr:row>
          <xdr:rowOff>381000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15</xdr:row>
          <xdr:rowOff>167640</xdr:rowOff>
        </xdr:from>
        <xdr:to>
          <xdr:col>19</xdr:col>
          <xdr:colOff>876300</xdr:colOff>
          <xdr:row>15</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16</xdr:row>
          <xdr:rowOff>167640</xdr:rowOff>
        </xdr:from>
        <xdr:to>
          <xdr:col>19</xdr:col>
          <xdr:colOff>876300</xdr:colOff>
          <xdr:row>16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17</xdr:row>
          <xdr:rowOff>167640</xdr:rowOff>
        </xdr:from>
        <xdr:to>
          <xdr:col>19</xdr:col>
          <xdr:colOff>876300</xdr:colOff>
          <xdr:row>17</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18</xdr:row>
          <xdr:rowOff>167640</xdr:rowOff>
        </xdr:from>
        <xdr:to>
          <xdr:col>19</xdr:col>
          <xdr:colOff>876300</xdr:colOff>
          <xdr:row>18</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19</xdr:row>
          <xdr:rowOff>167640</xdr:rowOff>
        </xdr:from>
        <xdr:to>
          <xdr:col>19</xdr:col>
          <xdr:colOff>876300</xdr:colOff>
          <xdr:row>19</xdr:row>
          <xdr:rowOff>381000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20</xdr:row>
          <xdr:rowOff>167640</xdr:rowOff>
        </xdr:from>
        <xdr:to>
          <xdr:col>19</xdr:col>
          <xdr:colOff>876300</xdr:colOff>
          <xdr:row>20</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21</xdr:row>
          <xdr:rowOff>167640</xdr:rowOff>
        </xdr:from>
        <xdr:to>
          <xdr:col>19</xdr:col>
          <xdr:colOff>876300</xdr:colOff>
          <xdr:row>21</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22</xdr:row>
          <xdr:rowOff>167640</xdr:rowOff>
        </xdr:from>
        <xdr:to>
          <xdr:col>19</xdr:col>
          <xdr:colOff>876300</xdr:colOff>
          <xdr:row>22</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23</xdr:row>
          <xdr:rowOff>167640</xdr:rowOff>
        </xdr:from>
        <xdr:to>
          <xdr:col>19</xdr:col>
          <xdr:colOff>876300</xdr:colOff>
          <xdr:row>23</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24</xdr:row>
          <xdr:rowOff>167640</xdr:rowOff>
        </xdr:from>
        <xdr:to>
          <xdr:col>19</xdr:col>
          <xdr:colOff>876300</xdr:colOff>
          <xdr:row>24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25</xdr:row>
          <xdr:rowOff>167640</xdr:rowOff>
        </xdr:from>
        <xdr:to>
          <xdr:col>19</xdr:col>
          <xdr:colOff>876300</xdr:colOff>
          <xdr:row>25</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26</xdr:row>
          <xdr:rowOff>167640</xdr:rowOff>
        </xdr:from>
        <xdr:to>
          <xdr:col>19</xdr:col>
          <xdr:colOff>876300</xdr:colOff>
          <xdr:row>26</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27</xdr:row>
          <xdr:rowOff>167640</xdr:rowOff>
        </xdr:from>
        <xdr:to>
          <xdr:col>19</xdr:col>
          <xdr:colOff>876300</xdr:colOff>
          <xdr:row>27</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28</xdr:row>
          <xdr:rowOff>167640</xdr:rowOff>
        </xdr:from>
        <xdr:to>
          <xdr:col>19</xdr:col>
          <xdr:colOff>876300</xdr:colOff>
          <xdr:row>28</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29</xdr:row>
          <xdr:rowOff>167640</xdr:rowOff>
        </xdr:from>
        <xdr:to>
          <xdr:col>19</xdr:col>
          <xdr:colOff>876300</xdr:colOff>
          <xdr:row>29</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30</xdr:row>
          <xdr:rowOff>167640</xdr:rowOff>
        </xdr:from>
        <xdr:to>
          <xdr:col>19</xdr:col>
          <xdr:colOff>876300</xdr:colOff>
          <xdr:row>30</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31</xdr:row>
          <xdr:rowOff>167640</xdr:rowOff>
        </xdr:from>
        <xdr:to>
          <xdr:col>19</xdr:col>
          <xdr:colOff>876300</xdr:colOff>
          <xdr:row>31</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32</xdr:row>
          <xdr:rowOff>167640</xdr:rowOff>
        </xdr:from>
        <xdr:to>
          <xdr:col>19</xdr:col>
          <xdr:colOff>876300</xdr:colOff>
          <xdr:row>32</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34</xdr:row>
          <xdr:rowOff>167640</xdr:rowOff>
        </xdr:from>
        <xdr:to>
          <xdr:col>19</xdr:col>
          <xdr:colOff>876300</xdr:colOff>
          <xdr:row>34</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35</xdr:row>
          <xdr:rowOff>167640</xdr:rowOff>
        </xdr:from>
        <xdr:to>
          <xdr:col>19</xdr:col>
          <xdr:colOff>876300</xdr:colOff>
          <xdr:row>35</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36</xdr:row>
          <xdr:rowOff>167640</xdr:rowOff>
        </xdr:from>
        <xdr:to>
          <xdr:col>19</xdr:col>
          <xdr:colOff>876300</xdr:colOff>
          <xdr:row>36</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38</xdr:row>
          <xdr:rowOff>167640</xdr:rowOff>
        </xdr:from>
        <xdr:to>
          <xdr:col>19</xdr:col>
          <xdr:colOff>876300</xdr:colOff>
          <xdr:row>38</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39</xdr:row>
          <xdr:rowOff>167640</xdr:rowOff>
        </xdr:from>
        <xdr:to>
          <xdr:col>19</xdr:col>
          <xdr:colOff>876300</xdr:colOff>
          <xdr:row>39</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40</xdr:row>
          <xdr:rowOff>167640</xdr:rowOff>
        </xdr:from>
        <xdr:to>
          <xdr:col>19</xdr:col>
          <xdr:colOff>876300</xdr:colOff>
          <xdr:row>40</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41</xdr:row>
          <xdr:rowOff>167640</xdr:rowOff>
        </xdr:from>
        <xdr:to>
          <xdr:col>19</xdr:col>
          <xdr:colOff>876300</xdr:colOff>
          <xdr:row>41</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33</xdr:row>
          <xdr:rowOff>167640</xdr:rowOff>
        </xdr:from>
        <xdr:to>
          <xdr:col>19</xdr:col>
          <xdr:colOff>876300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twoCellAnchor editAs="oneCell">
    <xdr:from>
      <xdr:col>0</xdr:col>
      <xdr:colOff>354112</xdr:colOff>
      <xdr:row>0</xdr:row>
      <xdr:rowOff>54043</xdr:rowOff>
    </xdr:from>
    <xdr:to>
      <xdr:col>1</xdr:col>
      <xdr:colOff>1636277</xdr:colOff>
      <xdr:row>2</xdr:row>
      <xdr:rowOff>109482</xdr:rowOff>
    </xdr:to>
    <xdr:pic>
      <xdr:nvPicPr>
        <xdr:cNvPr id="2" name="Imagen 1">
          <a:extLst>
            <a:ext uri="{FF2B5EF4-FFF2-40B4-BE49-F238E27FC236}">
              <a16:creationId xmlns:a16="http://schemas.microsoft.com/office/drawing/2014/main" id="{7A38E5EF-05EE-43B7-A896-3B952304A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112" y="54043"/>
          <a:ext cx="1646952" cy="7715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487680</xdr:colOff>
          <xdr:row>37</xdr:row>
          <xdr:rowOff>167640</xdr:rowOff>
        </xdr:from>
        <xdr:to>
          <xdr:col>19</xdr:col>
          <xdr:colOff>876300</xdr:colOff>
          <xdr:row>37</xdr:row>
          <xdr:rowOff>381000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2222499</xdr:colOff>
      <xdr:row>0</xdr:row>
      <xdr:rowOff>0</xdr:rowOff>
    </xdr:from>
    <xdr:to>
      <xdr:col>7</xdr:col>
      <xdr:colOff>3030680</xdr:colOff>
      <xdr:row>3</xdr:row>
      <xdr:rowOff>187614</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8</xdr:col>
      <xdr:colOff>813576</xdr:colOff>
      <xdr:row>0</xdr:row>
      <xdr:rowOff>0</xdr:rowOff>
    </xdr:from>
    <xdr:to>
      <xdr:col>9</xdr:col>
      <xdr:colOff>340732</xdr:colOff>
      <xdr:row>2</xdr:row>
      <xdr:rowOff>201342</xdr:rowOff>
    </xdr:to>
    <xdr:pic>
      <xdr:nvPicPr>
        <xdr:cNvPr id="13" name="1 Imagen" descr="logocapitalmusical">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966" y="0"/>
          <a:ext cx="874595" cy="72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1029636</xdr:colOff>
      <xdr:row>2</xdr:row>
      <xdr:rowOff>325243</xdr:rowOff>
    </xdr:to>
    <xdr:pic>
      <xdr:nvPicPr>
        <xdr:cNvPr id="2" name="Imagen 1">
          <a:extLst>
            <a:ext uri="{FF2B5EF4-FFF2-40B4-BE49-F238E27FC236}">
              <a16:creationId xmlns:a16="http://schemas.microsoft.com/office/drawing/2014/main" id="{3EACDB1F-48B9-4215-B1FB-DDB6231A6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35002" cy="8518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Desktop\DSH2024\C%20RIESGOS%202024\BIMESTRE%2001%202024%20A%20PLANEACION\MR%20PARA%20ACTUALIZACION%202024\ENTREGA%20ACTUALIZ%202024%20A%20PLANEACION%20MAPAS%20RIES\2.%20B2-2024%20MRV4%20CORRP%20SEC%20HCDA%20ACT%2029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MAPA DE RIESGO ADMON"/>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92" zoomScaleNormal="92" workbookViewId="0">
      <selection activeCell="E34" sqref="E34:F34"/>
    </sheetView>
  </sheetViews>
  <sheetFormatPr baseColWidth="10" defaultColWidth="11.44140625" defaultRowHeight="14.4" x14ac:dyDescent="0.3"/>
  <cols>
    <col min="1" max="1" width="2.77734375" style="65" customWidth="1"/>
    <col min="2" max="3" width="24.77734375" style="65" customWidth="1"/>
    <col min="4" max="4" width="16" style="65" customWidth="1"/>
    <col min="5" max="5" width="24.77734375" style="65" customWidth="1"/>
    <col min="6" max="6" width="27.77734375" style="65" customWidth="1"/>
    <col min="7" max="8" width="24.77734375" style="65" customWidth="1"/>
    <col min="9" max="16384" width="11.44140625" style="65"/>
  </cols>
  <sheetData>
    <row r="1" spans="2:8" ht="15" thickBot="1" x14ac:dyDescent="0.35"/>
    <row r="2" spans="2:8" ht="18" x14ac:dyDescent="0.3">
      <c r="B2" s="381" t="s">
        <v>155</v>
      </c>
      <c r="C2" s="382"/>
      <c r="D2" s="382"/>
      <c r="E2" s="382"/>
      <c r="F2" s="382"/>
      <c r="G2" s="382"/>
      <c r="H2" s="383"/>
    </row>
    <row r="3" spans="2:8" x14ac:dyDescent="0.3">
      <c r="B3" s="66"/>
      <c r="C3" s="67"/>
      <c r="D3" s="67"/>
      <c r="E3" s="67"/>
      <c r="F3" s="67"/>
      <c r="G3" s="67"/>
      <c r="H3" s="68"/>
    </row>
    <row r="4" spans="2:8" ht="63" customHeight="1" x14ac:dyDescent="0.3">
      <c r="B4" s="384" t="s">
        <v>198</v>
      </c>
      <c r="C4" s="385"/>
      <c r="D4" s="385"/>
      <c r="E4" s="385"/>
      <c r="F4" s="385"/>
      <c r="G4" s="385"/>
      <c r="H4" s="386"/>
    </row>
    <row r="5" spans="2:8" ht="124.5" customHeight="1" x14ac:dyDescent="0.3">
      <c r="B5" s="387"/>
      <c r="C5" s="388"/>
      <c r="D5" s="388"/>
      <c r="E5" s="388"/>
      <c r="F5" s="388"/>
      <c r="G5" s="388"/>
      <c r="H5" s="389"/>
    </row>
    <row r="6" spans="2:8" x14ac:dyDescent="0.3">
      <c r="B6" s="390" t="s">
        <v>153</v>
      </c>
      <c r="C6" s="391"/>
      <c r="D6" s="391"/>
      <c r="E6" s="391"/>
      <c r="F6" s="391"/>
      <c r="G6" s="391"/>
      <c r="H6" s="392"/>
    </row>
    <row r="7" spans="2:8" ht="95.25" customHeight="1" x14ac:dyDescent="0.3">
      <c r="B7" s="400" t="s">
        <v>158</v>
      </c>
      <c r="C7" s="401"/>
      <c r="D7" s="401"/>
      <c r="E7" s="401"/>
      <c r="F7" s="401"/>
      <c r="G7" s="401"/>
      <c r="H7" s="402"/>
    </row>
    <row r="8" spans="2:8" x14ac:dyDescent="0.3">
      <c r="B8" s="100"/>
      <c r="C8" s="101"/>
      <c r="D8" s="101"/>
      <c r="E8" s="101"/>
      <c r="F8" s="101"/>
      <c r="G8" s="101"/>
      <c r="H8" s="102"/>
    </row>
    <row r="9" spans="2:8" ht="16.5" customHeight="1" x14ac:dyDescent="0.3">
      <c r="B9" s="393" t="s">
        <v>191</v>
      </c>
      <c r="C9" s="394"/>
      <c r="D9" s="394"/>
      <c r="E9" s="394"/>
      <c r="F9" s="394"/>
      <c r="G9" s="394"/>
      <c r="H9" s="395"/>
    </row>
    <row r="10" spans="2:8" ht="44.25" customHeight="1" x14ac:dyDescent="0.3">
      <c r="B10" s="393"/>
      <c r="C10" s="394"/>
      <c r="D10" s="394"/>
      <c r="E10" s="394"/>
      <c r="F10" s="394"/>
      <c r="G10" s="394"/>
      <c r="H10" s="395"/>
    </row>
    <row r="11" spans="2:8" ht="15" thickBot="1" x14ac:dyDescent="0.35">
      <c r="B11" s="89"/>
      <c r="C11" s="92"/>
      <c r="D11" s="97"/>
      <c r="E11" s="98"/>
      <c r="F11" s="98"/>
      <c r="G11" s="99"/>
      <c r="H11" s="93"/>
    </row>
    <row r="12" spans="2:8" ht="15" thickTop="1" x14ac:dyDescent="0.3">
      <c r="B12" s="89"/>
      <c r="C12" s="396" t="s">
        <v>154</v>
      </c>
      <c r="D12" s="397"/>
      <c r="E12" s="398" t="s">
        <v>192</v>
      </c>
      <c r="F12" s="399"/>
      <c r="G12" s="92"/>
      <c r="H12" s="93"/>
    </row>
    <row r="13" spans="2:8" ht="35.25" customHeight="1" x14ac:dyDescent="0.3">
      <c r="B13" s="89"/>
      <c r="C13" s="368" t="s">
        <v>185</v>
      </c>
      <c r="D13" s="369"/>
      <c r="E13" s="370" t="s">
        <v>190</v>
      </c>
      <c r="F13" s="371"/>
      <c r="G13" s="92"/>
      <c r="H13" s="93"/>
    </row>
    <row r="14" spans="2:8" ht="17.25" customHeight="1" x14ac:dyDescent="0.3">
      <c r="B14" s="89"/>
      <c r="C14" s="368" t="s">
        <v>186</v>
      </c>
      <c r="D14" s="369"/>
      <c r="E14" s="370" t="s">
        <v>188</v>
      </c>
      <c r="F14" s="371"/>
      <c r="G14" s="92"/>
      <c r="H14" s="93"/>
    </row>
    <row r="15" spans="2:8" ht="19.5" customHeight="1" x14ac:dyDescent="0.3">
      <c r="B15" s="89"/>
      <c r="C15" s="368" t="s">
        <v>187</v>
      </c>
      <c r="D15" s="369"/>
      <c r="E15" s="370" t="s">
        <v>189</v>
      </c>
      <c r="F15" s="371"/>
      <c r="G15" s="92"/>
      <c r="H15" s="93"/>
    </row>
    <row r="16" spans="2:8" ht="69.75" customHeight="1" x14ac:dyDescent="0.3">
      <c r="B16" s="89"/>
      <c r="C16" s="368" t="s">
        <v>156</v>
      </c>
      <c r="D16" s="369"/>
      <c r="E16" s="370" t="s">
        <v>157</v>
      </c>
      <c r="F16" s="371"/>
      <c r="G16" s="92"/>
      <c r="H16" s="93"/>
    </row>
    <row r="17" spans="2:8" ht="34.5" customHeight="1" x14ac:dyDescent="0.3">
      <c r="B17" s="89"/>
      <c r="C17" s="372" t="s">
        <v>2</v>
      </c>
      <c r="D17" s="373"/>
      <c r="E17" s="364" t="s">
        <v>199</v>
      </c>
      <c r="F17" s="365"/>
      <c r="G17" s="92"/>
      <c r="H17" s="93"/>
    </row>
    <row r="18" spans="2:8" ht="27.75" customHeight="1" x14ac:dyDescent="0.3">
      <c r="B18" s="89"/>
      <c r="C18" s="372" t="s">
        <v>3</v>
      </c>
      <c r="D18" s="373"/>
      <c r="E18" s="364" t="s">
        <v>200</v>
      </c>
      <c r="F18" s="365"/>
      <c r="G18" s="92"/>
      <c r="H18" s="93"/>
    </row>
    <row r="19" spans="2:8" ht="28.5" customHeight="1" x14ac:dyDescent="0.3">
      <c r="B19" s="89"/>
      <c r="C19" s="372" t="s">
        <v>42</v>
      </c>
      <c r="D19" s="373"/>
      <c r="E19" s="364" t="s">
        <v>201</v>
      </c>
      <c r="F19" s="365"/>
      <c r="G19" s="92"/>
      <c r="H19" s="93"/>
    </row>
    <row r="20" spans="2:8" ht="72.75" customHeight="1" x14ac:dyDescent="0.3">
      <c r="B20" s="89"/>
      <c r="C20" s="372" t="s">
        <v>1</v>
      </c>
      <c r="D20" s="373"/>
      <c r="E20" s="364" t="s">
        <v>202</v>
      </c>
      <c r="F20" s="365"/>
      <c r="G20" s="92"/>
      <c r="H20" s="93"/>
    </row>
    <row r="21" spans="2:8" ht="64.5" customHeight="1" x14ac:dyDescent="0.3">
      <c r="B21" s="89"/>
      <c r="C21" s="372" t="s">
        <v>50</v>
      </c>
      <c r="D21" s="373"/>
      <c r="E21" s="364" t="s">
        <v>160</v>
      </c>
      <c r="F21" s="365"/>
      <c r="G21" s="92"/>
      <c r="H21" s="93"/>
    </row>
    <row r="22" spans="2:8" ht="71.25" customHeight="1" x14ac:dyDescent="0.3">
      <c r="B22" s="89"/>
      <c r="C22" s="372" t="s">
        <v>159</v>
      </c>
      <c r="D22" s="373"/>
      <c r="E22" s="364" t="s">
        <v>161</v>
      </c>
      <c r="F22" s="365"/>
      <c r="G22" s="92"/>
      <c r="H22" s="93"/>
    </row>
    <row r="23" spans="2:8" ht="55.5" customHeight="1" x14ac:dyDescent="0.3">
      <c r="B23" s="89"/>
      <c r="C23" s="366" t="s">
        <v>162</v>
      </c>
      <c r="D23" s="367"/>
      <c r="E23" s="364" t="s">
        <v>163</v>
      </c>
      <c r="F23" s="365"/>
      <c r="G23" s="92"/>
      <c r="H23" s="93"/>
    </row>
    <row r="24" spans="2:8" ht="42" customHeight="1" x14ac:dyDescent="0.3">
      <c r="B24" s="89"/>
      <c r="C24" s="366" t="s">
        <v>48</v>
      </c>
      <c r="D24" s="367"/>
      <c r="E24" s="364" t="s">
        <v>164</v>
      </c>
      <c r="F24" s="365"/>
      <c r="G24" s="92"/>
      <c r="H24" s="93"/>
    </row>
    <row r="25" spans="2:8" ht="59.25" customHeight="1" x14ac:dyDescent="0.3">
      <c r="B25" s="89"/>
      <c r="C25" s="366" t="s">
        <v>152</v>
      </c>
      <c r="D25" s="367"/>
      <c r="E25" s="364" t="s">
        <v>165</v>
      </c>
      <c r="F25" s="365"/>
      <c r="G25" s="92"/>
      <c r="H25" s="93"/>
    </row>
    <row r="26" spans="2:8" ht="23.25" customHeight="1" x14ac:dyDescent="0.3">
      <c r="B26" s="89"/>
      <c r="C26" s="366" t="s">
        <v>12</v>
      </c>
      <c r="D26" s="367"/>
      <c r="E26" s="364" t="s">
        <v>166</v>
      </c>
      <c r="F26" s="365"/>
      <c r="G26" s="92"/>
      <c r="H26" s="93"/>
    </row>
    <row r="27" spans="2:8" ht="30.75" customHeight="1" x14ac:dyDescent="0.3">
      <c r="B27" s="89"/>
      <c r="C27" s="366" t="s">
        <v>170</v>
      </c>
      <c r="D27" s="367"/>
      <c r="E27" s="364" t="s">
        <v>167</v>
      </c>
      <c r="F27" s="365"/>
      <c r="G27" s="92"/>
      <c r="H27" s="93"/>
    </row>
    <row r="28" spans="2:8" ht="35.25" customHeight="1" x14ac:dyDescent="0.3">
      <c r="B28" s="89"/>
      <c r="C28" s="366" t="s">
        <v>171</v>
      </c>
      <c r="D28" s="367"/>
      <c r="E28" s="364" t="s">
        <v>168</v>
      </c>
      <c r="F28" s="365"/>
      <c r="G28" s="92"/>
      <c r="H28" s="93"/>
    </row>
    <row r="29" spans="2:8" ht="33" customHeight="1" x14ac:dyDescent="0.3">
      <c r="B29" s="89"/>
      <c r="C29" s="366" t="s">
        <v>171</v>
      </c>
      <c r="D29" s="367"/>
      <c r="E29" s="364" t="s">
        <v>168</v>
      </c>
      <c r="F29" s="365"/>
      <c r="G29" s="92"/>
      <c r="H29" s="93"/>
    </row>
    <row r="30" spans="2:8" ht="30" customHeight="1" x14ac:dyDescent="0.3">
      <c r="B30" s="89"/>
      <c r="C30" s="366" t="s">
        <v>172</v>
      </c>
      <c r="D30" s="367"/>
      <c r="E30" s="364" t="s">
        <v>169</v>
      </c>
      <c r="F30" s="365"/>
      <c r="G30" s="92"/>
      <c r="H30" s="93"/>
    </row>
    <row r="31" spans="2:8" ht="35.25" customHeight="1" x14ac:dyDescent="0.3">
      <c r="B31" s="89"/>
      <c r="C31" s="366" t="s">
        <v>173</v>
      </c>
      <c r="D31" s="367"/>
      <c r="E31" s="364" t="s">
        <v>174</v>
      </c>
      <c r="F31" s="365"/>
      <c r="G31" s="92"/>
      <c r="H31" s="93"/>
    </row>
    <row r="32" spans="2:8" ht="31.5" customHeight="1" x14ac:dyDescent="0.3">
      <c r="B32" s="89"/>
      <c r="C32" s="366" t="s">
        <v>175</v>
      </c>
      <c r="D32" s="367"/>
      <c r="E32" s="364" t="s">
        <v>176</v>
      </c>
      <c r="F32" s="365"/>
      <c r="G32" s="92"/>
      <c r="H32" s="93"/>
    </row>
    <row r="33" spans="2:8" ht="35.25" customHeight="1" x14ac:dyDescent="0.3">
      <c r="B33" s="89"/>
      <c r="C33" s="366" t="s">
        <v>177</v>
      </c>
      <c r="D33" s="367"/>
      <c r="E33" s="364" t="s">
        <v>178</v>
      </c>
      <c r="F33" s="365"/>
      <c r="G33" s="92"/>
      <c r="H33" s="93"/>
    </row>
    <row r="34" spans="2:8" ht="59.25" customHeight="1" x14ac:dyDescent="0.3">
      <c r="B34" s="89"/>
      <c r="C34" s="366" t="s">
        <v>179</v>
      </c>
      <c r="D34" s="367"/>
      <c r="E34" s="364" t="s">
        <v>180</v>
      </c>
      <c r="F34" s="365"/>
      <c r="G34" s="92"/>
      <c r="H34" s="93"/>
    </row>
    <row r="35" spans="2:8" ht="29.25" customHeight="1" x14ac:dyDescent="0.3">
      <c r="B35" s="89"/>
      <c r="C35" s="366" t="s">
        <v>29</v>
      </c>
      <c r="D35" s="367"/>
      <c r="E35" s="364" t="s">
        <v>181</v>
      </c>
      <c r="F35" s="365"/>
      <c r="G35" s="92"/>
      <c r="H35" s="93"/>
    </row>
    <row r="36" spans="2:8" ht="82.5" customHeight="1" x14ac:dyDescent="0.3">
      <c r="B36" s="89"/>
      <c r="C36" s="366" t="s">
        <v>183</v>
      </c>
      <c r="D36" s="367"/>
      <c r="E36" s="364" t="s">
        <v>182</v>
      </c>
      <c r="F36" s="365"/>
      <c r="G36" s="92"/>
      <c r="H36" s="93"/>
    </row>
    <row r="37" spans="2:8" ht="46.5" customHeight="1" x14ac:dyDescent="0.3">
      <c r="B37" s="89"/>
      <c r="C37" s="366" t="s">
        <v>39</v>
      </c>
      <c r="D37" s="367"/>
      <c r="E37" s="364" t="s">
        <v>184</v>
      </c>
      <c r="F37" s="365"/>
      <c r="G37" s="92"/>
      <c r="H37" s="93"/>
    </row>
    <row r="38" spans="2:8" ht="6.75" customHeight="1" thickBot="1" x14ac:dyDescent="0.35">
      <c r="B38" s="89"/>
      <c r="C38" s="377"/>
      <c r="D38" s="378"/>
      <c r="E38" s="379"/>
      <c r="F38" s="380"/>
      <c r="G38" s="92"/>
      <c r="H38" s="93"/>
    </row>
    <row r="39" spans="2:8" ht="15" thickTop="1" x14ac:dyDescent="0.3">
      <c r="B39" s="89"/>
      <c r="C39" s="90"/>
      <c r="D39" s="90"/>
      <c r="E39" s="91"/>
      <c r="F39" s="91"/>
      <c r="G39" s="92"/>
      <c r="H39" s="93"/>
    </row>
    <row r="40" spans="2:8" ht="21" customHeight="1" x14ac:dyDescent="0.3">
      <c r="B40" s="374" t="s">
        <v>193</v>
      </c>
      <c r="C40" s="375"/>
      <c r="D40" s="375"/>
      <c r="E40" s="375"/>
      <c r="F40" s="375"/>
      <c r="G40" s="375"/>
      <c r="H40" s="376"/>
    </row>
    <row r="41" spans="2:8" ht="20.25" customHeight="1" x14ac:dyDescent="0.3">
      <c r="B41" s="374" t="s">
        <v>194</v>
      </c>
      <c r="C41" s="375"/>
      <c r="D41" s="375"/>
      <c r="E41" s="375"/>
      <c r="F41" s="375"/>
      <c r="G41" s="375"/>
      <c r="H41" s="376"/>
    </row>
    <row r="42" spans="2:8" ht="20.25" customHeight="1" x14ac:dyDescent="0.3">
      <c r="B42" s="374" t="s">
        <v>195</v>
      </c>
      <c r="C42" s="375"/>
      <c r="D42" s="375"/>
      <c r="E42" s="375"/>
      <c r="F42" s="375"/>
      <c r="G42" s="375"/>
      <c r="H42" s="376"/>
    </row>
    <row r="43" spans="2:8" ht="20.25" customHeight="1" x14ac:dyDescent="0.3">
      <c r="B43" s="374" t="s">
        <v>196</v>
      </c>
      <c r="C43" s="375"/>
      <c r="D43" s="375"/>
      <c r="E43" s="375"/>
      <c r="F43" s="375"/>
      <c r="G43" s="375"/>
      <c r="H43" s="376"/>
    </row>
    <row r="44" spans="2:8" x14ac:dyDescent="0.3">
      <c r="B44" s="374" t="s">
        <v>197</v>
      </c>
      <c r="C44" s="375"/>
      <c r="D44" s="375"/>
      <c r="E44" s="375"/>
      <c r="F44" s="375"/>
      <c r="G44" s="375"/>
      <c r="H44" s="376"/>
    </row>
    <row r="45" spans="2:8" ht="15" thickBot="1" x14ac:dyDescent="0.35">
      <c r="B45" s="94"/>
      <c r="C45" s="95"/>
      <c r="D45" s="95"/>
      <c r="E45" s="95"/>
      <c r="F45" s="95"/>
      <c r="G45" s="95"/>
      <c r="H45" s="9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53"/>
  <sheetViews>
    <sheetView zoomScale="38" zoomScaleNormal="38" workbookViewId="0">
      <selection activeCell="E22" sqref="E22"/>
    </sheetView>
  </sheetViews>
  <sheetFormatPr baseColWidth="10" defaultColWidth="11.44140625" defaultRowHeight="13.8" x14ac:dyDescent="0.25"/>
  <cols>
    <col min="1" max="1" width="29.44140625" style="141" customWidth="1"/>
    <col min="2" max="2" width="29.21875" style="141" customWidth="1"/>
    <col min="3" max="3" width="30.21875" style="141" customWidth="1"/>
    <col min="4" max="4" width="31.77734375" style="141" customWidth="1"/>
    <col min="5" max="5" width="46.21875" style="141" customWidth="1"/>
    <col min="6" max="6" width="32" style="141" customWidth="1"/>
    <col min="7" max="7" width="4" style="141" customWidth="1"/>
    <col min="8" max="8" width="18.21875" style="141" customWidth="1"/>
    <col min="9" max="16384" width="11.44140625" style="141"/>
  </cols>
  <sheetData>
    <row r="1" spans="1:10" ht="15" customHeight="1" x14ac:dyDescent="0.25">
      <c r="A1" s="407"/>
      <c r="B1" s="409" t="s">
        <v>429</v>
      </c>
      <c r="C1" s="409"/>
      <c r="D1" s="409"/>
      <c r="E1" s="139" t="s">
        <v>260</v>
      </c>
      <c r="F1" s="411"/>
      <c r="G1" s="140"/>
      <c r="J1" s="413"/>
    </row>
    <row r="2" spans="1:10" ht="15" customHeight="1" x14ac:dyDescent="0.25">
      <c r="A2" s="408"/>
      <c r="B2" s="410"/>
      <c r="C2" s="410"/>
      <c r="D2" s="410"/>
      <c r="E2" s="143" t="s">
        <v>261</v>
      </c>
      <c r="F2" s="412"/>
      <c r="G2" s="140"/>
      <c r="J2" s="413"/>
    </row>
    <row r="3" spans="1:10" ht="15" customHeight="1" x14ac:dyDescent="0.25">
      <c r="A3" s="408"/>
      <c r="B3" s="410" t="s">
        <v>215</v>
      </c>
      <c r="C3" s="410"/>
      <c r="D3" s="410"/>
      <c r="E3" s="143" t="s">
        <v>262</v>
      </c>
      <c r="F3" s="412"/>
      <c r="G3" s="140"/>
      <c r="J3" s="413"/>
    </row>
    <row r="4" spans="1:10" ht="15.75" customHeight="1" x14ac:dyDescent="0.25">
      <c r="A4" s="408"/>
      <c r="B4" s="410"/>
      <c r="C4" s="410"/>
      <c r="D4" s="410"/>
      <c r="E4" s="143" t="s">
        <v>263</v>
      </c>
      <c r="F4" s="412"/>
      <c r="G4" s="140"/>
      <c r="J4" s="413"/>
    </row>
    <row r="5" spans="1:10" ht="15.75" customHeight="1" x14ac:dyDescent="0.25">
      <c r="A5" s="414"/>
      <c r="B5" s="415"/>
      <c r="C5" s="415"/>
      <c r="D5" s="415"/>
      <c r="E5" s="415"/>
      <c r="F5" s="416"/>
      <c r="G5" s="140"/>
      <c r="J5" s="142"/>
    </row>
    <row r="6" spans="1:10" ht="15" customHeight="1" x14ac:dyDescent="0.25">
      <c r="A6" s="417" t="s">
        <v>216</v>
      </c>
      <c r="B6" s="418"/>
      <c r="C6" s="418"/>
      <c r="D6" s="418"/>
      <c r="E6" s="418"/>
      <c r="F6" s="419"/>
    </row>
    <row r="7" spans="1:10" ht="15.75" customHeight="1" x14ac:dyDescent="0.25">
      <c r="A7" s="417"/>
      <c r="B7" s="418"/>
      <c r="C7" s="418"/>
      <c r="D7" s="418"/>
      <c r="E7" s="418"/>
      <c r="F7" s="419"/>
    </row>
    <row r="8" spans="1:10" ht="27" customHeight="1" x14ac:dyDescent="0.25">
      <c r="A8" s="420" t="s">
        <v>412</v>
      </c>
      <c r="B8" s="421"/>
      <c r="C8" s="421"/>
      <c r="D8" s="421"/>
      <c r="E8" s="421"/>
      <c r="F8" s="422"/>
    </row>
    <row r="9" spans="1:10" ht="77.25" customHeight="1" thickBot="1" x14ac:dyDescent="0.3">
      <c r="A9" s="403" t="s">
        <v>413</v>
      </c>
      <c r="B9" s="404"/>
      <c r="C9" s="404"/>
      <c r="D9" s="404"/>
      <c r="E9" s="404"/>
      <c r="F9" s="405"/>
    </row>
    <row r="10" spans="1:10" ht="18.75" customHeight="1" thickBot="1" x14ac:dyDescent="0.3">
      <c r="A10" s="406"/>
      <c r="B10" s="406"/>
      <c r="C10" s="406"/>
      <c r="D10" s="406"/>
      <c r="E10" s="406"/>
      <c r="F10" s="406"/>
      <c r="H10" s="141" t="s">
        <v>338</v>
      </c>
    </row>
    <row r="11" spans="1:10" ht="22.5" customHeight="1" thickBot="1" x14ac:dyDescent="0.3">
      <c r="A11" s="144" t="s">
        <v>217</v>
      </c>
      <c r="B11" s="145" t="s">
        <v>218</v>
      </c>
      <c r="C11" s="145" t="s">
        <v>219</v>
      </c>
      <c r="D11" s="145" t="s">
        <v>218</v>
      </c>
      <c r="E11" s="145" t="s">
        <v>220</v>
      </c>
      <c r="F11" s="146" t="s">
        <v>218</v>
      </c>
    </row>
    <row r="12" spans="1:10" ht="231" customHeight="1" x14ac:dyDescent="0.25">
      <c r="A12" s="147" t="s">
        <v>221</v>
      </c>
      <c r="B12" s="187" t="s">
        <v>309</v>
      </c>
      <c r="C12" s="148" t="s">
        <v>341</v>
      </c>
      <c r="D12" s="191" t="s">
        <v>344</v>
      </c>
      <c r="E12" s="148" t="s">
        <v>336</v>
      </c>
      <c r="F12" s="198" t="s">
        <v>337</v>
      </c>
      <c r="H12" s="197"/>
    </row>
    <row r="13" spans="1:10" ht="60" customHeight="1" thickBot="1" x14ac:dyDescent="0.3">
      <c r="A13" s="149" t="s">
        <v>346</v>
      </c>
      <c r="B13" s="188" t="s">
        <v>310</v>
      </c>
      <c r="C13" s="150" t="s">
        <v>341</v>
      </c>
      <c r="D13" s="192" t="s">
        <v>345</v>
      </c>
      <c r="E13" s="150" t="s">
        <v>339</v>
      </c>
      <c r="F13" s="199" t="s">
        <v>340</v>
      </c>
    </row>
    <row r="14" spans="1:10" ht="113.25" customHeight="1" x14ac:dyDescent="0.25">
      <c r="A14" s="149" t="s">
        <v>222</v>
      </c>
      <c r="B14" s="188" t="s">
        <v>311</v>
      </c>
      <c r="C14" s="148" t="s">
        <v>349</v>
      </c>
      <c r="D14" s="192" t="s">
        <v>316</v>
      </c>
      <c r="E14" s="150" t="s">
        <v>343</v>
      </c>
      <c r="F14" s="199" t="s">
        <v>342</v>
      </c>
    </row>
    <row r="15" spans="1:10" ht="73.5" customHeight="1" x14ac:dyDescent="0.25">
      <c r="A15" s="149" t="s">
        <v>222</v>
      </c>
      <c r="B15" s="189" t="s">
        <v>312</v>
      </c>
      <c r="C15" s="150" t="s">
        <v>349</v>
      </c>
      <c r="D15" s="192" t="s">
        <v>317</v>
      </c>
      <c r="E15" s="150" t="s">
        <v>356</v>
      </c>
      <c r="F15" s="195" t="s">
        <v>328</v>
      </c>
    </row>
    <row r="16" spans="1:10" ht="59.25" customHeight="1" x14ac:dyDescent="0.25">
      <c r="A16" s="149" t="s">
        <v>347</v>
      </c>
      <c r="B16" s="188" t="s">
        <v>313</v>
      </c>
      <c r="C16" s="150" t="s">
        <v>349</v>
      </c>
      <c r="D16" s="192" t="s">
        <v>318</v>
      </c>
      <c r="E16" s="150" t="s">
        <v>357</v>
      </c>
      <c r="F16" s="195" t="s">
        <v>329</v>
      </c>
    </row>
    <row r="17" spans="1:6" ht="69.75" customHeight="1" x14ac:dyDescent="0.25">
      <c r="A17" s="149" t="s">
        <v>223</v>
      </c>
      <c r="B17" s="188" t="s">
        <v>348</v>
      </c>
      <c r="C17" s="150" t="s">
        <v>350</v>
      </c>
      <c r="D17" s="192" t="s">
        <v>319</v>
      </c>
      <c r="E17" s="150" t="s">
        <v>358</v>
      </c>
      <c r="F17" s="195" t="s">
        <v>330</v>
      </c>
    </row>
    <row r="18" spans="1:6" ht="66.75" customHeight="1" x14ac:dyDescent="0.25">
      <c r="A18" s="149" t="s">
        <v>224</v>
      </c>
      <c r="B18" s="188" t="s">
        <v>314</v>
      </c>
      <c r="C18" s="150" t="s">
        <v>351</v>
      </c>
      <c r="D18" s="192" t="s">
        <v>320</v>
      </c>
      <c r="E18" s="150" t="s">
        <v>356</v>
      </c>
      <c r="F18" s="195" t="s">
        <v>331</v>
      </c>
    </row>
    <row r="19" spans="1:6" ht="73.5" customHeight="1" x14ac:dyDescent="0.25">
      <c r="A19" s="149" t="s">
        <v>224</v>
      </c>
      <c r="B19" s="188" t="s">
        <v>315</v>
      </c>
      <c r="C19" s="150" t="s">
        <v>351</v>
      </c>
      <c r="D19" s="192" t="s">
        <v>321</v>
      </c>
      <c r="E19" s="150" t="s">
        <v>339</v>
      </c>
      <c r="F19" s="199" t="s">
        <v>430</v>
      </c>
    </row>
    <row r="20" spans="1:6" ht="65.25" customHeight="1" x14ac:dyDescent="0.25">
      <c r="A20" s="149"/>
      <c r="B20" s="188"/>
      <c r="C20" s="150" t="s">
        <v>352</v>
      </c>
      <c r="D20" s="193" t="s">
        <v>322</v>
      </c>
      <c r="E20" s="150"/>
      <c r="F20" s="195"/>
    </row>
    <row r="21" spans="1:6" ht="66.75" customHeight="1" x14ac:dyDescent="0.25">
      <c r="A21" s="149"/>
      <c r="B21" s="188"/>
      <c r="C21" s="150" t="s">
        <v>352</v>
      </c>
      <c r="D21" s="193" t="s">
        <v>323</v>
      </c>
      <c r="E21" s="150"/>
      <c r="F21" s="195"/>
    </row>
    <row r="22" spans="1:6" ht="69" customHeight="1" x14ac:dyDescent="0.25">
      <c r="A22" s="149"/>
      <c r="B22" s="188"/>
      <c r="C22" s="150" t="s">
        <v>353</v>
      </c>
      <c r="D22" s="193" t="s">
        <v>324</v>
      </c>
      <c r="E22" s="150"/>
      <c r="F22" s="195"/>
    </row>
    <row r="23" spans="1:6" ht="61.5" customHeight="1" x14ac:dyDescent="0.25">
      <c r="A23" s="149"/>
      <c r="B23" s="188"/>
      <c r="C23" s="150" t="s">
        <v>354</v>
      </c>
      <c r="D23" s="193" t="s">
        <v>325</v>
      </c>
      <c r="E23" s="150"/>
      <c r="F23" s="195"/>
    </row>
    <row r="24" spans="1:6" ht="57.75" customHeight="1" x14ac:dyDescent="0.25">
      <c r="A24" s="149"/>
      <c r="B24" s="188"/>
      <c r="C24" s="150" t="s">
        <v>349</v>
      </c>
      <c r="D24" s="193" t="s">
        <v>326</v>
      </c>
      <c r="E24" s="150"/>
      <c r="F24" s="195"/>
    </row>
    <row r="25" spans="1:6" ht="62.25" customHeight="1" x14ac:dyDescent="0.25">
      <c r="A25" s="149"/>
      <c r="B25" s="188"/>
      <c r="C25" s="150" t="s">
        <v>349</v>
      </c>
      <c r="D25" s="193" t="s">
        <v>327</v>
      </c>
      <c r="E25" s="150"/>
      <c r="F25" s="195"/>
    </row>
    <row r="26" spans="1:6" ht="161.55000000000001" customHeight="1" thickBot="1" x14ac:dyDescent="0.3">
      <c r="A26" s="151"/>
      <c r="B26" s="190"/>
      <c r="C26" s="150" t="s">
        <v>350</v>
      </c>
      <c r="D26" s="194" t="s">
        <v>355</v>
      </c>
      <c r="E26" s="152"/>
      <c r="F26" s="196"/>
    </row>
    <row r="27" spans="1:6" ht="139.94999999999999" customHeight="1" thickBot="1" x14ac:dyDescent="0.3">
      <c r="A27" s="151"/>
      <c r="B27" s="190"/>
      <c r="C27" s="150" t="s">
        <v>349</v>
      </c>
      <c r="D27" s="194" t="s">
        <v>398</v>
      </c>
      <c r="E27" s="152"/>
      <c r="F27" s="196"/>
    </row>
    <row r="28" spans="1:6" ht="62.25" customHeight="1" x14ac:dyDescent="0.25">
      <c r="A28" s="153"/>
      <c r="B28" s="154"/>
      <c r="C28" s="153"/>
      <c r="D28" s="155"/>
      <c r="E28" s="153"/>
      <c r="F28" s="155"/>
    </row>
    <row r="29" spans="1:6" ht="63" customHeight="1" x14ac:dyDescent="0.25">
      <c r="A29" s="153"/>
      <c r="B29" s="154"/>
      <c r="C29" s="153"/>
      <c r="D29" s="155"/>
      <c r="E29" s="153"/>
      <c r="F29" s="154"/>
    </row>
    <row r="30" spans="1:6" ht="51.75" customHeight="1" x14ac:dyDescent="0.25">
      <c r="A30" s="153"/>
      <c r="B30" s="154"/>
      <c r="C30" s="153"/>
      <c r="D30" s="155"/>
      <c r="E30" s="153"/>
      <c r="F30" s="154"/>
    </row>
    <row r="31" spans="1:6" ht="52.5" customHeight="1" x14ac:dyDescent="0.25">
      <c r="A31" s="153"/>
      <c r="B31" s="155"/>
      <c r="C31" s="153"/>
      <c r="D31" s="155"/>
      <c r="E31" s="153"/>
      <c r="F31" s="155"/>
    </row>
    <row r="32" spans="1:6" ht="63.75" customHeight="1" x14ac:dyDescent="0.25">
      <c r="A32" s="153"/>
      <c r="B32" s="155"/>
      <c r="C32" s="153"/>
      <c r="D32" s="155"/>
      <c r="E32" s="153"/>
      <c r="F32" s="155"/>
    </row>
    <row r="33" spans="1:6" ht="66" customHeight="1" x14ac:dyDescent="0.25">
      <c r="A33" s="153"/>
      <c r="B33" s="156"/>
      <c r="C33" s="153"/>
      <c r="D33" s="157"/>
      <c r="E33" s="153"/>
      <c r="F33" s="156"/>
    </row>
    <row r="34" spans="1:6" ht="55.5" customHeight="1" x14ac:dyDescent="0.25">
      <c r="A34" s="153"/>
      <c r="B34" s="156"/>
      <c r="C34" s="153"/>
      <c r="D34" s="157"/>
      <c r="E34" s="153"/>
      <c r="F34" s="158"/>
    </row>
    <row r="35" spans="1:6" ht="51.75" customHeight="1" x14ac:dyDescent="0.25">
      <c r="A35" s="153"/>
      <c r="B35" s="158"/>
      <c r="C35" s="153"/>
      <c r="D35" s="159"/>
      <c r="E35" s="153"/>
      <c r="F35" s="158"/>
    </row>
    <row r="36" spans="1:6" ht="55.5" customHeight="1" x14ac:dyDescent="0.25">
      <c r="A36" s="153"/>
      <c r="B36" s="158"/>
      <c r="C36" s="153"/>
      <c r="D36" s="158"/>
      <c r="E36" s="153"/>
      <c r="F36" s="158"/>
    </row>
    <row r="37" spans="1:6" ht="55.5" customHeight="1" x14ac:dyDescent="0.25">
      <c r="A37" s="153"/>
      <c r="B37" s="158"/>
      <c r="C37" s="153"/>
      <c r="D37" s="158"/>
      <c r="E37" s="153"/>
      <c r="F37" s="158"/>
    </row>
    <row r="38" spans="1:6" ht="54.75" customHeight="1" x14ac:dyDescent="0.25">
      <c r="A38" s="153"/>
      <c r="B38" s="158"/>
      <c r="C38" s="153"/>
      <c r="D38" s="158"/>
      <c r="E38" s="153"/>
      <c r="F38" s="158"/>
    </row>
    <row r="39" spans="1:6" ht="56.25" customHeight="1" x14ac:dyDescent="0.25">
      <c r="A39" s="153"/>
      <c r="B39" s="158"/>
      <c r="C39" s="153"/>
      <c r="D39" s="158"/>
      <c r="E39" s="153"/>
      <c r="F39" s="158"/>
    </row>
    <row r="40" spans="1:6" ht="54.75" customHeight="1" x14ac:dyDescent="0.25">
      <c r="A40" s="153"/>
      <c r="B40" s="156"/>
      <c r="C40" s="153"/>
      <c r="D40" s="157"/>
      <c r="E40" s="153"/>
      <c r="F40" s="156"/>
    </row>
    <row r="41" spans="1:6" ht="55.5" customHeight="1" x14ac:dyDescent="0.25">
      <c r="A41" s="153"/>
      <c r="B41" s="156"/>
      <c r="C41" s="153"/>
      <c r="D41" s="157"/>
      <c r="E41" s="153"/>
      <c r="F41" s="158"/>
    </row>
    <row r="42" spans="1:6" ht="54.75" customHeight="1" x14ac:dyDescent="0.25">
      <c r="A42" s="153"/>
      <c r="B42" s="158"/>
      <c r="C42" s="153"/>
      <c r="D42" s="159"/>
      <c r="E42" s="153"/>
      <c r="F42" s="158"/>
    </row>
    <row r="43" spans="1:6" ht="55.5" customHeight="1" x14ac:dyDescent="0.25">
      <c r="A43" s="153"/>
      <c r="B43" s="158"/>
      <c r="C43" s="153"/>
      <c r="D43" s="158"/>
      <c r="E43" s="153"/>
      <c r="F43" s="158"/>
    </row>
    <row r="44" spans="1:6" ht="56.25" customHeight="1" x14ac:dyDescent="0.25">
      <c r="A44" s="153"/>
      <c r="B44" s="158"/>
      <c r="C44" s="153"/>
      <c r="D44" s="158"/>
      <c r="E44" s="153"/>
      <c r="F44" s="158"/>
    </row>
    <row r="45" spans="1:6" ht="59.25" customHeight="1" x14ac:dyDescent="0.25">
      <c r="A45" s="153"/>
      <c r="B45" s="158"/>
      <c r="C45" s="153"/>
      <c r="D45" s="158"/>
      <c r="E45" s="153"/>
      <c r="F45" s="158"/>
    </row>
    <row r="46" spans="1:6" ht="55.5" customHeight="1" x14ac:dyDescent="0.25">
      <c r="A46" s="153"/>
      <c r="B46" s="158"/>
      <c r="C46" s="153"/>
      <c r="D46" s="158"/>
      <c r="E46" s="153"/>
      <c r="F46" s="158"/>
    </row>
    <row r="47" spans="1:6" ht="55.5" customHeight="1" x14ac:dyDescent="0.25">
      <c r="A47" s="153"/>
      <c r="B47" s="156"/>
      <c r="C47" s="153"/>
      <c r="D47" s="157"/>
      <c r="E47" s="153"/>
      <c r="F47" s="156"/>
    </row>
    <row r="48" spans="1:6" ht="56.25" customHeight="1" x14ac:dyDescent="0.25">
      <c r="A48" s="153"/>
      <c r="B48" s="156"/>
      <c r="C48" s="153"/>
      <c r="D48" s="157"/>
      <c r="E48" s="153"/>
      <c r="F48" s="158"/>
    </row>
    <row r="49" spans="1:6" ht="54" customHeight="1" x14ac:dyDescent="0.25">
      <c r="A49" s="153"/>
      <c r="B49" s="158"/>
      <c r="C49" s="153"/>
      <c r="D49" s="159"/>
      <c r="E49" s="153"/>
      <c r="F49" s="158"/>
    </row>
    <row r="50" spans="1:6" ht="56.25" customHeight="1" x14ac:dyDescent="0.25">
      <c r="A50" s="153"/>
      <c r="B50" s="158"/>
      <c r="C50" s="153"/>
      <c r="D50" s="158"/>
      <c r="E50" s="153"/>
      <c r="F50" s="158"/>
    </row>
    <row r="51" spans="1:6" ht="59.25" customHeight="1" x14ac:dyDescent="0.25">
      <c r="A51" s="153"/>
      <c r="B51" s="158"/>
      <c r="C51" s="153"/>
      <c r="D51" s="158"/>
      <c r="E51" s="153"/>
      <c r="F51" s="158"/>
    </row>
    <row r="52" spans="1:6" ht="54.75" customHeight="1" x14ac:dyDescent="0.25">
      <c r="A52" s="153"/>
      <c r="B52" s="158"/>
      <c r="C52" s="153"/>
      <c r="D52" s="158"/>
      <c r="E52" s="153"/>
      <c r="F52" s="158"/>
    </row>
    <row r="53" spans="1:6" ht="55.5" customHeight="1" x14ac:dyDescent="0.25">
      <c r="A53" s="153"/>
      <c r="B53" s="158"/>
      <c r="C53" s="153"/>
      <c r="D53" s="158"/>
      <c r="E53" s="153"/>
      <c r="F53" s="158"/>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'C:\Users\HACIENDA\Desktop\DSH2024\C RIESGOS 2024\BIMESTRE 01 2024 A PLANEACION\MR PARA ACTUALIZACION 2024\ENTREGA ACTUALIZ 2024 A PLANEACION MAPAS RIES\[2. B2-2024 MRV4 CORRP SEC HCDA ACT 29022024.xlsx]LISTAS CONTEXTO'!#REF!</xm:f>
          </x14:formula1>
          <xm:sqref>A12:A19 C14:C27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A44"/>
  <sheetViews>
    <sheetView zoomScale="47" zoomScaleNormal="47" workbookViewId="0">
      <selection activeCell="AF18" sqref="AF18"/>
    </sheetView>
  </sheetViews>
  <sheetFormatPr baseColWidth="10" defaultColWidth="11.44140625" defaultRowHeight="14.4" x14ac:dyDescent="0.3"/>
  <cols>
    <col min="1" max="1" width="5.21875" style="180" customWidth="1"/>
    <col min="2" max="2" width="40.44140625" style="181" customWidth="1"/>
    <col min="3" max="17" width="6.44140625" style="181" customWidth="1"/>
    <col min="18" max="18" width="8.21875" style="181" customWidth="1"/>
    <col min="19" max="19" width="13" style="182" customWidth="1"/>
    <col min="20" max="20" width="19.77734375" customWidth="1"/>
    <col min="21" max="23" width="11.44140625" hidden="1" customWidth="1"/>
  </cols>
  <sheetData>
    <row r="1" spans="1:27" ht="30.75" customHeight="1" x14ac:dyDescent="0.3">
      <c r="A1" s="426"/>
      <c r="B1" s="429" t="str">
        <f>Contexto!B1</f>
        <v>PROCESO: SISTEMA INTEGRADO DE GESTIÓN Y MIPG</v>
      </c>
      <c r="C1" s="429"/>
      <c r="D1" s="429"/>
      <c r="E1" s="429"/>
      <c r="F1" s="429"/>
      <c r="G1" s="429"/>
      <c r="H1" s="429"/>
      <c r="I1" s="429"/>
      <c r="J1" s="429"/>
      <c r="K1" s="429"/>
      <c r="L1" s="429"/>
      <c r="M1" s="429"/>
      <c r="N1" s="429"/>
      <c r="O1" s="429"/>
      <c r="P1" s="429"/>
      <c r="Q1" s="429"/>
      <c r="R1" s="429"/>
      <c r="S1" s="430"/>
      <c r="T1" s="433" t="s">
        <v>260</v>
      </c>
      <c r="U1" s="434"/>
      <c r="V1" s="434"/>
      <c r="W1" s="435"/>
    </row>
    <row r="2" spans="1:27" ht="25.5" customHeight="1" x14ac:dyDescent="0.3">
      <c r="A2" s="427"/>
      <c r="B2" s="431"/>
      <c r="C2" s="431"/>
      <c r="D2" s="431"/>
      <c r="E2" s="431"/>
      <c r="F2" s="431"/>
      <c r="G2" s="431"/>
      <c r="H2" s="431"/>
      <c r="I2" s="431"/>
      <c r="J2" s="431"/>
      <c r="K2" s="431"/>
      <c r="L2" s="431"/>
      <c r="M2" s="431"/>
      <c r="N2" s="431"/>
      <c r="O2" s="431"/>
      <c r="P2" s="431"/>
      <c r="Q2" s="431"/>
      <c r="R2" s="431"/>
      <c r="S2" s="432"/>
      <c r="T2" s="436" t="s">
        <v>261</v>
      </c>
      <c r="U2" s="437"/>
      <c r="V2" s="437"/>
      <c r="W2" s="438"/>
    </row>
    <row r="3" spans="1:27" ht="15" customHeight="1" x14ac:dyDescent="0.3">
      <c r="A3" s="427"/>
      <c r="B3" s="431" t="s">
        <v>225</v>
      </c>
      <c r="C3" s="431"/>
      <c r="D3" s="431"/>
      <c r="E3" s="431"/>
      <c r="F3" s="431"/>
      <c r="G3" s="431"/>
      <c r="H3" s="431"/>
      <c r="I3" s="431"/>
      <c r="J3" s="431"/>
      <c r="K3" s="431"/>
      <c r="L3" s="431"/>
      <c r="M3" s="431"/>
      <c r="N3" s="431"/>
      <c r="O3" s="431"/>
      <c r="P3" s="431"/>
      <c r="Q3" s="431"/>
      <c r="R3" s="431"/>
      <c r="S3" s="432"/>
      <c r="T3" s="436" t="s">
        <v>264</v>
      </c>
      <c r="U3" s="437"/>
      <c r="V3" s="437"/>
      <c r="W3" s="438"/>
    </row>
    <row r="4" spans="1:27" ht="15.75" customHeight="1" x14ac:dyDescent="0.3">
      <c r="A4" s="428"/>
      <c r="B4" s="439"/>
      <c r="C4" s="439"/>
      <c r="D4" s="439"/>
      <c r="E4" s="439"/>
      <c r="F4" s="439"/>
      <c r="G4" s="439"/>
      <c r="H4" s="439"/>
      <c r="I4" s="439"/>
      <c r="J4" s="439"/>
      <c r="K4" s="439"/>
      <c r="L4" s="439"/>
      <c r="M4" s="439"/>
      <c r="N4" s="439"/>
      <c r="O4" s="439"/>
      <c r="P4" s="439"/>
      <c r="Q4" s="439"/>
      <c r="R4" s="439"/>
      <c r="S4" s="440"/>
      <c r="T4" s="436" t="s">
        <v>263</v>
      </c>
      <c r="U4" s="437"/>
      <c r="V4" s="437"/>
      <c r="W4" s="438"/>
    </row>
    <row r="5" spans="1:27" ht="15.75" customHeight="1" x14ac:dyDescent="0.3">
      <c r="A5" s="428"/>
      <c r="B5" s="428"/>
      <c r="C5" s="428"/>
      <c r="D5" s="428"/>
      <c r="E5" s="428"/>
      <c r="F5" s="428"/>
      <c r="G5" s="428"/>
      <c r="H5" s="428"/>
      <c r="I5" s="428"/>
      <c r="J5" s="428"/>
      <c r="K5" s="428"/>
      <c r="L5" s="428"/>
      <c r="M5" s="428"/>
      <c r="N5" s="428"/>
      <c r="O5" s="428"/>
      <c r="P5" s="428"/>
      <c r="Q5" s="428"/>
      <c r="R5" s="428"/>
      <c r="S5" s="428"/>
      <c r="T5" s="441"/>
      <c r="U5" s="154"/>
      <c r="V5" s="154"/>
      <c r="W5" s="160"/>
    </row>
    <row r="6" spans="1:27" s="141" customFormat="1" ht="27" customHeight="1" x14ac:dyDescent="0.25">
      <c r="A6" s="442" t="str">
        <f>Contexto!A8</f>
        <v>PROCESO:  SECRETARIA DE HACIENDA PUBLICA MUNICIPAL</v>
      </c>
      <c r="B6" s="442"/>
      <c r="C6" s="442"/>
      <c r="D6" s="442"/>
      <c r="E6" s="442"/>
      <c r="F6" s="442"/>
      <c r="G6" s="442"/>
      <c r="H6" s="442"/>
      <c r="I6" s="442"/>
      <c r="J6" s="442"/>
      <c r="K6" s="442"/>
      <c r="L6" s="442"/>
      <c r="M6" s="442"/>
      <c r="N6" s="442"/>
      <c r="O6" s="442"/>
      <c r="P6" s="442"/>
      <c r="Q6" s="442"/>
      <c r="R6" s="442"/>
      <c r="S6" s="442"/>
      <c r="T6" s="442"/>
      <c r="W6" s="161"/>
    </row>
    <row r="7" spans="1:27" s="141" customFormat="1" ht="81" customHeight="1" thickBot="1" x14ac:dyDescent="0.3">
      <c r="A7" s="443"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7" s="443"/>
      <c r="C7" s="443"/>
      <c r="D7" s="443"/>
      <c r="E7" s="443"/>
      <c r="F7" s="443"/>
      <c r="G7" s="443"/>
      <c r="H7" s="443"/>
      <c r="I7" s="443"/>
      <c r="J7" s="443"/>
      <c r="K7" s="443"/>
      <c r="L7" s="443"/>
      <c r="M7" s="443"/>
      <c r="N7" s="443"/>
      <c r="O7" s="443"/>
      <c r="P7" s="443"/>
      <c r="Q7" s="443"/>
      <c r="R7" s="443"/>
      <c r="S7" s="443"/>
      <c r="T7" s="443"/>
      <c r="U7" s="162"/>
      <c r="V7" s="162"/>
      <c r="W7" s="163"/>
    </row>
    <row r="8" spans="1:27" s="141" customFormat="1" ht="26.25" customHeight="1" thickBot="1" x14ac:dyDescent="0.3">
      <c r="A8" s="164"/>
      <c r="B8" s="164"/>
      <c r="C8" s="164"/>
      <c r="D8" s="164"/>
      <c r="E8" s="164"/>
      <c r="F8" s="164"/>
      <c r="G8" s="164"/>
      <c r="H8" s="164"/>
      <c r="I8" s="164"/>
      <c r="J8" s="164"/>
      <c r="K8" s="164"/>
      <c r="L8" s="164"/>
      <c r="M8" s="164"/>
      <c r="N8" s="164"/>
      <c r="O8" s="164"/>
      <c r="P8" s="164"/>
      <c r="Q8" s="164"/>
      <c r="R8" s="164"/>
      <c r="S8" s="164"/>
      <c r="T8" s="165"/>
      <c r="X8" s="166"/>
    </row>
    <row r="9" spans="1:27" s="141" customFormat="1" ht="39.75" customHeight="1" thickBot="1" x14ac:dyDescent="0.3">
      <c r="A9" s="444"/>
      <c r="B9" s="444"/>
      <c r="C9" s="444" t="b">
        <v>0</v>
      </c>
      <c r="D9" s="444"/>
      <c r="E9" s="444"/>
      <c r="F9" s="444"/>
      <c r="G9" s="444"/>
      <c r="H9" s="444"/>
      <c r="I9" s="444"/>
      <c r="J9" s="444"/>
      <c r="K9" s="444"/>
      <c r="L9" s="444"/>
      <c r="M9" s="444"/>
      <c r="N9" s="444"/>
      <c r="O9" s="444"/>
      <c r="P9" s="444"/>
      <c r="Q9" s="444"/>
      <c r="R9" s="444"/>
      <c r="S9" s="444"/>
      <c r="T9" s="445"/>
    </row>
    <row r="10" spans="1:27" s="172" customFormat="1" ht="32.25" customHeight="1" thickBot="1" x14ac:dyDescent="0.35">
      <c r="A10" s="167" t="s">
        <v>226</v>
      </c>
      <c r="B10" s="168" t="s">
        <v>227</v>
      </c>
      <c r="C10" s="168" t="s">
        <v>228</v>
      </c>
      <c r="D10" s="168" t="s">
        <v>229</v>
      </c>
      <c r="E10" s="168" t="s">
        <v>230</v>
      </c>
      <c r="F10" s="168" t="s">
        <v>231</v>
      </c>
      <c r="G10" s="168" t="s">
        <v>232</v>
      </c>
      <c r="H10" s="168" t="s">
        <v>233</v>
      </c>
      <c r="I10" s="168" t="s">
        <v>234</v>
      </c>
      <c r="J10" s="168" t="s">
        <v>235</v>
      </c>
      <c r="K10" s="168" t="s">
        <v>236</v>
      </c>
      <c r="L10" s="168" t="s">
        <v>237</v>
      </c>
      <c r="M10" s="168" t="s">
        <v>238</v>
      </c>
      <c r="N10" s="168" t="s">
        <v>239</v>
      </c>
      <c r="O10" s="168" t="s">
        <v>240</v>
      </c>
      <c r="P10" s="168" t="s">
        <v>241</v>
      </c>
      <c r="Q10" s="168" t="s">
        <v>242</v>
      </c>
      <c r="R10" s="169" t="s">
        <v>243</v>
      </c>
      <c r="S10" s="170" t="s">
        <v>244</v>
      </c>
      <c r="T10" s="171" t="s">
        <v>245</v>
      </c>
      <c r="Y10" s="423" t="s">
        <v>332</v>
      </c>
      <c r="Z10" s="423"/>
      <c r="AA10" s="423"/>
    </row>
    <row r="11" spans="1:27" ht="39.75" customHeight="1" thickBot="1" x14ac:dyDescent="0.35">
      <c r="A11" s="173">
        <v>1</v>
      </c>
      <c r="B11" s="187" t="s">
        <v>309</v>
      </c>
      <c r="C11" s="174">
        <v>4</v>
      </c>
      <c r="D11" s="174">
        <v>4</v>
      </c>
      <c r="E11" s="174">
        <v>4</v>
      </c>
      <c r="F11" s="174">
        <v>3</v>
      </c>
      <c r="G11" s="174">
        <v>4</v>
      </c>
      <c r="H11" s="174"/>
      <c r="I11" s="174"/>
      <c r="J11" s="174"/>
      <c r="K11" s="174"/>
      <c r="L11" s="174"/>
      <c r="M11" s="174"/>
      <c r="N11" s="174"/>
      <c r="O11" s="174"/>
      <c r="P11" s="174"/>
      <c r="Q11" s="174"/>
      <c r="R11" s="173">
        <f>SUM(C11:Q11)</f>
        <v>19</v>
      </c>
      <c r="S11" s="175">
        <f>IF(ISERROR(AVERAGE(C11:Q11)),0,AVERAGE(C11:Q11))</f>
        <v>3.8</v>
      </c>
      <c r="T11" s="176"/>
      <c r="Y11" s="184" t="s">
        <v>333</v>
      </c>
      <c r="Z11" s="185" t="s">
        <v>334</v>
      </c>
      <c r="AA11" s="186" t="s">
        <v>335</v>
      </c>
    </row>
    <row r="12" spans="1:27" ht="45.75" customHeight="1" thickBot="1" x14ac:dyDescent="0.35">
      <c r="A12" s="173">
        <v>2</v>
      </c>
      <c r="B12" s="188" t="s">
        <v>310</v>
      </c>
      <c r="C12" s="174">
        <v>3</v>
      </c>
      <c r="D12" s="174">
        <v>4</v>
      </c>
      <c r="E12" s="174">
        <v>5</v>
      </c>
      <c r="F12" s="174">
        <v>4</v>
      </c>
      <c r="G12" s="174">
        <v>3</v>
      </c>
      <c r="H12" s="174"/>
      <c r="I12" s="174"/>
      <c r="J12" s="174"/>
      <c r="K12" s="174"/>
      <c r="L12" s="174"/>
      <c r="M12" s="174"/>
      <c r="N12" s="174"/>
      <c r="O12" s="174"/>
      <c r="P12" s="174"/>
      <c r="Q12" s="174"/>
      <c r="R12" s="173">
        <f t="shared" ref="R12:R42" si="0">SUM(C12:Q12)</f>
        <v>19</v>
      </c>
      <c r="S12" s="175">
        <f t="shared" ref="S12:S41" si="1">IF(ISERROR(AVERAGE(C12:Q12)),0,AVERAGE(C12:Q12))</f>
        <v>3.8</v>
      </c>
      <c r="T12" s="176"/>
    </row>
    <row r="13" spans="1:27" ht="65.25" customHeight="1" thickBot="1" x14ac:dyDescent="0.35">
      <c r="A13" s="173">
        <v>3</v>
      </c>
      <c r="B13" s="188" t="s">
        <v>311</v>
      </c>
      <c r="C13" s="174">
        <v>4</v>
      </c>
      <c r="D13" s="174">
        <v>4</v>
      </c>
      <c r="E13" s="174">
        <v>3</v>
      </c>
      <c r="F13" s="174">
        <v>3</v>
      </c>
      <c r="G13" s="174">
        <v>4</v>
      </c>
      <c r="H13" s="174"/>
      <c r="I13" s="174"/>
      <c r="J13" s="174"/>
      <c r="K13" s="174"/>
      <c r="L13" s="174"/>
      <c r="M13" s="174"/>
      <c r="N13" s="174"/>
      <c r="O13" s="174"/>
      <c r="P13" s="174"/>
      <c r="Q13" s="174"/>
      <c r="R13" s="173">
        <f t="shared" si="0"/>
        <v>18</v>
      </c>
      <c r="S13" s="175">
        <f t="shared" si="1"/>
        <v>3.6</v>
      </c>
      <c r="T13" s="176"/>
    </row>
    <row r="14" spans="1:27" ht="39.75" customHeight="1" thickBot="1" x14ac:dyDescent="0.35">
      <c r="A14" s="173">
        <v>4</v>
      </c>
      <c r="B14" s="189" t="s">
        <v>312</v>
      </c>
      <c r="C14" s="174">
        <v>3</v>
      </c>
      <c r="D14" s="174">
        <v>4</v>
      </c>
      <c r="E14" s="174">
        <v>4</v>
      </c>
      <c r="F14" s="174">
        <v>5</v>
      </c>
      <c r="G14" s="174">
        <v>3</v>
      </c>
      <c r="H14" s="174"/>
      <c r="I14" s="174"/>
      <c r="J14" s="174"/>
      <c r="K14" s="174"/>
      <c r="L14" s="174"/>
      <c r="M14" s="174"/>
      <c r="N14" s="174"/>
      <c r="O14" s="174"/>
      <c r="P14" s="174"/>
      <c r="Q14" s="174"/>
      <c r="R14" s="173">
        <f t="shared" si="0"/>
        <v>19</v>
      </c>
      <c r="S14" s="175">
        <f t="shared" si="1"/>
        <v>3.8</v>
      </c>
      <c r="T14" s="176"/>
    </row>
    <row r="15" spans="1:27" ht="39.75" customHeight="1" thickBot="1" x14ac:dyDescent="0.35">
      <c r="A15" s="173">
        <v>5</v>
      </c>
      <c r="B15" s="188" t="s">
        <v>313</v>
      </c>
      <c r="C15" s="174">
        <v>4</v>
      </c>
      <c r="D15" s="174">
        <v>2</v>
      </c>
      <c r="E15" s="174">
        <v>5</v>
      </c>
      <c r="F15" s="174">
        <v>3</v>
      </c>
      <c r="G15" s="174">
        <v>3</v>
      </c>
      <c r="H15" s="174"/>
      <c r="I15" s="174"/>
      <c r="J15" s="174"/>
      <c r="K15" s="174"/>
      <c r="L15" s="174"/>
      <c r="M15" s="174"/>
      <c r="N15" s="174"/>
      <c r="O15" s="174"/>
      <c r="P15" s="174"/>
      <c r="Q15" s="174"/>
      <c r="R15" s="173">
        <f t="shared" si="0"/>
        <v>17</v>
      </c>
      <c r="S15" s="175">
        <f t="shared" si="1"/>
        <v>3.4</v>
      </c>
      <c r="T15" s="176"/>
    </row>
    <row r="16" spans="1:27" ht="39.75" customHeight="1" thickBot="1" x14ac:dyDescent="0.35">
      <c r="A16" s="173">
        <v>6</v>
      </c>
      <c r="B16" s="188" t="s">
        <v>348</v>
      </c>
      <c r="C16" s="174">
        <v>4</v>
      </c>
      <c r="D16" s="174">
        <v>4</v>
      </c>
      <c r="E16" s="174">
        <v>4</v>
      </c>
      <c r="F16" s="174">
        <v>4</v>
      </c>
      <c r="G16" s="174">
        <v>3</v>
      </c>
      <c r="H16" s="174"/>
      <c r="I16" s="174"/>
      <c r="J16" s="174"/>
      <c r="K16" s="174"/>
      <c r="L16" s="174"/>
      <c r="M16" s="174"/>
      <c r="N16" s="174"/>
      <c r="O16" s="174"/>
      <c r="P16" s="174"/>
      <c r="Q16" s="174"/>
      <c r="R16" s="173">
        <f t="shared" si="0"/>
        <v>19</v>
      </c>
      <c r="S16" s="175">
        <f t="shared" si="1"/>
        <v>3.8</v>
      </c>
      <c r="T16" s="176"/>
    </row>
    <row r="17" spans="1:20" ht="39.75" customHeight="1" thickBot="1" x14ac:dyDescent="0.35">
      <c r="A17" s="173">
        <v>7</v>
      </c>
      <c r="B17" s="188" t="s">
        <v>314</v>
      </c>
      <c r="C17" s="174">
        <v>4</v>
      </c>
      <c r="D17" s="174">
        <v>4</v>
      </c>
      <c r="E17" s="174">
        <v>4</v>
      </c>
      <c r="F17" s="174">
        <v>4</v>
      </c>
      <c r="G17" s="174">
        <v>3</v>
      </c>
      <c r="H17" s="174"/>
      <c r="I17" s="174"/>
      <c r="J17" s="174"/>
      <c r="K17" s="174"/>
      <c r="L17" s="174"/>
      <c r="M17" s="174"/>
      <c r="N17" s="174"/>
      <c r="O17" s="174"/>
      <c r="P17" s="174"/>
      <c r="Q17" s="174"/>
      <c r="R17" s="173">
        <f t="shared" si="0"/>
        <v>19</v>
      </c>
      <c r="S17" s="175">
        <f t="shared" si="1"/>
        <v>3.8</v>
      </c>
      <c r="T17" s="176"/>
    </row>
    <row r="18" spans="1:20" ht="46.5" customHeight="1" thickBot="1" x14ac:dyDescent="0.35">
      <c r="A18" s="173">
        <v>8</v>
      </c>
      <c r="B18" s="188" t="s">
        <v>315</v>
      </c>
      <c r="C18" s="174">
        <v>3</v>
      </c>
      <c r="D18" s="174">
        <v>4</v>
      </c>
      <c r="E18" s="174">
        <v>4</v>
      </c>
      <c r="F18" s="174">
        <v>4</v>
      </c>
      <c r="G18" s="174">
        <v>4</v>
      </c>
      <c r="H18" s="174"/>
      <c r="I18" s="174"/>
      <c r="J18" s="174"/>
      <c r="K18" s="174"/>
      <c r="L18" s="174"/>
      <c r="M18" s="174"/>
      <c r="N18" s="174"/>
      <c r="O18" s="174"/>
      <c r="P18" s="174"/>
      <c r="Q18" s="174"/>
      <c r="R18" s="173">
        <f t="shared" si="0"/>
        <v>19</v>
      </c>
      <c r="S18" s="175">
        <f t="shared" si="1"/>
        <v>3.8</v>
      </c>
      <c r="T18" s="176"/>
    </row>
    <row r="19" spans="1:20" ht="47.25" customHeight="1" thickBot="1" x14ac:dyDescent="0.35">
      <c r="A19" s="173">
        <v>9</v>
      </c>
      <c r="B19" s="191" t="s">
        <v>344</v>
      </c>
      <c r="C19" s="174">
        <v>4</v>
      </c>
      <c r="D19" s="174">
        <v>5</v>
      </c>
      <c r="E19" s="174">
        <v>5</v>
      </c>
      <c r="F19" s="174">
        <v>5</v>
      </c>
      <c r="G19" s="174">
        <v>5</v>
      </c>
      <c r="H19" s="174"/>
      <c r="I19" s="174"/>
      <c r="J19" s="174"/>
      <c r="K19" s="174"/>
      <c r="L19" s="174"/>
      <c r="M19" s="174"/>
      <c r="N19" s="174"/>
      <c r="O19" s="174"/>
      <c r="P19" s="174"/>
      <c r="Q19" s="174"/>
      <c r="R19" s="173">
        <f t="shared" si="0"/>
        <v>24</v>
      </c>
      <c r="S19" s="363">
        <f t="shared" si="1"/>
        <v>4.8</v>
      </c>
      <c r="T19" s="176"/>
    </row>
    <row r="20" spans="1:20" ht="39.75" customHeight="1" thickBot="1" x14ac:dyDescent="0.35">
      <c r="A20" s="173">
        <v>10</v>
      </c>
      <c r="B20" s="362" t="s">
        <v>431</v>
      </c>
      <c r="C20" s="174">
        <v>5</v>
      </c>
      <c r="D20" s="174">
        <v>5</v>
      </c>
      <c r="E20" s="174">
        <v>5</v>
      </c>
      <c r="F20" s="174">
        <v>5</v>
      </c>
      <c r="G20" s="174">
        <v>5</v>
      </c>
      <c r="H20" s="174"/>
      <c r="I20" s="174"/>
      <c r="J20" s="174"/>
      <c r="K20" s="174"/>
      <c r="L20" s="174"/>
      <c r="M20" s="174"/>
      <c r="N20" s="174"/>
      <c r="O20" s="174"/>
      <c r="P20" s="174"/>
      <c r="Q20" s="174"/>
      <c r="R20" s="173">
        <f t="shared" si="0"/>
        <v>25</v>
      </c>
      <c r="S20" s="363">
        <f t="shared" si="1"/>
        <v>5</v>
      </c>
      <c r="T20" s="176"/>
    </row>
    <row r="21" spans="1:20" ht="39.75" customHeight="1" thickBot="1" x14ac:dyDescent="0.35">
      <c r="A21" s="173">
        <v>11</v>
      </c>
      <c r="B21" s="192" t="s">
        <v>316</v>
      </c>
      <c r="C21" s="174">
        <v>4</v>
      </c>
      <c r="D21" s="174">
        <v>4</v>
      </c>
      <c r="E21" s="174">
        <v>4</v>
      </c>
      <c r="F21" s="174">
        <v>4</v>
      </c>
      <c r="G21" s="174">
        <v>3</v>
      </c>
      <c r="H21" s="174"/>
      <c r="I21" s="174"/>
      <c r="J21" s="174"/>
      <c r="K21" s="174"/>
      <c r="L21" s="174"/>
      <c r="M21" s="174"/>
      <c r="N21" s="174"/>
      <c r="O21" s="174"/>
      <c r="P21" s="174"/>
      <c r="Q21" s="174"/>
      <c r="R21" s="173">
        <f t="shared" si="0"/>
        <v>19</v>
      </c>
      <c r="S21" s="175">
        <f t="shared" si="1"/>
        <v>3.8</v>
      </c>
      <c r="T21" s="176"/>
    </row>
    <row r="22" spans="1:20" ht="45.75" customHeight="1" thickBot="1" x14ac:dyDescent="0.35">
      <c r="A22" s="173">
        <v>12</v>
      </c>
      <c r="B22" s="192" t="s">
        <v>317</v>
      </c>
      <c r="C22" s="174">
        <v>3</v>
      </c>
      <c r="D22" s="174">
        <v>4</v>
      </c>
      <c r="E22" s="174">
        <v>5</v>
      </c>
      <c r="F22" s="174">
        <v>4</v>
      </c>
      <c r="G22" s="174">
        <v>3</v>
      </c>
      <c r="H22" s="174"/>
      <c r="I22" s="174"/>
      <c r="J22" s="174"/>
      <c r="K22" s="174"/>
      <c r="L22" s="174"/>
      <c r="M22" s="174"/>
      <c r="N22" s="174"/>
      <c r="O22" s="174"/>
      <c r="P22" s="174"/>
      <c r="Q22" s="174"/>
      <c r="R22" s="173">
        <f t="shared" si="0"/>
        <v>19</v>
      </c>
      <c r="S22" s="175">
        <f t="shared" si="1"/>
        <v>3.8</v>
      </c>
      <c r="T22" s="176"/>
    </row>
    <row r="23" spans="1:20" ht="49.5" customHeight="1" thickBot="1" x14ac:dyDescent="0.35">
      <c r="A23" s="173">
        <v>13</v>
      </c>
      <c r="B23" s="192" t="s">
        <v>318</v>
      </c>
      <c r="C23" s="174">
        <v>4</v>
      </c>
      <c r="D23" s="174">
        <v>4</v>
      </c>
      <c r="E23" s="174">
        <v>4</v>
      </c>
      <c r="F23" s="174">
        <v>4</v>
      </c>
      <c r="G23" s="174">
        <v>3</v>
      </c>
      <c r="H23" s="174"/>
      <c r="I23" s="174"/>
      <c r="J23" s="174"/>
      <c r="K23" s="174"/>
      <c r="L23" s="174"/>
      <c r="M23" s="174"/>
      <c r="N23" s="174"/>
      <c r="O23" s="174"/>
      <c r="P23" s="174"/>
      <c r="Q23" s="174"/>
      <c r="R23" s="173">
        <f t="shared" si="0"/>
        <v>19</v>
      </c>
      <c r="S23" s="175">
        <f t="shared" si="1"/>
        <v>3.8</v>
      </c>
      <c r="T23" s="176"/>
    </row>
    <row r="24" spans="1:20" ht="39.75" customHeight="1" thickBot="1" x14ac:dyDescent="0.35">
      <c r="A24" s="173">
        <v>14</v>
      </c>
      <c r="B24" s="192" t="s">
        <v>319</v>
      </c>
      <c r="C24" s="174">
        <v>4</v>
      </c>
      <c r="D24" s="174">
        <v>4</v>
      </c>
      <c r="E24" s="174">
        <v>4</v>
      </c>
      <c r="F24" s="174">
        <v>4</v>
      </c>
      <c r="G24" s="174">
        <v>3</v>
      </c>
      <c r="H24" s="174"/>
      <c r="I24" s="174"/>
      <c r="J24" s="174"/>
      <c r="K24" s="174"/>
      <c r="L24" s="174"/>
      <c r="M24" s="174"/>
      <c r="N24" s="174"/>
      <c r="O24" s="174"/>
      <c r="P24" s="174"/>
      <c r="Q24" s="174"/>
      <c r="R24" s="173">
        <f t="shared" si="0"/>
        <v>19</v>
      </c>
      <c r="S24" s="175">
        <f t="shared" si="1"/>
        <v>3.8</v>
      </c>
      <c r="T24" s="176"/>
    </row>
    <row r="25" spans="1:20" ht="39.75" customHeight="1" thickBot="1" x14ac:dyDescent="0.35">
      <c r="A25" s="173">
        <v>15</v>
      </c>
      <c r="B25" s="192" t="s">
        <v>320</v>
      </c>
      <c r="C25" s="174">
        <v>3</v>
      </c>
      <c r="D25" s="174">
        <v>3</v>
      </c>
      <c r="E25" s="174">
        <v>5</v>
      </c>
      <c r="F25" s="174">
        <v>2</v>
      </c>
      <c r="G25" s="174">
        <v>4</v>
      </c>
      <c r="H25" s="174"/>
      <c r="I25" s="174"/>
      <c r="J25" s="174"/>
      <c r="K25" s="174"/>
      <c r="L25" s="174"/>
      <c r="M25" s="174"/>
      <c r="N25" s="174"/>
      <c r="O25" s="174"/>
      <c r="P25" s="174"/>
      <c r="Q25" s="174"/>
      <c r="R25" s="173">
        <f t="shared" si="0"/>
        <v>17</v>
      </c>
      <c r="S25" s="175">
        <f t="shared" si="1"/>
        <v>3.4</v>
      </c>
      <c r="T25" s="176"/>
    </row>
    <row r="26" spans="1:20" ht="48.75" customHeight="1" thickBot="1" x14ac:dyDescent="0.35">
      <c r="A26" s="173">
        <v>16</v>
      </c>
      <c r="B26" s="192" t="s">
        <v>321</v>
      </c>
      <c r="C26" s="174">
        <v>4</v>
      </c>
      <c r="D26" s="174">
        <v>5</v>
      </c>
      <c r="E26" s="174">
        <v>3</v>
      </c>
      <c r="F26" s="174">
        <v>4</v>
      </c>
      <c r="G26" s="174">
        <v>3</v>
      </c>
      <c r="H26" s="174"/>
      <c r="I26" s="174"/>
      <c r="J26" s="174"/>
      <c r="K26" s="174"/>
      <c r="L26" s="174"/>
      <c r="M26" s="174"/>
      <c r="N26" s="174"/>
      <c r="O26" s="174"/>
      <c r="P26" s="174"/>
      <c r="Q26" s="174"/>
      <c r="R26" s="173">
        <f t="shared" si="0"/>
        <v>19</v>
      </c>
      <c r="S26" s="175">
        <f t="shared" si="1"/>
        <v>3.8</v>
      </c>
      <c r="T26" s="176"/>
    </row>
    <row r="27" spans="1:20" ht="39.75" customHeight="1" thickBot="1" x14ac:dyDescent="0.35">
      <c r="A27" s="173">
        <v>17</v>
      </c>
      <c r="B27" s="193" t="s">
        <v>322</v>
      </c>
      <c r="C27" s="174">
        <v>4</v>
      </c>
      <c r="D27" s="174">
        <v>4</v>
      </c>
      <c r="E27" s="174">
        <v>4</v>
      </c>
      <c r="F27" s="174">
        <v>3</v>
      </c>
      <c r="G27" s="174">
        <v>4</v>
      </c>
      <c r="H27" s="174"/>
      <c r="I27" s="174"/>
      <c r="J27" s="174"/>
      <c r="K27" s="174"/>
      <c r="L27" s="174"/>
      <c r="M27" s="174"/>
      <c r="N27" s="174"/>
      <c r="O27" s="174"/>
      <c r="P27" s="174"/>
      <c r="Q27" s="174"/>
      <c r="R27" s="173">
        <f t="shared" si="0"/>
        <v>19</v>
      </c>
      <c r="S27" s="175">
        <f t="shared" si="1"/>
        <v>3.8</v>
      </c>
      <c r="T27" s="176"/>
    </row>
    <row r="28" spans="1:20" ht="39.75" customHeight="1" thickBot="1" x14ac:dyDescent="0.35">
      <c r="A28" s="173">
        <v>18</v>
      </c>
      <c r="B28" s="193" t="s">
        <v>323</v>
      </c>
      <c r="C28" s="174">
        <v>4</v>
      </c>
      <c r="D28" s="174">
        <v>4</v>
      </c>
      <c r="E28" s="174">
        <v>4</v>
      </c>
      <c r="F28" s="174">
        <v>4</v>
      </c>
      <c r="G28" s="174">
        <v>3</v>
      </c>
      <c r="H28" s="174"/>
      <c r="I28" s="174"/>
      <c r="J28" s="174"/>
      <c r="K28" s="174"/>
      <c r="L28" s="174"/>
      <c r="M28" s="174"/>
      <c r="N28" s="174"/>
      <c r="O28" s="174"/>
      <c r="P28" s="174"/>
      <c r="Q28" s="174"/>
      <c r="R28" s="173">
        <f t="shared" si="0"/>
        <v>19</v>
      </c>
      <c r="S28" s="175">
        <f t="shared" si="1"/>
        <v>3.8</v>
      </c>
      <c r="T28" s="176"/>
    </row>
    <row r="29" spans="1:20" ht="48" customHeight="1" thickBot="1" x14ac:dyDescent="0.35">
      <c r="A29" s="173">
        <v>19</v>
      </c>
      <c r="B29" s="193" t="s">
        <v>324</v>
      </c>
      <c r="C29" s="174">
        <v>4</v>
      </c>
      <c r="D29" s="174">
        <v>4</v>
      </c>
      <c r="E29" s="174">
        <v>4</v>
      </c>
      <c r="F29" s="174">
        <v>4</v>
      </c>
      <c r="G29" s="174">
        <v>3</v>
      </c>
      <c r="H29" s="174"/>
      <c r="I29" s="174"/>
      <c r="J29" s="174"/>
      <c r="K29" s="174"/>
      <c r="L29" s="174"/>
      <c r="M29" s="174"/>
      <c r="N29" s="174"/>
      <c r="O29" s="174"/>
      <c r="P29" s="174"/>
      <c r="Q29" s="174"/>
      <c r="R29" s="173">
        <f t="shared" si="0"/>
        <v>19</v>
      </c>
      <c r="S29" s="175">
        <f t="shared" si="1"/>
        <v>3.8</v>
      </c>
      <c r="T29" s="176"/>
    </row>
    <row r="30" spans="1:20" ht="39.75" customHeight="1" thickBot="1" x14ac:dyDescent="0.35">
      <c r="A30" s="173">
        <v>20</v>
      </c>
      <c r="B30" s="193" t="s">
        <v>325</v>
      </c>
      <c r="C30" s="174">
        <v>4</v>
      </c>
      <c r="D30" s="174">
        <v>4</v>
      </c>
      <c r="E30" s="174">
        <v>4</v>
      </c>
      <c r="F30" s="174">
        <v>4</v>
      </c>
      <c r="G30" s="174">
        <v>3</v>
      </c>
      <c r="H30" s="174"/>
      <c r="I30" s="174"/>
      <c r="J30" s="174"/>
      <c r="K30" s="174"/>
      <c r="L30" s="174"/>
      <c r="M30" s="174"/>
      <c r="N30" s="174"/>
      <c r="O30" s="174"/>
      <c r="P30" s="174"/>
      <c r="Q30" s="174"/>
      <c r="R30" s="173">
        <f t="shared" si="0"/>
        <v>19</v>
      </c>
      <c r="S30" s="175">
        <f t="shared" si="1"/>
        <v>3.8</v>
      </c>
      <c r="T30" s="176"/>
    </row>
    <row r="31" spans="1:20" ht="49.5" customHeight="1" thickBot="1" x14ac:dyDescent="0.35">
      <c r="A31" s="173">
        <v>21</v>
      </c>
      <c r="B31" s="193" t="s">
        <v>326</v>
      </c>
      <c r="C31" s="174">
        <v>4</v>
      </c>
      <c r="D31" s="174">
        <v>4</v>
      </c>
      <c r="E31" s="174">
        <v>4</v>
      </c>
      <c r="F31" s="174">
        <v>4</v>
      </c>
      <c r="G31" s="174">
        <v>3</v>
      </c>
      <c r="H31" s="174"/>
      <c r="I31" s="174"/>
      <c r="J31" s="174"/>
      <c r="K31" s="174"/>
      <c r="L31" s="174"/>
      <c r="M31" s="174"/>
      <c r="N31" s="174"/>
      <c r="O31" s="174"/>
      <c r="P31" s="174"/>
      <c r="Q31" s="174"/>
      <c r="R31" s="173">
        <f t="shared" si="0"/>
        <v>19</v>
      </c>
      <c r="S31" s="175">
        <f t="shared" si="1"/>
        <v>3.8</v>
      </c>
      <c r="T31" s="176"/>
    </row>
    <row r="32" spans="1:20" ht="65.55" customHeight="1" thickBot="1" x14ac:dyDescent="0.35">
      <c r="A32" s="173">
        <v>22</v>
      </c>
      <c r="B32" s="193" t="s">
        <v>327</v>
      </c>
      <c r="C32" s="174">
        <v>4</v>
      </c>
      <c r="D32" s="174">
        <v>3</v>
      </c>
      <c r="E32" s="174">
        <v>3</v>
      </c>
      <c r="F32" s="174">
        <v>3</v>
      </c>
      <c r="G32" s="174">
        <v>4</v>
      </c>
      <c r="H32" s="174"/>
      <c r="I32" s="174"/>
      <c r="J32" s="174"/>
      <c r="K32" s="174"/>
      <c r="L32" s="174"/>
      <c r="M32" s="174"/>
      <c r="N32" s="174"/>
      <c r="O32" s="174"/>
      <c r="P32" s="174"/>
      <c r="Q32" s="174"/>
      <c r="R32" s="173">
        <f t="shared" si="0"/>
        <v>17</v>
      </c>
      <c r="S32" s="175">
        <f t="shared" si="1"/>
        <v>3.4</v>
      </c>
      <c r="T32" s="176"/>
    </row>
    <row r="33" spans="1:20" ht="67.5" customHeight="1" thickBot="1" x14ac:dyDescent="0.35">
      <c r="A33" s="173">
        <v>23</v>
      </c>
      <c r="B33" s="194" t="s">
        <v>355</v>
      </c>
      <c r="C33" s="174">
        <v>4</v>
      </c>
      <c r="D33" s="174">
        <v>3</v>
      </c>
      <c r="E33" s="174">
        <v>4</v>
      </c>
      <c r="F33" s="174">
        <v>4</v>
      </c>
      <c r="G33" s="174">
        <v>4</v>
      </c>
      <c r="H33" s="174"/>
      <c r="I33" s="174"/>
      <c r="J33" s="174"/>
      <c r="K33" s="174"/>
      <c r="L33" s="174"/>
      <c r="M33" s="174"/>
      <c r="N33" s="174"/>
      <c r="O33" s="174"/>
      <c r="P33" s="174"/>
      <c r="Q33" s="174"/>
      <c r="R33" s="173">
        <f t="shared" si="0"/>
        <v>19</v>
      </c>
      <c r="S33" s="175">
        <f t="shared" si="1"/>
        <v>3.8</v>
      </c>
      <c r="T33" s="176"/>
    </row>
    <row r="34" spans="1:20" ht="48" customHeight="1" thickBot="1" x14ac:dyDescent="0.35">
      <c r="A34" s="173">
        <v>24</v>
      </c>
      <c r="B34" s="361" t="s">
        <v>398</v>
      </c>
      <c r="C34" s="174">
        <v>4</v>
      </c>
      <c r="D34" s="174">
        <v>5</v>
      </c>
      <c r="E34" s="174">
        <v>5</v>
      </c>
      <c r="F34" s="174">
        <v>5</v>
      </c>
      <c r="G34" s="174">
        <v>5</v>
      </c>
      <c r="H34" s="174"/>
      <c r="I34" s="174"/>
      <c r="J34" s="174"/>
      <c r="K34" s="174"/>
      <c r="L34" s="174"/>
      <c r="M34" s="174"/>
      <c r="N34" s="174"/>
      <c r="O34" s="174"/>
      <c r="P34" s="174"/>
      <c r="Q34" s="174"/>
      <c r="R34" s="173">
        <f>SUM(C34:Q34)</f>
        <v>24</v>
      </c>
      <c r="S34" s="363">
        <f>IF(ISERROR(AVERAGE(C34:Q34)),0,AVERAGE(C34:Q34))</f>
        <v>4.8</v>
      </c>
      <c r="T34" s="176"/>
    </row>
    <row r="35" spans="1:20" ht="79.05" customHeight="1" thickBot="1" x14ac:dyDescent="0.35">
      <c r="A35" s="173">
        <v>25</v>
      </c>
      <c r="B35" s="198" t="s">
        <v>337</v>
      </c>
      <c r="C35" s="174">
        <v>4</v>
      </c>
      <c r="D35" s="174">
        <v>5</v>
      </c>
      <c r="E35" s="174">
        <v>5</v>
      </c>
      <c r="F35" s="174">
        <v>5</v>
      </c>
      <c r="G35" s="174">
        <v>5</v>
      </c>
      <c r="H35" s="174"/>
      <c r="I35" s="174"/>
      <c r="J35" s="174"/>
      <c r="K35" s="174"/>
      <c r="L35" s="174"/>
      <c r="M35" s="174"/>
      <c r="N35" s="174"/>
      <c r="O35" s="174"/>
      <c r="P35" s="174"/>
      <c r="Q35" s="174"/>
      <c r="R35" s="173">
        <f t="shared" si="0"/>
        <v>24</v>
      </c>
      <c r="S35" s="363">
        <f t="shared" si="1"/>
        <v>4.8</v>
      </c>
      <c r="T35" s="176"/>
    </row>
    <row r="36" spans="1:20" ht="81.45" customHeight="1" thickBot="1" x14ac:dyDescent="0.35">
      <c r="A36" s="173">
        <v>26</v>
      </c>
      <c r="B36" s="199" t="s">
        <v>340</v>
      </c>
      <c r="C36" s="174">
        <v>4</v>
      </c>
      <c r="D36" s="174">
        <v>5</v>
      </c>
      <c r="E36" s="174">
        <v>5</v>
      </c>
      <c r="F36" s="174">
        <v>5</v>
      </c>
      <c r="G36" s="174">
        <v>5</v>
      </c>
      <c r="H36" s="174"/>
      <c r="I36" s="174"/>
      <c r="J36" s="174"/>
      <c r="K36" s="174"/>
      <c r="L36" s="174"/>
      <c r="M36" s="174"/>
      <c r="N36" s="174"/>
      <c r="O36" s="174"/>
      <c r="P36" s="174"/>
      <c r="Q36" s="174"/>
      <c r="R36" s="173">
        <f t="shared" si="0"/>
        <v>24</v>
      </c>
      <c r="S36" s="363">
        <f t="shared" si="1"/>
        <v>4.8</v>
      </c>
      <c r="T36" s="176"/>
    </row>
    <row r="37" spans="1:20" ht="86.55" customHeight="1" thickBot="1" x14ac:dyDescent="0.35">
      <c r="A37" s="173">
        <v>27</v>
      </c>
      <c r="B37" s="199" t="s">
        <v>342</v>
      </c>
      <c r="C37" s="174">
        <v>4</v>
      </c>
      <c r="D37" s="174">
        <v>5</v>
      </c>
      <c r="E37" s="174">
        <v>5</v>
      </c>
      <c r="F37" s="174">
        <v>5</v>
      </c>
      <c r="G37" s="174">
        <v>5</v>
      </c>
      <c r="H37" s="174"/>
      <c r="I37" s="174"/>
      <c r="J37" s="174"/>
      <c r="K37" s="174"/>
      <c r="L37" s="174"/>
      <c r="M37" s="174"/>
      <c r="N37" s="174"/>
      <c r="O37" s="174"/>
      <c r="P37" s="174"/>
      <c r="Q37" s="174"/>
      <c r="R37" s="173">
        <f>SUM(C37:Q37)</f>
        <v>24</v>
      </c>
      <c r="S37" s="363">
        <f t="shared" si="1"/>
        <v>4.8</v>
      </c>
      <c r="T37" s="176"/>
    </row>
    <row r="38" spans="1:20" ht="86.55" customHeight="1" thickBot="1" x14ac:dyDescent="0.35">
      <c r="A38" s="173">
        <v>28</v>
      </c>
      <c r="B38" s="199" t="s">
        <v>430</v>
      </c>
      <c r="C38" s="174">
        <v>4</v>
      </c>
      <c r="D38" s="174">
        <v>5</v>
      </c>
      <c r="E38" s="174">
        <v>5</v>
      </c>
      <c r="F38" s="174">
        <v>5</v>
      </c>
      <c r="G38" s="174">
        <v>5</v>
      </c>
      <c r="H38" s="174"/>
      <c r="I38" s="174"/>
      <c r="J38" s="174"/>
      <c r="K38" s="174"/>
      <c r="L38" s="174"/>
      <c r="M38" s="174"/>
      <c r="N38" s="174"/>
      <c r="O38" s="174"/>
      <c r="P38" s="174"/>
      <c r="Q38" s="174"/>
      <c r="R38" s="173">
        <f>SUM(C38:Q38)</f>
        <v>24</v>
      </c>
      <c r="S38" s="363">
        <f t="shared" ref="S38" si="2">IF(ISERROR(AVERAGE(C38:Q38)),0,AVERAGE(C38:Q38))</f>
        <v>4.8</v>
      </c>
      <c r="T38" s="176"/>
    </row>
    <row r="39" spans="1:20" ht="42" customHeight="1" thickBot="1" x14ac:dyDescent="0.35">
      <c r="A39" s="173">
        <v>29</v>
      </c>
      <c r="B39" s="195" t="s">
        <v>328</v>
      </c>
      <c r="C39" s="174">
        <v>3</v>
      </c>
      <c r="D39" s="174">
        <v>5</v>
      </c>
      <c r="E39" s="174">
        <v>3</v>
      </c>
      <c r="F39" s="174">
        <v>2</v>
      </c>
      <c r="G39" s="174">
        <v>4</v>
      </c>
      <c r="H39" s="174"/>
      <c r="I39" s="174"/>
      <c r="J39" s="174"/>
      <c r="K39" s="174"/>
      <c r="L39" s="174"/>
      <c r="M39" s="174"/>
      <c r="N39" s="174"/>
      <c r="O39" s="174"/>
      <c r="P39" s="174"/>
      <c r="Q39" s="174"/>
      <c r="R39" s="173">
        <f t="shared" si="0"/>
        <v>17</v>
      </c>
      <c r="S39" s="175">
        <f t="shared" si="1"/>
        <v>3.4</v>
      </c>
      <c r="T39" s="176"/>
    </row>
    <row r="40" spans="1:20" ht="42.75" customHeight="1" thickBot="1" x14ac:dyDescent="0.35">
      <c r="A40" s="173">
        <v>30</v>
      </c>
      <c r="B40" s="195" t="s">
        <v>329</v>
      </c>
      <c r="C40" s="174">
        <v>3</v>
      </c>
      <c r="D40" s="174">
        <v>5</v>
      </c>
      <c r="E40" s="174">
        <v>3</v>
      </c>
      <c r="F40" s="174">
        <v>2</v>
      </c>
      <c r="G40" s="174">
        <v>4</v>
      </c>
      <c r="H40" s="174"/>
      <c r="I40" s="174"/>
      <c r="J40" s="174"/>
      <c r="K40" s="174"/>
      <c r="L40" s="174"/>
      <c r="M40" s="174"/>
      <c r="N40" s="174"/>
      <c r="O40" s="174"/>
      <c r="P40" s="174"/>
      <c r="Q40" s="174"/>
      <c r="R40" s="173">
        <f t="shared" si="0"/>
        <v>17</v>
      </c>
      <c r="S40" s="175">
        <f t="shared" si="1"/>
        <v>3.4</v>
      </c>
      <c r="T40" s="176"/>
    </row>
    <row r="41" spans="1:20" ht="47.25" customHeight="1" thickBot="1" x14ac:dyDescent="0.35">
      <c r="A41" s="173">
        <v>31</v>
      </c>
      <c r="B41" s="195" t="s">
        <v>330</v>
      </c>
      <c r="C41" s="174">
        <v>3</v>
      </c>
      <c r="D41" s="174">
        <v>5</v>
      </c>
      <c r="E41" s="174">
        <v>3</v>
      </c>
      <c r="F41" s="174">
        <v>2</v>
      </c>
      <c r="G41" s="174">
        <v>4</v>
      </c>
      <c r="H41" s="174"/>
      <c r="I41" s="174"/>
      <c r="J41" s="174"/>
      <c r="K41" s="174"/>
      <c r="L41" s="174"/>
      <c r="M41" s="174"/>
      <c r="N41" s="174"/>
      <c r="O41" s="174"/>
      <c r="P41" s="174"/>
      <c r="Q41" s="174"/>
      <c r="R41" s="173">
        <f t="shared" si="0"/>
        <v>17</v>
      </c>
      <c r="S41" s="175">
        <f t="shared" si="1"/>
        <v>3.4</v>
      </c>
      <c r="T41" s="176"/>
    </row>
    <row r="42" spans="1:20" ht="50.25" customHeight="1" thickBot="1" x14ac:dyDescent="0.35">
      <c r="A42" s="173">
        <v>32</v>
      </c>
      <c r="B42" s="195" t="s">
        <v>331</v>
      </c>
      <c r="C42" s="174">
        <v>3</v>
      </c>
      <c r="D42" s="174">
        <v>5</v>
      </c>
      <c r="E42" s="174">
        <v>3</v>
      </c>
      <c r="F42" s="174">
        <v>2</v>
      </c>
      <c r="G42" s="174">
        <v>4</v>
      </c>
      <c r="H42" s="177"/>
      <c r="I42" s="177"/>
      <c r="J42" s="177"/>
      <c r="K42" s="177"/>
      <c r="L42" s="177"/>
      <c r="M42" s="177"/>
      <c r="N42" s="177"/>
      <c r="O42" s="177"/>
      <c r="P42" s="177"/>
      <c r="Q42" s="177"/>
      <c r="R42" s="173">
        <f t="shared" si="0"/>
        <v>17</v>
      </c>
      <c r="S42" s="175">
        <f>IF(ISERROR(AVERAGE(C42:Q42)),0,AVERAGE(C42:Q42))</f>
        <v>3.4</v>
      </c>
      <c r="T42" s="176"/>
    </row>
    <row r="43" spans="1:20" ht="24" customHeight="1" x14ac:dyDescent="0.3">
      <c r="A43" s="446" t="s">
        <v>246</v>
      </c>
      <c r="B43" s="447"/>
      <c r="C43" s="447"/>
      <c r="D43" s="447"/>
      <c r="E43" s="447"/>
      <c r="F43" s="447"/>
      <c r="G43" s="447"/>
      <c r="H43" s="447"/>
      <c r="I43" s="447"/>
      <c r="J43" s="447"/>
      <c r="K43" s="447"/>
      <c r="L43" s="447"/>
      <c r="M43" s="447"/>
      <c r="N43" s="447"/>
      <c r="O43" s="447"/>
      <c r="P43" s="447"/>
      <c r="Q43" s="447"/>
      <c r="R43" s="448"/>
      <c r="S43" s="178">
        <f>SUM(S11:S42)</f>
        <v>125.79999999999998</v>
      </c>
    </row>
    <row r="44" spans="1:20" ht="28.5" customHeight="1" thickBot="1" x14ac:dyDescent="0.35">
      <c r="A44" s="424" t="s">
        <v>244</v>
      </c>
      <c r="B44" s="425"/>
      <c r="C44" s="425"/>
      <c r="D44" s="425"/>
      <c r="E44" s="425"/>
      <c r="F44" s="425"/>
      <c r="G44" s="425"/>
      <c r="H44" s="425"/>
      <c r="I44" s="425"/>
      <c r="J44" s="425"/>
      <c r="K44" s="425"/>
      <c r="L44" s="425"/>
      <c r="M44" s="425"/>
      <c r="N44" s="425"/>
      <c r="O44" s="425"/>
      <c r="P44" s="425"/>
      <c r="Q44" s="425"/>
      <c r="R44" s="425"/>
      <c r="S44" s="179">
        <f>S43/A42</f>
        <v>3.9312499999999995</v>
      </c>
    </row>
  </sheetData>
  <mergeCells count="14">
    <mergeCell ref="Y10:AA10"/>
    <mergeCell ref="A44:R44"/>
    <mergeCell ref="A1:A4"/>
    <mergeCell ref="B1:S2"/>
    <mergeCell ref="T1:W1"/>
    <mergeCell ref="T2:W2"/>
    <mergeCell ref="B3:S4"/>
    <mergeCell ref="T3:W3"/>
    <mergeCell ref="T4:W4"/>
    <mergeCell ref="A5:T5"/>
    <mergeCell ref="A6:T6"/>
    <mergeCell ref="A7:T7"/>
    <mergeCell ref="A9:T9"/>
    <mergeCell ref="A43:R43"/>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2" xr:uid="{00000000-0002-0000-0200-000000000000}">
      <formula1>1</formula1>
      <formula2>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19</xdr:col>
                    <xdr:colOff>487680</xdr:colOff>
                    <xdr:row>10</xdr:row>
                    <xdr:rowOff>167640</xdr:rowOff>
                  </from>
                  <to>
                    <xdr:col>19</xdr:col>
                    <xdr:colOff>876300</xdr:colOff>
                    <xdr:row>10</xdr:row>
                    <xdr:rowOff>381000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487680</xdr:colOff>
                    <xdr:row>11</xdr:row>
                    <xdr:rowOff>167640</xdr:rowOff>
                  </from>
                  <to>
                    <xdr:col>19</xdr:col>
                    <xdr:colOff>876300</xdr:colOff>
                    <xdr:row>11</xdr:row>
                    <xdr:rowOff>381000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487680</xdr:colOff>
                    <xdr:row>12</xdr:row>
                    <xdr:rowOff>167640</xdr:rowOff>
                  </from>
                  <to>
                    <xdr:col>19</xdr:col>
                    <xdr:colOff>876300</xdr:colOff>
                    <xdr:row>12</xdr:row>
                    <xdr:rowOff>381000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19</xdr:col>
                    <xdr:colOff>487680</xdr:colOff>
                    <xdr:row>13</xdr:row>
                    <xdr:rowOff>167640</xdr:rowOff>
                  </from>
                  <to>
                    <xdr:col>19</xdr:col>
                    <xdr:colOff>876300</xdr:colOff>
                    <xdr:row>13</xdr:row>
                    <xdr:rowOff>381000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19</xdr:col>
                    <xdr:colOff>487680</xdr:colOff>
                    <xdr:row>14</xdr:row>
                    <xdr:rowOff>167640</xdr:rowOff>
                  </from>
                  <to>
                    <xdr:col>19</xdr:col>
                    <xdr:colOff>876300</xdr:colOff>
                    <xdr:row>14</xdr:row>
                    <xdr:rowOff>381000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19</xdr:col>
                    <xdr:colOff>487680</xdr:colOff>
                    <xdr:row>15</xdr:row>
                    <xdr:rowOff>167640</xdr:rowOff>
                  </from>
                  <to>
                    <xdr:col>19</xdr:col>
                    <xdr:colOff>876300</xdr:colOff>
                    <xdr:row>15</xdr:row>
                    <xdr:rowOff>381000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19</xdr:col>
                    <xdr:colOff>487680</xdr:colOff>
                    <xdr:row>16</xdr:row>
                    <xdr:rowOff>167640</xdr:rowOff>
                  </from>
                  <to>
                    <xdr:col>19</xdr:col>
                    <xdr:colOff>876300</xdr:colOff>
                    <xdr:row>16</xdr:row>
                    <xdr:rowOff>381000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19</xdr:col>
                    <xdr:colOff>487680</xdr:colOff>
                    <xdr:row>17</xdr:row>
                    <xdr:rowOff>167640</xdr:rowOff>
                  </from>
                  <to>
                    <xdr:col>19</xdr:col>
                    <xdr:colOff>876300</xdr:colOff>
                    <xdr:row>17</xdr:row>
                    <xdr:rowOff>381000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19</xdr:col>
                    <xdr:colOff>487680</xdr:colOff>
                    <xdr:row>18</xdr:row>
                    <xdr:rowOff>167640</xdr:rowOff>
                  </from>
                  <to>
                    <xdr:col>19</xdr:col>
                    <xdr:colOff>876300</xdr:colOff>
                    <xdr:row>18</xdr:row>
                    <xdr:rowOff>381000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487680</xdr:colOff>
                    <xdr:row>19</xdr:row>
                    <xdr:rowOff>167640</xdr:rowOff>
                  </from>
                  <to>
                    <xdr:col>19</xdr:col>
                    <xdr:colOff>876300</xdr:colOff>
                    <xdr:row>19</xdr:row>
                    <xdr:rowOff>381000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487680</xdr:colOff>
                    <xdr:row>20</xdr:row>
                    <xdr:rowOff>167640</xdr:rowOff>
                  </from>
                  <to>
                    <xdr:col>19</xdr:col>
                    <xdr:colOff>876300</xdr:colOff>
                    <xdr:row>20</xdr:row>
                    <xdr:rowOff>381000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19</xdr:col>
                    <xdr:colOff>487680</xdr:colOff>
                    <xdr:row>21</xdr:row>
                    <xdr:rowOff>167640</xdr:rowOff>
                  </from>
                  <to>
                    <xdr:col>19</xdr:col>
                    <xdr:colOff>876300</xdr:colOff>
                    <xdr:row>21</xdr:row>
                    <xdr:rowOff>381000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19</xdr:col>
                    <xdr:colOff>487680</xdr:colOff>
                    <xdr:row>22</xdr:row>
                    <xdr:rowOff>167640</xdr:rowOff>
                  </from>
                  <to>
                    <xdr:col>19</xdr:col>
                    <xdr:colOff>876300</xdr:colOff>
                    <xdr:row>22</xdr:row>
                    <xdr:rowOff>381000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19</xdr:col>
                    <xdr:colOff>487680</xdr:colOff>
                    <xdr:row>23</xdr:row>
                    <xdr:rowOff>167640</xdr:rowOff>
                  </from>
                  <to>
                    <xdr:col>19</xdr:col>
                    <xdr:colOff>876300</xdr:colOff>
                    <xdr:row>23</xdr:row>
                    <xdr:rowOff>381000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19</xdr:col>
                    <xdr:colOff>487680</xdr:colOff>
                    <xdr:row>24</xdr:row>
                    <xdr:rowOff>167640</xdr:rowOff>
                  </from>
                  <to>
                    <xdr:col>19</xdr:col>
                    <xdr:colOff>876300</xdr:colOff>
                    <xdr:row>24</xdr:row>
                    <xdr:rowOff>381000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19</xdr:col>
                    <xdr:colOff>487680</xdr:colOff>
                    <xdr:row>25</xdr:row>
                    <xdr:rowOff>167640</xdr:rowOff>
                  </from>
                  <to>
                    <xdr:col>19</xdr:col>
                    <xdr:colOff>876300</xdr:colOff>
                    <xdr:row>25</xdr:row>
                    <xdr:rowOff>381000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19</xdr:col>
                    <xdr:colOff>487680</xdr:colOff>
                    <xdr:row>26</xdr:row>
                    <xdr:rowOff>167640</xdr:rowOff>
                  </from>
                  <to>
                    <xdr:col>19</xdr:col>
                    <xdr:colOff>876300</xdr:colOff>
                    <xdr:row>26</xdr:row>
                    <xdr:rowOff>381000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19</xdr:col>
                    <xdr:colOff>487680</xdr:colOff>
                    <xdr:row>27</xdr:row>
                    <xdr:rowOff>167640</xdr:rowOff>
                  </from>
                  <to>
                    <xdr:col>19</xdr:col>
                    <xdr:colOff>876300</xdr:colOff>
                    <xdr:row>27</xdr:row>
                    <xdr:rowOff>381000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19</xdr:col>
                    <xdr:colOff>487680</xdr:colOff>
                    <xdr:row>28</xdr:row>
                    <xdr:rowOff>167640</xdr:rowOff>
                  </from>
                  <to>
                    <xdr:col>19</xdr:col>
                    <xdr:colOff>876300</xdr:colOff>
                    <xdr:row>28</xdr:row>
                    <xdr:rowOff>381000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19</xdr:col>
                    <xdr:colOff>487680</xdr:colOff>
                    <xdr:row>29</xdr:row>
                    <xdr:rowOff>167640</xdr:rowOff>
                  </from>
                  <to>
                    <xdr:col>19</xdr:col>
                    <xdr:colOff>876300</xdr:colOff>
                    <xdr:row>29</xdr:row>
                    <xdr:rowOff>381000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19</xdr:col>
                    <xdr:colOff>487680</xdr:colOff>
                    <xdr:row>30</xdr:row>
                    <xdr:rowOff>167640</xdr:rowOff>
                  </from>
                  <to>
                    <xdr:col>19</xdr:col>
                    <xdr:colOff>876300</xdr:colOff>
                    <xdr:row>30</xdr:row>
                    <xdr:rowOff>381000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19</xdr:col>
                    <xdr:colOff>487680</xdr:colOff>
                    <xdr:row>31</xdr:row>
                    <xdr:rowOff>167640</xdr:rowOff>
                  </from>
                  <to>
                    <xdr:col>19</xdr:col>
                    <xdr:colOff>876300</xdr:colOff>
                    <xdr:row>31</xdr:row>
                    <xdr:rowOff>381000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19</xdr:col>
                    <xdr:colOff>487680</xdr:colOff>
                    <xdr:row>32</xdr:row>
                    <xdr:rowOff>167640</xdr:rowOff>
                  </from>
                  <to>
                    <xdr:col>19</xdr:col>
                    <xdr:colOff>876300</xdr:colOff>
                    <xdr:row>32</xdr:row>
                    <xdr:rowOff>381000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19</xdr:col>
                    <xdr:colOff>487680</xdr:colOff>
                    <xdr:row>34</xdr:row>
                    <xdr:rowOff>167640</xdr:rowOff>
                  </from>
                  <to>
                    <xdr:col>19</xdr:col>
                    <xdr:colOff>876300</xdr:colOff>
                    <xdr:row>34</xdr:row>
                    <xdr:rowOff>381000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19</xdr:col>
                    <xdr:colOff>487680</xdr:colOff>
                    <xdr:row>35</xdr:row>
                    <xdr:rowOff>167640</xdr:rowOff>
                  </from>
                  <to>
                    <xdr:col>19</xdr:col>
                    <xdr:colOff>876300</xdr:colOff>
                    <xdr:row>35</xdr:row>
                    <xdr:rowOff>381000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19</xdr:col>
                    <xdr:colOff>487680</xdr:colOff>
                    <xdr:row>36</xdr:row>
                    <xdr:rowOff>167640</xdr:rowOff>
                  </from>
                  <to>
                    <xdr:col>19</xdr:col>
                    <xdr:colOff>876300</xdr:colOff>
                    <xdr:row>36</xdr:row>
                    <xdr:rowOff>381000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19</xdr:col>
                    <xdr:colOff>487680</xdr:colOff>
                    <xdr:row>38</xdr:row>
                    <xdr:rowOff>167640</xdr:rowOff>
                  </from>
                  <to>
                    <xdr:col>19</xdr:col>
                    <xdr:colOff>876300</xdr:colOff>
                    <xdr:row>38</xdr:row>
                    <xdr:rowOff>381000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19</xdr:col>
                    <xdr:colOff>487680</xdr:colOff>
                    <xdr:row>39</xdr:row>
                    <xdr:rowOff>167640</xdr:rowOff>
                  </from>
                  <to>
                    <xdr:col>19</xdr:col>
                    <xdr:colOff>876300</xdr:colOff>
                    <xdr:row>39</xdr:row>
                    <xdr:rowOff>381000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19</xdr:col>
                    <xdr:colOff>487680</xdr:colOff>
                    <xdr:row>40</xdr:row>
                    <xdr:rowOff>167640</xdr:rowOff>
                  </from>
                  <to>
                    <xdr:col>19</xdr:col>
                    <xdr:colOff>876300</xdr:colOff>
                    <xdr:row>40</xdr:row>
                    <xdr:rowOff>381000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19</xdr:col>
                    <xdr:colOff>487680</xdr:colOff>
                    <xdr:row>41</xdr:row>
                    <xdr:rowOff>167640</xdr:rowOff>
                  </from>
                  <to>
                    <xdr:col>19</xdr:col>
                    <xdr:colOff>876300</xdr:colOff>
                    <xdr:row>41</xdr:row>
                    <xdr:rowOff>381000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19</xdr:col>
                    <xdr:colOff>487680</xdr:colOff>
                    <xdr:row>33</xdr:row>
                    <xdr:rowOff>167640</xdr:rowOff>
                  </from>
                  <to>
                    <xdr:col>19</xdr:col>
                    <xdr:colOff>876300</xdr:colOff>
                    <xdr:row>33</xdr:row>
                    <xdr:rowOff>381000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19</xdr:col>
                    <xdr:colOff>487680</xdr:colOff>
                    <xdr:row>37</xdr:row>
                    <xdr:rowOff>167640</xdr:rowOff>
                  </from>
                  <to>
                    <xdr:col>19</xdr:col>
                    <xdr:colOff>876300</xdr:colOff>
                    <xdr:row>37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H71"/>
  <sheetViews>
    <sheetView tabSelected="1" view="pageBreakPreview" zoomScale="53" zoomScaleNormal="53" zoomScaleSheetLayoutView="53" workbookViewId="0">
      <pane ySplit="1" topLeftCell="A33" activePane="bottomLeft" state="frozen"/>
      <selection pane="bottomLeft" sqref="A1:AM44"/>
    </sheetView>
  </sheetViews>
  <sheetFormatPr baseColWidth="10" defaultColWidth="11.44140625" defaultRowHeight="13.8" x14ac:dyDescent="0.25"/>
  <cols>
    <col min="1" max="1" width="4" style="2" bestFit="1" customWidth="1"/>
    <col min="2" max="2" width="7.44140625" style="2" customWidth="1"/>
    <col min="3" max="3" width="15.5546875" style="207" customWidth="1"/>
    <col min="4" max="4" width="9.77734375" style="207" customWidth="1"/>
    <col min="5" max="5" width="19.77734375" style="212" customWidth="1"/>
    <col min="6" max="6" width="28.5546875" style="205" customWidth="1"/>
    <col min="7" max="7" width="5.77734375" style="214" customWidth="1"/>
    <col min="8" max="8" width="15.5546875" style="1" customWidth="1"/>
    <col min="9" max="9" width="7.77734375" style="4" customWidth="1"/>
    <col min="10" max="10" width="9.21875" style="1" customWidth="1"/>
    <col min="11" max="11" width="7.21875" style="214" customWidth="1"/>
    <col min="12" max="12" width="6.77734375" style="1" customWidth="1"/>
    <col min="13" max="13" width="9" style="1" customWidth="1"/>
    <col min="14" max="14" width="28.21875" style="1" hidden="1" customWidth="1"/>
    <col min="15" max="15" width="6" style="214" customWidth="1"/>
    <col min="16" max="16" width="7.77734375" style="1" customWidth="1"/>
    <col min="17" max="17" width="7" style="214" customWidth="1"/>
    <col min="18" max="18" width="5.77734375" style="1" customWidth="1"/>
    <col min="19" max="19" width="51.5546875" style="1" customWidth="1"/>
    <col min="20" max="20" width="5.77734375" style="1" customWidth="1"/>
    <col min="21" max="21" width="6.77734375" style="1" customWidth="1"/>
    <col min="22" max="22" width="5" style="1" customWidth="1"/>
    <col min="23" max="23" width="5.5546875" style="1" customWidth="1"/>
    <col min="24" max="24" width="7.21875" style="1" customWidth="1"/>
    <col min="25" max="25" width="6.77734375" style="1" customWidth="1"/>
    <col min="26" max="26" width="4.77734375" style="1" bestFit="1" customWidth="1"/>
    <col min="27" max="27" width="6.77734375" style="1" customWidth="1"/>
    <col min="28" max="28" width="5.77734375" style="1" customWidth="1"/>
    <col min="29" max="29" width="7.44140625" style="1" customWidth="1"/>
    <col min="30" max="30" width="4.21875" style="1" customWidth="1"/>
    <col min="31" max="31" width="9.21875" style="1" customWidth="1"/>
    <col min="32" max="32" width="3.77734375" style="1" customWidth="1"/>
    <col min="33" max="33" width="7.21875" style="1" customWidth="1"/>
    <col min="34" max="34" width="44.21875" style="1" customWidth="1"/>
    <col min="35" max="35" width="12.21875" style="1" customWidth="1"/>
    <col min="36" max="36" width="9.21875" style="214" customWidth="1"/>
    <col min="37" max="37" width="8.21875" style="1" customWidth="1"/>
    <col min="38" max="38" width="5.21875" style="1" customWidth="1"/>
    <col min="39" max="39" width="10.21875" style="1" customWidth="1"/>
    <col min="40" max="16384" width="11.44140625" style="1"/>
  </cols>
  <sheetData>
    <row r="1" spans="1:60" ht="16.5" customHeight="1" x14ac:dyDescent="0.25">
      <c r="A1" s="449" t="s">
        <v>139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1"/>
      <c r="AN1" s="7"/>
      <c r="AO1" s="7"/>
      <c r="AP1" s="7"/>
      <c r="AQ1" s="7"/>
      <c r="AR1" s="7"/>
      <c r="AS1" s="7"/>
      <c r="AT1" s="7"/>
      <c r="AU1" s="7"/>
      <c r="AV1" s="7"/>
      <c r="AW1" s="7"/>
      <c r="AX1" s="7"/>
      <c r="AY1" s="7"/>
      <c r="AZ1" s="7"/>
      <c r="BA1" s="7"/>
      <c r="BB1" s="7"/>
      <c r="BC1" s="7"/>
      <c r="BD1" s="7"/>
      <c r="BE1" s="7"/>
      <c r="BF1" s="7"/>
      <c r="BG1" s="7"/>
      <c r="BH1" s="7"/>
    </row>
    <row r="2" spans="1:60" ht="24" customHeight="1" x14ac:dyDescent="0.25">
      <c r="A2" s="452"/>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4"/>
      <c r="AN2" s="7"/>
      <c r="AO2" s="7"/>
      <c r="AP2" s="7"/>
      <c r="AQ2" s="7"/>
      <c r="AR2" s="7"/>
      <c r="AS2" s="7"/>
      <c r="AT2" s="7"/>
      <c r="AU2" s="7"/>
      <c r="AV2" s="7"/>
      <c r="AW2" s="7"/>
      <c r="AX2" s="7"/>
      <c r="AY2" s="7"/>
      <c r="AZ2" s="7"/>
      <c r="BA2" s="7"/>
      <c r="BB2" s="7"/>
      <c r="BC2" s="7"/>
      <c r="BD2" s="7"/>
      <c r="BE2" s="7"/>
      <c r="BF2" s="7"/>
      <c r="BG2" s="7"/>
      <c r="BH2" s="7"/>
    </row>
    <row r="3" spans="1:60" x14ac:dyDescent="0.25">
      <c r="A3" s="26"/>
      <c r="B3" s="27"/>
      <c r="C3" s="27"/>
      <c r="D3" s="27"/>
      <c r="E3" s="211"/>
      <c r="F3" s="204"/>
      <c r="G3" s="213"/>
      <c r="H3" s="7"/>
      <c r="I3" s="25"/>
      <c r="J3" s="7"/>
      <c r="K3" s="213"/>
      <c r="L3" s="7"/>
      <c r="M3" s="7"/>
      <c r="N3" s="7"/>
      <c r="O3" s="213"/>
      <c r="P3" s="7"/>
      <c r="Q3" s="213"/>
      <c r="R3" s="7"/>
      <c r="S3" s="7"/>
      <c r="T3" s="7"/>
      <c r="U3" s="7"/>
      <c r="V3" s="7"/>
      <c r="W3" s="7"/>
      <c r="X3" s="7"/>
      <c r="Y3" s="7"/>
      <c r="Z3" s="7"/>
      <c r="AA3" s="7"/>
      <c r="AB3" s="7"/>
      <c r="AC3" s="7"/>
      <c r="AD3" s="7"/>
      <c r="AE3" s="7"/>
      <c r="AF3" s="7"/>
      <c r="AG3" s="7"/>
      <c r="AH3" s="7"/>
      <c r="AI3" s="7"/>
      <c r="AJ3" s="213"/>
      <c r="AK3" s="7"/>
      <c r="AL3" s="7"/>
      <c r="AM3" s="7"/>
      <c r="AN3" s="7"/>
      <c r="AO3" s="7"/>
      <c r="AP3" s="7"/>
      <c r="AQ3" s="7"/>
      <c r="AR3" s="7"/>
      <c r="AS3" s="7"/>
      <c r="AT3" s="7"/>
      <c r="AU3" s="7"/>
      <c r="AV3" s="7"/>
      <c r="AW3" s="7"/>
      <c r="AX3" s="7"/>
      <c r="AY3" s="7"/>
      <c r="AZ3" s="7"/>
      <c r="BA3" s="7"/>
      <c r="BB3" s="7"/>
      <c r="BC3" s="7"/>
      <c r="BD3" s="7"/>
      <c r="BE3" s="7"/>
      <c r="BF3" s="7"/>
      <c r="BG3" s="7"/>
      <c r="BH3" s="7"/>
    </row>
    <row r="4" spans="1:60" ht="26.25" customHeight="1" x14ac:dyDescent="0.25">
      <c r="A4" s="563" t="s">
        <v>43</v>
      </c>
      <c r="B4" s="564"/>
      <c r="C4" s="485" t="s">
        <v>359</v>
      </c>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7"/>
      <c r="AO4" s="7"/>
      <c r="AP4" s="7"/>
      <c r="AQ4" s="7"/>
      <c r="AR4" s="7"/>
      <c r="AS4" s="7"/>
      <c r="AT4" s="7"/>
      <c r="AU4" s="7"/>
      <c r="AV4" s="7"/>
      <c r="AW4" s="7"/>
      <c r="AX4" s="7"/>
      <c r="AY4" s="7"/>
      <c r="AZ4" s="7"/>
      <c r="BA4" s="7"/>
      <c r="BB4" s="7"/>
      <c r="BC4" s="7"/>
      <c r="BD4" s="7"/>
      <c r="BE4" s="7"/>
      <c r="BF4" s="7"/>
      <c r="BG4" s="7"/>
      <c r="BH4" s="7"/>
    </row>
    <row r="5" spans="1:60" ht="30" customHeight="1" x14ac:dyDescent="0.25">
      <c r="A5" s="563" t="s">
        <v>125</v>
      </c>
      <c r="B5" s="564"/>
      <c r="C5" s="484" t="s">
        <v>360</v>
      </c>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7"/>
      <c r="AO5" s="7"/>
      <c r="AP5" s="7"/>
      <c r="AQ5" s="7"/>
      <c r="AR5" s="7"/>
      <c r="AS5" s="7"/>
      <c r="AT5" s="7"/>
      <c r="AU5" s="7"/>
      <c r="AV5" s="7"/>
      <c r="AW5" s="7"/>
      <c r="AX5" s="7"/>
      <c r="AY5" s="7"/>
      <c r="AZ5" s="7"/>
      <c r="BA5" s="7"/>
      <c r="BB5" s="7"/>
      <c r="BC5" s="7"/>
      <c r="BD5" s="7"/>
      <c r="BE5" s="7"/>
      <c r="BF5" s="7"/>
      <c r="BG5" s="7"/>
      <c r="BH5" s="7"/>
    </row>
    <row r="6" spans="1:60" ht="49.5" customHeight="1" x14ac:dyDescent="0.25">
      <c r="A6" s="563" t="s">
        <v>44</v>
      </c>
      <c r="B6" s="564"/>
      <c r="C6" s="485" t="s">
        <v>361</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7"/>
      <c r="AO6" s="7"/>
      <c r="AP6" s="7"/>
      <c r="AQ6" s="7"/>
      <c r="AR6" s="7"/>
      <c r="AS6" s="7"/>
      <c r="AT6" s="7"/>
      <c r="AU6" s="7"/>
      <c r="AV6" s="7"/>
      <c r="AW6" s="7"/>
      <c r="AX6" s="7"/>
      <c r="AY6" s="7"/>
      <c r="AZ6" s="7"/>
      <c r="BA6" s="7"/>
      <c r="BB6" s="7"/>
      <c r="BC6" s="7"/>
      <c r="BD6" s="7"/>
      <c r="BE6" s="7"/>
      <c r="BF6" s="7"/>
      <c r="BG6" s="7"/>
      <c r="BH6" s="7"/>
    </row>
    <row r="7" spans="1:60" x14ac:dyDescent="0.25">
      <c r="A7" s="455" t="s">
        <v>134</v>
      </c>
      <c r="B7" s="456"/>
      <c r="C7" s="457"/>
      <c r="D7" s="457"/>
      <c r="E7" s="457"/>
      <c r="F7" s="457"/>
      <c r="G7" s="457"/>
      <c r="H7" s="457"/>
      <c r="I7" s="457"/>
      <c r="J7" s="458"/>
      <c r="K7" s="459" t="s">
        <v>135</v>
      </c>
      <c r="L7" s="457"/>
      <c r="M7" s="457"/>
      <c r="N7" s="457"/>
      <c r="O7" s="457"/>
      <c r="P7" s="457"/>
      <c r="Q7" s="458"/>
      <c r="R7" s="459" t="s">
        <v>136</v>
      </c>
      <c r="S7" s="457"/>
      <c r="T7" s="457"/>
      <c r="U7" s="457"/>
      <c r="V7" s="457"/>
      <c r="W7" s="457"/>
      <c r="X7" s="457"/>
      <c r="Y7" s="457"/>
      <c r="Z7" s="458"/>
      <c r="AA7" s="459" t="s">
        <v>137</v>
      </c>
      <c r="AB7" s="457"/>
      <c r="AC7" s="457"/>
      <c r="AD7" s="457"/>
      <c r="AE7" s="457"/>
      <c r="AF7" s="457"/>
      <c r="AG7" s="458"/>
      <c r="AH7" s="459" t="s">
        <v>34</v>
      </c>
      <c r="AI7" s="457"/>
      <c r="AJ7" s="457"/>
      <c r="AK7" s="457"/>
      <c r="AL7" s="457"/>
      <c r="AM7" s="458"/>
      <c r="AN7" s="7"/>
      <c r="AO7" s="7"/>
      <c r="AP7" s="7"/>
      <c r="AQ7" s="7"/>
      <c r="AR7" s="7"/>
      <c r="AS7" s="7"/>
      <c r="AT7" s="7"/>
      <c r="AU7" s="7"/>
      <c r="AV7" s="7"/>
      <c r="AW7" s="7"/>
      <c r="AX7" s="7"/>
      <c r="AY7" s="7"/>
      <c r="AZ7" s="7"/>
      <c r="BA7" s="7"/>
      <c r="BB7" s="7"/>
      <c r="BC7" s="7"/>
      <c r="BD7" s="7"/>
      <c r="BE7" s="7"/>
      <c r="BF7" s="7"/>
      <c r="BG7" s="7"/>
      <c r="BH7" s="7"/>
    </row>
    <row r="8" spans="1:60" ht="16.5" customHeight="1" x14ac:dyDescent="0.25">
      <c r="A8" s="565" t="s">
        <v>0</v>
      </c>
      <c r="B8" s="574" t="s">
        <v>2</v>
      </c>
      <c r="C8" s="571" t="s">
        <v>3</v>
      </c>
      <c r="D8" s="571" t="s">
        <v>42</v>
      </c>
      <c r="E8" s="617" t="s">
        <v>203</v>
      </c>
      <c r="F8" s="569" t="s">
        <v>1</v>
      </c>
      <c r="G8" s="215"/>
      <c r="H8" s="130"/>
      <c r="I8" s="567" t="s">
        <v>50</v>
      </c>
      <c r="J8" s="568" t="s">
        <v>130</v>
      </c>
      <c r="K8" s="622" t="s">
        <v>33</v>
      </c>
      <c r="L8" s="623" t="s">
        <v>5</v>
      </c>
      <c r="M8" s="567" t="s">
        <v>86</v>
      </c>
      <c r="N8" s="567" t="s">
        <v>91</v>
      </c>
      <c r="O8" s="624" t="s">
        <v>45</v>
      </c>
      <c r="P8" s="623" t="s">
        <v>5</v>
      </c>
      <c r="Q8" s="598" t="s">
        <v>48</v>
      </c>
      <c r="R8" s="577" t="s">
        <v>11</v>
      </c>
      <c r="S8" s="573" t="s">
        <v>152</v>
      </c>
      <c r="T8" s="567" t="s">
        <v>12</v>
      </c>
      <c r="U8" s="573" t="s">
        <v>8</v>
      </c>
      <c r="V8" s="573"/>
      <c r="W8" s="573"/>
      <c r="X8" s="573"/>
      <c r="Y8" s="573"/>
      <c r="Z8" s="573"/>
      <c r="AA8" s="579" t="s">
        <v>133</v>
      </c>
      <c r="AB8" s="579" t="s">
        <v>46</v>
      </c>
      <c r="AC8" s="579" t="s">
        <v>5</v>
      </c>
      <c r="AD8" s="579" t="s">
        <v>47</v>
      </c>
      <c r="AE8" s="579" t="s">
        <v>5</v>
      </c>
      <c r="AF8" s="579" t="s">
        <v>49</v>
      </c>
      <c r="AG8" s="577" t="s">
        <v>29</v>
      </c>
      <c r="AH8" s="573" t="s">
        <v>34</v>
      </c>
      <c r="AI8" s="573" t="s">
        <v>35</v>
      </c>
      <c r="AJ8" s="576" t="s">
        <v>36</v>
      </c>
      <c r="AK8" s="573" t="s">
        <v>38</v>
      </c>
      <c r="AL8" s="573" t="s">
        <v>37</v>
      </c>
      <c r="AM8" s="575" t="s">
        <v>39</v>
      </c>
      <c r="AN8" s="7"/>
      <c r="AO8" s="7"/>
      <c r="AP8" s="7"/>
      <c r="AQ8" s="7"/>
      <c r="AR8" s="7"/>
      <c r="AS8" s="7"/>
      <c r="AT8" s="7"/>
      <c r="AU8" s="7"/>
      <c r="AV8" s="7"/>
      <c r="AW8" s="7"/>
      <c r="AX8" s="7"/>
      <c r="AY8" s="7"/>
      <c r="AZ8" s="7"/>
      <c r="BA8" s="7"/>
      <c r="BB8" s="7"/>
      <c r="BC8" s="7"/>
      <c r="BD8" s="7"/>
      <c r="BE8" s="7"/>
      <c r="BF8" s="7"/>
      <c r="BG8" s="7"/>
      <c r="BH8" s="7"/>
    </row>
    <row r="9" spans="1:60" s="3" customFormat="1" ht="94.5" customHeight="1" x14ac:dyDescent="0.3">
      <c r="A9" s="566"/>
      <c r="B9" s="574"/>
      <c r="C9" s="572"/>
      <c r="D9" s="572"/>
      <c r="E9" s="618"/>
      <c r="F9" s="570"/>
      <c r="G9" s="215" t="s">
        <v>259</v>
      </c>
      <c r="H9" s="130" t="s">
        <v>204</v>
      </c>
      <c r="I9" s="568"/>
      <c r="J9" s="573"/>
      <c r="K9" s="598"/>
      <c r="L9" s="459"/>
      <c r="M9" s="568"/>
      <c r="N9" s="568"/>
      <c r="O9" s="625"/>
      <c r="P9" s="459"/>
      <c r="Q9" s="576"/>
      <c r="R9" s="578"/>
      <c r="S9" s="573"/>
      <c r="T9" s="568"/>
      <c r="U9" s="6" t="s">
        <v>13</v>
      </c>
      <c r="V9" s="6" t="s">
        <v>17</v>
      </c>
      <c r="W9" s="6" t="s">
        <v>28</v>
      </c>
      <c r="X9" s="6" t="s">
        <v>18</v>
      </c>
      <c r="Y9" s="6" t="s">
        <v>21</v>
      </c>
      <c r="Z9" s="6" t="s">
        <v>24</v>
      </c>
      <c r="AA9" s="579"/>
      <c r="AB9" s="579"/>
      <c r="AC9" s="579"/>
      <c r="AD9" s="579"/>
      <c r="AE9" s="579"/>
      <c r="AF9" s="579"/>
      <c r="AG9" s="578"/>
      <c r="AH9" s="573"/>
      <c r="AI9" s="573"/>
      <c r="AJ9" s="576"/>
      <c r="AK9" s="573"/>
      <c r="AL9" s="573"/>
      <c r="AM9" s="575"/>
      <c r="AN9" s="24"/>
      <c r="AO9" s="24"/>
      <c r="AP9" s="24"/>
      <c r="AQ9" s="24"/>
      <c r="AR9" s="24"/>
      <c r="AS9" s="24"/>
      <c r="AT9" s="24"/>
      <c r="AU9" s="24"/>
      <c r="AV9" s="24"/>
      <c r="AW9" s="24"/>
      <c r="AX9" s="24"/>
      <c r="AY9" s="24"/>
      <c r="AZ9" s="24"/>
      <c r="BA9" s="24"/>
      <c r="BB9" s="24"/>
      <c r="BC9" s="24"/>
      <c r="BD9" s="24"/>
      <c r="BE9" s="24"/>
      <c r="BF9" s="24"/>
      <c r="BG9" s="24"/>
      <c r="BH9" s="24"/>
    </row>
    <row r="10" spans="1:60" s="231" customFormat="1" ht="215.25" customHeight="1" x14ac:dyDescent="0.3">
      <c r="A10" s="537">
        <v>1</v>
      </c>
      <c r="B10" s="504" t="s">
        <v>129</v>
      </c>
      <c r="C10" s="544" t="s">
        <v>411</v>
      </c>
      <c r="D10" s="547" t="s">
        <v>362</v>
      </c>
      <c r="E10" s="280" t="str">
        <f>'Priorizacion de Causas'!B35</f>
        <v>Deficiente seguimiento por parte de los ordenadores del gasto  en la ejecución presupuestal</v>
      </c>
      <c r="F10" s="550" t="s">
        <v>414</v>
      </c>
      <c r="G10" s="595" t="s">
        <v>363</v>
      </c>
      <c r="H10" s="592" t="s">
        <v>364</v>
      </c>
      <c r="I10" s="614" t="s">
        <v>118</v>
      </c>
      <c r="J10" s="619">
        <f>11+3</f>
        <v>14</v>
      </c>
      <c r="K10" s="586" t="str">
        <f>IF(J10&lt;=0,"",IF(J10&lt;=2,"Muy Baja",IF(J10&lt;=24,"Baja",IF(J10&lt;=500,"Media",IF(J10&lt;=5000,"Alta","Muy Alta")))))</f>
        <v>Baja</v>
      </c>
      <c r="L10" s="589">
        <f>IF(K10="","",IF(K10="Muy Baja",0.2,IF(K10="Baja",0.4,IF(K10="Media",0.6,IF(K10="Alta",0.8,IF(K10="Muy Alta",1,))))))</f>
        <v>0.4</v>
      </c>
      <c r="M10" s="580" t="s">
        <v>213</v>
      </c>
      <c r="N10" s="583" t="str">
        <f>IF(NOT(ISERROR(MATCH(M10,'Tabla Impacto'!$B$221:$B$223,0))),'Tabla Impacto'!$F$223&amp;"Por favor no seleccionar los criterios de impacto(Afectación Económica o presupuestal y Pérdida Reputacional)",M10)</f>
        <v xml:space="preserve">     Mayor a 10000 SMLMV</v>
      </c>
      <c r="O10" s="586"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589">
        <f>IF(O10="","",IF(O10="Leve",0.2,IF(O10="Menor",0.4,IF(O10="Moderado",0.6,IF(O10="Mayor",0.8,IF(O10="Catastrófico",1,))))))</f>
        <v>1</v>
      </c>
      <c r="Q10" s="49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218">
        <v>1</v>
      </c>
      <c r="S10" s="281" t="str">
        <f>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282" t="str">
        <f t="shared" ref="T10:T40" si="0">IF(OR(U10="Preventivo",U10="Detectivo"),"Probabilidad",IF(U10="Correctivo","Impacto",""))</f>
        <v>Probabilidad</v>
      </c>
      <c r="U10" s="283" t="s">
        <v>14</v>
      </c>
      <c r="V10" s="283" t="s">
        <v>9</v>
      </c>
      <c r="W10" s="284" t="str">
        <f t="shared" ref="W10:W40" si="1">IF(AND(U10="Preventivo",V10="Automático"),"50%",IF(AND(U10="Preventivo",V10="Manual"),"40%",IF(AND(U10="Detectivo",V10="Automático"),"40%",IF(AND(U10="Detectivo",V10="Manual"),"30%",IF(AND(U10="Correctivo",V10="Automático"),"35%",IF(AND(U10="Correctivo",V10="Manual"),"25%",""))))))</f>
        <v>40%</v>
      </c>
      <c r="X10" s="283" t="s">
        <v>19</v>
      </c>
      <c r="Y10" s="283" t="s">
        <v>22</v>
      </c>
      <c r="Z10" s="283" t="s">
        <v>114</v>
      </c>
      <c r="AA10" s="285">
        <f>IFERROR(IF(T10="Probabilidad",(L10-(+L10*W10)),IF(T10="Impacto",L10,"")),"")</f>
        <v>0.24</v>
      </c>
      <c r="AB10" s="223" t="str">
        <f t="shared" ref="AB10:AB40" si="2">IFERROR(IF(AA10="","",IF(AA10&lt;=0.2,"Muy Baja",IF(AA10&lt;=0.4,"Baja",IF(AA10&lt;=0.6,"Media",IF(AA10&lt;=0.8,"Alta","Muy Alta"))))),"")</f>
        <v>Baja</v>
      </c>
      <c r="AC10" s="286">
        <f t="shared" ref="AC10:AC40" si="3">+AA10</f>
        <v>0.24</v>
      </c>
      <c r="AD10" s="223" t="str">
        <f t="shared" ref="AD10:AD40" si="4">IFERROR(IF(AE10="","",IF(AE10&lt;=0.2,"Leve",IF(AE10&lt;=0.4,"Menor",IF(AE10&lt;=0.6,"Moderado",IF(AE10&lt;=0.8,"Mayor","Catastrófico"))))),"")</f>
        <v>Catastrófico</v>
      </c>
      <c r="AE10" s="286">
        <f>IFERROR(IF(T10="Impacto",(P10-(+P10*W10)),IF(T10="Probabilidad",P10,"")),"")</f>
        <v>1</v>
      </c>
      <c r="AF10" s="225" t="str">
        <f t="shared" ref="AF10:AF40"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287" t="s">
        <v>131</v>
      </c>
      <c r="AH10" s="281" t="s">
        <v>415</v>
      </c>
      <c r="AI10" s="281" t="s">
        <v>406</v>
      </c>
      <c r="AJ10" s="288">
        <v>45658</v>
      </c>
      <c r="AK10" s="289"/>
      <c r="AL10" s="281"/>
      <c r="AM10" s="290" t="s">
        <v>41</v>
      </c>
      <c r="AN10" s="230"/>
      <c r="AO10" s="230"/>
      <c r="AP10" s="230"/>
      <c r="AQ10" s="230"/>
      <c r="AR10" s="230"/>
      <c r="AS10" s="230"/>
      <c r="AT10" s="230"/>
      <c r="AU10" s="230"/>
      <c r="AV10" s="230"/>
      <c r="AW10" s="230"/>
      <c r="AX10" s="230"/>
      <c r="AY10" s="230"/>
      <c r="AZ10" s="230"/>
      <c r="BA10" s="230"/>
      <c r="BB10" s="230"/>
      <c r="BC10" s="230"/>
      <c r="BD10" s="230"/>
      <c r="BE10" s="230"/>
      <c r="BF10" s="230"/>
      <c r="BG10" s="230"/>
      <c r="BH10" s="230"/>
    </row>
    <row r="11" spans="1:60" s="231" customFormat="1" ht="409.6" hidden="1" customHeight="1" thickBot="1" x14ac:dyDescent="0.35">
      <c r="A11" s="538"/>
      <c r="B11" s="505"/>
      <c r="C11" s="545"/>
      <c r="D11" s="548"/>
      <c r="E11" s="217"/>
      <c r="F11" s="551"/>
      <c r="G11" s="596"/>
      <c r="H11" s="593"/>
      <c r="I11" s="615"/>
      <c r="J11" s="620"/>
      <c r="K11" s="587"/>
      <c r="L11" s="590"/>
      <c r="M11" s="581"/>
      <c r="N11" s="584">
        <f>IF(NOT(ISERROR(MATCH(M11,_xlfn.ANCHORARRAY(F22),0))),L24&amp;"Por favor no seleccionar los criterios de impacto",M11)</f>
        <v>0</v>
      </c>
      <c r="O11" s="587"/>
      <c r="P11" s="590"/>
      <c r="Q11" s="499"/>
      <c r="R11" s="218">
        <v>2</v>
      </c>
      <c r="S11" s="104"/>
      <c r="T11" s="219" t="str">
        <f t="shared" si="0"/>
        <v/>
      </c>
      <c r="U11" s="220"/>
      <c r="V11" s="220"/>
      <c r="W11" s="221" t="str">
        <f t="shared" si="1"/>
        <v/>
      </c>
      <c r="X11" s="220"/>
      <c r="Y11" s="220"/>
      <c r="Z11" s="220"/>
      <c r="AA11" s="222" t="str">
        <f>IFERROR(IF(AND(T10="Probabilidad",T11="Probabilidad"),(AC10-(+AC10*W11)),IF(AND(T10="Impacto",T11="Probabilidad"),(L10-(+L10*W11)),IF(T11="Impacto",AC10,""))),"")</f>
        <v/>
      </c>
      <c r="AB11" s="223" t="str">
        <f t="shared" si="2"/>
        <v/>
      </c>
      <c r="AC11" s="224" t="str">
        <f t="shared" si="3"/>
        <v/>
      </c>
      <c r="AD11" s="223" t="str">
        <f t="shared" si="4"/>
        <v/>
      </c>
      <c r="AE11" s="224" t="str">
        <f>IFERROR(IF(AND(T10="Impacto",T11="Impacto"),(AE10-(+AE10*W11)),IF(AND(T10="Probabilidad",T11="Impacto"),(P10-(+P10*W11)),IF(T11="Probabilidad",AE10,""))),"")</f>
        <v/>
      </c>
      <c r="AF11" s="225" t="str">
        <f t="shared" si="5"/>
        <v/>
      </c>
      <c r="AG11" s="226"/>
      <c r="AH11" s="104"/>
      <c r="AI11" s="229"/>
      <c r="AJ11" s="227"/>
      <c r="AK11" s="228"/>
      <c r="AL11" s="104"/>
      <c r="AM11" s="275"/>
      <c r="AN11" s="230"/>
      <c r="AO11" s="230"/>
      <c r="AP11" s="230"/>
      <c r="AQ11" s="230"/>
      <c r="AR11" s="230"/>
      <c r="AS11" s="230"/>
      <c r="AT11" s="230"/>
      <c r="AU11" s="230"/>
      <c r="AV11" s="230"/>
      <c r="AW11" s="230"/>
      <c r="AX11" s="230"/>
      <c r="AY11" s="230"/>
      <c r="AZ11" s="230"/>
      <c r="BA11" s="230"/>
      <c r="BB11" s="230"/>
      <c r="BC11" s="230"/>
      <c r="BD11" s="230"/>
      <c r="BE11" s="230"/>
      <c r="BF11" s="230"/>
      <c r="BG11" s="230"/>
      <c r="BH11" s="230"/>
    </row>
    <row r="12" spans="1:60" s="231" customFormat="1" ht="16.5" hidden="1" customHeight="1" x14ac:dyDescent="0.3">
      <c r="A12" s="538"/>
      <c r="B12" s="505"/>
      <c r="C12" s="545"/>
      <c r="D12" s="548"/>
      <c r="E12" s="232"/>
      <c r="F12" s="551"/>
      <c r="G12" s="596"/>
      <c r="H12" s="593"/>
      <c r="I12" s="615"/>
      <c r="J12" s="620"/>
      <c r="K12" s="587"/>
      <c r="L12" s="590"/>
      <c r="M12" s="581"/>
      <c r="N12" s="584">
        <f>IF(NOT(ISERROR(MATCH(M12,_xlfn.ANCHORARRAY(F23),0))),L25&amp;"Por favor no seleccionar los criterios de impacto",M12)</f>
        <v>0</v>
      </c>
      <c r="O12" s="587"/>
      <c r="P12" s="590"/>
      <c r="Q12" s="499"/>
      <c r="R12" s="218">
        <v>3</v>
      </c>
      <c r="S12" s="229"/>
      <c r="T12" s="219" t="str">
        <f t="shared" si="0"/>
        <v/>
      </c>
      <c r="U12" s="220"/>
      <c r="V12" s="220"/>
      <c r="W12" s="221" t="str">
        <f t="shared" si="1"/>
        <v/>
      </c>
      <c r="X12" s="220"/>
      <c r="Y12" s="220"/>
      <c r="Z12" s="220"/>
      <c r="AA12" s="222" t="str">
        <f>IFERROR(IF(AND(T11="Probabilidad",T12="Probabilidad"),(AC11-(+AC11*W12)),IF(AND(T11="Impacto",T12="Probabilidad"),(AC10-(+AC10*W12)),IF(T12="Impacto",AC11,""))),"")</f>
        <v/>
      </c>
      <c r="AB12" s="223" t="str">
        <f t="shared" si="2"/>
        <v/>
      </c>
      <c r="AC12" s="224" t="str">
        <f t="shared" si="3"/>
        <v/>
      </c>
      <c r="AD12" s="223" t="str">
        <f t="shared" si="4"/>
        <v/>
      </c>
      <c r="AE12" s="224" t="str">
        <f>IFERROR(IF(AND(T11="Impacto",T12="Impacto"),(AE11-(+AE11*W12)),IF(AND(T11="Probabilidad",T12="Impacto"),(AE10-(+AE10*W12)),IF(T12="Probabilidad",AE11,""))),"")</f>
        <v/>
      </c>
      <c r="AF12" s="225" t="str">
        <f t="shared" si="5"/>
        <v/>
      </c>
      <c r="AG12" s="226"/>
      <c r="AH12" s="104"/>
      <c r="AI12" s="229"/>
      <c r="AJ12" s="227"/>
      <c r="AK12" s="228"/>
      <c r="AL12" s="104"/>
      <c r="AM12" s="275"/>
      <c r="AN12" s="230"/>
      <c r="AO12" s="230"/>
      <c r="AP12" s="230"/>
      <c r="AQ12" s="230"/>
      <c r="AR12" s="230"/>
      <c r="AS12" s="230"/>
      <c r="AT12" s="230"/>
      <c r="AU12" s="230"/>
      <c r="AV12" s="230"/>
      <c r="AW12" s="230"/>
      <c r="AX12" s="230"/>
      <c r="AY12" s="230"/>
      <c r="AZ12" s="230"/>
      <c r="BA12" s="230"/>
      <c r="BB12" s="230"/>
      <c r="BC12" s="230"/>
      <c r="BD12" s="230"/>
      <c r="BE12" s="230"/>
      <c r="BF12" s="230"/>
      <c r="BG12" s="230"/>
      <c r="BH12" s="230"/>
    </row>
    <row r="13" spans="1:60" s="231" customFormat="1" ht="16.5" hidden="1" customHeight="1" x14ac:dyDescent="0.3">
      <c r="A13" s="538"/>
      <c r="B13" s="505"/>
      <c r="C13" s="545"/>
      <c r="D13" s="548"/>
      <c r="E13" s="232"/>
      <c r="F13" s="551"/>
      <c r="G13" s="596"/>
      <c r="H13" s="593"/>
      <c r="I13" s="615"/>
      <c r="J13" s="620"/>
      <c r="K13" s="587"/>
      <c r="L13" s="590"/>
      <c r="M13" s="581"/>
      <c r="N13" s="584">
        <f>IF(NOT(ISERROR(MATCH(M13,_xlfn.ANCHORARRAY(F24),0))),L26&amp;"Por favor no seleccionar los criterios de impacto",M13)</f>
        <v>0</v>
      </c>
      <c r="O13" s="587"/>
      <c r="P13" s="590"/>
      <c r="Q13" s="499"/>
      <c r="R13" s="218">
        <v>4</v>
      </c>
      <c r="S13" s="104"/>
      <c r="T13" s="219" t="str">
        <f t="shared" si="0"/>
        <v/>
      </c>
      <c r="U13" s="220"/>
      <c r="V13" s="220"/>
      <c r="W13" s="221" t="str">
        <f t="shared" si="1"/>
        <v/>
      </c>
      <c r="X13" s="220"/>
      <c r="Y13" s="220"/>
      <c r="Z13" s="220"/>
      <c r="AA13" s="222" t="str">
        <f>IFERROR(IF(AND(T12="Probabilidad",T13="Probabilidad"),(AC12-(+AC12*W13)),IF(AND(T12="Impacto",T13="Probabilidad"),(AC11-(+AC11*W13)),IF(T13="Impacto",AC12,""))),"")</f>
        <v/>
      </c>
      <c r="AB13" s="223" t="str">
        <f t="shared" si="2"/>
        <v/>
      </c>
      <c r="AC13" s="224" t="str">
        <f t="shared" si="3"/>
        <v/>
      </c>
      <c r="AD13" s="223" t="str">
        <f t="shared" si="4"/>
        <v/>
      </c>
      <c r="AE13" s="224" t="str">
        <f>IFERROR(IF(AND(T12="Impacto",T13="Impacto"),(AE12-(+AE12*W13)),IF(AND(T12="Probabilidad",T13="Impacto"),(AE11-(+AE11*W13)),IF(T13="Probabilidad",AE12,""))),"")</f>
        <v/>
      </c>
      <c r="AF13" s="225" t="str">
        <f t="shared" si="5"/>
        <v/>
      </c>
      <c r="AG13" s="226"/>
      <c r="AH13" s="104"/>
      <c r="AI13" s="229"/>
      <c r="AJ13" s="227"/>
      <c r="AK13" s="228"/>
      <c r="AL13" s="104"/>
      <c r="AM13" s="275"/>
      <c r="AN13" s="230"/>
      <c r="AO13" s="230"/>
      <c r="AP13" s="230"/>
      <c r="AQ13" s="230"/>
      <c r="AR13" s="230"/>
      <c r="AS13" s="230"/>
      <c r="AT13" s="230"/>
      <c r="AU13" s="230"/>
      <c r="AV13" s="230"/>
      <c r="AW13" s="230"/>
      <c r="AX13" s="230"/>
      <c r="AY13" s="230"/>
      <c r="AZ13" s="230"/>
      <c r="BA13" s="230"/>
      <c r="BB13" s="230"/>
      <c r="BC13" s="230"/>
      <c r="BD13" s="230"/>
      <c r="BE13" s="230"/>
      <c r="BF13" s="230"/>
      <c r="BG13" s="230"/>
      <c r="BH13" s="230"/>
    </row>
    <row r="14" spans="1:60" s="231" customFormat="1" ht="16.5" hidden="1" customHeight="1" x14ac:dyDescent="0.3">
      <c r="A14" s="538"/>
      <c r="B14" s="505"/>
      <c r="C14" s="545"/>
      <c r="D14" s="548"/>
      <c r="E14" s="232"/>
      <c r="F14" s="551"/>
      <c r="G14" s="596"/>
      <c r="H14" s="593"/>
      <c r="I14" s="615"/>
      <c r="J14" s="620"/>
      <c r="K14" s="587"/>
      <c r="L14" s="590"/>
      <c r="M14" s="581"/>
      <c r="N14" s="584">
        <f>IF(NOT(ISERROR(MATCH(M14,_xlfn.ANCHORARRAY(F25),0))),L27&amp;"Por favor no seleccionar los criterios de impacto",M14)</f>
        <v>0</v>
      </c>
      <c r="O14" s="587"/>
      <c r="P14" s="590"/>
      <c r="Q14" s="499"/>
      <c r="R14" s="218">
        <v>5</v>
      </c>
      <c r="S14" s="104"/>
      <c r="T14" s="219" t="str">
        <f t="shared" si="0"/>
        <v/>
      </c>
      <c r="U14" s="220"/>
      <c r="V14" s="220"/>
      <c r="W14" s="221" t="str">
        <f t="shared" si="1"/>
        <v/>
      </c>
      <c r="X14" s="220"/>
      <c r="Y14" s="220"/>
      <c r="Z14" s="220"/>
      <c r="AA14" s="222" t="str">
        <f>IFERROR(IF(AND(T13="Probabilidad",T14="Probabilidad"),(AC13-(+AC13*W14)),IF(AND(T13="Impacto",T14="Probabilidad"),(AC12-(+AC12*W14)),IF(T14="Impacto",AC13,""))),"")</f>
        <v/>
      </c>
      <c r="AB14" s="223" t="str">
        <f t="shared" si="2"/>
        <v/>
      </c>
      <c r="AC14" s="224" t="str">
        <f t="shared" si="3"/>
        <v/>
      </c>
      <c r="AD14" s="223" t="str">
        <f t="shared" si="4"/>
        <v/>
      </c>
      <c r="AE14" s="224" t="str">
        <f>IFERROR(IF(AND(T13="Impacto",T14="Impacto"),(AE13-(+AE13*W14)),IF(AND(T13="Probabilidad",T14="Impacto"),(AE12-(+AE12*W14)),IF(T14="Probabilidad",AE13,""))),"")</f>
        <v/>
      </c>
      <c r="AF14" s="225" t="str">
        <f t="shared" si="5"/>
        <v/>
      </c>
      <c r="AG14" s="226"/>
      <c r="AH14" s="104"/>
      <c r="AI14" s="229"/>
      <c r="AJ14" s="227"/>
      <c r="AK14" s="228"/>
      <c r="AL14" s="104"/>
      <c r="AM14" s="275"/>
      <c r="AN14" s="230"/>
      <c r="AO14" s="230"/>
      <c r="AP14" s="230"/>
      <c r="AQ14" s="230"/>
      <c r="AR14" s="230"/>
      <c r="AS14" s="230"/>
      <c r="AT14" s="230"/>
      <c r="AU14" s="230"/>
      <c r="AV14" s="230"/>
      <c r="AW14" s="230"/>
      <c r="AX14" s="230"/>
      <c r="AY14" s="230"/>
      <c r="AZ14" s="230"/>
      <c r="BA14" s="230"/>
      <c r="BB14" s="230"/>
      <c r="BC14" s="230"/>
      <c r="BD14" s="230"/>
      <c r="BE14" s="230"/>
      <c r="BF14" s="230"/>
      <c r="BG14" s="230"/>
      <c r="BH14" s="230"/>
    </row>
    <row r="15" spans="1:60" s="231" customFormat="1" ht="16.5" hidden="1" customHeight="1" x14ac:dyDescent="0.3">
      <c r="A15" s="539"/>
      <c r="B15" s="506"/>
      <c r="C15" s="546"/>
      <c r="D15" s="549"/>
      <c r="E15" s="232"/>
      <c r="F15" s="552"/>
      <c r="G15" s="597"/>
      <c r="H15" s="594"/>
      <c r="I15" s="616"/>
      <c r="J15" s="621"/>
      <c r="K15" s="588"/>
      <c r="L15" s="591"/>
      <c r="M15" s="582"/>
      <c r="N15" s="585">
        <f>IF(NOT(ISERROR(MATCH(M15,_xlfn.ANCHORARRAY(F26),0))),L28&amp;"Por favor no seleccionar los criterios de impacto",M15)</f>
        <v>0</v>
      </c>
      <c r="O15" s="588"/>
      <c r="P15" s="591"/>
      <c r="Q15" s="500"/>
      <c r="R15" s="218">
        <v>6</v>
      </c>
      <c r="S15" s="104"/>
      <c r="T15" s="219" t="str">
        <f t="shared" si="0"/>
        <v/>
      </c>
      <c r="U15" s="220"/>
      <c r="V15" s="220"/>
      <c r="W15" s="221" t="str">
        <f t="shared" si="1"/>
        <v/>
      </c>
      <c r="X15" s="220"/>
      <c r="Y15" s="220"/>
      <c r="Z15" s="220"/>
      <c r="AA15" s="222" t="str">
        <f>IFERROR(IF(AND(T14="Probabilidad",T15="Probabilidad"),(AC14-(+AC14*W15)),IF(AND(T14="Impacto",T15="Probabilidad"),(AC13-(+AC13*W15)),IF(T15="Impacto",AC14,""))),"")</f>
        <v/>
      </c>
      <c r="AB15" s="223" t="str">
        <f t="shared" si="2"/>
        <v/>
      </c>
      <c r="AC15" s="224" t="str">
        <f t="shared" si="3"/>
        <v/>
      </c>
      <c r="AD15" s="223" t="str">
        <f t="shared" si="4"/>
        <v/>
      </c>
      <c r="AE15" s="224" t="str">
        <f>IFERROR(IF(AND(T14="Impacto",T15="Impacto"),(AE14-(+AE14*W15)),IF(AND(T14="Probabilidad",T15="Impacto"),(AE13-(+AE13*W15)),IF(T15="Probabilidad",AE14,""))),"")</f>
        <v/>
      </c>
      <c r="AF15" s="225" t="str">
        <f t="shared" si="5"/>
        <v/>
      </c>
      <c r="AG15" s="226"/>
      <c r="AH15" s="104"/>
      <c r="AI15" s="229"/>
      <c r="AJ15" s="227"/>
      <c r="AK15" s="228"/>
      <c r="AL15" s="104"/>
      <c r="AM15" s="275"/>
      <c r="AN15" s="230"/>
      <c r="AO15" s="230"/>
      <c r="AP15" s="230"/>
      <c r="AQ15" s="230"/>
      <c r="AR15" s="230"/>
      <c r="AS15" s="230"/>
      <c r="AT15" s="230"/>
      <c r="AU15" s="230"/>
      <c r="AV15" s="230"/>
      <c r="AW15" s="230"/>
      <c r="AX15" s="230"/>
      <c r="AY15" s="230"/>
      <c r="AZ15" s="230"/>
      <c r="BA15" s="230"/>
      <c r="BB15" s="230"/>
      <c r="BC15" s="230"/>
      <c r="BD15" s="230"/>
      <c r="BE15" s="230"/>
      <c r="BF15" s="230"/>
      <c r="BG15" s="230"/>
      <c r="BH15" s="230"/>
    </row>
    <row r="16" spans="1:60" s="231" customFormat="1" ht="177.75" customHeight="1" x14ac:dyDescent="0.3">
      <c r="A16" s="537">
        <v>2</v>
      </c>
      <c r="B16" s="553" t="s">
        <v>129</v>
      </c>
      <c r="C16" s="556" t="s">
        <v>367</v>
      </c>
      <c r="D16" s="559" t="s">
        <v>416</v>
      </c>
      <c r="E16" s="354" t="str">
        <f>'Priorizacion de Causas'!B36</f>
        <v>Falta de aplicación de las políticas del proceso de gestión docuemntal en el control y préstamo de la documentación.</v>
      </c>
      <c r="F16" s="562" t="s">
        <v>417</v>
      </c>
      <c r="G16" s="605" t="s">
        <v>363</v>
      </c>
      <c r="H16" s="352" t="s">
        <v>368</v>
      </c>
      <c r="I16" s="632" t="s">
        <v>118</v>
      </c>
      <c r="J16" s="635">
        <v>120000</v>
      </c>
      <c r="K16" s="586" t="str">
        <f>IF(J16&lt;=0,"",IF(J16&lt;=2,"Muy Baja",IF(J16&lt;=24,"Baja",IF(J16&lt;=500,"Media",IF(J16&lt;=5000,"Alta","Muy Alta")))))</f>
        <v>Muy Alta</v>
      </c>
      <c r="L16" s="626">
        <f>IF(K16="","",IF(K16="Muy Baja",0.2,IF(K16="Baja",0.4,IF(K16="Media",0.6,IF(K16="Alta",0.8,IF(K16="Muy Alta",1,))))))</f>
        <v>1</v>
      </c>
      <c r="M16" s="638" t="s">
        <v>145</v>
      </c>
      <c r="N16" s="583"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586" t="str">
        <f>IF(OR(N16='Tabla Impacto'!$C$11,N16='Tabla Impacto'!$D$11),"Leve",IF(OR(N16='Tabla Impacto'!$C$12,N16='Tabla Impacto'!$D$12),"Menor",IF(OR(N16='Tabla Impacto'!$C$13,N16='Tabla Impacto'!$D$13),"Moderado",IF(OR(N16='Tabla Impacto'!$C$14,N16='Tabla Impacto'!$D$14),"Mayor",IF(OR(N16='Tabla Impacto'!$C$15,N16='Tabla Impacto'!$D$15),"Catastrófico","")))))</f>
        <v>Moderado</v>
      </c>
      <c r="P16" s="626">
        <f>IF(O16="","",IF(O16="Leve",0.2,IF(O16="Menor",0.4,IF(O16="Moderado",0.6,IF(O16="Mayor",0.8,IF(O16="Catastrófico",1,))))))</f>
        <v>0.6</v>
      </c>
      <c r="Q16" s="498"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347">
        <v>1</v>
      </c>
      <c r="S16" s="342" t="str">
        <f>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6" s="348" t="str">
        <f t="shared" si="0"/>
        <v>Probabilidad</v>
      </c>
      <c r="U16" s="349" t="s">
        <v>14</v>
      </c>
      <c r="V16" s="349" t="s">
        <v>9</v>
      </c>
      <c r="W16" s="350" t="str">
        <f t="shared" si="1"/>
        <v>40%</v>
      </c>
      <c r="X16" s="349" t="s">
        <v>19</v>
      </c>
      <c r="Y16" s="349" t="s">
        <v>22</v>
      </c>
      <c r="Z16" s="349" t="s">
        <v>114</v>
      </c>
      <c r="AA16" s="351">
        <f>IFERROR(IF(T16="Probabilidad",(L16-(+L16*W16)),IF(T16="Impacto",L16,"")),"")</f>
        <v>0.6</v>
      </c>
      <c r="AB16" s="223" t="str">
        <f t="shared" si="2"/>
        <v>Media</v>
      </c>
      <c r="AC16" s="346">
        <f t="shared" si="3"/>
        <v>0.6</v>
      </c>
      <c r="AD16" s="223" t="str">
        <f t="shared" si="4"/>
        <v>Moderado</v>
      </c>
      <c r="AE16" s="346">
        <f>IFERROR(IF(T16="Impacto",(P16-(+P16*W16)),IF(T16="Probabilidad",P16,"")),"")</f>
        <v>0.6</v>
      </c>
      <c r="AF16" s="225" t="str">
        <f t="shared" si="5"/>
        <v>Moderado</v>
      </c>
      <c r="AG16" s="341" t="s">
        <v>131</v>
      </c>
      <c r="AH16" s="342" t="s">
        <v>418</v>
      </c>
      <c r="AI16" s="342" t="s">
        <v>392</v>
      </c>
      <c r="AJ16" s="343">
        <v>45658</v>
      </c>
      <c r="AK16" s="344"/>
      <c r="AL16" s="342"/>
      <c r="AM16" s="345" t="s">
        <v>41</v>
      </c>
      <c r="AN16" s="230"/>
      <c r="AO16" s="230"/>
      <c r="AP16" s="230"/>
      <c r="AQ16" s="230"/>
      <c r="AR16" s="230"/>
      <c r="AS16" s="230"/>
      <c r="AT16" s="230"/>
      <c r="AU16" s="230"/>
      <c r="AV16" s="230"/>
      <c r="AW16" s="230"/>
      <c r="AX16" s="230"/>
      <c r="AY16" s="230"/>
      <c r="AZ16" s="230"/>
      <c r="BA16" s="230"/>
      <c r="BB16" s="230"/>
      <c r="BC16" s="230"/>
      <c r="BD16" s="230"/>
      <c r="BE16" s="230"/>
      <c r="BF16" s="230"/>
      <c r="BG16" s="230"/>
      <c r="BH16" s="230"/>
    </row>
    <row r="17" spans="1:60" s="231" customFormat="1" ht="16.5" hidden="1" customHeight="1" x14ac:dyDescent="0.3">
      <c r="A17" s="538"/>
      <c r="B17" s="554"/>
      <c r="C17" s="557"/>
      <c r="D17" s="560"/>
      <c r="E17" s="232"/>
      <c r="F17" s="562"/>
      <c r="G17" s="606"/>
      <c r="H17" s="353"/>
      <c r="I17" s="633"/>
      <c r="J17" s="636"/>
      <c r="K17" s="587"/>
      <c r="L17" s="627"/>
      <c r="M17" s="639"/>
      <c r="N17" s="584">
        <f>IF(NOT(ISERROR(MATCH(M17,_xlfn.ANCHORARRAY(F28),0))),L29&amp;"Por favor no seleccionar los criterios de impacto",M17)</f>
        <v>0</v>
      </c>
      <c r="O17" s="587"/>
      <c r="P17" s="627"/>
      <c r="Q17" s="499"/>
      <c r="R17" s="218">
        <v>2</v>
      </c>
      <c r="S17" s="104"/>
      <c r="T17" s="219" t="str">
        <f t="shared" si="0"/>
        <v/>
      </c>
      <c r="U17" s="220"/>
      <c r="V17" s="220"/>
      <c r="W17" s="221" t="str">
        <f t="shared" si="1"/>
        <v/>
      </c>
      <c r="X17" s="220"/>
      <c r="Y17" s="220"/>
      <c r="Z17" s="220"/>
      <c r="AA17" s="222" t="str">
        <f>IFERROR(IF(AND(T16="Probabilidad",T17="Probabilidad"),(AC16-(+AC16*W17)),IF(AND(T16="Impacto",T17="Probabilidad"),(L16-(+L16*W17)),IF(T17="Impacto",AC16,""))),"")</f>
        <v/>
      </c>
      <c r="AB17" s="223" t="str">
        <f t="shared" si="2"/>
        <v/>
      </c>
      <c r="AC17" s="224" t="str">
        <f t="shared" si="3"/>
        <v/>
      </c>
      <c r="AD17" s="223" t="str">
        <f t="shared" si="4"/>
        <v/>
      </c>
      <c r="AE17" s="224" t="str">
        <f>IFERROR(IF(AND(T16="Impacto",T17="Impacto"),(AE16-(+AE16*W17)),IF(AND(T16="Probabilidad",T17="Impacto"),(P16-(+P16*W17)),IF(T17="Probabilidad",AE16,""))),"")</f>
        <v/>
      </c>
      <c r="AF17" s="225" t="str">
        <f t="shared" si="5"/>
        <v/>
      </c>
      <c r="AG17" s="226"/>
      <c r="AH17" s="104"/>
      <c r="AI17" s="229"/>
      <c r="AJ17" s="227"/>
      <c r="AK17" s="228"/>
      <c r="AL17" s="104"/>
      <c r="AM17" s="275"/>
      <c r="AN17" s="230"/>
      <c r="AO17" s="230"/>
      <c r="AP17" s="230"/>
      <c r="AQ17" s="230"/>
      <c r="AR17" s="230"/>
      <c r="AS17" s="230"/>
      <c r="AT17" s="230"/>
      <c r="AU17" s="230"/>
      <c r="AV17" s="230"/>
      <c r="AW17" s="230"/>
      <c r="AX17" s="230"/>
      <c r="AY17" s="230"/>
      <c r="AZ17" s="230"/>
      <c r="BA17" s="230"/>
      <c r="BB17" s="230"/>
      <c r="BC17" s="230"/>
      <c r="BD17" s="230"/>
      <c r="BE17" s="230"/>
      <c r="BF17" s="230"/>
      <c r="BG17" s="230"/>
      <c r="BH17" s="230"/>
    </row>
    <row r="18" spans="1:60" s="231" customFormat="1" ht="16.5" hidden="1" customHeight="1" x14ac:dyDescent="0.3">
      <c r="A18" s="538"/>
      <c r="B18" s="554"/>
      <c r="C18" s="557"/>
      <c r="D18" s="560"/>
      <c r="E18" s="232"/>
      <c r="F18" s="562"/>
      <c r="G18" s="606"/>
      <c r="H18" s="353"/>
      <c r="I18" s="633"/>
      <c r="J18" s="636"/>
      <c r="K18" s="587"/>
      <c r="L18" s="627"/>
      <c r="M18" s="639"/>
      <c r="N18" s="584">
        <f>IF(NOT(ISERROR(MATCH(M18,_xlfn.ANCHORARRAY(#REF!),0))),L30&amp;"Por favor no seleccionar los criterios de impacto",M18)</f>
        <v>0</v>
      </c>
      <c r="O18" s="587"/>
      <c r="P18" s="627"/>
      <c r="Q18" s="499"/>
      <c r="R18" s="218">
        <v>3</v>
      </c>
      <c r="S18" s="229"/>
      <c r="T18" s="219" t="str">
        <f t="shared" si="0"/>
        <v/>
      </c>
      <c r="U18" s="220"/>
      <c r="V18" s="220"/>
      <c r="W18" s="221" t="str">
        <f t="shared" si="1"/>
        <v/>
      </c>
      <c r="X18" s="220"/>
      <c r="Y18" s="220"/>
      <c r="Z18" s="220"/>
      <c r="AA18" s="222" t="str">
        <f>IFERROR(IF(AND(T17="Probabilidad",T18="Probabilidad"),(AC17-(+AC17*W18)),IF(AND(T17="Impacto",T18="Probabilidad"),(AC16-(+AC16*W18)),IF(T18="Impacto",AC17,""))),"")</f>
        <v/>
      </c>
      <c r="AB18" s="223" t="str">
        <f t="shared" si="2"/>
        <v/>
      </c>
      <c r="AC18" s="224" t="str">
        <f t="shared" si="3"/>
        <v/>
      </c>
      <c r="AD18" s="223" t="str">
        <f t="shared" si="4"/>
        <v/>
      </c>
      <c r="AE18" s="224" t="str">
        <f>IFERROR(IF(AND(T17="Impacto",T18="Impacto"),(AE17-(+AE17*W18)),IF(AND(T17="Probabilidad",T18="Impacto"),(AE16-(+AE16*W18)),IF(T18="Probabilidad",AE17,""))),"")</f>
        <v/>
      </c>
      <c r="AF18" s="225" t="str">
        <f t="shared" si="5"/>
        <v/>
      </c>
      <c r="AG18" s="226"/>
      <c r="AH18" s="104"/>
      <c r="AI18" s="229"/>
      <c r="AJ18" s="227"/>
      <c r="AK18" s="228"/>
      <c r="AL18" s="104"/>
      <c r="AM18" s="275"/>
      <c r="AN18" s="230"/>
      <c r="AO18" s="230"/>
      <c r="AP18" s="230"/>
      <c r="AQ18" s="230"/>
      <c r="AR18" s="230"/>
      <c r="AS18" s="230"/>
      <c r="AT18" s="230"/>
      <c r="AU18" s="230"/>
      <c r="AV18" s="230"/>
      <c r="AW18" s="230"/>
      <c r="AX18" s="230"/>
      <c r="AY18" s="230"/>
      <c r="AZ18" s="230"/>
      <c r="BA18" s="230"/>
      <c r="BB18" s="230"/>
      <c r="BC18" s="230"/>
      <c r="BD18" s="230"/>
      <c r="BE18" s="230"/>
      <c r="BF18" s="230"/>
      <c r="BG18" s="230"/>
      <c r="BH18" s="230"/>
    </row>
    <row r="19" spans="1:60" s="231" customFormat="1" ht="16.5" hidden="1" customHeight="1" x14ac:dyDescent="0.3">
      <c r="A19" s="538"/>
      <c r="B19" s="554"/>
      <c r="C19" s="557"/>
      <c r="D19" s="560"/>
      <c r="E19" s="232"/>
      <c r="F19" s="562"/>
      <c r="G19" s="606"/>
      <c r="H19" s="353"/>
      <c r="I19" s="633"/>
      <c r="J19" s="636"/>
      <c r="K19" s="587"/>
      <c r="L19" s="627"/>
      <c r="M19" s="639"/>
      <c r="N19" s="584">
        <f>IF(NOT(ISERROR(MATCH(M19,_xlfn.ANCHORARRAY(F29),0))),L31&amp;"Por favor no seleccionar los criterios de impacto",M19)</f>
        <v>0</v>
      </c>
      <c r="O19" s="587"/>
      <c r="P19" s="627"/>
      <c r="Q19" s="499"/>
      <c r="R19" s="218">
        <v>4</v>
      </c>
      <c r="S19" s="104"/>
      <c r="T19" s="219" t="str">
        <f t="shared" si="0"/>
        <v/>
      </c>
      <c r="U19" s="220"/>
      <c r="V19" s="220"/>
      <c r="W19" s="221" t="str">
        <f t="shared" si="1"/>
        <v/>
      </c>
      <c r="X19" s="220"/>
      <c r="Y19" s="220"/>
      <c r="Z19" s="220"/>
      <c r="AA19" s="222" t="str">
        <f>IFERROR(IF(AND(T18="Probabilidad",T19="Probabilidad"),(AC18-(+AC18*W19)),IF(AND(T18="Impacto",T19="Probabilidad"),(AC17-(+AC17*W19)),IF(T19="Impacto",AC18,""))),"")</f>
        <v/>
      </c>
      <c r="AB19" s="223" t="str">
        <f t="shared" si="2"/>
        <v/>
      </c>
      <c r="AC19" s="224" t="str">
        <f t="shared" si="3"/>
        <v/>
      </c>
      <c r="AD19" s="223" t="str">
        <f t="shared" si="4"/>
        <v/>
      </c>
      <c r="AE19" s="224" t="str">
        <f>IFERROR(IF(AND(T18="Impacto",T19="Impacto"),(AE18-(+AE18*W19)),IF(AND(T18="Probabilidad",T19="Impacto"),(AE17-(+AE17*W19)),IF(T19="Probabilidad",AE18,""))),"")</f>
        <v/>
      </c>
      <c r="AF19" s="225" t="str">
        <f t="shared" si="5"/>
        <v/>
      </c>
      <c r="AG19" s="226"/>
      <c r="AH19" s="104"/>
      <c r="AI19" s="229"/>
      <c r="AJ19" s="227"/>
      <c r="AK19" s="228"/>
      <c r="AL19" s="104"/>
      <c r="AM19" s="275"/>
      <c r="AN19" s="230"/>
      <c r="AO19" s="230"/>
      <c r="AP19" s="230"/>
      <c r="AQ19" s="230"/>
      <c r="AR19" s="230"/>
      <c r="AS19" s="230"/>
      <c r="AT19" s="230"/>
      <c r="AU19" s="230"/>
      <c r="AV19" s="230"/>
      <c r="AW19" s="230"/>
      <c r="AX19" s="230"/>
      <c r="AY19" s="230"/>
      <c r="AZ19" s="230"/>
      <c r="BA19" s="230"/>
      <c r="BB19" s="230"/>
      <c r="BC19" s="230"/>
      <c r="BD19" s="230"/>
      <c r="BE19" s="230"/>
      <c r="BF19" s="230"/>
      <c r="BG19" s="230"/>
      <c r="BH19" s="230"/>
    </row>
    <row r="20" spans="1:60" s="231" customFormat="1" ht="16.5" hidden="1" customHeight="1" x14ac:dyDescent="0.3">
      <c r="A20" s="538"/>
      <c r="B20" s="554"/>
      <c r="C20" s="557"/>
      <c r="D20" s="560"/>
      <c r="E20" s="232"/>
      <c r="F20" s="562"/>
      <c r="G20" s="606"/>
      <c r="H20" s="353"/>
      <c r="I20" s="633"/>
      <c r="J20" s="636"/>
      <c r="K20" s="587"/>
      <c r="L20" s="627"/>
      <c r="M20" s="639"/>
      <c r="N20" s="584">
        <f>IF(NOT(ISERROR(MATCH(M20,_xlfn.ANCHORARRAY(F30),0))),L32&amp;"Por favor no seleccionar los criterios de impacto",M20)</f>
        <v>0</v>
      </c>
      <c r="O20" s="587"/>
      <c r="P20" s="627"/>
      <c r="Q20" s="499"/>
      <c r="R20" s="218">
        <v>5</v>
      </c>
      <c r="S20" s="104"/>
      <c r="T20" s="219" t="str">
        <f t="shared" si="0"/>
        <v/>
      </c>
      <c r="U20" s="220"/>
      <c r="V20" s="220"/>
      <c r="W20" s="221" t="str">
        <f t="shared" si="1"/>
        <v/>
      </c>
      <c r="X20" s="220"/>
      <c r="Y20" s="220"/>
      <c r="Z20" s="220"/>
      <c r="AA20" s="222" t="str">
        <f>IFERROR(IF(AND(T19="Probabilidad",T20="Probabilidad"),(AC19-(+AC19*W20)),IF(AND(T19="Impacto",T20="Probabilidad"),(AC18-(+AC18*W20)),IF(T20="Impacto",AC19,""))),"")</f>
        <v/>
      </c>
      <c r="AB20" s="223" t="str">
        <f t="shared" si="2"/>
        <v/>
      </c>
      <c r="AC20" s="224" t="str">
        <f t="shared" si="3"/>
        <v/>
      </c>
      <c r="AD20" s="223" t="str">
        <f t="shared" si="4"/>
        <v/>
      </c>
      <c r="AE20" s="224" t="str">
        <f>IFERROR(IF(AND(T19="Impacto",T20="Impacto"),(AE19-(+AE19*W20)),IF(AND(T19="Probabilidad",T20="Impacto"),(AE18-(+AE18*W20)),IF(T20="Probabilidad",AE19,""))),"")</f>
        <v/>
      </c>
      <c r="AF20" s="225" t="str">
        <f t="shared" si="5"/>
        <v/>
      </c>
      <c r="AG20" s="226"/>
      <c r="AH20" s="104"/>
      <c r="AI20" s="229"/>
      <c r="AJ20" s="227"/>
      <c r="AK20" s="228"/>
      <c r="AL20" s="104"/>
      <c r="AM20" s="275"/>
      <c r="AN20" s="230"/>
      <c r="AO20" s="230"/>
      <c r="AP20" s="230"/>
      <c r="AQ20" s="230"/>
      <c r="AR20" s="230"/>
      <c r="AS20" s="230"/>
      <c r="AT20" s="230"/>
      <c r="AU20" s="230"/>
      <c r="AV20" s="230"/>
      <c r="AW20" s="230"/>
      <c r="AX20" s="230"/>
      <c r="AY20" s="230"/>
      <c r="AZ20" s="230"/>
      <c r="BA20" s="230"/>
      <c r="BB20" s="230"/>
      <c r="BC20" s="230"/>
      <c r="BD20" s="230"/>
      <c r="BE20" s="230"/>
      <c r="BF20" s="230"/>
      <c r="BG20" s="230"/>
      <c r="BH20" s="230"/>
    </row>
    <row r="21" spans="1:60" s="231" customFormat="1" ht="66.75" hidden="1" customHeight="1" x14ac:dyDescent="0.3">
      <c r="A21" s="539"/>
      <c r="B21" s="555"/>
      <c r="C21" s="558"/>
      <c r="D21" s="561"/>
      <c r="E21" s="232"/>
      <c r="F21" s="562"/>
      <c r="G21" s="607"/>
      <c r="H21" s="353"/>
      <c r="I21" s="634"/>
      <c r="J21" s="637"/>
      <c r="K21" s="588"/>
      <c r="L21" s="628"/>
      <c r="M21" s="640"/>
      <c r="N21" s="585">
        <f>IF(NOT(ISERROR(MATCH(M21,_xlfn.ANCHORARRAY(F31),0))),L33&amp;"Por favor no seleccionar los criterios de impacto",M21)</f>
        <v>0</v>
      </c>
      <c r="O21" s="588"/>
      <c r="P21" s="628"/>
      <c r="Q21" s="500"/>
      <c r="R21" s="218">
        <v>6</v>
      </c>
      <c r="S21" s="104"/>
      <c r="T21" s="219" t="str">
        <f t="shared" si="0"/>
        <v/>
      </c>
      <c r="U21" s="220"/>
      <c r="V21" s="220"/>
      <c r="W21" s="221" t="str">
        <f t="shared" si="1"/>
        <v/>
      </c>
      <c r="X21" s="220"/>
      <c r="Y21" s="220"/>
      <c r="Z21" s="220"/>
      <c r="AA21" s="222" t="str">
        <f>IFERROR(IF(AND(T20="Probabilidad",T21="Probabilidad"),(AC20-(+AC20*W21)),IF(AND(T20="Impacto",T21="Probabilidad"),(AC19-(+AC19*W21)),IF(T21="Impacto",AC20,""))),"")</f>
        <v/>
      </c>
      <c r="AB21" s="223" t="str">
        <f t="shared" si="2"/>
        <v/>
      </c>
      <c r="AC21" s="224" t="str">
        <f t="shared" si="3"/>
        <v/>
      </c>
      <c r="AD21" s="223" t="str">
        <f t="shared" si="4"/>
        <v/>
      </c>
      <c r="AE21" s="224" t="str">
        <f>IFERROR(IF(AND(T20="Impacto",T21="Impacto"),(AE20-(+AE20*W21)),IF(AND(T20="Probabilidad",T21="Impacto"),(AE19-(+AE19*W21)),IF(T21="Probabilidad",AE20,""))),"")</f>
        <v/>
      </c>
      <c r="AF21" s="225" t="str">
        <f t="shared" si="5"/>
        <v/>
      </c>
      <c r="AG21" s="226"/>
      <c r="AH21" s="104"/>
      <c r="AI21" s="229"/>
      <c r="AJ21" s="227"/>
      <c r="AK21" s="228"/>
      <c r="AL21" s="104"/>
      <c r="AM21" s="275"/>
      <c r="AN21" s="230"/>
      <c r="AO21" s="230"/>
      <c r="AP21" s="230"/>
      <c r="AQ21" s="230"/>
      <c r="AR21" s="230"/>
      <c r="AS21" s="230"/>
      <c r="AT21" s="230"/>
      <c r="AU21" s="230"/>
      <c r="AV21" s="230"/>
      <c r="AW21" s="230"/>
      <c r="AX21" s="230"/>
      <c r="AY21" s="230"/>
      <c r="AZ21" s="230"/>
      <c r="BA21" s="230"/>
      <c r="BB21" s="230"/>
      <c r="BC21" s="230"/>
      <c r="BD21" s="230"/>
      <c r="BE21" s="230"/>
      <c r="BF21" s="230"/>
      <c r="BG21" s="230"/>
      <c r="BH21" s="230"/>
    </row>
    <row r="22" spans="1:60" s="231" customFormat="1" ht="135" customHeight="1" x14ac:dyDescent="0.3">
      <c r="A22" s="537">
        <v>3</v>
      </c>
      <c r="B22" s="504" t="s">
        <v>127</v>
      </c>
      <c r="C22" s="507" t="s">
        <v>370</v>
      </c>
      <c r="D22" s="521" t="s">
        <v>371</v>
      </c>
      <c r="E22" s="340" t="str">
        <f>'Priorizacion de Causas'!B19</f>
        <v xml:space="preserve"> falta de actualización de los documentos de los procesos de gestión de la Secretaría de Hacienda.</v>
      </c>
      <c r="F22" s="524" t="s">
        <v>419</v>
      </c>
      <c r="G22" s="608" t="s">
        <v>363</v>
      </c>
      <c r="H22" s="338" t="s">
        <v>372</v>
      </c>
      <c r="I22" s="528" t="s">
        <v>118</v>
      </c>
      <c r="J22" s="531">
        <v>5</v>
      </c>
      <c r="K22" s="586" t="str">
        <f>IF(J22&lt;=0,"",IF(J22&lt;=2,"Muy Baja",IF(J22&lt;=24,"Baja",IF(J22&lt;=500,"Media",IF(J22&lt;=5000,"Alta","Muy Alta")))))</f>
        <v>Baja</v>
      </c>
      <c r="L22" s="495">
        <f>IF(K22="","",IF(K22="Muy Baja",0.2,IF(K22="Baja",0.4,IF(K22="Media",0.6,IF(K22="Alta",0.8,IF(K22="Muy Alta",1,))))))</f>
        <v>0.4</v>
      </c>
      <c r="M22" s="629" t="s">
        <v>145</v>
      </c>
      <c r="N22" s="583"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586" t="str">
        <f>IF(OR(N22='Tabla Impacto'!$C$11,N22='Tabla Impacto'!$D$11),"Leve",IF(OR(N22='Tabla Impacto'!$C$12,N22='Tabla Impacto'!$D$12),"Menor",IF(OR(N22='Tabla Impacto'!$C$13,N22='Tabla Impacto'!$D$13),"Moderado",IF(OR(N22='Tabla Impacto'!$C$14,N22='Tabla Impacto'!$D$14),"Mayor",IF(OR(N22='Tabla Impacto'!$C$15,N22='Tabla Impacto'!$D$15),"Catastrófico","")))))</f>
        <v>Moderado</v>
      </c>
      <c r="P22" s="495">
        <f>IF(O22="","",IF(O22="Leve",0.2,IF(O22="Menor",0.4,IF(O22="Moderado",0.6,IF(O22="Mayor",0.8,IF(O22="Catastrófico",1,))))))</f>
        <v>0.6</v>
      </c>
      <c r="Q22" s="498"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334">
        <v>1</v>
      </c>
      <c r="S22" s="328" t="str">
        <f>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22" s="335" t="str">
        <f t="shared" si="0"/>
        <v>Probabilidad</v>
      </c>
      <c r="U22" s="336" t="s">
        <v>14</v>
      </c>
      <c r="V22" s="336" t="s">
        <v>9</v>
      </c>
      <c r="W22" s="337" t="str">
        <f t="shared" si="1"/>
        <v>40%</v>
      </c>
      <c r="X22" s="336" t="s">
        <v>19</v>
      </c>
      <c r="Y22" s="336" t="s">
        <v>22</v>
      </c>
      <c r="Z22" s="336" t="s">
        <v>114</v>
      </c>
      <c r="AA22" s="333">
        <f>IFERROR(IF(T22="Probabilidad",(L22-(+L22*W22)),IF(T22="Impacto",L22,"")),"")</f>
        <v>0.24</v>
      </c>
      <c r="AB22" s="223" t="str">
        <f t="shared" si="2"/>
        <v>Baja</v>
      </c>
      <c r="AC22" s="332">
        <f t="shared" si="3"/>
        <v>0.24</v>
      </c>
      <c r="AD22" s="223" t="str">
        <f t="shared" si="4"/>
        <v>Moderado</v>
      </c>
      <c r="AE22" s="332">
        <f>IFERROR(IF(T22="Impacto",(P22-(+P22*W22)),IF(T22="Probabilidad",P22,"")),"")</f>
        <v>0.6</v>
      </c>
      <c r="AF22" s="225" t="str">
        <f t="shared" si="5"/>
        <v>Moderado</v>
      </c>
      <c r="AG22" s="327" t="s">
        <v>131</v>
      </c>
      <c r="AH22" s="328" t="s">
        <v>420</v>
      </c>
      <c r="AI22" s="328" t="s">
        <v>382</v>
      </c>
      <c r="AJ22" s="329">
        <v>45658</v>
      </c>
      <c r="AK22" s="330"/>
      <c r="AL22" s="328"/>
      <c r="AM22" s="331" t="s">
        <v>41</v>
      </c>
      <c r="AN22" s="230"/>
      <c r="AO22" s="230"/>
      <c r="AP22" s="230"/>
      <c r="AQ22" s="230"/>
      <c r="AR22" s="230"/>
      <c r="AS22" s="230"/>
      <c r="AT22" s="230"/>
      <c r="AU22" s="230"/>
      <c r="AV22" s="230"/>
      <c r="AW22" s="230"/>
      <c r="AX22" s="230"/>
      <c r="AY22" s="230"/>
      <c r="AZ22" s="230"/>
      <c r="BA22" s="230"/>
      <c r="BB22" s="230"/>
      <c r="BC22" s="230"/>
      <c r="BD22" s="230"/>
      <c r="BE22" s="230"/>
      <c r="BF22" s="230"/>
      <c r="BG22" s="230"/>
      <c r="BH22" s="230"/>
    </row>
    <row r="23" spans="1:60" s="231" customFormat="1" ht="26.25" hidden="1" customHeight="1" x14ac:dyDescent="0.3">
      <c r="A23" s="538"/>
      <c r="B23" s="505"/>
      <c r="C23" s="540"/>
      <c r="D23" s="542"/>
      <c r="E23" s="232"/>
      <c r="F23" s="524"/>
      <c r="G23" s="609"/>
      <c r="H23" s="339"/>
      <c r="I23" s="529"/>
      <c r="J23" s="532"/>
      <c r="K23" s="587"/>
      <c r="L23" s="496"/>
      <c r="M23" s="630"/>
      <c r="N23" s="584">
        <f>IF(NOT(ISERROR(MATCH(M23,_xlfn.ANCHORARRAY(F33),0))),L35&amp;"Por favor no seleccionar los criterios de impacto",M23)</f>
        <v>0</v>
      </c>
      <c r="O23" s="587"/>
      <c r="P23" s="496"/>
      <c r="Q23" s="499"/>
      <c r="R23" s="218">
        <v>2</v>
      </c>
      <c r="S23" s="104"/>
      <c r="T23" s="219" t="str">
        <f t="shared" si="0"/>
        <v/>
      </c>
      <c r="U23" s="220"/>
      <c r="V23" s="220"/>
      <c r="W23" s="221" t="str">
        <f t="shared" si="1"/>
        <v/>
      </c>
      <c r="X23" s="220"/>
      <c r="Y23" s="220"/>
      <c r="Z23" s="220"/>
      <c r="AA23" s="222" t="str">
        <f>IFERROR(IF(AND(T22="Probabilidad",T23="Probabilidad"),(AC22-(+AC22*W23)),IF(AND(T22="Impacto",T23="Probabilidad"),(L22-(+L22*W23)),IF(T23="Impacto",AC22,""))),"")</f>
        <v/>
      </c>
      <c r="AB23" s="223" t="str">
        <f t="shared" si="2"/>
        <v/>
      </c>
      <c r="AC23" s="224" t="str">
        <f t="shared" si="3"/>
        <v/>
      </c>
      <c r="AD23" s="223" t="str">
        <f t="shared" si="4"/>
        <v/>
      </c>
      <c r="AE23" s="224" t="str">
        <f>IFERROR(IF(AND(T22="Impacto",T23="Impacto"),(AE22-(+AE22*W23)),IF(AND(T22="Probabilidad",T23="Impacto"),(P22-(+P22*W23)),IF(T23="Probabilidad",AE22,""))),"")</f>
        <v/>
      </c>
      <c r="AF23" s="225" t="str">
        <f t="shared" si="5"/>
        <v/>
      </c>
      <c r="AG23" s="226"/>
      <c r="AH23" s="104"/>
      <c r="AI23" s="229"/>
      <c r="AJ23" s="227"/>
      <c r="AK23" s="228"/>
      <c r="AL23" s="104"/>
      <c r="AM23" s="275"/>
      <c r="AN23" s="230"/>
      <c r="AO23" s="230"/>
      <c r="AP23" s="230"/>
      <c r="AQ23" s="230"/>
      <c r="AR23" s="230"/>
      <c r="AS23" s="230"/>
      <c r="AT23" s="230"/>
      <c r="AU23" s="230"/>
      <c r="AV23" s="230"/>
      <c r="AW23" s="230"/>
      <c r="AX23" s="230"/>
      <c r="AY23" s="230"/>
      <c r="AZ23" s="230"/>
      <c r="BA23" s="230"/>
      <c r="BB23" s="230"/>
      <c r="BC23" s="230"/>
      <c r="BD23" s="230"/>
      <c r="BE23" s="230"/>
      <c r="BF23" s="230"/>
      <c r="BG23" s="230"/>
      <c r="BH23" s="230"/>
    </row>
    <row r="24" spans="1:60" s="231" customFormat="1" ht="26.25" hidden="1" customHeight="1" x14ac:dyDescent="0.3">
      <c r="A24" s="538"/>
      <c r="B24" s="505"/>
      <c r="C24" s="540"/>
      <c r="D24" s="542"/>
      <c r="E24" s="232"/>
      <c r="F24" s="524"/>
      <c r="G24" s="609"/>
      <c r="H24" s="339"/>
      <c r="I24" s="529"/>
      <c r="J24" s="532"/>
      <c r="K24" s="587"/>
      <c r="L24" s="496"/>
      <c r="M24" s="630"/>
      <c r="N24" s="584">
        <f>IF(NOT(ISERROR(MATCH(M24,_xlfn.ANCHORARRAY(F34),0))),L36&amp;"Por favor no seleccionar los criterios de impacto",M24)</f>
        <v>0</v>
      </c>
      <c r="O24" s="587"/>
      <c r="P24" s="496"/>
      <c r="Q24" s="499"/>
      <c r="R24" s="218">
        <v>3</v>
      </c>
      <c r="S24" s="229"/>
      <c r="T24" s="219" t="str">
        <f t="shared" si="0"/>
        <v/>
      </c>
      <c r="U24" s="220"/>
      <c r="V24" s="220"/>
      <c r="W24" s="221" t="str">
        <f t="shared" si="1"/>
        <v/>
      </c>
      <c r="X24" s="220"/>
      <c r="Y24" s="220"/>
      <c r="Z24" s="220"/>
      <c r="AA24" s="222" t="str">
        <f>IFERROR(IF(AND(T23="Probabilidad",T24="Probabilidad"),(AC23-(+AC23*W24)),IF(AND(T23="Impacto",T24="Probabilidad"),(AC22-(+AC22*W24)),IF(T24="Impacto",AC23,""))),"")</f>
        <v/>
      </c>
      <c r="AB24" s="223" t="str">
        <f t="shared" si="2"/>
        <v/>
      </c>
      <c r="AC24" s="224" t="str">
        <f t="shared" si="3"/>
        <v/>
      </c>
      <c r="AD24" s="223" t="str">
        <f t="shared" si="4"/>
        <v/>
      </c>
      <c r="AE24" s="224" t="str">
        <f>IFERROR(IF(AND(T23="Impacto",T24="Impacto"),(AE23-(+AE23*W24)),IF(AND(T23="Probabilidad",T24="Impacto"),(AE22-(+AE22*W24)),IF(T24="Probabilidad",AE23,""))),"")</f>
        <v/>
      </c>
      <c r="AF24" s="225" t="str">
        <f t="shared" si="5"/>
        <v/>
      </c>
      <c r="AG24" s="226"/>
      <c r="AH24" s="104"/>
      <c r="AI24" s="229"/>
      <c r="AJ24" s="227"/>
      <c r="AK24" s="228"/>
      <c r="AL24" s="104"/>
      <c r="AM24" s="275"/>
      <c r="AN24" s="230"/>
      <c r="AO24" s="230"/>
      <c r="AP24" s="230"/>
      <c r="AQ24" s="230"/>
      <c r="AR24" s="230"/>
      <c r="AS24" s="230"/>
      <c r="AT24" s="230"/>
      <c r="AU24" s="230"/>
      <c r="AV24" s="230"/>
      <c r="AW24" s="230"/>
      <c r="AX24" s="230"/>
      <c r="AY24" s="230"/>
      <c r="AZ24" s="230"/>
      <c r="BA24" s="230"/>
      <c r="BB24" s="230"/>
      <c r="BC24" s="230"/>
      <c r="BD24" s="230"/>
      <c r="BE24" s="230"/>
      <c r="BF24" s="230"/>
      <c r="BG24" s="230"/>
      <c r="BH24" s="230"/>
    </row>
    <row r="25" spans="1:60" s="231" customFormat="1" ht="26.25" hidden="1" customHeight="1" x14ac:dyDescent="0.3">
      <c r="A25" s="538"/>
      <c r="B25" s="505"/>
      <c r="C25" s="540"/>
      <c r="D25" s="542"/>
      <c r="E25" s="232"/>
      <c r="F25" s="524"/>
      <c r="G25" s="609"/>
      <c r="H25" s="339"/>
      <c r="I25" s="529"/>
      <c r="J25" s="532"/>
      <c r="K25" s="587"/>
      <c r="L25" s="496"/>
      <c r="M25" s="630"/>
      <c r="N25" s="584">
        <f>IF(NOT(ISERROR(MATCH(M25,_xlfn.ANCHORARRAY(F35),0))),L37&amp;"Por favor no seleccionar los criterios de impacto",M25)</f>
        <v>0</v>
      </c>
      <c r="O25" s="587"/>
      <c r="P25" s="496"/>
      <c r="Q25" s="499"/>
      <c r="R25" s="218">
        <v>4</v>
      </c>
      <c r="S25" s="104"/>
      <c r="T25" s="219" t="str">
        <f t="shared" si="0"/>
        <v/>
      </c>
      <c r="U25" s="220"/>
      <c r="V25" s="220"/>
      <c r="W25" s="221" t="str">
        <f t="shared" si="1"/>
        <v/>
      </c>
      <c r="X25" s="220"/>
      <c r="Y25" s="220"/>
      <c r="Z25" s="220"/>
      <c r="AA25" s="222" t="str">
        <f>IFERROR(IF(AND(T24="Probabilidad",T25="Probabilidad"),(AC24-(+AC24*W25)),IF(AND(T24="Impacto",T25="Probabilidad"),(AC23-(+AC23*W25)),IF(T25="Impacto",AC24,""))),"")</f>
        <v/>
      </c>
      <c r="AB25" s="223" t="str">
        <f t="shared" si="2"/>
        <v/>
      </c>
      <c r="AC25" s="224" t="str">
        <f t="shared" si="3"/>
        <v/>
      </c>
      <c r="AD25" s="223" t="str">
        <f t="shared" si="4"/>
        <v/>
      </c>
      <c r="AE25" s="224" t="str">
        <f>IFERROR(IF(AND(T24="Impacto",T25="Impacto"),(AE24-(+AE24*W25)),IF(AND(T24="Probabilidad",T25="Impacto"),(AE23-(+AE23*W25)),IF(T25="Probabilidad",AE24,""))),"")</f>
        <v/>
      </c>
      <c r="AF25" s="225" t="str">
        <f t="shared" si="5"/>
        <v/>
      </c>
      <c r="AG25" s="226"/>
      <c r="AH25" s="104"/>
      <c r="AI25" s="229"/>
      <c r="AJ25" s="227"/>
      <c r="AK25" s="228"/>
      <c r="AL25" s="104"/>
      <c r="AM25" s="275"/>
      <c r="AN25" s="230"/>
      <c r="AO25" s="230"/>
      <c r="AP25" s="230"/>
      <c r="AQ25" s="230"/>
      <c r="AR25" s="230"/>
      <c r="AS25" s="230"/>
      <c r="AT25" s="230"/>
      <c r="AU25" s="230"/>
      <c r="AV25" s="230"/>
      <c r="AW25" s="230"/>
      <c r="AX25" s="230"/>
      <c r="AY25" s="230"/>
      <c r="AZ25" s="230"/>
      <c r="BA25" s="230"/>
      <c r="BB25" s="230"/>
      <c r="BC25" s="230"/>
      <c r="BD25" s="230"/>
      <c r="BE25" s="230"/>
      <c r="BF25" s="230"/>
      <c r="BG25" s="230"/>
      <c r="BH25" s="230"/>
    </row>
    <row r="26" spans="1:60" s="231" customFormat="1" ht="26.25" hidden="1" customHeight="1" x14ac:dyDescent="0.3">
      <c r="A26" s="538"/>
      <c r="B26" s="505"/>
      <c r="C26" s="540"/>
      <c r="D26" s="542"/>
      <c r="E26" s="232"/>
      <c r="F26" s="524"/>
      <c r="G26" s="609"/>
      <c r="H26" s="339"/>
      <c r="I26" s="529"/>
      <c r="J26" s="532"/>
      <c r="K26" s="587"/>
      <c r="L26" s="496"/>
      <c r="M26" s="630"/>
      <c r="N26" s="584">
        <f>IF(NOT(ISERROR(MATCH(M26,_xlfn.ANCHORARRAY(F36),0))),L38&amp;"Por favor no seleccionar los criterios de impacto",M26)</f>
        <v>0</v>
      </c>
      <c r="O26" s="587"/>
      <c r="P26" s="496"/>
      <c r="Q26" s="499"/>
      <c r="R26" s="218">
        <v>5</v>
      </c>
      <c r="S26" s="104"/>
      <c r="T26" s="219" t="str">
        <f t="shared" si="0"/>
        <v/>
      </c>
      <c r="U26" s="220"/>
      <c r="V26" s="220"/>
      <c r="W26" s="221" t="str">
        <f t="shared" si="1"/>
        <v/>
      </c>
      <c r="X26" s="220"/>
      <c r="Y26" s="220"/>
      <c r="Z26" s="220"/>
      <c r="AA26" s="222" t="str">
        <f>IFERROR(IF(AND(T25="Probabilidad",T26="Probabilidad"),(AC25-(+AC25*W26)),IF(AND(T25="Impacto",T26="Probabilidad"),(AC24-(+AC24*W26)),IF(T26="Impacto",AC25,""))),"")</f>
        <v/>
      </c>
      <c r="AB26" s="223" t="str">
        <f t="shared" si="2"/>
        <v/>
      </c>
      <c r="AC26" s="224" t="str">
        <f t="shared" si="3"/>
        <v/>
      </c>
      <c r="AD26" s="223" t="str">
        <f t="shared" si="4"/>
        <v/>
      </c>
      <c r="AE26" s="224" t="str">
        <f>IFERROR(IF(AND(T25="Impacto",T26="Impacto"),(AE25-(+AE25*W26)),IF(AND(T25="Probabilidad",T26="Impacto"),(AE24-(+AE24*W26)),IF(T26="Probabilidad",AE25,""))),"")</f>
        <v/>
      </c>
      <c r="AF26" s="225" t="str">
        <f t="shared" si="5"/>
        <v/>
      </c>
      <c r="AG26" s="226"/>
      <c r="AH26" s="104"/>
      <c r="AI26" s="229"/>
      <c r="AJ26" s="227"/>
      <c r="AK26" s="228"/>
      <c r="AL26" s="104"/>
      <c r="AM26" s="275"/>
      <c r="AN26" s="230"/>
      <c r="AO26" s="230"/>
      <c r="AP26" s="230"/>
      <c r="AQ26" s="230"/>
      <c r="AR26" s="230"/>
      <c r="AS26" s="230"/>
      <c r="AT26" s="230"/>
      <c r="AU26" s="230"/>
      <c r="AV26" s="230"/>
      <c r="AW26" s="230"/>
      <c r="AX26" s="230"/>
      <c r="AY26" s="230"/>
      <c r="AZ26" s="230"/>
      <c r="BA26" s="230"/>
      <c r="BB26" s="230"/>
      <c r="BC26" s="230"/>
      <c r="BD26" s="230"/>
      <c r="BE26" s="230"/>
      <c r="BF26" s="230"/>
      <c r="BG26" s="230"/>
      <c r="BH26" s="230"/>
    </row>
    <row r="27" spans="1:60" s="231" customFormat="1" ht="60.75" hidden="1" customHeight="1" x14ac:dyDescent="0.3">
      <c r="A27" s="539"/>
      <c r="B27" s="506"/>
      <c r="C27" s="541"/>
      <c r="D27" s="543"/>
      <c r="E27" s="232"/>
      <c r="F27" s="524"/>
      <c r="G27" s="610"/>
      <c r="H27" s="339"/>
      <c r="I27" s="530"/>
      <c r="J27" s="533"/>
      <c r="K27" s="588"/>
      <c r="L27" s="497"/>
      <c r="M27" s="631"/>
      <c r="N27" s="585">
        <f>IF(NOT(ISERROR(MATCH(M27,_xlfn.ANCHORARRAY(F37),0))),L39&amp;"Por favor no seleccionar los criterios de impacto",M27)</f>
        <v>0</v>
      </c>
      <c r="O27" s="588"/>
      <c r="P27" s="497"/>
      <c r="Q27" s="500"/>
      <c r="R27" s="218">
        <v>6</v>
      </c>
      <c r="S27" s="104"/>
      <c r="T27" s="219" t="str">
        <f t="shared" si="0"/>
        <v/>
      </c>
      <c r="U27" s="220"/>
      <c r="V27" s="220"/>
      <c r="W27" s="221" t="str">
        <f t="shared" si="1"/>
        <v/>
      </c>
      <c r="X27" s="220"/>
      <c r="Y27" s="220"/>
      <c r="Z27" s="220"/>
      <c r="AA27" s="222" t="str">
        <f>IFERROR(IF(AND(T26="Probabilidad",T27="Probabilidad"),(AC26-(+AC26*W27)),IF(AND(T26="Impacto",T27="Probabilidad"),(AC25-(+AC25*W27)),IF(T27="Impacto",AC26,""))),"")</f>
        <v/>
      </c>
      <c r="AB27" s="223" t="str">
        <f t="shared" si="2"/>
        <v/>
      </c>
      <c r="AC27" s="224" t="str">
        <f t="shared" si="3"/>
        <v/>
      </c>
      <c r="AD27" s="223" t="str">
        <f t="shared" si="4"/>
        <v/>
      </c>
      <c r="AE27" s="224" t="str">
        <f>IFERROR(IF(AND(T26="Impacto",T27="Impacto"),(AE26-(+AE26*W27)),IF(AND(T26="Probabilidad",T27="Impacto"),(AE25-(+AE25*W27)),IF(T27="Probabilidad",AE26,""))),"")</f>
        <v/>
      </c>
      <c r="AF27" s="225" t="str">
        <f t="shared" si="5"/>
        <v/>
      </c>
      <c r="AG27" s="226"/>
      <c r="AH27" s="104"/>
      <c r="AI27" s="229"/>
      <c r="AJ27" s="227"/>
      <c r="AK27" s="228"/>
      <c r="AL27" s="104"/>
      <c r="AM27" s="275"/>
      <c r="AN27" s="230"/>
      <c r="AO27" s="230"/>
      <c r="AP27" s="230"/>
      <c r="AQ27" s="230"/>
      <c r="AR27" s="230"/>
      <c r="AS27" s="230"/>
      <c r="AT27" s="230"/>
      <c r="AU27" s="230"/>
      <c r="AV27" s="230"/>
      <c r="AW27" s="230"/>
      <c r="AX27" s="230"/>
      <c r="AY27" s="230"/>
      <c r="AZ27" s="230"/>
      <c r="BA27" s="230"/>
      <c r="BB27" s="230"/>
      <c r="BC27" s="230"/>
      <c r="BD27" s="230"/>
      <c r="BE27" s="230"/>
      <c r="BF27" s="230"/>
      <c r="BG27" s="230"/>
      <c r="BH27" s="230"/>
    </row>
    <row r="28" spans="1:60" s="231" customFormat="1" ht="144" customHeight="1" x14ac:dyDescent="0.3">
      <c r="A28" s="234">
        <v>4</v>
      </c>
      <c r="B28" s="277" t="s">
        <v>127</v>
      </c>
      <c r="C28" s="278" t="s">
        <v>383</v>
      </c>
      <c r="D28" s="279" t="s">
        <v>421</v>
      </c>
      <c r="E28" s="354" t="str">
        <f>'Priorizacion de Causas'!B20</f>
        <v>Inconsistencia en los cruces entre bancos y las certificaciones</v>
      </c>
      <c r="F28" s="276" t="s">
        <v>422</v>
      </c>
      <c r="G28" s="358" t="s">
        <v>363</v>
      </c>
      <c r="H28" s="352" t="s">
        <v>384</v>
      </c>
      <c r="I28" s="359" t="s">
        <v>118</v>
      </c>
      <c r="J28" s="360">
        <v>1</v>
      </c>
      <c r="K28" s="236" t="str">
        <f>IF(J28&lt;=0,"",IF(J28&lt;=2,"Muy Baja",IF(J28&lt;=24,"Baja",IF(J28&lt;=500,"Media",IF(J28&lt;=5000,"Alta","Muy Alta")))))</f>
        <v>Muy Baja</v>
      </c>
      <c r="L28" s="356">
        <f>IF(K28="","",IF(K28="Muy Baja",0.2,IF(K28="Baja",0.4,IF(K28="Media",0.6,IF(K28="Alta",0.8,IF(K28="Muy Alta",1,))))))</f>
        <v>0.2</v>
      </c>
      <c r="M28" s="357" t="s">
        <v>143</v>
      </c>
      <c r="N28" s="237" t="str">
        <f>IF(NOT(ISERROR(MATCH(M28,'Tabla Impacto'!$B$221:$B$223,0))),'Tabla Impacto'!$F$223&amp;"Por favor no seleccionar los criterios de impacto(Afectación Económica o presupuestal y Pérdida Reputacional)",M28)</f>
        <v xml:space="preserve">     El riesgo afecta la imagen de alguna área de la organización</v>
      </c>
      <c r="O28" s="236" t="str">
        <f>IF(OR(N28='Tabla Impacto'!$C$11,N28='Tabla Impacto'!$D$11),"Leve",IF(OR(N28='Tabla Impacto'!$C$12,N28='Tabla Impacto'!$D$12),"Menor",IF(OR(N28='Tabla Impacto'!$C$13,N28='Tabla Impacto'!$D$13),"Moderado",IF(OR(N28='Tabla Impacto'!$C$14,N28='Tabla Impacto'!$D$14),"Mayor",IF(OR(N28='Tabla Impacto'!$C$15,N28='Tabla Impacto'!$D$15),"Catastrófico","")))))</f>
        <v>Leve</v>
      </c>
      <c r="P28" s="356">
        <f>IF(O28="","",IF(O28="Leve",0.2,IF(O28="Menor",0.4,IF(O28="Moderado",0.6,IF(O28="Mayor",0.8,IF(O28="Catastrófico",1,))))))</f>
        <v>0.2</v>
      </c>
      <c r="Q28" s="238"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Bajo</v>
      </c>
      <c r="R28" s="347">
        <v>1</v>
      </c>
      <c r="S28" s="342" t="str">
        <f>DOFA!E42</f>
        <v>D 13, D14. O10, F11 , A4. El Director de Tesoreria , anualmente, emitirá Certificado de superávit o déficit fiscal, dejando como evidencia dicha certificación. 
(PRO-GHP-010: PROCEDIMIENTO: CIERRE DEL EJERCICIO FISCAL)</v>
      </c>
      <c r="T28" s="348" t="str">
        <f t="shared" si="0"/>
        <v>Probabilidad</v>
      </c>
      <c r="U28" s="349" t="s">
        <v>14</v>
      </c>
      <c r="V28" s="349" t="s">
        <v>9</v>
      </c>
      <c r="W28" s="350" t="str">
        <f t="shared" si="1"/>
        <v>40%</v>
      </c>
      <c r="X28" s="349" t="s">
        <v>20</v>
      </c>
      <c r="Y28" s="349" t="s">
        <v>22</v>
      </c>
      <c r="Z28" s="349" t="s">
        <v>114</v>
      </c>
      <c r="AA28" s="351">
        <f>IFERROR(IF(T28="Probabilidad",(L28-(+L28*W28)),IF(T28="Impacto",L28,"")),"")</f>
        <v>0.12</v>
      </c>
      <c r="AB28" s="223" t="str">
        <f t="shared" si="2"/>
        <v>Muy Baja</v>
      </c>
      <c r="AC28" s="346">
        <f t="shared" si="3"/>
        <v>0.12</v>
      </c>
      <c r="AD28" s="223" t="str">
        <f t="shared" si="4"/>
        <v>Leve</v>
      </c>
      <c r="AE28" s="346">
        <f>IFERROR(IF(T28="Impacto",(P28-(+P28*W28)),IF(T28="Probabilidad",P28,"")),"")</f>
        <v>0.2</v>
      </c>
      <c r="AF28" s="225" t="str">
        <f t="shared" si="5"/>
        <v>Bajo</v>
      </c>
      <c r="AG28" s="341" t="s">
        <v>131</v>
      </c>
      <c r="AH28" s="342" t="s">
        <v>423</v>
      </c>
      <c r="AI28" s="355" t="s">
        <v>392</v>
      </c>
      <c r="AJ28" s="343">
        <v>45658</v>
      </c>
      <c r="AK28" s="344"/>
      <c r="AL28" s="342"/>
      <c r="AM28" s="345" t="s">
        <v>41</v>
      </c>
      <c r="AN28" s="230"/>
      <c r="AO28" s="230"/>
      <c r="AP28" s="230"/>
      <c r="AQ28" s="230"/>
      <c r="AR28" s="230"/>
      <c r="AS28" s="230"/>
      <c r="AT28" s="230"/>
      <c r="AU28" s="230"/>
      <c r="AV28" s="230"/>
      <c r="AW28" s="230"/>
      <c r="AX28" s="230"/>
      <c r="AY28" s="230"/>
      <c r="AZ28" s="230"/>
      <c r="BA28" s="230"/>
      <c r="BB28" s="230"/>
      <c r="BC28" s="230"/>
      <c r="BD28" s="230"/>
      <c r="BE28" s="230"/>
      <c r="BF28" s="230"/>
      <c r="BG28" s="230"/>
      <c r="BH28" s="230"/>
    </row>
    <row r="29" spans="1:60" s="231" customFormat="1" ht="18.75" hidden="1" customHeight="1" x14ac:dyDescent="0.3">
      <c r="A29" s="239"/>
      <c r="B29" s="240"/>
      <c r="C29" s="241"/>
      <c r="D29" s="242"/>
      <c r="E29" s="232"/>
      <c r="F29" s="235"/>
      <c r="G29" s="243"/>
      <c r="H29" s="233"/>
      <c r="I29" s="244"/>
      <c r="J29" s="245"/>
      <c r="K29" s="246"/>
      <c r="L29" s="247"/>
      <c r="M29" s="248"/>
      <c r="N29" s="247">
        <f>IF(NOT(ISERROR(MATCH(M29,_xlfn.ANCHORARRAY(F40),0))),L42&amp;"Por favor no seleccionar los criterios de impacto",M29)</f>
        <v>0</v>
      </c>
      <c r="O29" s="246"/>
      <c r="P29" s="247"/>
      <c r="Q29" s="249"/>
      <c r="R29" s="218">
        <v>3</v>
      </c>
      <c r="S29" s="104"/>
      <c r="T29" s="219" t="str">
        <f t="shared" si="0"/>
        <v/>
      </c>
      <c r="U29" s="220"/>
      <c r="V29" s="220"/>
      <c r="W29" s="221" t="str">
        <f t="shared" si="1"/>
        <v/>
      </c>
      <c r="X29" s="220"/>
      <c r="Y29" s="220"/>
      <c r="Z29" s="220"/>
      <c r="AA29" s="222" t="str">
        <f>IFERROR(IF(AND(#REF!="Probabilidad",T29="Probabilidad"),(#REF!-(+#REF!*W29)),IF(AND(#REF!="Impacto",T29="Probabilidad"),(AC28-(+AC28*W29)),IF(T29="Impacto",#REF!,""))),"")</f>
        <v/>
      </c>
      <c r="AB29" s="223" t="str">
        <f t="shared" si="2"/>
        <v/>
      </c>
      <c r="AC29" s="224" t="str">
        <f t="shared" si="3"/>
        <v/>
      </c>
      <c r="AD29" s="223" t="str">
        <f t="shared" si="4"/>
        <v/>
      </c>
      <c r="AE29" s="224" t="str">
        <f>IFERROR(IF(AND(#REF!="Impacto",T29="Impacto"),(#REF!-(+#REF!*W29)),IF(AND(#REF!="Probabilidad",T29="Impacto"),(AE28-(+AE28*W29)),IF(T29="Probabilidad",#REF!,""))),"")</f>
        <v/>
      </c>
      <c r="AF29" s="225" t="str">
        <f t="shared" si="5"/>
        <v/>
      </c>
      <c r="AG29" s="226"/>
      <c r="AH29" s="104"/>
      <c r="AI29" s="229"/>
      <c r="AJ29" s="227"/>
      <c r="AK29" s="228"/>
      <c r="AL29" s="104"/>
      <c r="AM29" s="275"/>
      <c r="AN29" s="230"/>
      <c r="AO29" s="230"/>
      <c r="AP29" s="230"/>
      <c r="AQ29" s="230"/>
      <c r="AR29" s="230"/>
      <c r="AS29" s="230"/>
      <c r="AT29" s="230"/>
      <c r="AU29" s="230"/>
      <c r="AV29" s="230"/>
      <c r="AW29" s="230"/>
      <c r="AX29" s="230"/>
      <c r="AY29" s="230"/>
      <c r="AZ29" s="230"/>
      <c r="BA29" s="230"/>
      <c r="BB29" s="230"/>
      <c r="BC29" s="230"/>
      <c r="BD29" s="230"/>
      <c r="BE29" s="230"/>
      <c r="BF29" s="230"/>
      <c r="BG29" s="230"/>
      <c r="BH29" s="230"/>
    </row>
    <row r="30" spans="1:60" s="231" customFormat="1" ht="30" hidden="1" customHeight="1" x14ac:dyDescent="0.3">
      <c r="A30" s="239"/>
      <c r="B30" s="240"/>
      <c r="C30" s="241"/>
      <c r="D30" s="242"/>
      <c r="E30" s="232"/>
      <c r="F30" s="235"/>
      <c r="G30" s="243"/>
      <c r="H30" s="233"/>
      <c r="I30" s="244"/>
      <c r="J30" s="245"/>
      <c r="K30" s="246"/>
      <c r="L30" s="247"/>
      <c r="M30" s="248"/>
      <c r="N30" s="247">
        <f>IF(NOT(ISERROR(MATCH(M30,_xlfn.ANCHORARRAY(F41),0))),L43&amp;"Por favor no seleccionar los criterios de impacto",M30)</f>
        <v>0</v>
      </c>
      <c r="O30" s="246"/>
      <c r="P30" s="247"/>
      <c r="Q30" s="249"/>
      <c r="R30" s="218">
        <v>4</v>
      </c>
      <c r="S30" s="104">
        <f>DOFA!E46</f>
        <v>0</v>
      </c>
      <c r="T30" s="219" t="str">
        <f t="shared" si="0"/>
        <v/>
      </c>
      <c r="U30" s="220"/>
      <c r="V30" s="220"/>
      <c r="W30" s="221" t="str">
        <f t="shared" si="1"/>
        <v/>
      </c>
      <c r="X30" s="220"/>
      <c r="Y30" s="220"/>
      <c r="Z30" s="220"/>
      <c r="AA30" s="222" t="str">
        <f>IFERROR(IF(AND(T29="Probabilidad",T30="Probabilidad"),(AC29-(+AC29*W30)),IF(AND(T29="Impacto",T30="Probabilidad"),(#REF!-(+#REF!*W30)),IF(T30="Impacto",AC29,""))),"")</f>
        <v/>
      </c>
      <c r="AB30" s="223" t="str">
        <f t="shared" si="2"/>
        <v/>
      </c>
      <c r="AC30" s="224" t="str">
        <f t="shared" si="3"/>
        <v/>
      </c>
      <c r="AD30" s="223" t="str">
        <f t="shared" si="4"/>
        <v/>
      </c>
      <c r="AE30" s="224" t="str">
        <f>IFERROR(IF(AND(T29="Impacto",T30="Impacto"),(AE29-(+AE29*W30)),IF(AND(T29="Probabilidad",T30="Impacto"),(#REF!-(+#REF!*W30)),IF(T30="Probabilidad",AE29,""))),"")</f>
        <v/>
      </c>
      <c r="AF30" s="225" t="str">
        <f t="shared" si="5"/>
        <v/>
      </c>
      <c r="AG30" s="226"/>
      <c r="AH30" s="104"/>
      <c r="AI30" s="229"/>
      <c r="AJ30" s="227"/>
      <c r="AK30" s="228"/>
      <c r="AL30" s="104"/>
      <c r="AM30" s="275"/>
      <c r="AN30" s="230"/>
      <c r="AO30" s="230"/>
      <c r="AP30" s="230"/>
      <c r="AQ30" s="230"/>
      <c r="AR30" s="230"/>
      <c r="AS30" s="230"/>
      <c r="AT30" s="230"/>
      <c r="AU30" s="230"/>
      <c r="AV30" s="230"/>
      <c r="AW30" s="230"/>
      <c r="AX30" s="230"/>
      <c r="AY30" s="230"/>
      <c r="AZ30" s="230"/>
      <c r="BA30" s="230"/>
      <c r="BB30" s="230"/>
      <c r="BC30" s="230"/>
      <c r="BD30" s="230"/>
      <c r="BE30" s="230"/>
      <c r="BF30" s="230"/>
      <c r="BG30" s="230"/>
      <c r="BH30" s="230"/>
    </row>
    <row r="31" spans="1:60" s="231" customFormat="1" ht="26.25" hidden="1" customHeight="1" x14ac:dyDescent="0.3">
      <c r="A31" s="239"/>
      <c r="B31" s="240"/>
      <c r="C31" s="241"/>
      <c r="D31" s="242"/>
      <c r="E31" s="232"/>
      <c r="F31" s="235"/>
      <c r="G31" s="243"/>
      <c r="H31" s="233"/>
      <c r="I31" s="244"/>
      <c r="J31" s="245"/>
      <c r="K31" s="246"/>
      <c r="L31" s="247"/>
      <c r="M31" s="248"/>
      <c r="N31" s="247">
        <f>IF(NOT(ISERROR(MATCH(M31,_xlfn.ANCHORARRAY(F42),0))),L44&amp;"Por favor no seleccionar los criterios de impacto",M31)</f>
        <v>0</v>
      </c>
      <c r="O31" s="246"/>
      <c r="P31" s="247"/>
      <c r="Q31" s="249"/>
      <c r="R31" s="218">
        <v>5</v>
      </c>
      <c r="S31" s="104">
        <f>DOFA!E47</f>
        <v>0</v>
      </c>
      <c r="T31" s="219" t="str">
        <f t="shared" si="0"/>
        <v/>
      </c>
      <c r="U31" s="220"/>
      <c r="V31" s="220"/>
      <c r="W31" s="221" t="str">
        <f t="shared" si="1"/>
        <v/>
      </c>
      <c r="X31" s="220"/>
      <c r="Y31" s="220"/>
      <c r="Z31" s="220"/>
      <c r="AA31" s="222" t="str">
        <f>IFERROR(IF(AND(T30="Probabilidad",T31="Probabilidad"),(AC30-(+AC30*W31)),IF(AND(T30="Impacto",T31="Probabilidad"),(AC29-(+AC29*W31)),IF(T31="Impacto",AC30,""))),"")</f>
        <v/>
      </c>
      <c r="AB31" s="223" t="str">
        <f t="shared" si="2"/>
        <v/>
      </c>
      <c r="AC31" s="224" t="str">
        <f t="shared" si="3"/>
        <v/>
      </c>
      <c r="AD31" s="223" t="str">
        <f t="shared" si="4"/>
        <v/>
      </c>
      <c r="AE31" s="224" t="str">
        <f>IFERROR(IF(AND(T30="Impacto",T31="Impacto"),(AE30-(+AE30*W31)),IF(AND(T30="Probabilidad",T31="Impacto"),(AE29-(+AE29*W31)),IF(T31="Probabilidad",AE30,""))),"")</f>
        <v/>
      </c>
      <c r="AF31" s="225" t="str">
        <f t="shared" si="5"/>
        <v/>
      </c>
      <c r="AG31" s="226"/>
      <c r="AH31" s="104"/>
      <c r="AI31" s="229"/>
      <c r="AJ31" s="227"/>
      <c r="AK31" s="228"/>
      <c r="AL31" s="104"/>
      <c r="AM31" s="275"/>
      <c r="AN31" s="230"/>
      <c r="AO31" s="230"/>
      <c r="AP31" s="230"/>
      <c r="AQ31" s="230"/>
      <c r="AR31" s="230"/>
      <c r="AS31" s="230"/>
      <c r="AT31" s="230"/>
      <c r="AU31" s="230"/>
      <c r="AV31" s="230"/>
      <c r="AW31" s="230"/>
      <c r="AX31" s="230"/>
      <c r="AY31" s="230"/>
      <c r="AZ31" s="230"/>
      <c r="BA31" s="230"/>
      <c r="BB31" s="230"/>
      <c r="BC31" s="230"/>
      <c r="BD31" s="230"/>
      <c r="BE31" s="230"/>
      <c r="BF31" s="230"/>
      <c r="BG31" s="230"/>
      <c r="BH31" s="230"/>
    </row>
    <row r="32" spans="1:60" s="231" customFormat="1" ht="23.25" hidden="1" customHeight="1" x14ac:dyDescent="0.3">
      <c r="A32" s="250"/>
      <c r="B32" s="251"/>
      <c r="C32" s="252"/>
      <c r="D32" s="253"/>
      <c r="E32" s="232"/>
      <c r="F32" s="235"/>
      <c r="G32" s="254"/>
      <c r="H32" s="233"/>
      <c r="I32" s="255"/>
      <c r="J32" s="256"/>
      <c r="K32" s="257"/>
      <c r="L32" s="258"/>
      <c r="M32" s="259"/>
      <c r="N32" s="258">
        <f>IF(NOT(ISERROR(MATCH(M32,_xlfn.ANCHORARRAY(F43),0))),L45&amp;"Por favor no seleccionar los criterios de impacto",M32)</f>
        <v>0</v>
      </c>
      <c r="O32" s="257"/>
      <c r="P32" s="258"/>
      <c r="Q32" s="260"/>
      <c r="R32" s="218">
        <v>6</v>
      </c>
      <c r="S32" s="104">
        <f>DOFA!E48</f>
        <v>0</v>
      </c>
      <c r="T32" s="219" t="str">
        <f t="shared" si="0"/>
        <v/>
      </c>
      <c r="U32" s="220"/>
      <c r="V32" s="220"/>
      <c r="W32" s="221" t="str">
        <f t="shared" si="1"/>
        <v/>
      </c>
      <c r="X32" s="220"/>
      <c r="Y32" s="220"/>
      <c r="Z32" s="220"/>
      <c r="AA32" s="222" t="str">
        <f>IFERROR(IF(AND(T31="Probabilidad",T32="Probabilidad"),(AC31-(+AC31*W32)),IF(AND(T31="Impacto",T32="Probabilidad"),(AC30-(+AC30*W32)),IF(T32="Impacto",AC31,""))),"")</f>
        <v/>
      </c>
      <c r="AB32" s="223" t="str">
        <f t="shared" si="2"/>
        <v/>
      </c>
      <c r="AC32" s="224" t="str">
        <f t="shared" si="3"/>
        <v/>
      </c>
      <c r="AD32" s="223" t="str">
        <f t="shared" si="4"/>
        <v/>
      </c>
      <c r="AE32" s="224" t="str">
        <f>IFERROR(IF(AND(T31="Impacto",T32="Impacto"),(AE31-(+AE31*W32)),IF(AND(T31="Probabilidad",T32="Impacto"),(AE30-(+AE30*W32)),IF(T32="Probabilidad",AE31,""))),"")</f>
        <v/>
      </c>
      <c r="AF32" s="225" t="str">
        <f t="shared" si="5"/>
        <v/>
      </c>
      <c r="AG32" s="226"/>
      <c r="AH32" s="104"/>
      <c r="AI32" s="229"/>
      <c r="AJ32" s="227"/>
      <c r="AK32" s="228"/>
      <c r="AL32" s="104"/>
      <c r="AM32" s="275"/>
      <c r="AN32" s="230"/>
      <c r="AO32" s="230"/>
      <c r="AP32" s="230"/>
      <c r="AQ32" s="230"/>
      <c r="AR32" s="230"/>
      <c r="AS32" s="230"/>
      <c r="AT32" s="230"/>
      <c r="AU32" s="230"/>
      <c r="AV32" s="230"/>
      <c r="AW32" s="230"/>
      <c r="AX32" s="230"/>
      <c r="AY32" s="230"/>
      <c r="AZ32" s="230"/>
      <c r="BA32" s="230"/>
      <c r="BB32" s="230"/>
      <c r="BC32" s="230"/>
      <c r="BD32" s="230"/>
      <c r="BE32" s="230"/>
      <c r="BF32" s="230"/>
      <c r="BG32" s="230"/>
      <c r="BH32" s="230"/>
    </row>
    <row r="33" spans="1:60" s="231" customFormat="1" ht="208.5" customHeight="1" x14ac:dyDescent="0.3">
      <c r="A33" s="234">
        <v>5</v>
      </c>
      <c r="B33" s="504" t="s">
        <v>129</v>
      </c>
      <c r="C33" s="507" t="s">
        <v>404</v>
      </c>
      <c r="D33" s="521" t="s">
        <v>405</v>
      </c>
      <c r="E33" s="326" t="str">
        <f>'Priorizacion de Causas'!B37</f>
        <v>1, Retraso en la entrega de información relacionada con actualización y/o conservación catastral por parte del Gestor catastral.  Notificación indebida y/o extemporanea</v>
      </c>
      <c r="F33" s="524" t="s">
        <v>424</v>
      </c>
      <c r="G33" s="611" t="s">
        <v>399</v>
      </c>
      <c r="H33" s="325" t="s">
        <v>403</v>
      </c>
      <c r="I33" s="599" t="s">
        <v>118</v>
      </c>
      <c r="J33" s="324">
        <v>100</v>
      </c>
      <c r="K33" s="261" t="str">
        <f>IF(J33&lt;=0,"",IF(J33&lt;=2,"Muy Baja",IF(J33&lt;=24,"Baja",IF(J33&lt;=500,"Media",IF(J33&lt;=5000,"Alta","Muy Alta")))))</f>
        <v>Media</v>
      </c>
      <c r="L33" s="322">
        <f>IF(K33="","",IF(K33="Muy Baja",0.2,IF(K33="Baja",0.4,IF(K33="Media",0.6,IF(K33="Alta",0.8,IF(K33="Muy Alta",1,))))))</f>
        <v>0.6</v>
      </c>
      <c r="M33" s="323" t="s">
        <v>208</v>
      </c>
      <c r="N33" s="583" t="str">
        <f>IF(NOT(ISERROR(MATCH(M33,'Tabla Impacto'!$B$221:$B$223,0))),'Tabla Impacto'!$F$223&amp;"Por favor no seleccionar los criterios de impacto(Afectación Económica o presupuestal y Pérdida Reputacional)",M33)</f>
        <v xml:space="preserve">     Entre 200 y 1000 SMLMV</v>
      </c>
      <c r="O33" s="261" t="str">
        <f>IF(OR(N33='Tabla Impacto'!$C$11,N33='Tabla Impacto'!$D$11),"Leve",IF(OR(N33='Tabla Impacto'!$C$12,N33='Tabla Impacto'!$D$12),"Menor",IF(OR(N33='Tabla Impacto'!$C$13,N33='Tabla Impacto'!$D$13),"Moderado",IF(OR(N33='Tabla Impacto'!$C$14,N33='Tabla Impacto'!$D$14),"Mayor",IF(OR(N33='Tabla Impacto'!$C$15,N33='Tabla Impacto'!$D$15),"Catastrófico","")))))</f>
        <v>Menor</v>
      </c>
      <c r="P33" s="322">
        <f>IF(O33="","",IF(O33="Leve",0.2,IF(O33="Menor",0.4,IF(O33="Moderado",0.6,IF(O33="Mayor",0.8,IF(O33="Catastrófico",1,))))))</f>
        <v>0.4</v>
      </c>
      <c r="Q33" s="262"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Moderado</v>
      </c>
      <c r="R33" s="317">
        <v>1</v>
      </c>
      <c r="S33" s="311" t="str">
        <f>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33" s="318" t="str">
        <f>IF(OR(U33="Preventivo",U33="Detectivo"),"Probabilidad",IF(U33="Correctivo","Impacto",""))</f>
        <v>Probabilidad</v>
      </c>
      <c r="U33" s="319" t="s">
        <v>14</v>
      </c>
      <c r="V33" s="319" t="s">
        <v>9</v>
      </c>
      <c r="W33" s="320" t="str">
        <f t="shared" si="1"/>
        <v>40%</v>
      </c>
      <c r="X33" s="319" t="s">
        <v>19</v>
      </c>
      <c r="Y33" s="319" t="s">
        <v>22</v>
      </c>
      <c r="Z33" s="319" t="s">
        <v>114</v>
      </c>
      <c r="AA33" s="321">
        <f>IFERROR(IF(T33="Probabilidad",(L33-(+L33*W33)),IF(T33="Impacto",L33,"")),"")</f>
        <v>0.36</v>
      </c>
      <c r="AB33" s="223" t="str">
        <f t="shared" si="2"/>
        <v>Baja</v>
      </c>
      <c r="AC33" s="316">
        <f t="shared" si="3"/>
        <v>0.36</v>
      </c>
      <c r="AD33" s="223" t="str">
        <f t="shared" si="4"/>
        <v>Menor</v>
      </c>
      <c r="AE33" s="316">
        <f>IFERROR(IF(T33="Impacto",(P33-(+P33*W33)),IF(T33="Probabilidad",P33,"")),"")</f>
        <v>0.4</v>
      </c>
      <c r="AF33" s="225" t="str">
        <f t="shared" si="5"/>
        <v>Moderado</v>
      </c>
      <c r="AG33" s="310" t="s">
        <v>131</v>
      </c>
      <c r="AH33" s="311" t="s">
        <v>393</v>
      </c>
      <c r="AI33" s="312" t="s">
        <v>394</v>
      </c>
      <c r="AJ33" s="313">
        <v>45658</v>
      </c>
      <c r="AK33" s="314"/>
      <c r="AL33" s="311"/>
      <c r="AM33" s="315" t="s">
        <v>41</v>
      </c>
      <c r="AN33" s="230"/>
      <c r="AO33" s="230"/>
      <c r="AP33" s="230"/>
      <c r="AQ33" s="230"/>
      <c r="AR33" s="230"/>
      <c r="AS33" s="230"/>
      <c r="AT33" s="230"/>
      <c r="AU33" s="230"/>
      <c r="AV33" s="230"/>
      <c r="AW33" s="230"/>
      <c r="AX33" s="230"/>
      <c r="AY33" s="230"/>
      <c r="AZ33" s="230"/>
      <c r="BA33" s="230"/>
      <c r="BB33" s="230"/>
      <c r="BC33" s="230"/>
      <c r="BD33" s="230"/>
      <c r="BE33" s="230"/>
      <c r="BF33" s="230"/>
      <c r="BG33" s="230"/>
      <c r="BH33" s="230"/>
    </row>
    <row r="34" spans="1:60" s="231" customFormat="1" ht="222" customHeight="1" x14ac:dyDescent="0.3">
      <c r="A34" s="239">
        <v>6</v>
      </c>
      <c r="B34" s="505"/>
      <c r="C34" s="505"/>
      <c r="D34" s="522"/>
      <c r="E34" s="263" t="str">
        <f>'Priorizacion de Causas'!B38</f>
        <v xml:space="preserve">Debilidad de la Dirección de Tesorería-grupo Cobro Coactivo para efectuar el control de  los impulsos procesales de la cartera de cobro.  </v>
      </c>
      <c r="F34" s="524"/>
      <c r="G34" s="612"/>
      <c r="H34" s="264" t="s">
        <v>407</v>
      </c>
      <c r="I34" s="600"/>
      <c r="J34" s="305">
        <v>300000000</v>
      </c>
      <c r="K34" s="261" t="str">
        <f>IF(J34&lt;=0,"",IF(J34&lt;=2,"Muy Baja",IF(J34&lt;=24,"Baja",IF(J34&lt;=500,"Media",IF(J34&lt;=5000,"Alta","Muy Alta")))))</f>
        <v>Muy Alta</v>
      </c>
      <c r="L34" s="303">
        <f>IF(K34="","",IF(K34="Muy Baja",0.2,IF(K34="Baja",0.4,IF(K34="Media",0.6,IF(K34="Alta",0.8,IF(K34="Muy Alta",1,))))))</f>
        <v>1</v>
      </c>
      <c r="M34" s="304" t="s">
        <v>214</v>
      </c>
      <c r="N34" s="584" t="str">
        <f>IF(NOT(ISERROR(MATCH(M34,_xlfn.ANCHORARRAY(F45),0))),L47&amp;"Por favor no seleccionar los criterios de impacto",M34)</f>
        <v xml:space="preserve">     Entre 5000 y 10000 SMLMV</v>
      </c>
      <c r="O34" s="261" t="str">
        <f>IF(OR(N34='Tabla Impacto'!$C$11,N34='Tabla Impacto'!$D$11),"Leve",IF(OR(N34='Tabla Impacto'!$C$12,N34='Tabla Impacto'!$D$12),"Menor",IF(OR(N34='Tabla Impacto'!$C$13,N34='Tabla Impacto'!$D$13),"Moderado",IF(OR(N34='Tabla Impacto'!$C$14,N34='Tabla Impacto'!$D$14),"Mayor",IF(OR(N34='Tabla Impacto'!$C$15,N34='Tabla Impacto'!$D$15),"Catastrófico","")))))</f>
        <v>Mayor</v>
      </c>
      <c r="P34" s="303">
        <f>IF(O34="","",IF(O34="Leve",0.2,IF(O34="Menor",0.4,IF(O34="Moderado",0.6,IF(O34="Mayor",0.8,IF(O34="Catastrófico",1,))))))</f>
        <v>0.8</v>
      </c>
      <c r="Q34" s="262"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291">
        <v>2</v>
      </c>
      <c r="S34" s="292" t="str">
        <f>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34" s="293" t="str">
        <f>IF(OR(U34="Preventivo",U34="Detectivo"),"Probabilidad",IF(U34="Correctivo","Impacto",""))</f>
        <v>Probabilidad</v>
      </c>
      <c r="U34" s="294" t="s">
        <v>14</v>
      </c>
      <c r="V34" s="294" t="s">
        <v>9</v>
      </c>
      <c r="W34" s="295" t="str">
        <f t="shared" si="1"/>
        <v>40%</v>
      </c>
      <c r="X34" s="294" t="s">
        <v>19</v>
      </c>
      <c r="Y34" s="294" t="s">
        <v>22</v>
      </c>
      <c r="Z34" s="294" t="s">
        <v>114</v>
      </c>
      <c r="AA34" s="296">
        <f>IFERROR(IF(AND(T33="Probabilidad",T34="Probabilidad"),(AC33-(+AC33*W34)),IF(AND(T33="Impacto",T34="Probabilidad"),(L33-(+L33*W34)),IF(T34="Impacto",AC33,""))),"")</f>
        <v>0.216</v>
      </c>
      <c r="AB34" s="223" t="str">
        <f t="shared" si="2"/>
        <v>Baja</v>
      </c>
      <c r="AC34" s="297">
        <f t="shared" si="3"/>
        <v>0.216</v>
      </c>
      <c r="AD34" s="302" t="str">
        <f t="shared" si="4"/>
        <v>Menor</v>
      </c>
      <c r="AE34" s="297">
        <f>IFERROR(IF(AND(T33="Impacto",T34="Impacto"),(AE33-(+AE33*W34)),IF(AND(T33="Probabilidad",T34="Impacto"),(P33-(+P33*W34)),IF(T34="Probabilidad",AE33,""))),"")</f>
        <v>0.4</v>
      </c>
      <c r="AF34" s="225" t="str">
        <f t="shared" si="5"/>
        <v>Moderado</v>
      </c>
      <c r="AG34" s="298" t="s">
        <v>131</v>
      </c>
      <c r="AH34" s="301" t="s">
        <v>409</v>
      </c>
      <c r="AI34" s="301" t="s">
        <v>392</v>
      </c>
      <c r="AJ34" s="299">
        <v>45658</v>
      </c>
      <c r="AK34" s="300"/>
      <c r="AL34" s="292"/>
      <c r="AM34" s="301" t="s">
        <v>41</v>
      </c>
      <c r="AN34" s="230"/>
      <c r="AO34" s="230"/>
      <c r="AP34" s="230"/>
      <c r="AQ34" s="230"/>
      <c r="AR34" s="230"/>
      <c r="AS34" s="230"/>
      <c r="AT34" s="230"/>
      <c r="AU34" s="230"/>
      <c r="AV34" s="230"/>
      <c r="AW34" s="230"/>
      <c r="AX34" s="230"/>
      <c r="AY34" s="230"/>
      <c r="AZ34" s="230"/>
      <c r="BA34" s="230"/>
      <c r="BB34" s="230"/>
      <c r="BC34" s="230"/>
      <c r="BD34" s="230"/>
      <c r="BE34" s="230"/>
      <c r="BF34" s="230"/>
      <c r="BG34" s="230"/>
      <c r="BH34" s="230"/>
    </row>
    <row r="35" spans="1:60" s="231" customFormat="1" ht="21" hidden="1" customHeight="1" x14ac:dyDescent="0.3">
      <c r="A35" s="239"/>
      <c r="B35" s="505"/>
      <c r="C35" s="505"/>
      <c r="D35" s="522"/>
      <c r="E35" s="232"/>
      <c r="F35" s="524"/>
      <c r="G35" s="612"/>
      <c r="H35" s="233"/>
      <c r="I35" s="600"/>
      <c r="J35" s="266"/>
      <c r="K35" s="267"/>
      <c r="L35" s="268"/>
      <c r="M35" s="265"/>
      <c r="N35" s="584">
        <f>IF(NOT(ISERROR(MATCH(M35,_xlfn.ANCHORARRAY(F46),0))),L48&amp;"Por favor no seleccionar los criterios de impacto",M35)</f>
        <v>0</v>
      </c>
      <c r="O35" s="267"/>
      <c r="P35" s="268"/>
      <c r="Q35" s="269"/>
      <c r="R35" s="218">
        <v>3</v>
      </c>
      <c r="S35" s="229"/>
      <c r="T35" s="219" t="str">
        <f t="shared" si="0"/>
        <v/>
      </c>
      <c r="U35" s="220"/>
      <c r="V35" s="220"/>
      <c r="W35" s="221" t="str">
        <f t="shared" si="1"/>
        <v/>
      </c>
      <c r="X35" s="220"/>
      <c r="Y35" s="220"/>
      <c r="Z35" s="220"/>
      <c r="AA35" s="222" t="str">
        <f>IFERROR(IF(AND(T34="Probabilidad",T35="Probabilidad"),(AC34-(+AC34*W35)),IF(AND(T34="Impacto",T35="Probabilidad"),(AC33-(+AC33*W35)),IF(T35="Impacto",AC34,""))),"")</f>
        <v/>
      </c>
      <c r="AB35" s="223" t="str">
        <f t="shared" si="2"/>
        <v/>
      </c>
      <c r="AC35" s="224" t="str">
        <f t="shared" si="3"/>
        <v/>
      </c>
      <c r="AD35" s="223" t="str">
        <f t="shared" si="4"/>
        <v/>
      </c>
      <c r="AE35" s="224" t="str">
        <f>IFERROR(IF(AND(T34="Impacto",T35="Impacto"),(AE34-(+AE34*W35)),IF(AND(T34="Probabilidad",T35="Impacto"),(AE33-(+AE33*W35)),IF(T35="Probabilidad",AE34,""))),"")</f>
        <v/>
      </c>
      <c r="AF35" s="225" t="str">
        <f t="shared" si="5"/>
        <v/>
      </c>
      <c r="AG35" s="226" t="s">
        <v>131</v>
      </c>
      <c r="AH35" s="104"/>
      <c r="AI35" s="229"/>
      <c r="AJ35" s="227"/>
      <c r="AK35" s="228"/>
      <c r="AL35" s="104"/>
      <c r="AM35" s="229"/>
      <c r="AN35" s="230"/>
      <c r="AO35" s="230"/>
      <c r="AP35" s="230"/>
      <c r="AQ35" s="230"/>
      <c r="AR35" s="230"/>
      <c r="AS35" s="230"/>
      <c r="AT35" s="230"/>
      <c r="AU35" s="230"/>
      <c r="AV35" s="230"/>
      <c r="AW35" s="230"/>
      <c r="AX35" s="230"/>
      <c r="AY35" s="230"/>
      <c r="AZ35" s="230"/>
      <c r="BA35" s="230"/>
      <c r="BB35" s="230"/>
      <c r="BC35" s="230"/>
      <c r="BD35" s="230"/>
      <c r="BE35" s="230"/>
      <c r="BF35" s="230"/>
      <c r="BG35" s="230"/>
      <c r="BH35" s="230"/>
    </row>
    <row r="36" spans="1:60" s="231" customFormat="1" ht="21.75" hidden="1" customHeight="1" x14ac:dyDescent="0.3">
      <c r="A36" s="239"/>
      <c r="B36" s="505"/>
      <c r="C36" s="505"/>
      <c r="D36" s="522"/>
      <c r="E36" s="232"/>
      <c r="F36" s="524"/>
      <c r="G36" s="612"/>
      <c r="H36" s="233"/>
      <c r="I36" s="600"/>
      <c r="J36" s="266"/>
      <c r="K36" s="267"/>
      <c r="L36" s="268"/>
      <c r="M36" s="265"/>
      <c r="N36" s="584">
        <f>IF(NOT(ISERROR(MATCH(M36,_xlfn.ANCHORARRAY(F47),0))),L49&amp;"Por favor no seleccionar los criterios de impacto",M36)</f>
        <v>0</v>
      </c>
      <c r="O36" s="267"/>
      <c r="P36" s="268"/>
      <c r="Q36" s="269"/>
      <c r="R36" s="218">
        <v>4</v>
      </c>
      <c r="S36" s="104"/>
      <c r="T36" s="219" t="str">
        <f t="shared" si="0"/>
        <v/>
      </c>
      <c r="U36" s="220"/>
      <c r="V36" s="220"/>
      <c r="W36" s="221" t="str">
        <f t="shared" si="1"/>
        <v/>
      </c>
      <c r="X36" s="220"/>
      <c r="Y36" s="220"/>
      <c r="Z36" s="220"/>
      <c r="AA36" s="222" t="str">
        <f>IFERROR(IF(AND(T35="Probabilidad",T36="Probabilidad"),(AC35-(+AC35*W36)),IF(AND(T35="Impacto",T36="Probabilidad"),(AC34-(+AC34*W36)),IF(T36="Impacto",AC35,""))),"")</f>
        <v/>
      </c>
      <c r="AB36" s="223" t="str">
        <f t="shared" si="2"/>
        <v/>
      </c>
      <c r="AC36" s="224" t="str">
        <f t="shared" si="3"/>
        <v/>
      </c>
      <c r="AD36" s="223" t="str">
        <f t="shared" si="4"/>
        <v/>
      </c>
      <c r="AE36" s="224" t="str">
        <f>IFERROR(IF(AND(T35="Impacto",T36="Impacto"),(AE35-(+AE35*W36)),IF(AND(T35="Probabilidad",T36="Impacto"),(AE34-(+AE34*W36)),IF(T36="Probabilidad",AE35,""))),"")</f>
        <v/>
      </c>
      <c r="AF36" s="225" t="str">
        <f t="shared" si="5"/>
        <v/>
      </c>
      <c r="AG36" s="226" t="s">
        <v>131</v>
      </c>
      <c r="AH36" s="104"/>
      <c r="AI36" s="229"/>
      <c r="AJ36" s="227"/>
      <c r="AK36" s="228"/>
      <c r="AL36" s="104"/>
      <c r="AM36" s="229"/>
      <c r="AN36" s="230"/>
      <c r="AO36" s="230"/>
      <c r="AP36" s="230"/>
      <c r="AQ36" s="230"/>
      <c r="AR36" s="230"/>
      <c r="AS36" s="230"/>
      <c r="AT36" s="230"/>
      <c r="AU36" s="230"/>
      <c r="AV36" s="230"/>
      <c r="AW36" s="230"/>
      <c r="AX36" s="230"/>
      <c r="AY36" s="230"/>
      <c r="AZ36" s="230"/>
      <c r="BA36" s="230"/>
      <c r="BB36" s="230"/>
      <c r="BC36" s="230"/>
      <c r="BD36" s="230"/>
      <c r="BE36" s="230"/>
      <c r="BF36" s="230"/>
      <c r="BG36" s="230"/>
      <c r="BH36" s="230"/>
    </row>
    <row r="37" spans="1:60" s="231" customFormat="1" ht="21.75" hidden="1" customHeight="1" x14ac:dyDescent="0.3">
      <c r="A37" s="239"/>
      <c r="B37" s="505"/>
      <c r="C37" s="505"/>
      <c r="D37" s="522"/>
      <c r="E37" s="232"/>
      <c r="F37" s="524"/>
      <c r="G37" s="612"/>
      <c r="H37" s="233"/>
      <c r="I37" s="600"/>
      <c r="J37" s="266"/>
      <c r="K37" s="267"/>
      <c r="L37" s="268"/>
      <c r="M37" s="265"/>
      <c r="N37" s="584">
        <f>IF(NOT(ISERROR(MATCH(M37,_xlfn.ANCHORARRAY(F48),0))),L50&amp;"Por favor no seleccionar los criterios de impacto",M37)</f>
        <v>0</v>
      </c>
      <c r="O37" s="267"/>
      <c r="P37" s="268"/>
      <c r="Q37" s="269"/>
      <c r="R37" s="218">
        <v>5</v>
      </c>
      <c r="S37" s="104"/>
      <c r="T37" s="219" t="str">
        <f t="shared" si="0"/>
        <v/>
      </c>
      <c r="U37" s="220"/>
      <c r="V37" s="220"/>
      <c r="W37" s="221" t="str">
        <f t="shared" si="1"/>
        <v/>
      </c>
      <c r="X37" s="220"/>
      <c r="Y37" s="220"/>
      <c r="Z37" s="220"/>
      <c r="AA37" s="222" t="str">
        <f>IFERROR(IF(AND(T36="Probabilidad",T37="Probabilidad"),(AC36-(+AC36*W37)),IF(AND(T36="Impacto",T37="Probabilidad"),(AC35-(+AC35*W37)),IF(T37="Impacto",AC36,""))),"")</f>
        <v/>
      </c>
      <c r="AB37" s="223" t="str">
        <f t="shared" si="2"/>
        <v/>
      </c>
      <c r="AC37" s="224" t="str">
        <f t="shared" si="3"/>
        <v/>
      </c>
      <c r="AD37" s="223" t="str">
        <f t="shared" si="4"/>
        <v/>
      </c>
      <c r="AE37" s="224" t="str">
        <f>IFERROR(IF(AND(T36="Impacto",T37="Impacto"),(AE36-(+AE36*W37)),IF(AND(T36="Probabilidad",T37="Impacto"),(AE35-(+AE35*W37)),IF(T37="Probabilidad",AE36,""))),"")</f>
        <v/>
      </c>
      <c r="AF37" s="225" t="str">
        <f t="shared" si="5"/>
        <v/>
      </c>
      <c r="AG37" s="226" t="s">
        <v>131</v>
      </c>
      <c r="AH37" s="104"/>
      <c r="AI37" s="229"/>
      <c r="AJ37" s="227"/>
      <c r="AK37" s="228"/>
      <c r="AL37" s="104"/>
      <c r="AM37" s="229"/>
      <c r="AN37" s="230"/>
      <c r="AO37" s="230"/>
      <c r="AP37" s="230"/>
      <c r="AQ37" s="230"/>
      <c r="AR37" s="230"/>
      <c r="AS37" s="230"/>
      <c r="AT37" s="230"/>
      <c r="AU37" s="230"/>
      <c r="AV37" s="230"/>
      <c r="AW37" s="230"/>
      <c r="AX37" s="230"/>
      <c r="AY37" s="230"/>
      <c r="AZ37" s="230"/>
      <c r="BA37" s="230"/>
      <c r="BB37" s="230"/>
      <c r="BC37" s="230"/>
      <c r="BD37" s="230"/>
      <c r="BE37" s="230"/>
      <c r="BF37" s="230"/>
      <c r="BG37" s="230"/>
      <c r="BH37" s="230"/>
    </row>
    <row r="38" spans="1:60" s="231" customFormat="1" ht="17.25" hidden="1" customHeight="1" x14ac:dyDescent="0.3">
      <c r="A38" s="250"/>
      <c r="B38" s="506"/>
      <c r="C38" s="506"/>
      <c r="D38" s="523"/>
      <c r="E38" s="232"/>
      <c r="F38" s="524"/>
      <c r="G38" s="613"/>
      <c r="H38" s="233"/>
      <c r="I38" s="601"/>
      <c r="J38" s="270"/>
      <c r="K38" s="271"/>
      <c r="L38" s="272"/>
      <c r="M38" s="273"/>
      <c r="N38" s="585">
        <f>IF(NOT(ISERROR(MATCH(M38,_xlfn.ANCHORARRAY(F49),0))),L51&amp;"Por favor no seleccionar los criterios de impacto",M38)</f>
        <v>0</v>
      </c>
      <c r="O38" s="271"/>
      <c r="P38" s="272"/>
      <c r="Q38" s="274"/>
      <c r="R38" s="218">
        <v>6</v>
      </c>
      <c r="S38" s="104"/>
      <c r="T38" s="219" t="str">
        <f t="shared" si="0"/>
        <v/>
      </c>
      <c r="U38" s="220"/>
      <c r="V38" s="220"/>
      <c r="W38" s="221" t="str">
        <f t="shared" si="1"/>
        <v/>
      </c>
      <c r="X38" s="220"/>
      <c r="Y38" s="220"/>
      <c r="Z38" s="220"/>
      <c r="AA38" s="222" t="str">
        <f>IFERROR(IF(AND(T37="Probabilidad",T38="Probabilidad"),(AC37-(+AC37*W38)),IF(AND(T37="Impacto",T38="Probabilidad"),(AC36-(+AC36*W38)),IF(T38="Impacto",AC37,""))),"")</f>
        <v/>
      </c>
      <c r="AB38" s="223" t="str">
        <f t="shared" si="2"/>
        <v/>
      </c>
      <c r="AC38" s="224" t="str">
        <f t="shared" si="3"/>
        <v/>
      </c>
      <c r="AD38" s="223" t="str">
        <f t="shared" si="4"/>
        <v/>
      </c>
      <c r="AE38" s="224" t="str">
        <f>IFERROR(IF(AND(T37="Impacto",T38="Impacto"),(AE37-(+AE37*W38)),IF(AND(T37="Probabilidad",T38="Impacto"),(AE36-(+AE36*W38)),IF(T38="Probabilidad",AE37,""))),"")</f>
        <v/>
      </c>
      <c r="AF38" s="225" t="str">
        <f t="shared" si="5"/>
        <v/>
      </c>
      <c r="AG38" s="226" t="s">
        <v>131</v>
      </c>
      <c r="AH38" s="104"/>
      <c r="AI38" s="229"/>
      <c r="AJ38" s="227"/>
      <c r="AK38" s="228"/>
      <c r="AL38" s="104"/>
      <c r="AM38" s="229"/>
      <c r="AN38" s="230"/>
      <c r="AO38" s="230"/>
      <c r="AP38" s="230"/>
      <c r="AQ38" s="230"/>
      <c r="AR38" s="230"/>
      <c r="AS38" s="230"/>
      <c r="AT38" s="230"/>
      <c r="AU38" s="230"/>
      <c r="AV38" s="230"/>
      <c r="AW38" s="230"/>
      <c r="AX38" s="230"/>
      <c r="AY38" s="230"/>
      <c r="AZ38" s="230"/>
      <c r="BA38" s="230"/>
      <c r="BB38" s="230"/>
      <c r="BC38" s="230"/>
      <c r="BD38" s="230"/>
      <c r="BE38" s="230"/>
      <c r="BF38" s="230"/>
      <c r="BG38" s="230"/>
      <c r="BH38" s="230"/>
    </row>
    <row r="39" spans="1:60" s="231" customFormat="1" ht="200.25" customHeight="1" x14ac:dyDescent="0.3">
      <c r="A39" s="460">
        <v>7</v>
      </c>
      <c r="B39" s="508" t="s">
        <v>129</v>
      </c>
      <c r="C39" s="511" t="s">
        <v>396</v>
      </c>
      <c r="D39" s="514" t="s">
        <v>397</v>
      </c>
      <c r="E39" s="309" t="str">
        <f>'Priorizacion de Causas'!B34</f>
        <v>Inadecuada deducción de impuestos, tasas o contribuciones al contratista</v>
      </c>
      <c r="F39" s="517" t="s">
        <v>400</v>
      </c>
      <c r="G39" s="534" t="s">
        <v>399</v>
      </c>
      <c r="H39" s="308" t="s">
        <v>425</v>
      </c>
      <c r="I39" s="518" t="s">
        <v>118</v>
      </c>
      <c r="J39" s="602">
        <v>6000</v>
      </c>
      <c r="K39" s="478" t="str">
        <f>IF(J39&lt;=0,"",IF(J39&lt;=2,"Muy Baja",IF(J39&lt;=24,"Baja",IF(J39&lt;=500,"Media",IF(J39&lt;=5000,"Alta","Muy Alta")))))</f>
        <v>Muy Alta</v>
      </c>
      <c r="L39" s="501">
        <f>IF(K39="","",IF(K39="Muy Baja",0.2,IF(K39="Baja",0.4,IF(K39="Media",0.6,IF(K39="Alta",0.8,IF(K39="Muy Alta",1,))))))</f>
        <v>1</v>
      </c>
      <c r="M39" s="525" t="s">
        <v>214</v>
      </c>
      <c r="N39" s="469" t="str">
        <f>IF(NOT(ISERROR(MATCH(M39,'Tabla Impacto'!$B$221:$B$223,0))),'Tabla Impacto'!$F$223&amp;"Por favor no seleccionar los criterios de impacto(Afectación Económica o presupuestal y Pérdida Reputacional)",M39)</f>
        <v xml:space="preserve">     Entre 5000 y 10000 SMLMV</v>
      </c>
      <c r="O39" s="478" t="str">
        <f>IF(OR(N39='Tabla Impacto'!$C$11,N39='Tabla Impacto'!$D$11),"Leve",IF(OR(N39='Tabla Impacto'!$C$12,N39='Tabla Impacto'!$D$12),"Menor",IF(OR(N39='Tabla Impacto'!$C$13,N39='Tabla Impacto'!$D$13),"Moderado",IF(OR(N39='Tabla Impacto'!$C$14,N39='Tabla Impacto'!$D$14),"Mayor",IF(OR(N39='Tabla Impacto'!$C$15,N39='Tabla Impacto'!$D$15),"Catastrófico","")))))</f>
        <v>Mayor</v>
      </c>
      <c r="P39" s="501">
        <f>IF(O39="","",IF(O39="Leve",0.2,IF(O39="Menor",0.4,IF(O39="Moderado",0.6,IF(O39="Mayor",0.8,IF(O39="Catastrófico",1,))))))</f>
        <v>0.8</v>
      </c>
      <c r="Q39" s="472"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307">
        <v>1</v>
      </c>
      <c r="S39" s="281" t="str">
        <f>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39" s="282" t="str">
        <f t="shared" si="0"/>
        <v>Probabilidad</v>
      </c>
      <c r="U39" s="283" t="s">
        <v>14</v>
      </c>
      <c r="V39" s="283" t="s">
        <v>9</v>
      </c>
      <c r="W39" s="284" t="str">
        <f t="shared" si="1"/>
        <v>40%</v>
      </c>
      <c r="X39" s="283" t="s">
        <v>19</v>
      </c>
      <c r="Y39" s="283" t="s">
        <v>22</v>
      </c>
      <c r="Z39" s="283" t="s">
        <v>114</v>
      </c>
      <c r="AA39" s="285">
        <f>IFERROR(IF(T39="Probabilidad",(L39-(+L39*W39)),IF(T39="Impacto",L39,"")),"")</f>
        <v>0.6</v>
      </c>
      <c r="AB39" s="223" t="str">
        <f t="shared" si="2"/>
        <v>Media</v>
      </c>
      <c r="AC39" s="286">
        <f t="shared" si="3"/>
        <v>0.6</v>
      </c>
      <c r="AD39" s="223" t="str">
        <f t="shared" si="4"/>
        <v>Mayor</v>
      </c>
      <c r="AE39" s="286">
        <f>IFERROR(IF(T39="Impacto",(P39-(+P39*W39)),IF(T39="Probabilidad",P39,"")),"")</f>
        <v>0.8</v>
      </c>
      <c r="AF39" s="225" t="str">
        <f t="shared" si="5"/>
        <v>Alto</v>
      </c>
      <c r="AG39" s="287" t="s">
        <v>131</v>
      </c>
      <c r="AH39" s="281" t="s">
        <v>410</v>
      </c>
      <c r="AI39" s="306" t="s">
        <v>406</v>
      </c>
      <c r="AJ39" s="288">
        <v>45658</v>
      </c>
      <c r="AK39" s="289"/>
      <c r="AL39" s="281"/>
      <c r="AM39" s="306" t="s">
        <v>41</v>
      </c>
      <c r="AN39" s="230"/>
      <c r="AO39" s="230"/>
      <c r="AP39" s="230"/>
      <c r="AQ39" s="230"/>
      <c r="AR39" s="230"/>
      <c r="AS39" s="230"/>
      <c r="AT39" s="230"/>
      <c r="AU39" s="230"/>
      <c r="AV39" s="230"/>
      <c r="AW39" s="230"/>
      <c r="AX39" s="230"/>
      <c r="AY39" s="230"/>
      <c r="AZ39" s="230"/>
      <c r="BA39" s="230"/>
      <c r="BB39" s="230"/>
      <c r="BC39" s="230"/>
      <c r="BD39" s="230"/>
      <c r="BE39" s="230"/>
      <c r="BF39" s="230"/>
      <c r="BG39" s="230"/>
      <c r="BH39" s="230"/>
    </row>
    <row r="40" spans="1:60" ht="26.25" hidden="1" customHeight="1" x14ac:dyDescent="0.25">
      <c r="A40" s="461"/>
      <c r="B40" s="509"/>
      <c r="C40" s="512"/>
      <c r="D40" s="515"/>
      <c r="E40" s="206"/>
      <c r="F40" s="517"/>
      <c r="G40" s="535"/>
      <c r="H40" s="131"/>
      <c r="I40" s="519"/>
      <c r="J40" s="603"/>
      <c r="K40" s="479"/>
      <c r="L40" s="502"/>
      <c r="M40" s="526"/>
      <c r="N40" s="470">
        <f>IF(NOT(ISERROR(MATCH(M40,_xlfn.ANCHORARRAY(F51),0))),L53&amp;"Por favor no seleccionar los criterios de impacto",M40)</f>
        <v>0</v>
      </c>
      <c r="O40" s="479"/>
      <c r="P40" s="502"/>
      <c r="Q40" s="473"/>
      <c r="R40" s="103">
        <v>2</v>
      </c>
      <c r="S40" s="104"/>
      <c r="T40" s="105" t="str">
        <f t="shared" si="0"/>
        <v/>
      </c>
      <c r="U40" s="111"/>
      <c r="V40" s="111"/>
      <c r="W40" s="112" t="str">
        <f t="shared" si="1"/>
        <v/>
      </c>
      <c r="X40" s="111"/>
      <c r="Y40" s="111"/>
      <c r="Z40" s="111"/>
      <c r="AA40" s="106" t="str">
        <f>IFERROR(IF(AND(T39="Probabilidad",T40="Probabilidad"),(AC39-(+AC39*W40)),IF(AND(T39="Impacto",T40="Probabilidad"),(L39-(+L39*W40)),IF(T40="Impacto",AC39,""))),"")</f>
        <v/>
      </c>
      <c r="AB40" s="113" t="str">
        <f t="shared" si="2"/>
        <v/>
      </c>
      <c r="AC40" s="114" t="str">
        <f t="shared" si="3"/>
        <v/>
      </c>
      <c r="AD40" s="113" t="str">
        <f t="shared" si="4"/>
        <v/>
      </c>
      <c r="AE40" s="114" t="str">
        <f>IFERROR(IF(AND(T39="Impacto",T40="Impacto"),(AE39-(+AE39*W40)),IF(AND(T39="Probabilidad",T40="Impacto"),(P39-(+P39*W40)),IF(T40="Probabilidad",AE39,""))),"")</f>
        <v/>
      </c>
      <c r="AF40" s="115" t="str">
        <f t="shared" si="5"/>
        <v/>
      </c>
      <c r="AG40" s="116"/>
      <c r="AH40" s="107"/>
      <c r="AI40" s="108"/>
      <c r="AJ40" s="216"/>
      <c r="AK40" s="109"/>
      <c r="AL40" s="107"/>
      <c r="AM40" s="108"/>
      <c r="AN40" s="7"/>
      <c r="AO40" s="7"/>
      <c r="AP40" s="7"/>
      <c r="AQ40" s="7"/>
      <c r="AR40" s="7"/>
      <c r="AS40" s="7"/>
      <c r="AT40" s="7"/>
      <c r="AU40" s="7"/>
      <c r="AV40" s="7"/>
      <c r="AW40" s="7"/>
      <c r="AX40" s="7"/>
      <c r="AY40" s="7"/>
      <c r="AZ40" s="7"/>
      <c r="BA40" s="7"/>
      <c r="BB40" s="7"/>
      <c r="BC40" s="7"/>
      <c r="BD40" s="7"/>
      <c r="BE40" s="7"/>
      <c r="BF40" s="7"/>
      <c r="BG40" s="7"/>
      <c r="BH40" s="7"/>
    </row>
    <row r="41" spans="1:60" ht="26.25" hidden="1" customHeight="1" x14ac:dyDescent="0.25">
      <c r="A41" s="461"/>
      <c r="B41" s="509"/>
      <c r="C41" s="512"/>
      <c r="D41" s="515"/>
      <c r="E41" s="206"/>
      <c r="F41" s="517"/>
      <c r="G41" s="535"/>
      <c r="H41" s="131"/>
      <c r="I41" s="519"/>
      <c r="J41" s="603"/>
      <c r="K41" s="479"/>
      <c r="L41" s="502"/>
      <c r="M41" s="526"/>
      <c r="N41" s="470">
        <f>IF(NOT(ISERROR(MATCH(M41,_xlfn.ANCHORARRAY(F52),0))),L54&amp;"Por favor no seleccionar los criterios de impacto",M41)</f>
        <v>0</v>
      </c>
      <c r="O41" s="479"/>
      <c r="P41" s="502"/>
      <c r="Q41" s="473"/>
      <c r="R41" s="103">
        <v>3</v>
      </c>
      <c r="S41" s="110"/>
      <c r="T41" s="105" t="str">
        <f t="shared" ref="T41:T68" si="6">IF(OR(U41="Preventivo",U41="Detectivo"),"Probabilidad",IF(U41="Correctivo","Impacto",""))</f>
        <v/>
      </c>
      <c r="U41" s="111"/>
      <c r="V41" s="111"/>
      <c r="W41" s="112" t="str">
        <f t="shared" ref="W41:W68" si="7">IF(AND(U41="Preventivo",V41="Automático"),"50%",IF(AND(U41="Preventivo",V41="Manual"),"40%",IF(AND(U41="Detectivo",V41="Automático"),"40%",IF(AND(U41="Detectivo",V41="Manual"),"30%",IF(AND(U41="Correctivo",V41="Automático"),"35%",IF(AND(U41="Correctivo",V41="Manual"),"25%",""))))))</f>
        <v/>
      </c>
      <c r="X41" s="111"/>
      <c r="Y41" s="111"/>
      <c r="Z41" s="111"/>
      <c r="AA41" s="106" t="str">
        <f>IFERROR(IF(AND(T40="Probabilidad",T41="Probabilidad"),(AC40-(+AC40*W41)),IF(AND(T40="Impacto",T41="Probabilidad"),(AC39-(+AC39*W41)),IF(T41="Impacto",AC40,""))),"")</f>
        <v/>
      </c>
      <c r="AB41" s="113" t="str">
        <f t="shared" ref="AB41:AB68" si="8">IFERROR(IF(AA41="","",IF(AA41&lt;=0.2,"Muy Baja",IF(AA41&lt;=0.4,"Baja",IF(AA41&lt;=0.6,"Media",IF(AA41&lt;=0.8,"Alta","Muy Alta"))))),"")</f>
        <v/>
      </c>
      <c r="AC41" s="114" t="str">
        <f t="shared" ref="AC41:AC68" si="9">+AA41</f>
        <v/>
      </c>
      <c r="AD41" s="113" t="str">
        <f t="shared" ref="AD41:AD68" si="10">IFERROR(IF(AE41="","",IF(AE41&lt;=0.2,"Leve",IF(AE41&lt;=0.4,"Menor",IF(AE41&lt;=0.6,"Moderado",IF(AE41&lt;=0.8,"Mayor","Catastrófico"))))),"")</f>
        <v/>
      </c>
      <c r="AE41" s="114" t="str">
        <f>IFERROR(IF(AND(T40="Impacto",T41="Impacto"),(AE40-(+AE40*W41)),IF(AND(T40="Probabilidad",T41="Impacto"),(AE39-(+AE39*W41)),IF(T41="Probabilidad",AE40,""))),"")</f>
        <v/>
      </c>
      <c r="AF41" s="115" t="str">
        <f t="shared" ref="AF41:AF68" si="11">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6"/>
      <c r="AH41" s="107"/>
      <c r="AI41" s="108"/>
      <c r="AJ41" s="216"/>
      <c r="AK41" s="109"/>
      <c r="AL41" s="107"/>
      <c r="AM41" s="108"/>
      <c r="AN41" s="7"/>
      <c r="AO41" s="7"/>
      <c r="AP41" s="7"/>
      <c r="AQ41" s="7"/>
      <c r="AR41" s="7"/>
      <c r="AS41" s="7"/>
      <c r="AT41" s="7"/>
      <c r="AU41" s="7"/>
      <c r="AV41" s="7"/>
      <c r="AW41" s="7"/>
      <c r="AX41" s="7"/>
      <c r="AY41" s="7"/>
      <c r="AZ41" s="7"/>
      <c r="BA41" s="7"/>
      <c r="BB41" s="7"/>
      <c r="BC41" s="7"/>
      <c r="BD41" s="7"/>
      <c r="BE41" s="7"/>
      <c r="BF41" s="7"/>
      <c r="BG41" s="7"/>
      <c r="BH41" s="7"/>
    </row>
    <row r="42" spans="1:60" ht="26.25" hidden="1" customHeight="1" x14ac:dyDescent="0.25">
      <c r="A42" s="461"/>
      <c r="B42" s="509"/>
      <c r="C42" s="512"/>
      <c r="D42" s="515"/>
      <c r="E42" s="206"/>
      <c r="F42" s="517"/>
      <c r="G42" s="535"/>
      <c r="H42" s="131"/>
      <c r="I42" s="519"/>
      <c r="J42" s="603"/>
      <c r="K42" s="479"/>
      <c r="L42" s="502"/>
      <c r="M42" s="526"/>
      <c r="N42" s="470">
        <f>IF(NOT(ISERROR(MATCH(M42,_xlfn.ANCHORARRAY(F53),0))),L55&amp;"Por favor no seleccionar los criterios de impacto",M42)</f>
        <v>0</v>
      </c>
      <c r="O42" s="479"/>
      <c r="P42" s="502"/>
      <c r="Q42" s="473"/>
      <c r="R42" s="103">
        <v>4</v>
      </c>
      <c r="S42" s="104"/>
      <c r="T42" s="105" t="str">
        <f t="shared" si="6"/>
        <v/>
      </c>
      <c r="U42" s="111"/>
      <c r="V42" s="111"/>
      <c r="W42" s="112" t="str">
        <f t="shared" si="7"/>
        <v/>
      </c>
      <c r="X42" s="111"/>
      <c r="Y42" s="111"/>
      <c r="Z42" s="111"/>
      <c r="AA42" s="106" t="str">
        <f>IFERROR(IF(AND(T41="Probabilidad",T42="Probabilidad"),(AC41-(+AC41*W42)),IF(AND(T41="Impacto",T42="Probabilidad"),(AC40-(+AC40*W42)),IF(T42="Impacto",AC41,""))),"")</f>
        <v/>
      </c>
      <c r="AB42" s="113" t="str">
        <f t="shared" si="8"/>
        <v/>
      </c>
      <c r="AC42" s="114" t="str">
        <f t="shared" si="9"/>
        <v/>
      </c>
      <c r="AD42" s="113" t="str">
        <f t="shared" si="10"/>
        <v/>
      </c>
      <c r="AE42" s="114" t="str">
        <f>IFERROR(IF(AND(T41="Impacto",T42="Impacto"),(AE41-(+AE41*W42)),IF(AND(T41="Probabilidad",T42="Impacto"),(AE40-(+AE40*W42)),IF(T42="Probabilidad",AE41,""))),"")</f>
        <v/>
      </c>
      <c r="AF42" s="115" t="str">
        <f t="shared" si="11"/>
        <v/>
      </c>
      <c r="AG42" s="116"/>
      <c r="AH42" s="107"/>
      <c r="AI42" s="108"/>
      <c r="AJ42" s="216"/>
      <c r="AK42" s="109"/>
      <c r="AL42" s="107"/>
      <c r="AM42" s="108"/>
      <c r="AN42" s="7"/>
      <c r="AO42" s="7"/>
      <c r="AP42" s="7"/>
      <c r="AQ42" s="7"/>
      <c r="AR42" s="7"/>
      <c r="AS42" s="7"/>
      <c r="AT42" s="7"/>
      <c r="AU42" s="7"/>
      <c r="AV42" s="7"/>
      <c r="AW42" s="7"/>
      <c r="AX42" s="7"/>
      <c r="AY42" s="7"/>
      <c r="AZ42" s="7"/>
      <c r="BA42" s="7"/>
      <c r="BB42" s="7"/>
      <c r="BC42" s="7"/>
      <c r="BD42" s="7"/>
      <c r="BE42" s="7"/>
      <c r="BF42" s="7"/>
      <c r="BG42" s="7"/>
      <c r="BH42" s="7"/>
    </row>
    <row r="43" spans="1:60" ht="26.25" hidden="1" customHeight="1" x14ac:dyDescent="0.25">
      <c r="A43" s="461"/>
      <c r="B43" s="509"/>
      <c r="C43" s="512"/>
      <c r="D43" s="515"/>
      <c r="E43" s="206"/>
      <c r="F43" s="517"/>
      <c r="G43" s="535"/>
      <c r="H43" s="131"/>
      <c r="I43" s="519"/>
      <c r="J43" s="603"/>
      <c r="K43" s="479"/>
      <c r="L43" s="502"/>
      <c r="M43" s="526"/>
      <c r="N43" s="470">
        <f>IF(NOT(ISERROR(MATCH(M43,_xlfn.ANCHORARRAY(F54),0))),L56&amp;"Por favor no seleccionar los criterios de impacto",M43)</f>
        <v>0</v>
      </c>
      <c r="O43" s="479"/>
      <c r="P43" s="502"/>
      <c r="Q43" s="473"/>
      <c r="R43" s="103">
        <v>5</v>
      </c>
      <c r="S43" s="104"/>
      <c r="T43" s="105" t="str">
        <f t="shared" si="6"/>
        <v/>
      </c>
      <c r="U43" s="111"/>
      <c r="V43" s="111"/>
      <c r="W43" s="112" t="str">
        <f t="shared" si="7"/>
        <v/>
      </c>
      <c r="X43" s="111"/>
      <c r="Y43" s="111"/>
      <c r="Z43" s="111"/>
      <c r="AA43" s="106" t="str">
        <f>IFERROR(IF(AND(T42="Probabilidad",T43="Probabilidad"),(AC42-(+AC42*W43)),IF(AND(T42="Impacto",T43="Probabilidad"),(AC41-(+AC41*W43)),IF(T43="Impacto",AC42,""))),"")</f>
        <v/>
      </c>
      <c r="AB43" s="113" t="str">
        <f t="shared" si="8"/>
        <v/>
      </c>
      <c r="AC43" s="114" t="str">
        <f t="shared" si="9"/>
        <v/>
      </c>
      <c r="AD43" s="113" t="str">
        <f t="shared" si="10"/>
        <v/>
      </c>
      <c r="AE43" s="114" t="str">
        <f>IFERROR(IF(AND(T42="Impacto",T43="Impacto"),(AE42-(+AE42*W43)),IF(AND(T42="Probabilidad",T43="Impacto"),(AE41-(+AE41*W43)),IF(T43="Probabilidad",AE42,""))),"")</f>
        <v/>
      </c>
      <c r="AF43" s="115" t="str">
        <f t="shared" si="11"/>
        <v/>
      </c>
      <c r="AG43" s="116"/>
      <c r="AH43" s="107"/>
      <c r="AI43" s="108"/>
      <c r="AJ43" s="216"/>
      <c r="AK43" s="109"/>
      <c r="AL43" s="107"/>
      <c r="AM43" s="108"/>
      <c r="AN43" s="7"/>
      <c r="AO43" s="7"/>
      <c r="AP43" s="7"/>
      <c r="AQ43" s="7"/>
      <c r="AR43" s="7"/>
      <c r="AS43" s="7"/>
      <c r="AT43" s="7"/>
      <c r="AU43" s="7"/>
      <c r="AV43" s="7"/>
      <c r="AW43" s="7"/>
      <c r="AX43" s="7"/>
      <c r="AY43" s="7"/>
      <c r="AZ43" s="7"/>
      <c r="BA43" s="7"/>
      <c r="BB43" s="7"/>
      <c r="BC43" s="7"/>
      <c r="BD43" s="7"/>
      <c r="BE43" s="7"/>
      <c r="BF43" s="7"/>
      <c r="BG43" s="7"/>
      <c r="BH43" s="7"/>
    </row>
    <row r="44" spans="1:60" ht="47.25" hidden="1" customHeight="1" x14ac:dyDescent="0.25">
      <c r="A44" s="462"/>
      <c r="B44" s="510"/>
      <c r="C44" s="513"/>
      <c r="D44" s="516"/>
      <c r="E44" s="206"/>
      <c r="F44" s="517"/>
      <c r="G44" s="536"/>
      <c r="H44" s="131"/>
      <c r="I44" s="520"/>
      <c r="J44" s="604"/>
      <c r="K44" s="480"/>
      <c r="L44" s="503"/>
      <c r="M44" s="527"/>
      <c r="N44" s="471">
        <f>IF(NOT(ISERROR(MATCH(M44,_xlfn.ANCHORARRAY(F55),0))),L57&amp;"Por favor no seleccionar los criterios de impacto",M44)</f>
        <v>0</v>
      </c>
      <c r="O44" s="480"/>
      <c r="P44" s="503"/>
      <c r="Q44" s="474"/>
      <c r="R44" s="103">
        <v>6</v>
      </c>
      <c r="S44" s="104"/>
      <c r="T44" s="105" t="str">
        <f t="shared" si="6"/>
        <v/>
      </c>
      <c r="U44" s="111"/>
      <c r="V44" s="111"/>
      <c r="W44" s="112" t="str">
        <f t="shared" si="7"/>
        <v/>
      </c>
      <c r="X44" s="111"/>
      <c r="Y44" s="111"/>
      <c r="Z44" s="111"/>
      <c r="AA44" s="106" t="str">
        <f>IFERROR(IF(AND(T43="Probabilidad",T44="Probabilidad"),(AC43-(+AC43*W44)),IF(AND(T43="Impacto",T44="Probabilidad"),(AC42-(+AC42*W44)),IF(T44="Impacto",AC43,""))),"")</f>
        <v/>
      </c>
      <c r="AB44" s="113" t="str">
        <f t="shared" si="8"/>
        <v/>
      </c>
      <c r="AC44" s="114" t="str">
        <f t="shared" si="9"/>
        <v/>
      </c>
      <c r="AD44" s="113" t="str">
        <f t="shared" si="10"/>
        <v/>
      </c>
      <c r="AE44" s="114" t="str">
        <f>IFERROR(IF(AND(T43="Impacto",T44="Impacto"),(AE43-(+AE43*W44)),IF(AND(T43="Probabilidad",T44="Impacto"),(AE42-(+AE42*W44)),IF(T44="Probabilidad",AE43,""))),"")</f>
        <v/>
      </c>
      <c r="AF44" s="115" t="str">
        <f t="shared" si="11"/>
        <v/>
      </c>
      <c r="AG44" s="116"/>
      <c r="AH44" s="107"/>
      <c r="AI44" s="108"/>
      <c r="AJ44" s="216"/>
      <c r="AK44" s="109"/>
      <c r="AL44" s="107"/>
      <c r="AM44" s="108"/>
      <c r="AN44" s="7"/>
      <c r="AO44" s="7"/>
      <c r="AP44" s="7"/>
      <c r="AQ44" s="7"/>
      <c r="AR44" s="7"/>
      <c r="AS44" s="7"/>
      <c r="AT44" s="7"/>
      <c r="AU44" s="7"/>
      <c r="AV44" s="7"/>
      <c r="AW44" s="7"/>
      <c r="AX44" s="7"/>
      <c r="AY44" s="7"/>
      <c r="AZ44" s="7"/>
      <c r="BA44" s="7"/>
      <c r="BB44" s="7"/>
      <c r="BC44" s="7"/>
      <c r="BD44" s="7"/>
      <c r="BE44" s="7"/>
      <c r="BF44" s="7"/>
      <c r="BG44" s="7"/>
      <c r="BH44" s="7"/>
    </row>
    <row r="45" spans="1:60" ht="26.25" hidden="1" customHeight="1" x14ac:dyDescent="0.25">
      <c r="A45" s="460">
        <v>7</v>
      </c>
      <c r="B45" s="463"/>
      <c r="C45" s="466"/>
      <c r="D45" s="466"/>
      <c r="E45" s="209"/>
      <c r="F45" s="487"/>
      <c r="G45" s="489"/>
      <c r="H45" s="118"/>
      <c r="I45" s="463"/>
      <c r="J45" s="475"/>
      <c r="K45" s="478" t="str">
        <f>IF(J45&lt;=0,"",IF(J45&lt;=2,"Muy Baja",IF(J45&lt;=24,"Baja",IF(J45&lt;=500,"Media",IF(J45&lt;=5000,"Alta","Muy Alta")))))</f>
        <v/>
      </c>
      <c r="L45" s="469" t="str">
        <f>IF(K45="","",IF(K45="Muy Baja",0.2,IF(K45="Baja",0.4,IF(K45="Media",0.6,IF(K45="Alta",0.8,IF(K45="Muy Alta",1,))))))</f>
        <v/>
      </c>
      <c r="M45" s="481"/>
      <c r="N45" s="469">
        <f>IF(NOT(ISERROR(MATCH(M45,'Tabla Impacto'!$B$221:$B$223,0))),'Tabla Impacto'!$F$223&amp;"Por favor no seleccionar los criterios de impacto(Afectación Económica o presupuestal y Pérdida Reputacional)",M45)</f>
        <v>0</v>
      </c>
      <c r="O45" s="478" t="str">
        <f>IF(OR(N45='Tabla Impacto'!$C$11,N45='Tabla Impacto'!$D$11),"Leve",IF(OR(N45='Tabla Impacto'!$C$12,N45='Tabla Impacto'!$D$12),"Menor",IF(OR(N45='Tabla Impacto'!$C$13,N45='Tabla Impacto'!$D$13),"Moderado",IF(OR(N45='Tabla Impacto'!$C$14,N45='Tabla Impacto'!$D$14),"Mayor",IF(OR(N45='Tabla Impacto'!$C$15,N45='Tabla Impacto'!$D$15),"Catastrófico","")))))</f>
        <v/>
      </c>
      <c r="P45" s="469" t="str">
        <f>IF(O45="","",IF(O45="Leve",0.2,IF(O45="Menor",0.4,IF(O45="Moderado",0.6,IF(O45="Mayor",0.8,IF(O45="Catastrófico",1,))))))</f>
        <v/>
      </c>
      <c r="Q45" s="472"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3">
        <v>1</v>
      </c>
      <c r="S45" s="104">
        <f>DOFA!E46</f>
        <v>0</v>
      </c>
      <c r="T45" s="105" t="str">
        <f t="shared" si="6"/>
        <v/>
      </c>
      <c r="U45" s="111"/>
      <c r="V45" s="111"/>
      <c r="W45" s="112" t="str">
        <f t="shared" si="7"/>
        <v/>
      </c>
      <c r="X45" s="111"/>
      <c r="Y45" s="111"/>
      <c r="Z45" s="111"/>
      <c r="AA45" s="106" t="str">
        <f>IFERROR(IF(T45="Probabilidad",(L45-(+L45*W45)),IF(T45="Impacto",L45,"")),"")</f>
        <v/>
      </c>
      <c r="AB45" s="113" t="str">
        <f t="shared" si="8"/>
        <v/>
      </c>
      <c r="AC45" s="114" t="str">
        <f t="shared" si="9"/>
        <v/>
      </c>
      <c r="AD45" s="113" t="str">
        <f t="shared" si="10"/>
        <v/>
      </c>
      <c r="AE45" s="114" t="str">
        <f>IFERROR(IF(T45="Impacto",(P45-(+P45*W45)),IF(T45="Probabilidad",P45,"")),"")</f>
        <v/>
      </c>
      <c r="AF45" s="115" t="str">
        <f t="shared" si="11"/>
        <v/>
      </c>
      <c r="AG45" s="116"/>
      <c r="AH45" s="107"/>
      <c r="AI45" s="108"/>
      <c r="AJ45" s="216"/>
      <c r="AK45" s="109"/>
      <c r="AL45" s="107"/>
      <c r="AM45" s="108"/>
      <c r="AN45" s="7"/>
      <c r="AO45" s="7"/>
      <c r="AP45" s="7"/>
      <c r="AQ45" s="7"/>
      <c r="AR45" s="7"/>
      <c r="AS45" s="7"/>
      <c r="AT45" s="7"/>
      <c r="AU45" s="7"/>
      <c r="AV45" s="7"/>
      <c r="AW45" s="7"/>
      <c r="AX45" s="7"/>
      <c r="AY45" s="7"/>
      <c r="AZ45" s="7"/>
      <c r="BA45" s="7"/>
      <c r="BB45" s="7"/>
      <c r="BC45" s="7"/>
      <c r="BD45" s="7"/>
      <c r="BE45" s="7"/>
      <c r="BF45" s="7"/>
      <c r="BG45" s="7"/>
      <c r="BH45" s="7"/>
    </row>
    <row r="46" spans="1:60" ht="24.75" hidden="1" customHeight="1" x14ac:dyDescent="0.25">
      <c r="A46" s="461"/>
      <c r="B46" s="464"/>
      <c r="C46" s="467"/>
      <c r="D46" s="467"/>
      <c r="E46" s="209"/>
      <c r="F46" s="487"/>
      <c r="G46" s="490"/>
      <c r="H46" s="118"/>
      <c r="I46" s="464"/>
      <c r="J46" s="476"/>
      <c r="K46" s="479"/>
      <c r="L46" s="470"/>
      <c r="M46" s="482"/>
      <c r="N46" s="470">
        <f>IF(NOT(ISERROR(MATCH(M46,_xlfn.ANCHORARRAY(F57),0))),L59&amp;"Por favor no seleccionar los criterios de impacto",M46)</f>
        <v>0</v>
      </c>
      <c r="O46" s="479"/>
      <c r="P46" s="470"/>
      <c r="Q46" s="473"/>
      <c r="R46" s="103">
        <v>2</v>
      </c>
      <c r="S46" s="104"/>
      <c r="T46" s="105" t="str">
        <f t="shared" si="6"/>
        <v/>
      </c>
      <c r="U46" s="111"/>
      <c r="V46" s="111"/>
      <c r="W46" s="112" t="str">
        <f t="shared" si="7"/>
        <v/>
      </c>
      <c r="X46" s="111"/>
      <c r="Y46" s="111"/>
      <c r="Z46" s="111"/>
      <c r="AA46" s="106" t="str">
        <f>IFERROR(IF(AND(T45="Probabilidad",T46="Probabilidad"),(AC45-(+AC45*W46)),IF(AND(T45="Impacto",T46="Probabilidad"),(L45-(+L45*W46)),IF(T46="Impacto",AC45,""))),"")</f>
        <v/>
      </c>
      <c r="AB46" s="113" t="str">
        <f t="shared" si="8"/>
        <v/>
      </c>
      <c r="AC46" s="114" t="str">
        <f t="shared" si="9"/>
        <v/>
      </c>
      <c r="AD46" s="113" t="str">
        <f t="shared" si="10"/>
        <v/>
      </c>
      <c r="AE46" s="114" t="str">
        <f>IFERROR(IF(AND(T45="Impacto",T46="Impacto"),(AE45-(+AE45*W46)),IF(AND(T45="Probabilidad",T46="Impacto"),(P45-(+P45*W46)),IF(T46="Probabilidad",AE45,""))),"")</f>
        <v/>
      </c>
      <c r="AF46" s="115" t="str">
        <f t="shared" si="11"/>
        <v/>
      </c>
      <c r="AG46" s="116"/>
      <c r="AH46" s="107"/>
      <c r="AI46" s="108"/>
      <c r="AJ46" s="216"/>
      <c r="AK46" s="109"/>
      <c r="AL46" s="107"/>
      <c r="AM46" s="108"/>
      <c r="AN46" s="7"/>
      <c r="AO46" s="7"/>
      <c r="AP46" s="7"/>
      <c r="AQ46" s="7"/>
      <c r="AR46" s="7"/>
      <c r="AS46" s="7"/>
      <c r="AT46" s="7"/>
      <c r="AU46" s="7"/>
      <c r="AV46" s="7"/>
      <c r="AW46" s="7"/>
      <c r="AX46" s="7"/>
      <c r="AY46" s="7"/>
      <c r="AZ46" s="7"/>
      <c r="BA46" s="7"/>
      <c r="BB46" s="7"/>
      <c r="BC46" s="7"/>
      <c r="BD46" s="7"/>
      <c r="BE46" s="7"/>
      <c r="BF46" s="7"/>
      <c r="BG46" s="7"/>
      <c r="BH46" s="7"/>
    </row>
    <row r="47" spans="1:60" ht="26.25" hidden="1" customHeight="1" x14ac:dyDescent="0.25">
      <c r="A47" s="461"/>
      <c r="B47" s="464"/>
      <c r="C47" s="467"/>
      <c r="D47" s="467"/>
      <c r="E47" s="209"/>
      <c r="F47" s="487"/>
      <c r="G47" s="490"/>
      <c r="H47" s="118"/>
      <c r="I47" s="464"/>
      <c r="J47" s="476"/>
      <c r="K47" s="479"/>
      <c r="L47" s="470"/>
      <c r="M47" s="482"/>
      <c r="N47" s="470">
        <f>IF(NOT(ISERROR(MATCH(M47,_xlfn.ANCHORARRAY(F58),0))),L60&amp;"Por favor no seleccionar los criterios de impacto",M47)</f>
        <v>0</v>
      </c>
      <c r="O47" s="479"/>
      <c r="P47" s="470"/>
      <c r="Q47" s="473"/>
      <c r="R47" s="103">
        <v>3</v>
      </c>
      <c r="S47" s="110"/>
      <c r="T47" s="105" t="str">
        <f t="shared" si="6"/>
        <v/>
      </c>
      <c r="U47" s="111"/>
      <c r="V47" s="111"/>
      <c r="W47" s="112" t="str">
        <f t="shared" si="7"/>
        <v/>
      </c>
      <c r="X47" s="111"/>
      <c r="Y47" s="111"/>
      <c r="Z47" s="111"/>
      <c r="AA47" s="106" t="str">
        <f>IFERROR(IF(AND(T46="Probabilidad",T47="Probabilidad"),(AC46-(+AC46*W47)),IF(AND(T46="Impacto",T47="Probabilidad"),(AC45-(+AC45*W47)),IF(T47="Impacto",AC46,""))),"")</f>
        <v/>
      </c>
      <c r="AB47" s="113" t="str">
        <f t="shared" si="8"/>
        <v/>
      </c>
      <c r="AC47" s="114" t="str">
        <f t="shared" si="9"/>
        <v/>
      </c>
      <c r="AD47" s="113" t="str">
        <f t="shared" si="10"/>
        <v/>
      </c>
      <c r="AE47" s="114" t="str">
        <f>IFERROR(IF(AND(T46="Impacto",T47="Impacto"),(AE46-(+AE46*W47)),IF(AND(T46="Probabilidad",T47="Impacto"),(AE45-(+AE45*W47)),IF(T47="Probabilidad",AE46,""))),"")</f>
        <v/>
      </c>
      <c r="AF47" s="115" t="str">
        <f t="shared" si="11"/>
        <v/>
      </c>
      <c r="AG47" s="116"/>
      <c r="AH47" s="107"/>
      <c r="AI47" s="108"/>
      <c r="AJ47" s="216"/>
      <c r="AK47" s="109"/>
      <c r="AL47" s="107"/>
      <c r="AM47" s="108"/>
      <c r="AN47" s="7"/>
      <c r="AO47" s="7"/>
      <c r="AP47" s="7"/>
      <c r="AQ47" s="7"/>
      <c r="AR47" s="7"/>
      <c r="AS47" s="7"/>
      <c r="AT47" s="7"/>
      <c r="AU47" s="7"/>
      <c r="AV47" s="7"/>
      <c r="AW47" s="7"/>
      <c r="AX47" s="7"/>
      <c r="AY47" s="7"/>
      <c r="AZ47" s="7"/>
      <c r="BA47" s="7"/>
      <c r="BB47" s="7"/>
      <c r="BC47" s="7"/>
      <c r="BD47" s="7"/>
      <c r="BE47" s="7"/>
      <c r="BF47" s="7"/>
      <c r="BG47" s="7"/>
      <c r="BH47" s="7"/>
    </row>
    <row r="48" spans="1:60" ht="26.25" hidden="1" customHeight="1" x14ac:dyDescent="0.25">
      <c r="A48" s="461"/>
      <c r="B48" s="464"/>
      <c r="C48" s="467"/>
      <c r="D48" s="467"/>
      <c r="E48" s="209"/>
      <c r="F48" s="487"/>
      <c r="G48" s="490"/>
      <c r="H48" s="118"/>
      <c r="I48" s="464"/>
      <c r="J48" s="476"/>
      <c r="K48" s="479"/>
      <c r="L48" s="470"/>
      <c r="M48" s="482"/>
      <c r="N48" s="470">
        <f>IF(NOT(ISERROR(MATCH(M48,_xlfn.ANCHORARRAY(F59),0))),L61&amp;"Por favor no seleccionar los criterios de impacto",M48)</f>
        <v>0</v>
      </c>
      <c r="O48" s="479"/>
      <c r="P48" s="470"/>
      <c r="Q48" s="473"/>
      <c r="R48" s="103">
        <v>4</v>
      </c>
      <c r="S48" s="104"/>
      <c r="T48" s="105" t="str">
        <f t="shared" si="6"/>
        <v/>
      </c>
      <c r="U48" s="111"/>
      <c r="V48" s="111"/>
      <c r="W48" s="112" t="str">
        <f t="shared" si="7"/>
        <v/>
      </c>
      <c r="X48" s="111"/>
      <c r="Y48" s="111"/>
      <c r="Z48" s="111"/>
      <c r="AA48" s="106" t="str">
        <f>IFERROR(IF(AND(T47="Probabilidad",T48="Probabilidad"),(AC47-(+AC47*W48)),IF(AND(T47="Impacto",T48="Probabilidad"),(AC46-(+AC46*W48)),IF(T48="Impacto",AC47,""))),"")</f>
        <v/>
      </c>
      <c r="AB48" s="113" t="str">
        <f t="shared" si="8"/>
        <v/>
      </c>
      <c r="AC48" s="114" t="str">
        <f t="shared" si="9"/>
        <v/>
      </c>
      <c r="AD48" s="113" t="str">
        <f t="shared" si="10"/>
        <v/>
      </c>
      <c r="AE48" s="114" t="str">
        <f>IFERROR(IF(AND(T47="Impacto",T48="Impacto"),(AE47-(+AE47*W48)),IF(AND(T47="Probabilidad",T48="Impacto"),(AE46-(+AE46*W48)),IF(T48="Probabilidad",AE47,""))),"")</f>
        <v/>
      </c>
      <c r="AF48" s="115" t="str">
        <f t="shared" si="11"/>
        <v/>
      </c>
      <c r="AG48" s="116"/>
      <c r="AH48" s="107"/>
      <c r="AI48" s="108"/>
      <c r="AJ48" s="216"/>
      <c r="AK48" s="109"/>
      <c r="AL48" s="107"/>
      <c r="AM48" s="108"/>
      <c r="AN48" s="7"/>
      <c r="AO48" s="7"/>
      <c r="AP48" s="7"/>
      <c r="AQ48" s="7"/>
      <c r="AR48" s="7"/>
      <c r="AS48" s="7"/>
      <c r="AT48" s="7"/>
      <c r="AU48" s="7"/>
      <c r="AV48" s="7"/>
      <c r="AW48" s="7"/>
      <c r="AX48" s="7"/>
      <c r="AY48" s="7"/>
      <c r="AZ48" s="7"/>
      <c r="BA48" s="7"/>
      <c r="BB48" s="7"/>
      <c r="BC48" s="7"/>
      <c r="BD48" s="7"/>
      <c r="BE48" s="7"/>
      <c r="BF48" s="7"/>
      <c r="BG48" s="7"/>
      <c r="BH48" s="7"/>
    </row>
    <row r="49" spans="1:60" ht="26.25" hidden="1" customHeight="1" x14ac:dyDescent="0.25">
      <c r="A49" s="461"/>
      <c r="B49" s="464"/>
      <c r="C49" s="467"/>
      <c r="D49" s="467"/>
      <c r="E49" s="209"/>
      <c r="F49" s="487"/>
      <c r="G49" s="490"/>
      <c r="H49" s="118"/>
      <c r="I49" s="464"/>
      <c r="J49" s="476"/>
      <c r="K49" s="479"/>
      <c r="L49" s="470"/>
      <c r="M49" s="482"/>
      <c r="N49" s="470">
        <f>IF(NOT(ISERROR(MATCH(M49,_xlfn.ANCHORARRAY(F60),0))),L62&amp;"Por favor no seleccionar los criterios de impacto",M49)</f>
        <v>0</v>
      </c>
      <c r="O49" s="479"/>
      <c r="P49" s="470"/>
      <c r="Q49" s="473"/>
      <c r="R49" s="103">
        <v>5</v>
      </c>
      <c r="S49" s="104"/>
      <c r="T49" s="105" t="str">
        <f t="shared" si="6"/>
        <v/>
      </c>
      <c r="U49" s="111"/>
      <c r="V49" s="111"/>
      <c r="W49" s="112" t="str">
        <f t="shared" si="7"/>
        <v/>
      </c>
      <c r="X49" s="111"/>
      <c r="Y49" s="111"/>
      <c r="Z49" s="111"/>
      <c r="AA49" s="106" t="str">
        <f>IFERROR(IF(AND(T48="Probabilidad",T49="Probabilidad"),(AC48-(+AC48*W49)),IF(AND(T48="Impacto",T49="Probabilidad"),(AC47-(+AC47*W49)),IF(T49="Impacto",AC48,""))),"")</f>
        <v/>
      </c>
      <c r="AB49" s="113" t="str">
        <f t="shared" si="8"/>
        <v/>
      </c>
      <c r="AC49" s="114" t="str">
        <f t="shared" si="9"/>
        <v/>
      </c>
      <c r="AD49" s="113" t="str">
        <f t="shared" si="10"/>
        <v/>
      </c>
      <c r="AE49" s="114" t="str">
        <f>IFERROR(IF(AND(T48="Impacto",T49="Impacto"),(AE48-(+AE48*W49)),IF(AND(T48="Probabilidad",T49="Impacto"),(AE47-(+AE47*W49)),IF(T49="Probabilidad",AE48,""))),"")</f>
        <v/>
      </c>
      <c r="AF49" s="115" t="str">
        <f t="shared" si="11"/>
        <v/>
      </c>
      <c r="AG49" s="116"/>
      <c r="AH49" s="107"/>
      <c r="AI49" s="108"/>
      <c r="AJ49" s="216"/>
      <c r="AK49" s="109"/>
      <c r="AL49" s="107"/>
      <c r="AM49" s="108"/>
      <c r="AN49" s="7"/>
      <c r="AO49" s="7"/>
      <c r="AP49" s="7"/>
      <c r="AQ49" s="7"/>
      <c r="AR49" s="7"/>
      <c r="AS49" s="7"/>
      <c r="AT49" s="7"/>
      <c r="AU49" s="7"/>
      <c r="AV49" s="7"/>
      <c r="AW49" s="7"/>
      <c r="AX49" s="7"/>
      <c r="AY49" s="7"/>
      <c r="AZ49" s="7"/>
      <c r="BA49" s="7"/>
      <c r="BB49" s="7"/>
      <c r="BC49" s="7"/>
      <c r="BD49" s="7"/>
      <c r="BE49" s="7"/>
      <c r="BF49" s="7"/>
      <c r="BG49" s="7"/>
      <c r="BH49" s="7"/>
    </row>
    <row r="50" spans="1:60" ht="26.25" hidden="1" customHeight="1" x14ac:dyDescent="0.25">
      <c r="A50" s="462"/>
      <c r="B50" s="465"/>
      <c r="C50" s="468"/>
      <c r="D50" s="468"/>
      <c r="E50" s="210"/>
      <c r="F50" s="488"/>
      <c r="G50" s="491"/>
      <c r="H50" s="119"/>
      <c r="I50" s="465"/>
      <c r="J50" s="477"/>
      <c r="K50" s="480"/>
      <c r="L50" s="471"/>
      <c r="M50" s="483"/>
      <c r="N50" s="471">
        <f>IF(NOT(ISERROR(MATCH(M50,_xlfn.ANCHORARRAY(F61),0))),L63&amp;"Por favor no seleccionar los criterios de impacto",M50)</f>
        <v>0</v>
      </c>
      <c r="O50" s="480"/>
      <c r="P50" s="471"/>
      <c r="Q50" s="474"/>
      <c r="R50" s="103">
        <v>6</v>
      </c>
      <c r="S50" s="104"/>
      <c r="T50" s="105" t="str">
        <f t="shared" si="6"/>
        <v/>
      </c>
      <c r="U50" s="111"/>
      <c r="V50" s="111"/>
      <c r="W50" s="112" t="str">
        <f t="shared" si="7"/>
        <v/>
      </c>
      <c r="X50" s="111"/>
      <c r="Y50" s="111"/>
      <c r="Z50" s="111"/>
      <c r="AA50" s="106" t="str">
        <f>IFERROR(IF(AND(T49="Probabilidad",T50="Probabilidad"),(AC49-(+AC49*W50)),IF(AND(T49="Impacto",T50="Probabilidad"),(AC48-(+AC48*W50)),IF(T50="Impacto",AC49,""))),"")</f>
        <v/>
      </c>
      <c r="AB50" s="113" t="str">
        <f t="shared" si="8"/>
        <v/>
      </c>
      <c r="AC50" s="114" t="str">
        <f t="shared" si="9"/>
        <v/>
      </c>
      <c r="AD50" s="113" t="str">
        <f t="shared" si="10"/>
        <v/>
      </c>
      <c r="AE50" s="114" t="str">
        <f>IFERROR(IF(AND(T49="Impacto",T50="Impacto"),(AE49-(+AE49*W50)),IF(AND(T49="Probabilidad",T50="Impacto"),(AE48-(+AE48*W50)),IF(T50="Probabilidad",AE49,""))),"")</f>
        <v/>
      </c>
      <c r="AF50" s="115" t="str">
        <f t="shared" si="11"/>
        <v/>
      </c>
      <c r="AG50" s="116"/>
      <c r="AH50" s="107"/>
      <c r="AI50" s="108"/>
      <c r="AJ50" s="216"/>
      <c r="AK50" s="109"/>
      <c r="AL50" s="107"/>
      <c r="AM50" s="108"/>
      <c r="AN50" s="7"/>
      <c r="AO50" s="7"/>
      <c r="AP50" s="7"/>
      <c r="AQ50" s="7"/>
      <c r="AR50" s="7"/>
      <c r="AS50" s="7"/>
      <c r="AT50" s="7"/>
      <c r="AU50" s="7"/>
      <c r="AV50" s="7"/>
      <c r="AW50" s="7"/>
      <c r="AX50" s="7"/>
      <c r="AY50" s="7"/>
      <c r="AZ50" s="7"/>
      <c r="BA50" s="7"/>
      <c r="BB50" s="7"/>
      <c r="BC50" s="7"/>
      <c r="BD50" s="7"/>
      <c r="BE50" s="7"/>
      <c r="BF50" s="7"/>
      <c r="BG50" s="7"/>
      <c r="BH50" s="7"/>
    </row>
    <row r="51" spans="1:60" ht="26.25" hidden="1" customHeight="1" x14ac:dyDescent="0.25">
      <c r="A51" s="460">
        <v>8</v>
      </c>
      <c r="B51" s="463"/>
      <c r="C51" s="466"/>
      <c r="D51" s="466"/>
      <c r="E51" s="208"/>
      <c r="F51" s="486"/>
      <c r="G51" s="489"/>
      <c r="H51" s="117"/>
      <c r="I51" s="463"/>
      <c r="J51" s="475"/>
      <c r="K51" s="478" t="str">
        <f>IF(J51&lt;=0,"",IF(J51&lt;=2,"Muy Baja",IF(J51&lt;=24,"Baja",IF(J51&lt;=500,"Media",IF(J51&lt;=5000,"Alta","Muy Alta")))))</f>
        <v/>
      </c>
      <c r="L51" s="469" t="str">
        <f>IF(K51="","",IF(K51="Muy Baja",0.2,IF(K51="Baja",0.4,IF(K51="Media",0.6,IF(K51="Alta",0.8,IF(K51="Muy Alta",1,))))))</f>
        <v/>
      </c>
      <c r="M51" s="481"/>
      <c r="N51" s="469">
        <f>IF(NOT(ISERROR(MATCH(M51,'Tabla Impacto'!$B$221:$B$223,0))),'Tabla Impacto'!$F$223&amp;"Por favor no seleccionar los criterios de impacto(Afectación Económica o presupuestal y Pérdida Reputacional)",M51)</f>
        <v>0</v>
      </c>
      <c r="O51" s="478" t="str">
        <f>IF(OR(N51='Tabla Impacto'!$C$11,N51='Tabla Impacto'!$D$11),"Leve",IF(OR(N51='Tabla Impacto'!$C$12,N51='Tabla Impacto'!$D$12),"Menor",IF(OR(N51='Tabla Impacto'!$C$13,N51='Tabla Impacto'!$D$13),"Moderado",IF(OR(N51='Tabla Impacto'!$C$14,N51='Tabla Impacto'!$D$14),"Mayor",IF(OR(N51='Tabla Impacto'!$C$15,N51='Tabla Impacto'!$D$15),"Catastrófico","")))))</f>
        <v/>
      </c>
      <c r="P51" s="469" t="str">
        <f>IF(O51="","",IF(O51="Leve",0.2,IF(O51="Menor",0.4,IF(O51="Moderado",0.6,IF(O51="Mayor",0.8,IF(O51="Catastrófico",1,))))))</f>
        <v/>
      </c>
      <c r="Q51" s="472"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3">
        <v>1</v>
      </c>
      <c r="S51" s="104">
        <f>DOFA!E47</f>
        <v>0</v>
      </c>
      <c r="T51" s="105" t="str">
        <f t="shared" si="6"/>
        <v/>
      </c>
      <c r="U51" s="111"/>
      <c r="V51" s="111"/>
      <c r="W51" s="112" t="str">
        <f t="shared" si="7"/>
        <v/>
      </c>
      <c r="X51" s="111"/>
      <c r="Y51" s="111"/>
      <c r="Z51" s="111"/>
      <c r="AA51" s="106" t="str">
        <f>IFERROR(IF(T51="Probabilidad",(L51-(+L51*W51)),IF(T51="Impacto",L51,"")),"")</f>
        <v/>
      </c>
      <c r="AB51" s="113" t="str">
        <f t="shared" si="8"/>
        <v/>
      </c>
      <c r="AC51" s="114" t="str">
        <f t="shared" si="9"/>
        <v/>
      </c>
      <c r="AD51" s="113" t="str">
        <f t="shared" si="10"/>
        <v/>
      </c>
      <c r="AE51" s="114" t="str">
        <f>IFERROR(IF(T51="Impacto",(P51-(+P51*W51)),IF(T51="Probabilidad",P51,"")),"")</f>
        <v/>
      </c>
      <c r="AF51" s="115" t="str">
        <f t="shared" si="11"/>
        <v/>
      </c>
      <c r="AG51" s="116"/>
      <c r="AH51" s="107"/>
      <c r="AI51" s="108"/>
      <c r="AJ51" s="216"/>
      <c r="AK51" s="109"/>
      <c r="AL51" s="107"/>
      <c r="AM51" s="108"/>
      <c r="AN51" s="7"/>
      <c r="AO51" s="7"/>
      <c r="AP51" s="7"/>
      <c r="AQ51" s="7"/>
      <c r="AR51" s="7"/>
      <c r="AS51" s="7"/>
      <c r="AT51" s="7"/>
      <c r="AU51" s="7"/>
      <c r="AV51" s="7"/>
      <c r="AW51" s="7"/>
      <c r="AX51" s="7"/>
      <c r="AY51" s="7"/>
      <c r="AZ51" s="7"/>
      <c r="BA51" s="7"/>
      <c r="BB51" s="7"/>
      <c r="BC51" s="7"/>
      <c r="BD51" s="7"/>
      <c r="BE51" s="7"/>
      <c r="BF51" s="7"/>
      <c r="BG51" s="7"/>
      <c r="BH51" s="7"/>
    </row>
    <row r="52" spans="1:60" ht="26.25" hidden="1" customHeight="1" x14ac:dyDescent="0.25">
      <c r="A52" s="461"/>
      <c r="B52" s="464"/>
      <c r="C52" s="467"/>
      <c r="D52" s="467"/>
      <c r="E52" s="209"/>
      <c r="F52" s="487"/>
      <c r="G52" s="490"/>
      <c r="H52" s="118"/>
      <c r="I52" s="464"/>
      <c r="J52" s="476"/>
      <c r="K52" s="479"/>
      <c r="L52" s="470"/>
      <c r="M52" s="482"/>
      <c r="N52" s="470">
        <f>IF(NOT(ISERROR(MATCH(M52,_xlfn.ANCHORARRAY(F63),0))),L65&amp;"Por favor no seleccionar los criterios de impacto",M52)</f>
        <v>0</v>
      </c>
      <c r="O52" s="479"/>
      <c r="P52" s="470"/>
      <c r="Q52" s="473"/>
      <c r="R52" s="103">
        <v>2</v>
      </c>
      <c r="S52" s="104"/>
      <c r="T52" s="105" t="str">
        <f t="shared" si="6"/>
        <v/>
      </c>
      <c r="U52" s="111"/>
      <c r="V52" s="111"/>
      <c r="W52" s="112" t="str">
        <f t="shared" si="7"/>
        <v/>
      </c>
      <c r="X52" s="111"/>
      <c r="Y52" s="111"/>
      <c r="Z52" s="111"/>
      <c r="AA52" s="106" t="str">
        <f>IFERROR(IF(AND(T51="Probabilidad",T52="Probabilidad"),(AC51-(+AC51*W52)),IF(AND(T51="Impacto",T52="Probabilidad"),(L51-(+L51*W52)),IF(T52="Impacto",AC51,""))),"")</f>
        <v/>
      </c>
      <c r="AB52" s="113" t="str">
        <f t="shared" si="8"/>
        <v/>
      </c>
      <c r="AC52" s="114" t="str">
        <f t="shared" si="9"/>
        <v/>
      </c>
      <c r="AD52" s="113" t="str">
        <f t="shared" si="10"/>
        <v/>
      </c>
      <c r="AE52" s="114" t="str">
        <f>IFERROR(IF(AND(T51="Impacto",T52="Impacto"),(AE51-(+AE51*W52)),IF(AND(T51="Probabilidad",T52="Impacto"),(P51-(+P51*W52)),IF(T52="Probabilidad",AE51,""))),"")</f>
        <v/>
      </c>
      <c r="AF52" s="115" t="str">
        <f t="shared" si="11"/>
        <v/>
      </c>
      <c r="AG52" s="116"/>
      <c r="AH52" s="107"/>
      <c r="AI52" s="108"/>
      <c r="AJ52" s="216"/>
      <c r="AK52" s="109"/>
      <c r="AL52" s="107"/>
      <c r="AM52" s="108"/>
      <c r="AN52" s="7"/>
      <c r="AO52" s="7"/>
      <c r="AP52" s="7"/>
      <c r="AQ52" s="7"/>
      <c r="AR52" s="7"/>
      <c r="AS52" s="7"/>
      <c r="AT52" s="7"/>
      <c r="AU52" s="7"/>
      <c r="AV52" s="7"/>
      <c r="AW52" s="7"/>
      <c r="AX52" s="7"/>
      <c r="AY52" s="7"/>
      <c r="AZ52" s="7"/>
      <c r="BA52" s="7"/>
      <c r="BB52" s="7"/>
      <c r="BC52" s="7"/>
      <c r="BD52" s="7"/>
      <c r="BE52" s="7"/>
      <c r="BF52" s="7"/>
      <c r="BG52" s="7"/>
      <c r="BH52" s="7"/>
    </row>
    <row r="53" spans="1:60" ht="26.25" hidden="1" customHeight="1" x14ac:dyDescent="0.25">
      <c r="A53" s="461"/>
      <c r="B53" s="464"/>
      <c r="C53" s="467"/>
      <c r="D53" s="467"/>
      <c r="E53" s="209"/>
      <c r="F53" s="487"/>
      <c r="G53" s="490"/>
      <c r="H53" s="118"/>
      <c r="I53" s="464"/>
      <c r="J53" s="476"/>
      <c r="K53" s="479"/>
      <c r="L53" s="470"/>
      <c r="M53" s="482"/>
      <c r="N53" s="470">
        <f>IF(NOT(ISERROR(MATCH(M53,_xlfn.ANCHORARRAY(F64),0))),L66&amp;"Por favor no seleccionar los criterios de impacto",M53)</f>
        <v>0</v>
      </c>
      <c r="O53" s="479"/>
      <c r="P53" s="470"/>
      <c r="Q53" s="473"/>
      <c r="R53" s="103">
        <v>3</v>
      </c>
      <c r="S53" s="110"/>
      <c r="T53" s="105" t="str">
        <f t="shared" si="6"/>
        <v/>
      </c>
      <c r="U53" s="111"/>
      <c r="V53" s="111"/>
      <c r="W53" s="112" t="str">
        <f t="shared" si="7"/>
        <v/>
      </c>
      <c r="X53" s="111"/>
      <c r="Y53" s="111"/>
      <c r="Z53" s="111"/>
      <c r="AA53" s="106" t="str">
        <f>IFERROR(IF(AND(T52="Probabilidad",T53="Probabilidad"),(AC52-(+AC52*W53)),IF(AND(T52="Impacto",T53="Probabilidad"),(AC51-(+AC51*W53)),IF(T53="Impacto",AC52,""))),"")</f>
        <v/>
      </c>
      <c r="AB53" s="113" t="str">
        <f t="shared" si="8"/>
        <v/>
      </c>
      <c r="AC53" s="114" t="str">
        <f t="shared" si="9"/>
        <v/>
      </c>
      <c r="AD53" s="113" t="str">
        <f t="shared" si="10"/>
        <v/>
      </c>
      <c r="AE53" s="114" t="str">
        <f>IFERROR(IF(AND(T52="Impacto",T53="Impacto"),(AE52-(+AE52*W53)),IF(AND(T52="Probabilidad",T53="Impacto"),(AE51-(+AE51*W53)),IF(T53="Probabilidad",AE52,""))),"")</f>
        <v/>
      </c>
      <c r="AF53" s="115" t="str">
        <f t="shared" si="11"/>
        <v/>
      </c>
      <c r="AG53" s="116"/>
      <c r="AH53" s="107"/>
      <c r="AI53" s="108"/>
      <c r="AJ53" s="216"/>
      <c r="AK53" s="109"/>
      <c r="AL53" s="107"/>
      <c r="AM53" s="108"/>
      <c r="AN53" s="7"/>
      <c r="AO53" s="7"/>
      <c r="AP53" s="7"/>
      <c r="AQ53" s="7"/>
      <c r="AR53" s="7"/>
      <c r="AS53" s="7"/>
      <c r="AT53" s="7"/>
      <c r="AU53" s="7"/>
      <c r="AV53" s="7"/>
      <c r="AW53" s="7"/>
      <c r="AX53" s="7"/>
      <c r="AY53" s="7"/>
      <c r="AZ53" s="7"/>
      <c r="BA53" s="7"/>
      <c r="BB53" s="7"/>
      <c r="BC53" s="7"/>
      <c r="BD53" s="7"/>
      <c r="BE53" s="7"/>
      <c r="BF53" s="7"/>
      <c r="BG53" s="7"/>
      <c r="BH53" s="7"/>
    </row>
    <row r="54" spans="1:60" ht="26.25" hidden="1" customHeight="1" x14ac:dyDescent="0.25">
      <c r="A54" s="461"/>
      <c r="B54" s="464"/>
      <c r="C54" s="467"/>
      <c r="D54" s="467"/>
      <c r="E54" s="209"/>
      <c r="F54" s="487"/>
      <c r="G54" s="490"/>
      <c r="H54" s="118"/>
      <c r="I54" s="464"/>
      <c r="J54" s="476"/>
      <c r="K54" s="479"/>
      <c r="L54" s="470"/>
      <c r="M54" s="482"/>
      <c r="N54" s="470">
        <f>IF(NOT(ISERROR(MATCH(M54,_xlfn.ANCHORARRAY(F65),0))),L67&amp;"Por favor no seleccionar los criterios de impacto",M54)</f>
        <v>0</v>
      </c>
      <c r="O54" s="479"/>
      <c r="P54" s="470"/>
      <c r="Q54" s="473"/>
      <c r="R54" s="103">
        <v>4</v>
      </c>
      <c r="S54" s="104"/>
      <c r="T54" s="105" t="str">
        <f t="shared" si="6"/>
        <v/>
      </c>
      <c r="U54" s="111"/>
      <c r="V54" s="111"/>
      <c r="W54" s="112" t="str">
        <f t="shared" si="7"/>
        <v/>
      </c>
      <c r="X54" s="111"/>
      <c r="Y54" s="111"/>
      <c r="Z54" s="111"/>
      <c r="AA54" s="106" t="str">
        <f>IFERROR(IF(AND(T53="Probabilidad",T54="Probabilidad"),(AC53-(+AC53*W54)),IF(AND(T53="Impacto",T54="Probabilidad"),(AC52-(+AC52*W54)),IF(T54="Impacto",AC53,""))),"")</f>
        <v/>
      </c>
      <c r="AB54" s="113" t="str">
        <f t="shared" si="8"/>
        <v/>
      </c>
      <c r="AC54" s="114" t="str">
        <f t="shared" si="9"/>
        <v/>
      </c>
      <c r="AD54" s="113" t="str">
        <f t="shared" si="10"/>
        <v/>
      </c>
      <c r="AE54" s="114" t="str">
        <f>IFERROR(IF(AND(T53="Impacto",T54="Impacto"),(AE53-(+AE53*W54)),IF(AND(T53="Probabilidad",T54="Impacto"),(AE52-(+AE52*W54)),IF(T54="Probabilidad",AE53,""))),"")</f>
        <v/>
      </c>
      <c r="AF54" s="115" t="str">
        <f t="shared" si="11"/>
        <v/>
      </c>
      <c r="AG54" s="116"/>
      <c r="AH54" s="107"/>
      <c r="AI54" s="108"/>
      <c r="AJ54" s="216"/>
      <c r="AK54" s="109"/>
      <c r="AL54" s="107"/>
      <c r="AM54" s="108"/>
      <c r="AN54" s="7"/>
      <c r="AO54" s="7"/>
      <c r="AP54" s="7"/>
      <c r="AQ54" s="7"/>
      <c r="AR54" s="7"/>
      <c r="AS54" s="7"/>
      <c r="AT54" s="7"/>
      <c r="AU54" s="7"/>
      <c r="AV54" s="7"/>
      <c r="AW54" s="7"/>
      <c r="AX54" s="7"/>
      <c r="AY54" s="7"/>
      <c r="AZ54" s="7"/>
      <c r="BA54" s="7"/>
      <c r="BB54" s="7"/>
      <c r="BC54" s="7"/>
      <c r="BD54" s="7"/>
      <c r="BE54" s="7"/>
      <c r="BF54" s="7"/>
      <c r="BG54" s="7"/>
      <c r="BH54" s="7"/>
    </row>
    <row r="55" spans="1:60" ht="26.25" hidden="1" customHeight="1" x14ac:dyDescent="0.25">
      <c r="A55" s="461"/>
      <c r="B55" s="464"/>
      <c r="C55" s="467"/>
      <c r="D55" s="467"/>
      <c r="E55" s="209"/>
      <c r="F55" s="487"/>
      <c r="G55" s="490"/>
      <c r="H55" s="118"/>
      <c r="I55" s="464"/>
      <c r="J55" s="476"/>
      <c r="K55" s="479"/>
      <c r="L55" s="470"/>
      <c r="M55" s="482"/>
      <c r="N55" s="470">
        <f>IF(NOT(ISERROR(MATCH(M55,_xlfn.ANCHORARRAY(F66),0))),L68&amp;"Por favor no seleccionar los criterios de impacto",M55)</f>
        <v>0</v>
      </c>
      <c r="O55" s="479"/>
      <c r="P55" s="470"/>
      <c r="Q55" s="473"/>
      <c r="R55" s="103">
        <v>5</v>
      </c>
      <c r="S55" s="104"/>
      <c r="T55" s="105" t="str">
        <f t="shared" si="6"/>
        <v/>
      </c>
      <c r="U55" s="111"/>
      <c r="V55" s="111"/>
      <c r="W55" s="112" t="str">
        <f t="shared" si="7"/>
        <v/>
      </c>
      <c r="X55" s="111"/>
      <c r="Y55" s="111"/>
      <c r="Z55" s="111"/>
      <c r="AA55" s="106" t="str">
        <f>IFERROR(IF(AND(T54="Probabilidad",T55="Probabilidad"),(AC54-(+AC54*W55)),IF(AND(T54="Impacto",T55="Probabilidad"),(AC53-(+AC53*W55)),IF(T55="Impacto",AC54,""))),"")</f>
        <v/>
      </c>
      <c r="AB55" s="113" t="str">
        <f t="shared" si="8"/>
        <v/>
      </c>
      <c r="AC55" s="114" t="str">
        <f t="shared" si="9"/>
        <v/>
      </c>
      <c r="AD55" s="113" t="str">
        <f t="shared" si="10"/>
        <v/>
      </c>
      <c r="AE55" s="114" t="str">
        <f>IFERROR(IF(AND(T54="Impacto",T55="Impacto"),(AE54-(+AE54*W55)),IF(AND(T54="Probabilidad",T55="Impacto"),(AE53-(+AE53*W55)),IF(T55="Probabilidad",AE54,""))),"")</f>
        <v/>
      </c>
      <c r="AF55" s="115" t="str">
        <f t="shared" si="11"/>
        <v/>
      </c>
      <c r="AG55" s="116"/>
      <c r="AH55" s="107"/>
      <c r="AI55" s="108"/>
      <c r="AJ55" s="216"/>
      <c r="AK55" s="109"/>
      <c r="AL55" s="107"/>
      <c r="AM55" s="108"/>
      <c r="AN55" s="7"/>
      <c r="AO55" s="7"/>
      <c r="AP55" s="7"/>
      <c r="AQ55" s="7"/>
      <c r="AR55" s="7"/>
      <c r="AS55" s="7"/>
      <c r="AT55" s="7"/>
      <c r="AU55" s="7"/>
      <c r="AV55" s="7"/>
      <c r="AW55" s="7"/>
      <c r="AX55" s="7"/>
      <c r="AY55" s="7"/>
      <c r="AZ55" s="7"/>
      <c r="BA55" s="7"/>
      <c r="BB55" s="7"/>
      <c r="BC55" s="7"/>
      <c r="BD55" s="7"/>
      <c r="BE55" s="7"/>
      <c r="BF55" s="7"/>
      <c r="BG55" s="7"/>
      <c r="BH55" s="7"/>
    </row>
    <row r="56" spans="1:60" ht="26.25" hidden="1" customHeight="1" x14ac:dyDescent="0.25">
      <c r="A56" s="462"/>
      <c r="B56" s="465"/>
      <c r="C56" s="468"/>
      <c r="D56" s="468"/>
      <c r="E56" s="210"/>
      <c r="F56" s="488"/>
      <c r="G56" s="491"/>
      <c r="H56" s="119"/>
      <c r="I56" s="465"/>
      <c r="J56" s="477"/>
      <c r="K56" s="480"/>
      <c r="L56" s="471"/>
      <c r="M56" s="483"/>
      <c r="N56" s="471">
        <f>IF(NOT(ISERROR(MATCH(M56,_xlfn.ANCHORARRAY(F67),0))),L69&amp;"Por favor no seleccionar los criterios de impacto",M56)</f>
        <v>0</v>
      </c>
      <c r="O56" s="480"/>
      <c r="P56" s="471"/>
      <c r="Q56" s="474"/>
      <c r="R56" s="103">
        <v>6</v>
      </c>
      <c r="S56" s="104"/>
      <c r="T56" s="105" t="str">
        <f t="shared" si="6"/>
        <v/>
      </c>
      <c r="U56" s="111"/>
      <c r="V56" s="111"/>
      <c r="W56" s="112" t="str">
        <f t="shared" si="7"/>
        <v/>
      </c>
      <c r="X56" s="111"/>
      <c r="Y56" s="111"/>
      <c r="Z56" s="111"/>
      <c r="AA56" s="106" t="str">
        <f>IFERROR(IF(AND(T55="Probabilidad",T56="Probabilidad"),(AC55-(+AC55*W56)),IF(AND(T55="Impacto",T56="Probabilidad"),(AC54-(+AC54*W56)),IF(T56="Impacto",AC55,""))),"")</f>
        <v/>
      </c>
      <c r="AB56" s="113" t="str">
        <f t="shared" si="8"/>
        <v/>
      </c>
      <c r="AC56" s="114" t="str">
        <f t="shared" si="9"/>
        <v/>
      </c>
      <c r="AD56" s="113" t="str">
        <f t="shared" si="10"/>
        <v/>
      </c>
      <c r="AE56" s="114" t="str">
        <f>IFERROR(IF(AND(T55="Impacto",T56="Impacto"),(AE55-(+AE55*W56)),IF(AND(T55="Probabilidad",T56="Impacto"),(AE54-(+AE54*W56)),IF(T56="Probabilidad",AE55,""))),"")</f>
        <v/>
      </c>
      <c r="AF56" s="115" t="str">
        <f t="shared" si="11"/>
        <v/>
      </c>
      <c r="AG56" s="116"/>
      <c r="AH56" s="107"/>
      <c r="AI56" s="108"/>
      <c r="AJ56" s="216"/>
      <c r="AK56" s="109"/>
      <c r="AL56" s="107"/>
      <c r="AM56" s="108"/>
      <c r="AN56" s="7"/>
      <c r="AO56" s="7"/>
      <c r="AP56" s="7"/>
      <c r="AQ56" s="7"/>
      <c r="AR56" s="7"/>
      <c r="AS56" s="7"/>
      <c r="AT56" s="7"/>
      <c r="AU56" s="7"/>
      <c r="AV56" s="7"/>
      <c r="AW56" s="7"/>
      <c r="AX56" s="7"/>
      <c r="AY56" s="7"/>
      <c r="AZ56" s="7"/>
      <c r="BA56" s="7"/>
      <c r="BB56" s="7"/>
      <c r="BC56" s="7"/>
      <c r="BD56" s="7"/>
      <c r="BE56" s="7"/>
      <c r="BF56" s="7"/>
      <c r="BG56" s="7"/>
      <c r="BH56" s="7"/>
    </row>
    <row r="57" spans="1:60" ht="26.25" hidden="1" customHeight="1" x14ac:dyDescent="0.25">
      <c r="A57" s="460">
        <v>9</v>
      </c>
      <c r="B57" s="463"/>
      <c r="C57" s="466"/>
      <c r="D57" s="466"/>
      <c r="E57" s="208"/>
      <c r="F57" s="486"/>
      <c r="G57" s="489"/>
      <c r="H57" s="117"/>
      <c r="I57" s="463"/>
      <c r="J57" s="475"/>
      <c r="K57" s="478" t="str">
        <f>IF(J57&lt;=0,"",IF(J57&lt;=2,"Muy Baja",IF(J57&lt;=24,"Baja",IF(J57&lt;=500,"Media",IF(J57&lt;=5000,"Alta","Muy Alta")))))</f>
        <v/>
      </c>
      <c r="L57" s="469" t="str">
        <f>IF(K57="","",IF(K57="Muy Baja",0.2,IF(K57="Baja",0.4,IF(K57="Media",0.6,IF(K57="Alta",0.8,IF(K57="Muy Alta",1,))))))</f>
        <v/>
      </c>
      <c r="M57" s="481"/>
      <c r="N57" s="469">
        <f>IF(NOT(ISERROR(MATCH(M57,'Tabla Impacto'!$B$221:$B$223,0))),'Tabla Impacto'!$F$223&amp;"Por favor no seleccionar los criterios de impacto(Afectación Económica o presupuestal y Pérdida Reputacional)",M57)</f>
        <v>0</v>
      </c>
      <c r="O57" s="478" t="str">
        <f>IF(OR(N57='Tabla Impacto'!$C$11,N57='Tabla Impacto'!$D$11),"Leve",IF(OR(N57='Tabla Impacto'!$C$12,N57='Tabla Impacto'!$D$12),"Menor",IF(OR(N57='Tabla Impacto'!$C$13,N57='Tabla Impacto'!$D$13),"Moderado",IF(OR(N57='Tabla Impacto'!$C$14,N57='Tabla Impacto'!$D$14),"Mayor",IF(OR(N57='Tabla Impacto'!$C$15,N57='Tabla Impacto'!$D$15),"Catastrófico","")))))</f>
        <v/>
      </c>
      <c r="P57" s="469" t="str">
        <f>IF(O57="","",IF(O57="Leve",0.2,IF(O57="Menor",0.4,IF(O57="Moderado",0.6,IF(O57="Mayor",0.8,IF(O57="Catastrófico",1,))))))</f>
        <v/>
      </c>
      <c r="Q57" s="472"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3">
        <v>1</v>
      </c>
      <c r="S57" s="104">
        <f>DOFA!E48</f>
        <v>0</v>
      </c>
      <c r="T57" s="105" t="str">
        <f t="shared" si="6"/>
        <v/>
      </c>
      <c r="U57" s="111"/>
      <c r="V57" s="111"/>
      <c r="W57" s="112" t="str">
        <f t="shared" si="7"/>
        <v/>
      </c>
      <c r="X57" s="111"/>
      <c r="Y57" s="111"/>
      <c r="Z57" s="111"/>
      <c r="AA57" s="106" t="str">
        <f>IFERROR(IF(T57="Probabilidad",(L57-(+L57*W57)),IF(T57="Impacto",L57,"")),"")</f>
        <v/>
      </c>
      <c r="AB57" s="113" t="str">
        <f t="shared" si="8"/>
        <v/>
      </c>
      <c r="AC57" s="114" t="str">
        <f t="shared" si="9"/>
        <v/>
      </c>
      <c r="AD57" s="113" t="str">
        <f t="shared" si="10"/>
        <v/>
      </c>
      <c r="AE57" s="114" t="str">
        <f>IFERROR(IF(T57="Impacto",(P57-(+P57*W57)),IF(T57="Probabilidad",P57,"")),"")</f>
        <v/>
      </c>
      <c r="AF57" s="115" t="str">
        <f t="shared" si="11"/>
        <v/>
      </c>
      <c r="AG57" s="116"/>
      <c r="AH57" s="107"/>
      <c r="AI57" s="108"/>
      <c r="AJ57" s="216"/>
      <c r="AK57" s="109"/>
      <c r="AL57" s="107"/>
      <c r="AM57" s="108"/>
      <c r="AN57" s="7"/>
      <c r="AO57" s="7"/>
      <c r="AP57" s="7"/>
      <c r="AQ57" s="7"/>
      <c r="AR57" s="7"/>
      <c r="AS57" s="7"/>
      <c r="AT57" s="7"/>
      <c r="AU57" s="7"/>
      <c r="AV57" s="7"/>
      <c r="AW57" s="7"/>
      <c r="AX57" s="7"/>
      <c r="AY57" s="7"/>
      <c r="AZ57" s="7"/>
      <c r="BA57" s="7"/>
      <c r="BB57" s="7"/>
      <c r="BC57" s="7"/>
      <c r="BD57" s="7"/>
      <c r="BE57" s="7"/>
      <c r="BF57" s="7"/>
      <c r="BG57" s="7"/>
      <c r="BH57" s="7"/>
    </row>
    <row r="58" spans="1:60" ht="26.25" hidden="1" customHeight="1" x14ac:dyDescent="0.25">
      <c r="A58" s="461"/>
      <c r="B58" s="464"/>
      <c r="C58" s="467"/>
      <c r="D58" s="467"/>
      <c r="E58" s="209"/>
      <c r="F58" s="487"/>
      <c r="G58" s="490"/>
      <c r="H58" s="118"/>
      <c r="I58" s="464"/>
      <c r="J58" s="476"/>
      <c r="K58" s="479"/>
      <c r="L58" s="470"/>
      <c r="M58" s="482"/>
      <c r="N58" s="470">
        <f>IF(NOT(ISERROR(MATCH(M58,_xlfn.ANCHORARRAY(F69),0))),L71&amp;"Por favor no seleccionar los criterios de impacto",M58)</f>
        <v>0</v>
      </c>
      <c r="O58" s="479"/>
      <c r="P58" s="470"/>
      <c r="Q58" s="473"/>
      <c r="R58" s="103">
        <v>2</v>
      </c>
      <c r="S58" s="104"/>
      <c r="T58" s="105" t="str">
        <f t="shared" si="6"/>
        <v/>
      </c>
      <c r="U58" s="111"/>
      <c r="V58" s="111"/>
      <c r="W58" s="112" t="str">
        <f t="shared" si="7"/>
        <v/>
      </c>
      <c r="X58" s="111"/>
      <c r="Y58" s="111"/>
      <c r="Z58" s="111"/>
      <c r="AA58" s="106" t="str">
        <f>IFERROR(IF(AND(T57="Probabilidad",T58="Probabilidad"),(AC57-(+AC57*W58)),IF(AND(T57="Impacto",T58="Probabilidad"),(L57-(+L57*W58)),IF(T58="Impacto",AC57,""))),"")</f>
        <v/>
      </c>
      <c r="AB58" s="113" t="str">
        <f t="shared" si="8"/>
        <v/>
      </c>
      <c r="AC58" s="114" t="str">
        <f t="shared" si="9"/>
        <v/>
      </c>
      <c r="AD58" s="113" t="str">
        <f t="shared" si="10"/>
        <v/>
      </c>
      <c r="AE58" s="114" t="str">
        <f>IFERROR(IF(AND(T57="Impacto",T58="Impacto"),(AE57-(+AE57*W58)),IF(AND(T57="Probabilidad",T58="Impacto"),(P57-(+P57*W58)),IF(T58="Probabilidad",AE57,""))),"")</f>
        <v/>
      </c>
      <c r="AF58" s="115" t="str">
        <f t="shared" si="11"/>
        <v/>
      </c>
      <c r="AG58" s="116"/>
      <c r="AH58" s="107"/>
      <c r="AI58" s="108"/>
      <c r="AJ58" s="216"/>
      <c r="AK58" s="109"/>
      <c r="AL58" s="107"/>
      <c r="AM58" s="108"/>
      <c r="AN58" s="7"/>
      <c r="AO58" s="7"/>
      <c r="AP58" s="7"/>
      <c r="AQ58" s="7"/>
      <c r="AR58" s="7"/>
      <c r="AS58" s="7"/>
      <c r="AT58" s="7"/>
      <c r="AU58" s="7"/>
      <c r="AV58" s="7"/>
      <c r="AW58" s="7"/>
      <c r="AX58" s="7"/>
      <c r="AY58" s="7"/>
      <c r="AZ58" s="7"/>
      <c r="BA58" s="7"/>
      <c r="BB58" s="7"/>
      <c r="BC58" s="7"/>
      <c r="BD58" s="7"/>
      <c r="BE58" s="7"/>
      <c r="BF58" s="7"/>
      <c r="BG58" s="7"/>
      <c r="BH58" s="7"/>
    </row>
    <row r="59" spans="1:60" ht="26.25" hidden="1" customHeight="1" x14ac:dyDescent="0.25">
      <c r="A59" s="461"/>
      <c r="B59" s="464"/>
      <c r="C59" s="467"/>
      <c r="D59" s="467"/>
      <c r="E59" s="209"/>
      <c r="F59" s="487"/>
      <c r="G59" s="490"/>
      <c r="H59" s="118"/>
      <c r="I59" s="464"/>
      <c r="J59" s="476"/>
      <c r="K59" s="479"/>
      <c r="L59" s="470"/>
      <c r="M59" s="482"/>
      <c r="N59" s="470">
        <f>IF(NOT(ISERROR(MATCH(M59,_xlfn.ANCHORARRAY(F70),0))),L72&amp;"Por favor no seleccionar los criterios de impacto",M59)</f>
        <v>0</v>
      </c>
      <c r="O59" s="479"/>
      <c r="P59" s="470"/>
      <c r="Q59" s="473"/>
      <c r="R59" s="103">
        <v>3</v>
      </c>
      <c r="S59" s="110"/>
      <c r="T59" s="105" t="str">
        <f t="shared" si="6"/>
        <v/>
      </c>
      <c r="U59" s="111"/>
      <c r="V59" s="111"/>
      <c r="W59" s="112" t="str">
        <f t="shared" si="7"/>
        <v/>
      </c>
      <c r="X59" s="111"/>
      <c r="Y59" s="111"/>
      <c r="Z59" s="111"/>
      <c r="AA59" s="106" t="str">
        <f>IFERROR(IF(AND(T58="Probabilidad",T59="Probabilidad"),(AC58-(+AC58*W59)),IF(AND(T58="Impacto",T59="Probabilidad"),(AC57-(+AC57*W59)),IF(T59="Impacto",AC58,""))),"")</f>
        <v/>
      </c>
      <c r="AB59" s="113" t="str">
        <f t="shared" si="8"/>
        <v/>
      </c>
      <c r="AC59" s="114" t="str">
        <f t="shared" si="9"/>
        <v/>
      </c>
      <c r="AD59" s="113" t="str">
        <f t="shared" si="10"/>
        <v/>
      </c>
      <c r="AE59" s="114" t="str">
        <f>IFERROR(IF(AND(T58="Impacto",T59="Impacto"),(AE58-(+AE58*W59)),IF(AND(T58="Probabilidad",T59="Impacto"),(AE57-(+AE57*W59)),IF(T59="Probabilidad",AE58,""))),"")</f>
        <v/>
      </c>
      <c r="AF59" s="115" t="str">
        <f t="shared" si="11"/>
        <v/>
      </c>
      <c r="AG59" s="116"/>
      <c r="AH59" s="107"/>
      <c r="AI59" s="108"/>
      <c r="AJ59" s="216"/>
      <c r="AK59" s="109"/>
      <c r="AL59" s="107"/>
      <c r="AM59" s="108"/>
      <c r="AN59" s="7"/>
      <c r="AO59" s="7"/>
      <c r="AP59" s="7"/>
      <c r="AQ59" s="7"/>
      <c r="AR59" s="7"/>
      <c r="AS59" s="7"/>
      <c r="AT59" s="7"/>
      <c r="AU59" s="7"/>
      <c r="AV59" s="7"/>
      <c r="AW59" s="7"/>
      <c r="AX59" s="7"/>
      <c r="AY59" s="7"/>
      <c r="AZ59" s="7"/>
      <c r="BA59" s="7"/>
      <c r="BB59" s="7"/>
      <c r="BC59" s="7"/>
      <c r="BD59" s="7"/>
      <c r="BE59" s="7"/>
      <c r="BF59" s="7"/>
      <c r="BG59" s="7"/>
      <c r="BH59" s="7"/>
    </row>
    <row r="60" spans="1:60" ht="26.25" hidden="1" customHeight="1" x14ac:dyDescent="0.25">
      <c r="A60" s="461"/>
      <c r="B60" s="464"/>
      <c r="C60" s="467"/>
      <c r="D60" s="467"/>
      <c r="E60" s="209"/>
      <c r="F60" s="487"/>
      <c r="G60" s="490"/>
      <c r="H60" s="118"/>
      <c r="I60" s="464"/>
      <c r="J60" s="476"/>
      <c r="K60" s="479"/>
      <c r="L60" s="470"/>
      <c r="M60" s="482"/>
      <c r="N60" s="470">
        <f>IF(NOT(ISERROR(MATCH(M60,_xlfn.ANCHORARRAY(F71),0))),L73&amp;"Por favor no seleccionar los criterios de impacto",M60)</f>
        <v>0</v>
      </c>
      <c r="O60" s="479"/>
      <c r="P60" s="470"/>
      <c r="Q60" s="473"/>
      <c r="R60" s="103">
        <v>4</v>
      </c>
      <c r="S60" s="104"/>
      <c r="T60" s="105" t="str">
        <f t="shared" si="6"/>
        <v/>
      </c>
      <c r="U60" s="111"/>
      <c r="V60" s="111"/>
      <c r="W60" s="112" t="str">
        <f t="shared" si="7"/>
        <v/>
      </c>
      <c r="X60" s="111"/>
      <c r="Y60" s="111"/>
      <c r="Z60" s="111"/>
      <c r="AA60" s="106" t="str">
        <f>IFERROR(IF(AND(T59="Probabilidad",T60="Probabilidad"),(AC59-(+AC59*W60)),IF(AND(T59="Impacto",T60="Probabilidad"),(AC58-(+AC58*W60)),IF(T60="Impacto",AC59,""))),"")</f>
        <v/>
      </c>
      <c r="AB60" s="113" t="str">
        <f t="shared" si="8"/>
        <v/>
      </c>
      <c r="AC60" s="114" t="str">
        <f t="shared" si="9"/>
        <v/>
      </c>
      <c r="AD60" s="113" t="str">
        <f t="shared" si="10"/>
        <v/>
      </c>
      <c r="AE60" s="114" t="str">
        <f>IFERROR(IF(AND(T59="Impacto",T60="Impacto"),(AE59-(+AE59*W60)),IF(AND(T59="Probabilidad",T60="Impacto"),(AE58-(+AE58*W60)),IF(T60="Probabilidad",AE59,""))),"")</f>
        <v/>
      </c>
      <c r="AF60" s="115" t="str">
        <f t="shared" si="11"/>
        <v/>
      </c>
      <c r="AG60" s="116"/>
      <c r="AH60" s="107"/>
      <c r="AI60" s="108"/>
      <c r="AJ60" s="216"/>
      <c r="AK60" s="109"/>
      <c r="AL60" s="107"/>
      <c r="AM60" s="108"/>
      <c r="AN60" s="7"/>
      <c r="AO60" s="7"/>
      <c r="AP60" s="7"/>
      <c r="AQ60" s="7"/>
      <c r="AR60" s="7"/>
      <c r="AS60" s="7"/>
      <c r="AT60" s="7"/>
      <c r="AU60" s="7"/>
      <c r="AV60" s="7"/>
      <c r="AW60" s="7"/>
      <c r="AX60" s="7"/>
      <c r="AY60" s="7"/>
      <c r="AZ60" s="7"/>
      <c r="BA60" s="7"/>
      <c r="BB60" s="7"/>
      <c r="BC60" s="7"/>
      <c r="BD60" s="7"/>
      <c r="BE60" s="7"/>
      <c r="BF60" s="7"/>
      <c r="BG60" s="7"/>
      <c r="BH60" s="7"/>
    </row>
    <row r="61" spans="1:60" ht="26.25" hidden="1" customHeight="1" x14ac:dyDescent="0.25">
      <c r="A61" s="461"/>
      <c r="B61" s="464"/>
      <c r="C61" s="467"/>
      <c r="D61" s="467"/>
      <c r="E61" s="209"/>
      <c r="F61" s="487"/>
      <c r="G61" s="490"/>
      <c r="H61" s="118"/>
      <c r="I61" s="464"/>
      <c r="J61" s="476"/>
      <c r="K61" s="479"/>
      <c r="L61" s="470"/>
      <c r="M61" s="482"/>
      <c r="N61" s="470">
        <f>IF(NOT(ISERROR(MATCH(M61,_xlfn.ANCHORARRAY(F72),0))),L74&amp;"Por favor no seleccionar los criterios de impacto",M61)</f>
        <v>0</v>
      </c>
      <c r="O61" s="479"/>
      <c r="P61" s="470"/>
      <c r="Q61" s="473"/>
      <c r="R61" s="103">
        <v>5</v>
      </c>
      <c r="S61" s="104"/>
      <c r="T61" s="105" t="str">
        <f t="shared" si="6"/>
        <v/>
      </c>
      <c r="U61" s="111"/>
      <c r="V61" s="111"/>
      <c r="W61" s="112" t="str">
        <f t="shared" si="7"/>
        <v/>
      </c>
      <c r="X61" s="111"/>
      <c r="Y61" s="111"/>
      <c r="Z61" s="111"/>
      <c r="AA61" s="106" t="str">
        <f>IFERROR(IF(AND(T60="Probabilidad",T61="Probabilidad"),(AC60-(+AC60*W61)),IF(AND(T60="Impacto",T61="Probabilidad"),(AC59-(+AC59*W61)),IF(T61="Impacto",AC60,""))),"")</f>
        <v/>
      </c>
      <c r="AB61" s="113" t="str">
        <f t="shared" si="8"/>
        <v/>
      </c>
      <c r="AC61" s="114" t="str">
        <f t="shared" si="9"/>
        <v/>
      </c>
      <c r="AD61" s="113" t="str">
        <f t="shared" si="10"/>
        <v/>
      </c>
      <c r="AE61" s="114" t="str">
        <f>IFERROR(IF(AND(T60="Impacto",T61="Impacto"),(AE60-(+AE60*W61)),IF(AND(T60="Probabilidad",T61="Impacto"),(AE59-(+AE59*W61)),IF(T61="Probabilidad",AE60,""))),"")</f>
        <v/>
      </c>
      <c r="AF61" s="115" t="str">
        <f t="shared" si="11"/>
        <v/>
      </c>
      <c r="AG61" s="116"/>
      <c r="AH61" s="107"/>
      <c r="AI61" s="108"/>
      <c r="AJ61" s="216"/>
      <c r="AK61" s="109"/>
      <c r="AL61" s="107"/>
      <c r="AM61" s="108"/>
      <c r="AN61" s="7"/>
      <c r="AO61" s="7"/>
      <c r="AP61" s="7"/>
      <c r="AQ61" s="7"/>
      <c r="AR61" s="7"/>
      <c r="AS61" s="7"/>
      <c r="AT61" s="7"/>
      <c r="AU61" s="7"/>
      <c r="AV61" s="7"/>
      <c r="AW61" s="7"/>
      <c r="AX61" s="7"/>
      <c r="AY61" s="7"/>
      <c r="AZ61" s="7"/>
      <c r="BA61" s="7"/>
      <c r="BB61" s="7"/>
      <c r="BC61" s="7"/>
      <c r="BD61" s="7"/>
      <c r="BE61" s="7"/>
      <c r="BF61" s="7"/>
      <c r="BG61" s="7"/>
      <c r="BH61" s="7"/>
    </row>
    <row r="62" spans="1:60" ht="26.25" hidden="1" customHeight="1" x14ac:dyDescent="0.25">
      <c r="A62" s="462"/>
      <c r="B62" s="465"/>
      <c r="C62" s="468"/>
      <c r="D62" s="468"/>
      <c r="E62" s="210"/>
      <c r="F62" s="488"/>
      <c r="G62" s="491"/>
      <c r="H62" s="119"/>
      <c r="I62" s="465"/>
      <c r="J62" s="477"/>
      <c r="K62" s="480"/>
      <c r="L62" s="471"/>
      <c r="M62" s="483"/>
      <c r="N62" s="471">
        <f>IF(NOT(ISERROR(MATCH(M62,_xlfn.ANCHORARRAY(F73),0))),L75&amp;"Por favor no seleccionar los criterios de impacto",M62)</f>
        <v>0</v>
      </c>
      <c r="O62" s="480"/>
      <c r="P62" s="471"/>
      <c r="Q62" s="474"/>
      <c r="R62" s="103">
        <v>6</v>
      </c>
      <c r="S62" s="104"/>
      <c r="T62" s="105" t="str">
        <f t="shared" si="6"/>
        <v/>
      </c>
      <c r="U62" s="111"/>
      <c r="V62" s="111"/>
      <c r="W62" s="112" t="str">
        <f t="shared" si="7"/>
        <v/>
      </c>
      <c r="X62" s="111"/>
      <c r="Y62" s="111"/>
      <c r="Z62" s="111"/>
      <c r="AA62" s="106" t="str">
        <f>IFERROR(IF(AND(T61="Probabilidad",T62="Probabilidad"),(AC61-(+AC61*W62)),IF(AND(T61="Impacto",T62="Probabilidad"),(AC60-(+AC60*W62)),IF(T62="Impacto",AC61,""))),"")</f>
        <v/>
      </c>
      <c r="AB62" s="113" t="str">
        <f t="shared" si="8"/>
        <v/>
      </c>
      <c r="AC62" s="114" t="str">
        <f t="shared" si="9"/>
        <v/>
      </c>
      <c r="AD62" s="113" t="str">
        <f t="shared" si="10"/>
        <v/>
      </c>
      <c r="AE62" s="114" t="str">
        <f>IFERROR(IF(AND(T61="Impacto",T62="Impacto"),(AE61-(+AE61*W62)),IF(AND(T61="Probabilidad",T62="Impacto"),(AE60-(+AE60*W62)),IF(T62="Probabilidad",AE61,""))),"")</f>
        <v/>
      </c>
      <c r="AF62" s="115" t="str">
        <f t="shared" si="11"/>
        <v/>
      </c>
      <c r="AG62" s="116"/>
      <c r="AH62" s="107"/>
      <c r="AI62" s="108"/>
      <c r="AJ62" s="216"/>
      <c r="AK62" s="109"/>
      <c r="AL62" s="107"/>
      <c r="AM62" s="108"/>
      <c r="AN62" s="7"/>
      <c r="AO62" s="7"/>
      <c r="AP62" s="7"/>
      <c r="AQ62" s="7"/>
      <c r="AR62" s="7"/>
      <c r="AS62" s="7"/>
      <c r="AT62" s="7"/>
      <c r="AU62" s="7"/>
      <c r="AV62" s="7"/>
      <c r="AW62" s="7"/>
      <c r="AX62" s="7"/>
      <c r="AY62" s="7"/>
      <c r="AZ62" s="7"/>
      <c r="BA62" s="7"/>
      <c r="BB62" s="7"/>
      <c r="BC62" s="7"/>
      <c r="BD62" s="7"/>
      <c r="BE62" s="7"/>
      <c r="BF62" s="7"/>
      <c r="BG62" s="7"/>
      <c r="BH62" s="7"/>
    </row>
    <row r="63" spans="1:60" ht="19.5" hidden="1" customHeight="1" x14ac:dyDescent="0.25">
      <c r="A63" s="460">
        <v>10</v>
      </c>
      <c r="B63" s="463"/>
      <c r="C63" s="466"/>
      <c r="D63" s="466"/>
      <c r="E63" s="208"/>
      <c r="F63" s="486"/>
      <c r="G63" s="489"/>
      <c r="H63" s="117"/>
      <c r="I63" s="463"/>
      <c r="J63" s="475"/>
      <c r="K63" s="478" t="str">
        <f>IF(J63&lt;=0,"",IF(J63&lt;=2,"Muy Baja",IF(J63&lt;=24,"Baja",IF(J63&lt;=500,"Media",IF(J63&lt;=5000,"Alta","Muy Alta")))))</f>
        <v/>
      </c>
      <c r="L63" s="469" t="str">
        <f>IF(K63="","",IF(K63="Muy Baja",0.2,IF(K63="Baja",0.4,IF(K63="Media",0.6,IF(K63="Alta",0.8,IF(K63="Muy Alta",1,))))))</f>
        <v/>
      </c>
      <c r="M63" s="481"/>
      <c r="N63" s="469">
        <f>IF(NOT(ISERROR(MATCH(M63,'Tabla Impacto'!$B$221:$B$223,0))),'Tabla Impacto'!$F$223&amp;"Por favor no seleccionar los criterios de impacto(Afectación Económica o presupuestal y Pérdida Reputacional)",M63)</f>
        <v>0</v>
      </c>
      <c r="O63" s="478" t="str">
        <f>IF(OR(N63='Tabla Impacto'!$C$11,N63='Tabla Impacto'!$D$11),"Leve",IF(OR(N63='Tabla Impacto'!$C$12,N63='Tabla Impacto'!$D$12),"Menor",IF(OR(N63='Tabla Impacto'!$C$13,N63='Tabla Impacto'!$D$13),"Moderado",IF(OR(N63='Tabla Impacto'!$C$14,N63='Tabla Impacto'!$D$14),"Mayor",IF(OR(N63='Tabla Impacto'!$C$15,N63='Tabla Impacto'!$D$15),"Catastrófico","")))))</f>
        <v/>
      </c>
      <c r="P63" s="469" t="str">
        <f>IF(O63="","",IF(O63="Leve",0.2,IF(O63="Menor",0.4,IF(O63="Moderado",0.6,IF(O63="Mayor",0.8,IF(O63="Catastrófico",1,))))))</f>
        <v/>
      </c>
      <c r="Q63" s="472"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3">
        <v>1</v>
      </c>
      <c r="S63" s="104">
        <f>DOFA!E49</f>
        <v>0</v>
      </c>
      <c r="T63" s="105" t="str">
        <f t="shared" si="6"/>
        <v/>
      </c>
      <c r="U63" s="111"/>
      <c r="V63" s="111"/>
      <c r="W63" s="112" t="str">
        <f t="shared" si="7"/>
        <v/>
      </c>
      <c r="X63" s="111"/>
      <c r="Y63" s="111"/>
      <c r="Z63" s="111"/>
      <c r="AA63" s="106" t="str">
        <f>IFERROR(IF(T63="Probabilidad",(L63-(+L63*W63)),IF(T63="Impacto",L63,"")),"")</f>
        <v/>
      </c>
      <c r="AB63" s="113" t="str">
        <f t="shared" si="8"/>
        <v/>
      </c>
      <c r="AC63" s="114" t="str">
        <f t="shared" si="9"/>
        <v/>
      </c>
      <c r="AD63" s="113" t="str">
        <f t="shared" si="10"/>
        <v/>
      </c>
      <c r="AE63" s="114" t="str">
        <f>IFERROR(IF(T63="Impacto",(P63-(+P63*W63)),IF(T63="Probabilidad",P63,"")),"")</f>
        <v/>
      </c>
      <c r="AF63" s="115" t="str">
        <f t="shared" si="11"/>
        <v/>
      </c>
      <c r="AG63" s="116"/>
      <c r="AH63" s="107"/>
      <c r="AI63" s="108"/>
      <c r="AJ63" s="216"/>
      <c r="AK63" s="109"/>
      <c r="AL63" s="107"/>
      <c r="AM63" s="108"/>
      <c r="AN63" s="7"/>
      <c r="AO63" s="7"/>
      <c r="AP63" s="7"/>
      <c r="AQ63" s="7"/>
      <c r="AR63" s="7"/>
      <c r="AS63" s="7"/>
      <c r="AT63" s="7"/>
      <c r="AU63" s="7"/>
      <c r="AV63" s="7"/>
      <c r="AW63" s="7"/>
      <c r="AX63" s="7"/>
      <c r="AY63" s="7"/>
      <c r="AZ63" s="7"/>
      <c r="BA63" s="7"/>
      <c r="BB63" s="7"/>
      <c r="BC63" s="7"/>
      <c r="BD63" s="7"/>
      <c r="BE63" s="7"/>
      <c r="BF63" s="7"/>
      <c r="BG63" s="7"/>
      <c r="BH63" s="7"/>
    </row>
    <row r="64" spans="1:60" ht="19.5" hidden="1" customHeight="1" x14ac:dyDescent="0.25">
      <c r="A64" s="461"/>
      <c r="B64" s="464"/>
      <c r="C64" s="467"/>
      <c r="D64" s="467"/>
      <c r="E64" s="209"/>
      <c r="F64" s="487"/>
      <c r="G64" s="490"/>
      <c r="H64" s="118"/>
      <c r="I64" s="464"/>
      <c r="J64" s="476"/>
      <c r="K64" s="479"/>
      <c r="L64" s="470"/>
      <c r="M64" s="482"/>
      <c r="N64" s="470">
        <f>IF(NOT(ISERROR(MATCH(M64,_xlfn.ANCHORARRAY(F75),0))),L77&amp;"Por favor no seleccionar los criterios de impacto",M64)</f>
        <v>0</v>
      </c>
      <c r="O64" s="479"/>
      <c r="P64" s="470"/>
      <c r="Q64" s="473"/>
      <c r="R64" s="103">
        <v>2</v>
      </c>
      <c r="S64" s="104"/>
      <c r="T64" s="105" t="str">
        <f t="shared" si="6"/>
        <v/>
      </c>
      <c r="U64" s="111"/>
      <c r="V64" s="111"/>
      <c r="W64" s="112" t="str">
        <f t="shared" si="7"/>
        <v/>
      </c>
      <c r="X64" s="111"/>
      <c r="Y64" s="111"/>
      <c r="Z64" s="111"/>
      <c r="AA64" s="106" t="str">
        <f>IFERROR(IF(AND(T63="Probabilidad",T64="Probabilidad"),(AC63-(+AC63*W64)),IF(AND(T63="Impacto",T64="Probabilidad"),(L63-(+L63*W64)),IF(T64="Impacto",AC63,""))),"")</f>
        <v/>
      </c>
      <c r="AB64" s="113" t="str">
        <f t="shared" si="8"/>
        <v/>
      </c>
      <c r="AC64" s="114" t="str">
        <f t="shared" si="9"/>
        <v/>
      </c>
      <c r="AD64" s="113" t="str">
        <f t="shared" si="10"/>
        <v/>
      </c>
      <c r="AE64" s="114" t="str">
        <f>IFERROR(IF(AND(T63="Impacto",T64="Impacto"),(AE63-(+AE63*W64)),IF(AND(T63="Probabilidad",T64="Impacto"),(P63-(+P63*W64)),IF(T64="Probabilidad",AE63,""))),"")</f>
        <v/>
      </c>
      <c r="AF64" s="115" t="str">
        <f t="shared" si="11"/>
        <v/>
      </c>
      <c r="AG64" s="116"/>
      <c r="AH64" s="107"/>
      <c r="AI64" s="108"/>
      <c r="AJ64" s="216"/>
      <c r="AK64" s="109"/>
      <c r="AL64" s="107"/>
      <c r="AM64" s="108"/>
    </row>
    <row r="65" spans="1:39" ht="19.5" hidden="1" customHeight="1" x14ac:dyDescent="0.25">
      <c r="A65" s="461"/>
      <c r="B65" s="464"/>
      <c r="C65" s="467"/>
      <c r="D65" s="467"/>
      <c r="E65" s="209"/>
      <c r="F65" s="487"/>
      <c r="G65" s="490"/>
      <c r="H65" s="118"/>
      <c r="I65" s="464"/>
      <c r="J65" s="476"/>
      <c r="K65" s="479"/>
      <c r="L65" s="470"/>
      <c r="M65" s="482"/>
      <c r="N65" s="470">
        <f>IF(NOT(ISERROR(MATCH(M65,_xlfn.ANCHORARRAY(F76),0))),L78&amp;"Por favor no seleccionar los criterios de impacto",M65)</f>
        <v>0</v>
      </c>
      <c r="O65" s="479"/>
      <c r="P65" s="470"/>
      <c r="Q65" s="473"/>
      <c r="R65" s="103">
        <v>3</v>
      </c>
      <c r="S65" s="110"/>
      <c r="T65" s="105" t="str">
        <f t="shared" si="6"/>
        <v/>
      </c>
      <c r="U65" s="111"/>
      <c r="V65" s="111"/>
      <c r="W65" s="112" t="str">
        <f t="shared" si="7"/>
        <v/>
      </c>
      <c r="X65" s="111"/>
      <c r="Y65" s="111"/>
      <c r="Z65" s="111"/>
      <c r="AA65" s="106" t="str">
        <f>IFERROR(IF(AND(T64="Probabilidad",T65="Probabilidad"),(AC64-(+AC64*W65)),IF(AND(T64="Impacto",T65="Probabilidad"),(AC63-(+AC63*W65)),IF(T65="Impacto",AC64,""))),"")</f>
        <v/>
      </c>
      <c r="AB65" s="113" t="str">
        <f t="shared" si="8"/>
        <v/>
      </c>
      <c r="AC65" s="114" t="str">
        <f t="shared" si="9"/>
        <v/>
      </c>
      <c r="AD65" s="113" t="str">
        <f t="shared" si="10"/>
        <v/>
      </c>
      <c r="AE65" s="114" t="str">
        <f>IFERROR(IF(AND(T64="Impacto",T65="Impacto"),(AE64-(+AE64*W65)),IF(AND(T64="Probabilidad",T65="Impacto"),(AE63-(+AE63*W65)),IF(T65="Probabilidad",AE64,""))),"")</f>
        <v/>
      </c>
      <c r="AF65" s="115" t="str">
        <f t="shared" si="11"/>
        <v/>
      </c>
      <c r="AG65" s="116"/>
      <c r="AH65" s="107"/>
      <c r="AI65" s="108"/>
      <c r="AJ65" s="216"/>
      <c r="AK65" s="109"/>
      <c r="AL65" s="107"/>
      <c r="AM65" s="108"/>
    </row>
    <row r="66" spans="1:39" ht="19.5" hidden="1" customHeight="1" x14ac:dyDescent="0.25">
      <c r="A66" s="461"/>
      <c r="B66" s="464"/>
      <c r="C66" s="467"/>
      <c r="D66" s="467"/>
      <c r="E66" s="209"/>
      <c r="F66" s="487"/>
      <c r="G66" s="490"/>
      <c r="H66" s="118"/>
      <c r="I66" s="464"/>
      <c r="J66" s="476"/>
      <c r="K66" s="479"/>
      <c r="L66" s="470"/>
      <c r="M66" s="482"/>
      <c r="N66" s="470">
        <f>IF(NOT(ISERROR(MATCH(M66,_xlfn.ANCHORARRAY(F77),0))),L79&amp;"Por favor no seleccionar los criterios de impacto",M66)</f>
        <v>0</v>
      </c>
      <c r="O66" s="479"/>
      <c r="P66" s="470"/>
      <c r="Q66" s="473"/>
      <c r="R66" s="103">
        <v>4</v>
      </c>
      <c r="S66" s="104"/>
      <c r="T66" s="105" t="str">
        <f t="shared" si="6"/>
        <v/>
      </c>
      <c r="U66" s="111"/>
      <c r="V66" s="111"/>
      <c r="W66" s="112" t="str">
        <f t="shared" si="7"/>
        <v/>
      </c>
      <c r="X66" s="111"/>
      <c r="Y66" s="111"/>
      <c r="Z66" s="111"/>
      <c r="AA66" s="106" t="str">
        <f>IFERROR(IF(AND(T65="Probabilidad",T66="Probabilidad"),(AC65-(+AC65*W66)),IF(AND(T65="Impacto",T66="Probabilidad"),(AC64-(+AC64*W66)),IF(T66="Impacto",AC65,""))),"")</f>
        <v/>
      </c>
      <c r="AB66" s="113" t="str">
        <f t="shared" si="8"/>
        <v/>
      </c>
      <c r="AC66" s="114" t="str">
        <f t="shared" si="9"/>
        <v/>
      </c>
      <c r="AD66" s="113" t="str">
        <f t="shared" si="10"/>
        <v/>
      </c>
      <c r="AE66" s="114" t="str">
        <f>IFERROR(IF(AND(T65="Impacto",T66="Impacto"),(AE65-(+AE65*W66)),IF(AND(T65="Probabilidad",T66="Impacto"),(AE64-(+AE64*W66)),IF(T66="Probabilidad",AE65,""))),"")</f>
        <v/>
      </c>
      <c r="AF66" s="115" t="str">
        <f t="shared" si="11"/>
        <v/>
      </c>
      <c r="AG66" s="116"/>
      <c r="AH66" s="107"/>
      <c r="AI66" s="108"/>
      <c r="AJ66" s="216"/>
      <c r="AK66" s="109"/>
      <c r="AL66" s="107"/>
      <c r="AM66" s="108"/>
    </row>
    <row r="67" spans="1:39" ht="19.5" hidden="1" customHeight="1" x14ac:dyDescent="0.25">
      <c r="A67" s="461"/>
      <c r="B67" s="464"/>
      <c r="C67" s="467"/>
      <c r="D67" s="467"/>
      <c r="E67" s="209"/>
      <c r="F67" s="487"/>
      <c r="G67" s="490"/>
      <c r="H67" s="118"/>
      <c r="I67" s="464"/>
      <c r="J67" s="476"/>
      <c r="K67" s="479"/>
      <c r="L67" s="470"/>
      <c r="M67" s="482"/>
      <c r="N67" s="470">
        <f>IF(NOT(ISERROR(MATCH(M67,_xlfn.ANCHORARRAY(F78),0))),L80&amp;"Por favor no seleccionar los criterios de impacto",M67)</f>
        <v>0</v>
      </c>
      <c r="O67" s="479"/>
      <c r="P67" s="470"/>
      <c r="Q67" s="473"/>
      <c r="R67" s="103">
        <v>5</v>
      </c>
      <c r="S67" s="104"/>
      <c r="T67" s="105" t="str">
        <f t="shared" si="6"/>
        <v/>
      </c>
      <c r="U67" s="111"/>
      <c r="V67" s="111"/>
      <c r="W67" s="112" t="str">
        <f t="shared" si="7"/>
        <v/>
      </c>
      <c r="X67" s="111"/>
      <c r="Y67" s="111"/>
      <c r="Z67" s="111"/>
      <c r="AA67" s="106" t="str">
        <f>IFERROR(IF(AND(T66="Probabilidad",T67="Probabilidad"),(AC66-(+AC66*W67)),IF(AND(T66="Impacto",T67="Probabilidad"),(AC65-(+AC65*W67)),IF(T67="Impacto",AC66,""))),"")</f>
        <v/>
      </c>
      <c r="AB67" s="113" t="str">
        <f t="shared" si="8"/>
        <v/>
      </c>
      <c r="AC67" s="114" t="str">
        <f t="shared" si="9"/>
        <v/>
      </c>
      <c r="AD67" s="113" t="str">
        <f t="shared" si="10"/>
        <v/>
      </c>
      <c r="AE67" s="114" t="str">
        <f>IFERROR(IF(AND(T66="Impacto",T67="Impacto"),(AE66-(+AE66*W67)),IF(AND(T66="Probabilidad",T67="Impacto"),(AE65-(+AE65*W67)),IF(T67="Probabilidad",AE66,""))),"")</f>
        <v/>
      </c>
      <c r="AF67" s="115" t="str">
        <f t="shared" si="11"/>
        <v/>
      </c>
      <c r="AG67" s="116"/>
      <c r="AH67" s="107"/>
      <c r="AI67" s="108"/>
      <c r="AJ67" s="216"/>
      <c r="AK67" s="109"/>
      <c r="AL67" s="107"/>
      <c r="AM67" s="108"/>
    </row>
    <row r="68" spans="1:39" ht="19.5" hidden="1" customHeight="1" x14ac:dyDescent="0.25">
      <c r="A68" s="462"/>
      <c r="B68" s="465"/>
      <c r="C68" s="468"/>
      <c r="D68" s="468"/>
      <c r="E68" s="210"/>
      <c r="F68" s="488"/>
      <c r="G68" s="491"/>
      <c r="H68" s="119"/>
      <c r="I68" s="465"/>
      <c r="J68" s="477"/>
      <c r="K68" s="480"/>
      <c r="L68" s="471"/>
      <c r="M68" s="483"/>
      <c r="N68" s="471">
        <f>IF(NOT(ISERROR(MATCH(M68,_xlfn.ANCHORARRAY(F79),0))),L81&amp;"Por favor no seleccionar los criterios de impacto",M68)</f>
        <v>0</v>
      </c>
      <c r="O68" s="480"/>
      <c r="P68" s="471"/>
      <c r="Q68" s="474"/>
      <c r="R68" s="103">
        <v>6</v>
      </c>
      <c r="S68" s="104"/>
      <c r="T68" s="105" t="str">
        <f t="shared" si="6"/>
        <v/>
      </c>
      <c r="U68" s="111"/>
      <c r="V68" s="111"/>
      <c r="W68" s="112" t="str">
        <f t="shared" si="7"/>
        <v/>
      </c>
      <c r="X68" s="111"/>
      <c r="Y68" s="111"/>
      <c r="Z68" s="111"/>
      <c r="AA68" s="106" t="str">
        <f>IFERROR(IF(AND(T67="Probabilidad",T68="Probabilidad"),(AC67-(+AC67*W68)),IF(AND(T67="Impacto",T68="Probabilidad"),(AC66-(+AC66*W68)),IF(T68="Impacto",AC67,""))),"")</f>
        <v/>
      </c>
      <c r="AB68" s="113" t="str">
        <f t="shared" si="8"/>
        <v/>
      </c>
      <c r="AC68" s="114" t="str">
        <f t="shared" si="9"/>
        <v/>
      </c>
      <c r="AD68" s="113" t="str">
        <f t="shared" si="10"/>
        <v/>
      </c>
      <c r="AE68" s="114" t="str">
        <f>IFERROR(IF(AND(T67="Impacto",T68="Impacto"),(AE67-(+AE67*W68)),IF(AND(T67="Probabilidad",T68="Impacto"),(AE66-(+AE66*W68)),IF(T68="Probabilidad",AE67,""))),"")</f>
        <v/>
      </c>
      <c r="AF68" s="115" t="str">
        <f t="shared" si="11"/>
        <v/>
      </c>
      <c r="AG68" s="116"/>
      <c r="AH68" s="107"/>
      <c r="AI68" s="108"/>
      <c r="AJ68" s="216"/>
      <c r="AK68" s="109"/>
      <c r="AL68" s="107"/>
      <c r="AM68" s="108"/>
    </row>
    <row r="69" spans="1:39" x14ac:dyDescent="0.25">
      <c r="A69" s="5"/>
      <c r="B69" s="492" t="s">
        <v>126</v>
      </c>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4"/>
    </row>
    <row r="71" spans="1:39" x14ac:dyDescent="0.25">
      <c r="A71" s="1"/>
      <c r="B71" s="23" t="s">
        <v>138</v>
      </c>
      <c r="C71" s="205"/>
      <c r="D71" s="205"/>
      <c r="I71" s="1"/>
    </row>
  </sheetData>
  <dataConsolidate link="1"/>
  <mergeCells count="173">
    <mergeCell ref="P16:P21"/>
    <mergeCell ref="Q16:Q21"/>
    <mergeCell ref="M22:M27"/>
    <mergeCell ref="N22:N27"/>
    <mergeCell ref="O22:O27"/>
    <mergeCell ref="I16:I21"/>
    <mergeCell ref="J16:J21"/>
    <mergeCell ref="K16:K21"/>
    <mergeCell ref="L16:L21"/>
    <mergeCell ref="M16:M21"/>
    <mergeCell ref="I10:I15"/>
    <mergeCell ref="U8:Z8"/>
    <mergeCell ref="E8:E9"/>
    <mergeCell ref="J10:J15"/>
    <mergeCell ref="K10:K15"/>
    <mergeCell ref="K8:K9"/>
    <mergeCell ref="L8:L9"/>
    <mergeCell ref="O8:O9"/>
    <mergeCell ref="P8:P9"/>
    <mergeCell ref="Q10:Q15"/>
    <mergeCell ref="L10:L15"/>
    <mergeCell ref="M10:M15"/>
    <mergeCell ref="N10:N15"/>
    <mergeCell ref="O10:O15"/>
    <mergeCell ref="P10:P15"/>
    <mergeCell ref="H10:H15"/>
    <mergeCell ref="G10:G15"/>
    <mergeCell ref="G45:G50"/>
    <mergeCell ref="Q8:Q9"/>
    <mergeCell ref="M8:M9"/>
    <mergeCell ref="N8:N9"/>
    <mergeCell ref="K22:K27"/>
    <mergeCell ref="L22:L27"/>
    <mergeCell ref="N39:N44"/>
    <mergeCell ref="O39:O44"/>
    <mergeCell ref="I33:I38"/>
    <mergeCell ref="J39:J44"/>
    <mergeCell ref="K39:K44"/>
    <mergeCell ref="L39:L44"/>
    <mergeCell ref="N33:N38"/>
    <mergeCell ref="N16:N21"/>
    <mergeCell ref="O16:O21"/>
    <mergeCell ref="G16:G21"/>
    <mergeCell ref="G22:G27"/>
    <mergeCell ref="G33:G38"/>
    <mergeCell ref="T8:T9"/>
    <mergeCell ref="AH8:AH9"/>
    <mergeCell ref="AM8:AM9"/>
    <mergeCell ref="AL8:AL9"/>
    <mergeCell ref="AK8:AK9"/>
    <mergeCell ref="AJ8:AJ9"/>
    <mergeCell ref="AI8:AI9"/>
    <mergeCell ref="AG8:AG9"/>
    <mergeCell ref="R8:R9"/>
    <mergeCell ref="AF8:AF9"/>
    <mergeCell ref="AE8:AE9"/>
    <mergeCell ref="AA8:AA9"/>
    <mergeCell ref="S8:S9"/>
    <mergeCell ref="AD8:AD9"/>
    <mergeCell ref="AB8:AB9"/>
    <mergeCell ref="AC8:AC9"/>
    <mergeCell ref="A4:B4"/>
    <mergeCell ref="A5:B5"/>
    <mergeCell ref="A6:B6"/>
    <mergeCell ref="A8:A9"/>
    <mergeCell ref="I8:I9"/>
    <mergeCell ref="F8:F9"/>
    <mergeCell ref="D8:D9"/>
    <mergeCell ref="C8:C9"/>
    <mergeCell ref="J8:J9"/>
    <mergeCell ref="B8:B9"/>
    <mergeCell ref="A10:A15"/>
    <mergeCell ref="B10:B15"/>
    <mergeCell ref="C10:C15"/>
    <mergeCell ref="D10:D15"/>
    <mergeCell ref="F10:F15"/>
    <mergeCell ref="A16:A21"/>
    <mergeCell ref="B16:B21"/>
    <mergeCell ref="C16:C21"/>
    <mergeCell ref="D16:D21"/>
    <mergeCell ref="F16:F21"/>
    <mergeCell ref="A39:A44"/>
    <mergeCell ref="A22:A27"/>
    <mergeCell ref="B22:B27"/>
    <mergeCell ref="C22:C27"/>
    <mergeCell ref="D22:D27"/>
    <mergeCell ref="F22:F27"/>
    <mergeCell ref="A45:A50"/>
    <mergeCell ref="B45:B50"/>
    <mergeCell ref="C45:C50"/>
    <mergeCell ref="D45:D50"/>
    <mergeCell ref="F45:F50"/>
    <mergeCell ref="I39:I44"/>
    <mergeCell ref="D33:D38"/>
    <mergeCell ref="F33:F38"/>
    <mergeCell ref="M39:M44"/>
    <mergeCell ref="I22:I27"/>
    <mergeCell ref="J22:J27"/>
    <mergeCell ref="J45:J50"/>
    <mergeCell ref="K45:K50"/>
    <mergeCell ref="L45:L50"/>
    <mergeCell ref="G39:G44"/>
    <mergeCell ref="B69:AM69"/>
    <mergeCell ref="P57:P62"/>
    <mergeCell ref="Q57:Q62"/>
    <mergeCell ref="M63:M68"/>
    <mergeCell ref="N63:N68"/>
    <mergeCell ref="O63:O68"/>
    <mergeCell ref="P63:P68"/>
    <mergeCell ref="Q63:Q68"/>
    <mergeCell ref="M57:M62"/>
    <mergeCell ref="N57:N62"/>
    <mergeCell ref="O57:O62"/>
    <mergeCell ref="G57:G62"/>
    <mergeCell ref="G63:G68"/>
    <mergeCell ref="F57:F62"/>
    <mergeCell ref="A63:A68"/>
    <mergeCell ref="B63:B68"/>
    <mergeCell ref="C63:C68"/>
    <mergeCell ref="D63:D68"/>
    <mergeCell ref="F63:F68"/>
    <mergeCell ref="I63:I68"/>
    <mergeCell ref="J63:J68"/>
    <mergeCell ref="K63:K68"/>
    <mergeCell ref="L63:L68"/>
    <mergeCell ref="A57:A62"/>
    <mergeCell ref="I57:I62"/>
    <mergeCell ref="J57:J62"/>
    <mergeCell ref="K57:K62"/>
    <mergeCell ref="B57:B62"/>
    <mergeCell ref="C57:C62"/>
    <mergeCell ref="D57:D62"/>
    <mergeCell ref="C4:AM4"/>
    <mergeCell ref="C5:AM5"/>
    <mergeCell ref="C6:AM6"/>
    <mergeCell ref="L57:L62"/>
    <mergeCell ref="N51:N56"/>
    <mergeCell ref="O51:O56"/>
    <mergeCell ref="P51:P56"/>
    <mergeCell ref="Q51:Q56"/>
    <mergeCell ref="D51:D56"/>
    <mergeCell ref="F51:F56"/>
    <mergeCell ref="G51:G56"/>
    <mergeCell ref="P22:P27"/>
    <mergeCell ref="Q22:Q27"/>
    <mergeCell ref="P39:P44"/>
    <mergeCell ref="Q39:Q44"/>
    <mergeCell ref="M45:M50"/>
    <mergeCell ref="N45:N50"/>
    <mergeCell ref="A1:AM2"/>
    <mergeCell ref="A7:J7"/>
    <mergeCell ref="K7:Q7"/>
    <mergeCell ref="R7:Z7"/>
    <mergeCell ref="AA7:AG7"/>
    <mergeCell ref="AH7:AM7"/>
    <mergeCell ref="A51:A56"/>
    <mergeCell ref="B51:B56"/>
    <mergeCell ref="C51:C56"/>
    <mergeCell ref="P45:P50"/>
    <mergeCell ref="Q45:Q50"/>
    <mergeCell ref="I51:I56"/>
    <mergeCell ref="J51:J56"/>
    <mergeCell ref="K51:K56"/>
    <mergeCell ref="L51:L56"/>
    <mergeCell ref="M51:M56"/>
    <mergeCell ref="I45:I50"/>
    <mergeCell ref="O45:O50"/>
    <mergeCell ref="B33:B38"/>
    <mergeCell ref="C33:C38"/>
    <mergeCell ref="B39:B44"/>
    <mergeCell ref="C39:C44"/>
    <mergeCell ref="D39:D44"/>
    <mergeCell ref="F39:F44"/>
  </mergeCells>
  <conditionalFormatting sqref="K10 AB10:AB68 K16 K22 K28 K39 K45 K51 K57 K63">
    <cfRule type="cellIs" dxfId="32" priority="659" operator="equal">
      <formula>"Muy Baja"</formula>
    </cfRule>
    <cfRule type="cellIs" dxfId="31" priority="655" operator="equal">
      <formula>"Muy Alta"</formula>
    </cfRule>
    <cfRule type="cellIs" dxfId="30" priority="656" operator="equal">
      <formula>"Alta"</formula>
    </cfRule>
    <cfRule type="cellIs" dxfId="29" priority="657" operator="equal">
      <formula>"Media"</formula>
    </cfRule>
    <cfRule type="cellIs" dxfId="28" priority="658" operator="equal">
      <formula>"Baja"</formula>
    </cfRule>
  </conditionalFormatting>
  <conditionalFormatting sqref="K33:K34">
    <cfRule type="cellIs" dxfId="27" priority="10" operator="equal">
      <formula>"Muy Alta"</formula>
    </cfRule>
    <cfRule type="cellIs" dxfId="26" priority="11" operator="equal">
      <formula>"Alta"</formula>
    </cfRule>
    <cfRule type="cellIs" dxfId="25" priority="12" operator="equal">
      <formula>"Media"</formula>
    </cfRule>
    <cfRule type="cellIs" dxfId="24" priority="13" operator="equal">
      <formula>"Baja"</formula>
    </cfRule>
    <cfRule type="cellIs" dxfId="23" priority="14" operator="equal">
      <formula>"Muy Baja"</formula>
    </cfRule>
  </conditionalFormatting>
  <conditionalFormatting sqref="N10:N68">
    <cfRule type="containsText" dxfId="22" priority="337" operator="containsText" text="❌">
      <formula>NOT(ISERROR(SEARCH("❌",N10)))</formula>
    </cfRule>
  </conditionalFormatting>
  <conditionalFormatting sqref="O10 AD10:AD68 O16 O22 O28 O39 O45 O51 O57 O63">
    <cfRule type="cellIs" dxfId="21" priority="650" operator="equal">
      <formula>"Catastrófico"</formula>
    </cfRule>
    <cfRule type="cellIs" dxfId="20" priority="651" operator="equal">
      <formula>"Mayor"</formula>
    </cfRule>
    <cfRule type="cellIs" dxfId="19" priority="652" operator="equal">
      <formula>"Moderado"</formula>
    </cfRule>
    <cfRule type="cellIs" dxfId="18" priority="653" operator="equal">
      <formula>"Menor"</formula>
    </cfRule>
    <cfRule type="cellIs" dxfId="17" priority="654" operator="equal">
      <formula>"Leve"</formula>
    </cfRule>
  </conditionalFormatting>
  <conditionalFormatting sqref="O33:O34">
    <cfRule type="cellIs" dxfId="16" priority="5" operator="equal">
      <formula>"Catastrófico"</formula>
    </cfRule>
    <cfRule type="cellIs" dxfId="15" priority="6" operator="equal">
      <formula>"Mayor"</formula>
    </cfRule>
    <cfRule type="cellIs" dxfId="14" priority="7" operator="equal">
      <formula>"Moderado"</formula>
    </cfRule>
    <cfRule type="cellIs" dxfId="13" priority="8" operator="equal">
      <formula>"Menor"</formula>
    </cfRule>
    <cfRule type="cellIs" dxfId="12" priority="9" operator="equal">
      <formula>"Leve"</formula>
    </cfRule>
  </conditionalFormatting>
  <conditionalFormatting sqref="Q10 AF10:AF68">
    <cfRule type="cellIs" dxfId="11" priority="648" operator="equal">
      <formula>"Moderado"</formula>
    </cfRule>
    <cfRule type="cellIs" dxfId="10" priority="647" operator="equal">
      <formula>"Alto"</formula>
    </cfRule>
    <cfRule type="cellIs" dxfId="9" priority="646" operator="equal">
      <formula>"Extremo"</formula>
    </cfRule>
    <cfRule type="cellIs" dxfId="8" priority="649" operator="equal">
      <formula>"Bajo"</formula>
    </cfRule>
  </conditionalFormatting>
  <conditionalFormatting sqref="Q16 Q22 Q28 Q39 Q45 Q51 Q57 Q63">
    <cfRule type="cellIs" dxfId="7" priority="578" operator="equal">
      <formula>"Moderado"</formula>
    </cfRule>
    <cfRule type="cellIs" dxfId="6" priority="579" operator="equal">
      <formula>"Bajo"</formula>
    </cfRule>
    <cfRule type="cellIs" dxfId="5" priority="576" operator="equal">
      <formula>"Extremo"</formula>
    </cfRule>
    <cfRule type="cellIs" dxfId="4" priority="577" operator="equal">
      <formula>"Alto"</formula>
    </cfRule>
  </conditionalFormatting>
  <conditionalFormatting sqref="Q33:Q34">
    <cfRule type="cellIs" dxfId="3" priority="3" operator="equal">
      <formula>"Moderado"</formula>
    </cfRule>
    <cfRule type="cellIs" dxfId="2" priority="2" operator="equal">
      <formula>"Alto"</formula>
    </cfRule>
    <cfRule type="cellIs" dxfId="1" priority="4" operator="equal">
      <formula>"Bajo"</formula>
    </cfRule>
    <cfRule type="cellIs" dxfId="0" priority="1" operator="equal">
      <formula>"Extremo"</formula>
    </cfRule>
  </conditionalFormatting>
  <dataValidations count="1">
    <dataValidation type="list" allowBlank="1" showInputMessage="1" showErrorMessage="1" sqref="G10:G68" xr:uid="{00000000-0002-0000-0400-000000000000}">
      <formula1>"Gestión, FISCAL,"</formula1>
    </dataValidation>
  </dataValidations>
  <pageMargins left="0.70866141732283472" right="0.70866141732283472" top="0.74803149606299213" bottom="0.74803149606299213" header="0.31496062992125984" footer="0.31496062992125984"/>
  <pageSetup paperSize="5" scale="40" orientation="landscape" r:id="rId1"/>
  <rowBreaks count="1" manualBreakCount="1">
    <brk id="32" max="16383" man="1"/>
  </rowBreak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AM13:AM14 AM16:AM17 AM19:AM20 AM22:AM23 AM25:AM26 AM28 AM30:AM31 AM33:AM34 AM36:AM37 AM39:AM40 AM42:AM43 AM45:AM46 AM48:AM49 AM51:AM52 AM54:AM55 AM57:AM58 AM60:AM61 AM63:AM64 AM66:AM67</xm:sqref>
        </x14:dataValidation>
        <x14:dataValidation type="list" allowBlank="1" showInputMessage="1" showErrorMessage="1" xr:uid="{00000000-0002-0000-0400-000009000000}">
          <x14:formula1>
            <xm:f>'Opciones Tratamiento'!$B$2:$B$5</xm:f>
          </x14:formula1>
          <xm:sqref>AG10 AG12:AG16 AG18:AG22 AG65:AG68 AG41:AG45 AG47:AG51 AG53:AG57 AG59:AG63 AG24:AG39</xm:sqref>
        </x14:dataValidation>
        <x14:dataValidation type="list" allowBlank="1" showInputMessage="1" showErrorMessage="1" xr:uid="{00000000-0002-0000-0400-000010000000}">
          <x14:formula1>
            <xm:f>'C:\Users\HOME\Downloads\[Formato Matriz de Riesgos 2021 (1).xlsx]Opciones Tratamiento'!#REF!</xm:f>
          </x14:formula1>
          <xm:sqref>AG11 AG17 AG23 AG64 AG40 AG46 AG52 AG58</xm:sqref>
        </x14:dataValidation>
        <x14:dataValidation type="list" allowBlank="1" showInputMessage="1" showErrorMessage="1" xr:uid="{00000000-0002-0000-0400-000001000000}">
          <x14:formula1>
            <xm:f>'Tabla Valoración controles'!$D$4:$D$6</xm:f>
          </x14:formula1>
          <xm:sqref>U10:U68</xm:sqref>
        </x14:dataValidation>
        <x14:dataValidation type="list" allowBlank="1" showInputMessage="1" showErrorMessage="1" xr:uid="{00000000-0002-0000-0400-000002000000}">
          <x14:formula1>
            <xm:f>'Tabla Valoración controles'!$D$7:$D$8</xm:f>
          </x14:formula1>
          <xm:sqref>V10:V68</xm:sqref>
        </x14:dataValidation>
        <x14:dataValidation type="list" allowBlank="1" showInputMessage="1" showErrorMessage="1" xr:uid="{00000000-0002-0000-0400-000003000000}">
          <x14:formula1>
            <xm:f>'Tabla Valoración controles'!$D$9:$D$10</xm:f>
          </x14:formula1>
          <xm:sqref>X10:X68</xm:sqref>
        </x14:dataValidation>
        <x14:dataValidation type="list" allowBlank="1" showInputMessage="1" showErrorMessage="1" xr:uid="{00000000-0002-0000-0400-000004000000}">
          <x14:formula1>
            <xm:f>'Tabla Valoración controles'!$D$11:$D$12</xm:f>
          </x14:formula1>
          <xm:sqref>Y10:Y68</xm:sqref>
        </x14:dataValidation>
        <x14:dataValidation type="list" allowBlank="1" showInputMessage="1" showErrorMessage="1" xr:uid="{00000000-0002-0000-0400-000006000000}">
          <x14:formula1>
            <xm:f>'Tabla Valoración controles'!$D$13:$D$14</xm:f>
          </x14:formula1>
          <xm:sqref>Z10:Z68</xm:sqref>
        </x14:dataValidation>
        <x14:dataValidation type="list" allowBlank="1" showInputMessage="1" showErrorMessage="1" xr:uid="{00000000-0002-0000-0400-000007000000}">
          <x14:formula1>
            <xm:f>'Opciones Tratamiento'!$B$13:$B$19</xm:f>
          </x14:formula1>
          <xm:sqref>I10:I68</xm:sqref>
        </x14:dataValidation>
        <x14:dataValidation type="list" allowBlank="1" showInputMessage="1" showErrorMessage="1" xr:uid="{00000000-0002-0000-0400-000008000000}">
          <x14:formula1>
            <xm:f>'Opciones Tratamiento'!$E$2:$E$4</xm:f>
          </x14:formula1>
          <xm:sqref>B10:B68</xm:sqref>
        </x14:dataValidation>
        <x14:dataValidation type="list" allowBlank="1" showInputMessage="1" showErrorMessage="1" xr:uid="{00000000-0002-0000-0400-00000A000000}">
          <x14:formula1>
            <xm:f>'Tabla Impacto'!$F$210:$F$221</xm:f>
          </x14:formula1>
          <xm:sqref>M10:M68</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AH10:AH68</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AI10:AI68</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143"/>
  <sheetViews>
    <sheetView zoomScale="41" zoomScaleNormal="41" workbookViewId="0">
      <selection activeCell="A6" sqref="A6:J7"/>
    </sheetView>
  </sheetViews>
  <sheetFormatPr baseColWidth="10" defaultColWidth="11.44140625" defaultRowHeight="44.25" customHeight="1" x14ac:dyDescent="0.25"/>
  <cols>
    <col min="1" max="1" width="11.44140625" style="141" customWidth="1"/>
    <col min="2" max="2" width="17.21875" style="141" customWidth="1"/>
    <col min="3" max="3" width="32.77734375" style="141" customWidth="1"/>
    <col min="4" max="4" width="27.5546875" style="141" customWidth="1"/>
    <col min="5" max="5" width="38" style="141" customWidth="1"/>
    <col min="6" max="6" width="45.44140625" style="141" customWidth="1"/>
    <col min="7" max="7" width="18.21875" style="141" customWidth="1"/>
    <col min="8" max="8" width="29.77734375" style="141" customWidth="1"/>
    <col min="9" max="9" width="19.21875" style="141" customWidth="1"/>
    <col min="10" max="10" width="14.5546875" style="141" customWidth="1"/>
    <col min="11" max="11" width="11.44140625" style="141" hidden="1" customWidth="1"/>
    <col min="12" max="12" width="43.5546875" style="141" customWidth="1"/>
    <col min="13" max="13" width="11.44140625" style="141"/>
    <col min="14" max="14" width="42.77734375" style="141" customWidth="1"/>
    <col min="15" max="15" width="11.44140625" style="141"/>
    <col min="16" max="16" width="36.77734375" style="141" customWidth="1"/>
    <col min="17" max="16384" width="11.44140625" style="141"/>
  </cols>
  <sheetData>
    <row r="1" spans="1:11" ht="14.55" customHeight="1" thickBot="1" x14ac:dyDescent="0.3">
      <c r="A1" s="647"/>
      <c r="B1" s="647"/>
      <c r="C1" s="410" t="s">
        <v>429</v>
      </c>
      <c r="D1" s="410"/>
      <c r="E1" s="410"/>
      <c r="F1" s="410"/>
      <c r="G1" s="410"/>
      <c r="H1" s="139" t="s">
        <v>260</v>
      </c>
      <c r="I1" s="641"/>
      <c r="J1" s="642"/>
      <c r="K1" s="140"/>
    </row>
    <row r="2" spans="1:11" ht="27" customHeight="1" thickBot="1" x14ac:dyDescent="0.3">
      <c r="A2" s="647"/>
      <c r="B2" s="647"/>
      <c r="C2" s="410"/>
      <c r="D2" s="410"/>
      <c r="E2" s="410"/>
      <c r="F2" s="410"/>
      <c r="G2" s="410"/>
      <c r="H2" s="139" t="s">
        <v>261</v>
      </c>
      <c r="I2" s="643"/>
      <c r="J2" s="644"/>
      <c r="K2" s="140"/>
    </row>
    <row r="3" spans="1:11" ht="27" customHeight="1" thickBot="1" x14ac:dyDescent="0.3">
      <c r="A3" s="647"/>
      <c r="B3" s="647"/>
      <c r="C3" s="410" t="s">
        <v>247</v>
      </c>
      <c r="D3" s="410"/>
      <c r="E3" s="410"/>
      <c r="F3" s="410"/>
      <c r="G3" s="410"/>
      <c r="H3" s="139" t="s">
        <v>262</v>
      </c>
      <c r="I3" s="643"/>
      <c r="J3" s="644"/>
      <c r="K3" s="140"/>
    </row>
    <row r="4" spans="1:11" ht="14.55" customHeight="1" x14ac:dyDescent="0.25">
      <c r="A4" s="648"/>
      <c r="B4" s="648"/>
      <c r="C4" s="410"/>
      <c r="D4" s="410"/>
      <c r="E4" s="410"/>
      <c r="F4" s="410"/>
      <c r="G4" s="410"/>
      <c r="H4" s="139" t="s">
        <v>263</v>
      </c>
      <c r="I4" s="645"/>
      <c r="J4" s="646"/>
      <c r="K4" s="140"/>
    </row>
    <row r="5" spans="1:11" ht="44.25" customHeight="1" x14ac:dyDescent="0.25">
      <c r="A5" s="695" t="str">
        <f>Contexto!A8</f>
        <v>PROCESO:  SECRETARIA DE HACIENDA PUBLICA MUNICIPAL</v>
      </c>
      <c r="B5" s="696"/>
      <c r="C5" s="696"/>
      <c r="D5" s="696"/>
      <c r="E5" s="696"/>
      <c r="F5" s="696"/>
      <c r="G5" s="696"/>
      <c r="H5" s="696"/>
      <c r="I5" s="696"/>
      <c r="J5" s="697"/>
      <c r="K5" s="140"/>
    </row>
    <row r="6" spans="1:11" ht="44.25" customHeight="1" x14ac:dyDescent="0.25">
      <c r="A6" s="698"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6" s="699"/>
      <c r="C6" s="699"/>
      <c r="D6" s="699"/>
      <c r="E6" s="699"/>
      <c r="F6" s="699"/>
      <c r="G6" s="699"/>
      <c r="H6" s="699"/>
      <c r="I6" s="699"/>
      <c r="J6" s="700"/>
    </row>
    <row r="7" spans="1:11" ht="44.25" customHeight="1" thickBot="1" x14ac:dyDescent="0.3">
      <c r="A7" s="701"/>
      <c r="B7" s="702"/>
      <c r="C7" s="702"/>
      <c r="D7" s="702"/>
      <c r="E7" s="702"/>
      <c r="F7" s="702"/>
      <c r="G7" s="702"/>
      <c r="H7" s="702"/>
      <c r="I7" s="702"/>
      <c r="J7" s="703"/>
    </row>
    <row r="8" spans="1:11" ht="44.25" customHeight="1" x14ac:dyDescent="0.25">
      <c r="A8" s="704" t="s">
        <v>248</v>
      </c>
      <c r="B8" s="704"/>
      <c r="C8" s="704"/>
      <c r="D8" s="704"/>
      <c r="E8" s="686" t="s">
        <v>219</v>
      </c>
      <c r="F8" s="705"/>
      <c r="G8" s="705"/>
      <c r="H8" s="705"/>
      <c r="I8" s="705"/>
      <c r="J8" s="706"/>
    </row>
    <row r="9" spans="1:11" ht="44.25" customHeight="1" x14ac:dyDescent="0.25">
      <c r="A9" s="704"/>
      <c r="B9" s="704"/>
      <c r="C9" s="704"/>
      <c r="D9" s="704"/>
      <c r="E9" s="707" t="s">
        <v>249</v>
      </c>
      <c r="F9" s="707"/>
      <c r="G9" s="707" t="s">
        <v>250</v>
      </c>
      <c r="H9" s="707"/>
      <c r="I9" s="707"/>
      <c r="J9" s="707"/>
    </row>
    <row r="10" spans="1:11" ht="44.25" customHeight="1" x14ac:dyDescent="0.3">
      <c r="A10" s="704"/>
      <c r="B10" s="704"/>
      <c r="C10" s="704"/>
      <c r="D10" s="704"/>
      <c r="E10" s="683" t="s">
        <v>251</v>
      </c>
      <c r="F10" s="683"/>
      <c r="G10" s="708" t="s">
        <v>252</v>
      </c>
      <c r="H10" s="709"/>
      <c r="I10" s="709"/>
      <c r="J10" s="710"/>
    </row>
    <row r="11" spans="1:11" ht="44.25" customHeight="1" x14ac:dyDescent="0.25">
      <c r="A11" s="704"/>
      <c r="B11" s="704"/>
      <c r="C11" s="704"/>
      <c r="D11" s="704"/>
      <c r="E11" s="675" t="s">
        <v>265</v>
      </c>
      <c r="F11" s="676"/>
      <c r="G11" s="692" t="s">
        <v>276</v>
      </c>
      <c r="H11" s="692"/>
      <c r="I11" s="692"/>
      <c r="J11" s="692"/>
    </row>
    <row r="12" spans="1:11" ht="44.25" customHeight="1" x14ac:dyDescent="0.25">
      <c r="A12" s="704"/>
      <c r="B12" s="704"/>
      <c r="C12" s="704"/>
      <c r="D12" s="704"/>
      <c r="E12" s="675" t="s">
        <v>266</v>
      </c>
      <c r="F12" s="676"/>
      <c r="G12" s="692" t="s">
        <v>277</v>
      </c>
      <c r="H12" s="692"/>
      <c r="I12" s="692"/>
      <c r="J12" s="692"/>
    </row>
    <row r="13" spans="1:11" ht="44.25" customHeight="1" x14ac:dyDescent="0.25">
      <c r="A13" s="704"/>
      <c r="B13" s="704"/>
      <c r="C13" s="704"/>
      <c r="D13" s="704"/>
      <c r="E13" s="675" t="s">
        <v>267</v>
      </c>
      <c r="F13" s="676"/>
      <c r="G13" s="660" t="s">
        <v>278</v>
      </c>
      <c r="H13" s="660"/>
      <c r="I13" s="660"/>
      <c r="J13" s="660"/>
    </row>
    <row r="14" spans="1:11" ht="44.25" customHeight="1" x14ac:dyDescent="0.25">
      <c r="A14" s="704"/>
      <c r="B14" s="704"/>
      <c r="C14" s="704"/>
      <c r="D14" s="704"/>
      <c r="E14" s="668" t="s">
        <v>268</v>
      </c>
      <c r="F14" s="669"/>
      <c r="G14" s="692" t="s">
        <v>279</v>
      </c>
      <c r="H14" s="692"/>
      <c r="I14" s="692"/>
      <c r="J14" s="692"/>
    </row>
    <row r="15" spans="1:11" ht="44.25" customHeight="1" x14ac:dyDescent="0.25">
      <c r="A15" s="704"/>
      <c r="B15" s="704"/>
      <c r="C15" s="704"/>
      <c r="D15" s="704"/>
      <c r="E15" s="675" t="s">
        <v>269</v>
      </c>
      <c r="F15" s="676"/>
      <c r="G15" s="692" t="s">
        <v>280</v>
      </c>
      <c r="H15" s="692"/>
      <c r="I15" s="692"/>
      <c r="J15" s="692"/>
    </row>
    <row r="16" spans="1:11" ht="44.25" customHeight="1" x14ac:dyDescent="0.25">
      <c r="A16" s="704"/>
      <c r="B16" s="704"/>
      <c r="C16" s="704"/>
      <c r="D16" s="704"/>
      <c r="E16" s="675" t="s">
        <v>270</v>
      </c>
      <c r="F16" s="676"/>
      <c r="G16" s="692" t="s">
        <v>281</v>
      </c>
      <c r="H16" s="692"/>
      <c r="I16" s="692"/>
      <c r="J16" s="692"/>
    </row>
    <row r="17" spans="1:16" ht="44.25" customHeight="1" x14ac:dyDescent="0.25">
      <c r="A17" s="704"/>
      <c r="B17" s="704"/>
      <c r="C17" s="704"/>
      <c r="D17" s="704"/>
      <c r="E17" s="675" t="s">
        <v>271</v>
      </c>
      <c r="F17" s="676"/>
      <c r="G17" s="694" t="s">
        <v>282</v>
      </c>
      <c r="H17" s="694"/>
      <c r="I17" s="694"/>
      <c r="J17" s="694"/>
    </row>
    <row r="18" spans="1:16" ht="44.25" customHeight="1" x14ac:dyDescent="0.25">
      <c r="A18" s="704"/>
      <c r="B18" s="704"/>
      <c r="C18" s="704"/>
      <c r="D18" s="704"/>
      <c r="E18" s="675" t="s">
        <v>272</v>
      </c>
      <c r="F18" s="676"/>
      <c r="G18" s="694" t="s">
        <v>283</v>
      </c>
      <c r="H18" s="694"/>
      <c r="I18" s="694"/>
      <c r="J18" s="694"/>
    </row>
    <row r="19" spans="1:16" ht="44.25" customHeight="1" x14ac:dyDescent="0.25">
      <c r="A19" s="704"/>
      <c r="B19" s="704"/>
      <c r="C19" s="704"/>
      <c r="D19" s="704"/>
      <c r="E19" s="675" t="s">
        <v>273</v>
      </c>
      <c r="F19" s="676"/>
      <c r="G19" s="694" t="s">
        <v>284</v>
      </c>
      <c r="H19" s="694"/>
      <c r="I19" s="694"/>
      <c r="J19" s="694"/>
    </row>
    <row r="20" spans="1:16" ht="44.25" customHeight="1" x14ac:dyDescent="0.25">
      <c r="A20" s="704"/>
      <c r="B20" s="704"/>
      <c r="C20" s="704"/>
      <c r="D20" s="704"/>
      <c r="E20" s="675" t="s">
        <v>274</v>
      </c>
      <c r="F20" s="676"/>
      <c r="G20" s="694" t="s">
        <v>388</v>
      </c>
      <c r="H20" s="694"/>
      <c r="I20" s="694"/>
      <c r="J20" s="694"/>
    </row>
    <row r="21" spans="1:16" ht="44.25" customHeight="1" x14ac:dyDescent="0.25">
      <c r="A21" s="704"/>
      <c r="B21" s="704"/>
      <c r="C21" s="704"/>
      <c r="D21" s="704"/>
      <c r="E21" s="675" t="s">
        <v>275</v>
      </c>
      <c r="F21" s="676"/>
      <c r="G21" s="675" t="s">
        <v>389</v>
      </c>
      <c r="H21" s="693"/>
      <c r="I21" s="693"/>
      <c r="J21" s="676"/>
    </row>
    <row r="22" spans="1:16" ht="44.25" customHeight="1" x14ac:dyDescent="0.25">
      <c r="A22" s="704"/>
      <c r="B22" s="704"/>
      <c r="C22" s="704"/>
      <c r="D22" s="704"/>
      <c r="E22" s="675" t="s">
        <v>369</v>
      </c>
      <c r="F22" s="676"/>
      <c r="G22" s="677"/>
      <c r="H22" s="678"/>
      <c r="I22" s="678"/>
      <c r="J22" s="679"/>
    </row>
    <row r="23" spans="1:16" ht="44.25" customHeight="1" x14ac:dyDescent="0.25">
      <c r="A23" s="704"/>
      <c r="B23" s="704"/>
      <c r="C23" s="704"/>
      <c r="D23" s="704"/>
      <c r="E23" s="675" t="s">
        <v>386</v>
      </c>
      <c r="F23" s="676"/>
      <c r="G23" s="677"/>
      <c r="H23" s="678"/>
      <c r="I23" s="678"/>
      <c r="J23" s="679"/>
    </row>
    <row r="24" spans="1:16" ht="44.25" customHeight="1" x14ac:dyDescent="0.25">
      <c r="A24" s="704"/>
      <c r="B24" s="704"/>
      <c r="C24" s="704"/>
      <c r="D24" s="704"/>
      <c r="E24" s="675" t="s">
        <v>387</v>
      </c>
      <c r="F24" s="676"/>
      <c r="G24" s="677"/>
      <c r="H24" s="678"/>
      <c r="I24" s="678"/>
      <c r="J24" s="679"/>
    </row>
    <row r="25" spans="1:16" ht="44.25" customHeight="1" thickBot="1" x14ac:dyDescent="0.3">
      <c r="A25" s="704"/>
      <c r="B25" s="704"/>
      <c r="C25" s="704"/>
      <c r="D25" s="704"/>
      <c r="E25" s="675"/>
      <c r="F25" s="676"/>
      <c r="G25" s="680"/>
      <c r="H25" s="681"/>
      <c r="I25" s="681"/>
      <c r="J25" s="682"/>
    </row>
    <row r="26" spans="1:16" ht="44.25" customHeight="1" thickBot="1" x14ac:dyDescent="0.3">
      <c r="A26" s="661" t="s">
        <v>217</v>
      </c>
      <c r="B26" s="661" t="s">
        <v>250</v>
      </c>
      <c r="C26" s="683" t="s">
        <v>253</v>
      </c>
      <c r="D26" s="683"/>
      <c r="E26" s="684" t="s">
        <v>254</v>
      </c>
      <c r="F26" s="685"/>
      <c r="G26" s="686" t="s">
        <v>255</v>
      </c>
      <c r="H26" s="687"/>
      <c r="I26" s="687"/>
      <c r="J26" s="688"/>
      <c r="L26" s="202" t="s">
        <v>365</v>
      </c>
      <c r="M26" s="711"/>
      <c r="N26" s="711"/>
      <c r="O26" s="711"/>
      <c r="P26" s="711"/>
    </row>
    <row r="27" spans="1:16" ht="44.25" customHeight="1" thickBot="1" x14ac:dyDescent="0.3">
      <c r="A27" s="661"/>
      <c r="B27" s="661"/>
      <c r="C27" s="668" t="s">
        <v>285</v>
      </c>
      <c r="D27" s="669"/>
      <c r="E27" s="668" t="s">
        <v>293</v>
      </c>
      <c r="F27" s="669"/>
      <c r="G27" s="689" t="s">
        <v>305</v>
      </c>
      <c r="H27" s="690"/>
      <c r="I27" s="690"/>
      <c r="J27" s="691"/>
      <c r="L27" s="201" t="s">
        <v>366</v>
      </c>
      <c r="M27" s="711"/>
      <c r="N27" s="711"/>
      <c r="O27" s="711"/>
      <c r="P27" s="711"/>
    </row>
    <row r="28" spans="1:16" ht="86.25" customHeight="1" x14ac:dyDescent="0.25">
      <c r="A28" s="661"/>
      <c r="B28" s="661"/>
      <c r="C28" s="668" t="s">
        <v>286</v>
      </c>
      <c r="D28" s="669"/>
      <c r="E28" s="668" t="s">
        <v>294</v>
      </c>
      <c r="F28" s="669"/>
      <c r="G28" s="668" t="s">
        <v>306</v>
      </c>
      <c r="H28" s="670"/>
      <c r="I28" s="670"/>
      <c r="J28" s="669"/>
      <c r="M28" s="711"/>
      <c r="N28" s="711"/>
      <c r="O28" s="711"/>
      <c r="P28" s="711"/>
    </row>
    <row r="29" spans="1:16" ht="81" customHeight="1" x14ac:dyDescent="0.25">
      <c r="A29" s="661"/>
      <c r="B29" s="661"/>
      <c r="C29" s="668" t="s">
        <v>287</v>
      </c>
      <c r="D29" s="669"/>
      <c r="E29" s="668" t="s">
        <v>295</v>
      </c>
      <c r="F29" s="669"/>
      <c r="G29" s="668" t="s">
        <v>307</v>
      </c>
      <c r="H29" s="670"/>
      <c r="I29" s="670"/>
      <c r="J29" s="669"/>
      <c r="M29" s="711"/>
      <c r="N29" s="711"/>
      <c r="O29" s="711"/>
      <c r="P29" s="711"/>
    </row>
    <row r="30" spans="1:16" ht="44.25" customHeight="1" x14ac:dyDescent="0.25">
      <c r="A30" s="661"/>
      <c r="B30" s="661"/>
      <c r="C30" s="660" t="s">
        <v>288</v>
      </c>
      <c r="D30" s="652"/>
      <c r="E30" s="668" t="s">
        <v>296</v>
      </c>
      <c r="F30" s="669"/>
      <c r="G30" s="668" t="s">
        <v>308</v>
      </c>
      <c r="H30" s="670"/>
      <c r="I30" s="670"/>
      <c r="J30" s="669"/>
    </row>
    <row r="31" spans="1:16" ht="44.25" customHeight="1" x14ac:dyDescent="0.25">
      <c r="A31" s="661"/>
      <c r="B31" s="661"/>
      <c r="C31" s="668" t="s">
        <v>289</v>
      </c>
      <c r="D31" s="655"/>
      <c r="E31" s="668" t="s">
        <v>297</v>
      </c>
      <c r="F31" s="669"/>
      <c r="G31" s="652"/>
      <c r="H31" s="656"/>
      <c r="I31" s="656"/>
      <c r="J31" s="655"/>
    </row>
    <row r="32" spans="1:16" ht="44.25" customHeight="1" x14ac:dyDescent="0.25">
      <c r="A32" s="661"/>
      <c r="B32" s="661"/>
      <c r="C32" s="652" t="s">
        <v>290</v>
      </c>
      <c r="D32" s="652"/>
      <c r="E32" s="668" t="s">
        <v>298</v>
      </c>
      <c r="F32" s="669"/>
      <c r="G32" s="652"/>
      <c r="H32" s="652"/>
      <c r="I32" s="652"/>
      <c r="J32" s="652"/>
    </row>
    <row r="33" spans="1:14" ht="44.25" customHeight="1" x14ac:dyDescent="0.25">
      <c r="A33" s="661"/>
      <c r="B33" s="661"/>
      <c r="C33" s="652" t="s">
        <v>291</v>
      </c>
      <c r="D33" s="652"/>
      <c r="E33" s="689" t="s">
        <v>299</v>
      </c>
      <c r="F33" s="691"/>
      <c r="G33" s="654"/>
      <c r="H33" s="656"/>
      <c r="I33" s="656"/>
      <c r="J33" s="655"/>
    </row>
    <row r="34" spans="1:14" ht="44.25" customHeight="1" x14ac:dyDescent="0.25">
      <c r="A34" s="661"/>
      <c r="B34" s="661"/>
      <c r="C34" s="652" t="s">
        <v>292</v>
      </c>
      <c r="D34" s="652"/>
      <c r="E34" s="660" t="s">
        <v>300</v>
      </c>
      <c r="F34" s="660"/>
      <c r="G34" s="652"/>
      <c r="H34" s="652"/>
      <c r="I34" s="652"/>
      <c r="J34" s="652"/>
    </row>
    <row r="35" spans="1:14" ht="44.25" customHeight="1" x14ac:dyDescent="0.25">
      <c r="A35" s="661"/>
      <c r="B35" s="661"/>
      <c r="C35" s="660" t="s">
        <v>385</v>
      </c>
      <c r="D35" s="660"/>
      <c r="E35" s="660" t="s">
        <v>301</v>
      </c>
      <c r="F35" s="652"/>
      <c r="G35" s="652"/>
      <c r="H35" s="652"/>
      <c r="I35" s="652"/>
      <c r="J35" s="652"/>
    </row>
    <row r="36" spans="1:14" ht="44.25" customHeight="1" x14ac:dyDescent="0.25">
      <c r="A36" s="661"/>
      <c r="B36" s="661"/>
      <c r="C36" s="668" t="s">
        <v>395</v>
      </c>
      <c r="D36" s="669"/>
      <c r="E36" s="671" t="s">
        <v>302</v>
      </c>
      <c r="F36" s="672"/>
      <c r="G36" s="654"/>
      <c r="H36" s="656"/>
      <c r="I36" s="656"/>
      <c r="J36" s="655"/>
    </row>
    <row r="37" spans="1:14" ht="44.25" customHeight="1" x14ac:dyDescent="0.25">
      <c r="A37" s="661"/>
      <c r="B37" s="661"/>
      <c r="C37" s="668"/>
      <c r="D37" s="669"/>
      <c r="E37" s="671" t="s">
        <v>303</v>
      </c>
      <c r="F37" s="672"/>
      <c r="G37" s="654"/>
      <c r="H37" s="656"/>
      <c r="I37" s="656"/>
      <c r="J37" s="655"/>
    </row>
    <row r="38" spans="1:14" ht="44.25" customHeight="1" x14ac:dyDescent="0.25">
      <c r="A38" s="661"/>
      <c r="B38" s="661"/>
      <c r="C38" s="652"/>
      <c r="D38" s="652"/>
      <c r="E38" s="673" t="s">
        <v>304</v>
      </c>
      <c r="F38" s="674"/>
      <c r="G38" s="651"/>
      <c r="H38" s="651"/>
      <c r="I38" s="651"/>
      <c r="J38" s="651"/>
    </row>
    <row r="39" spans="1:14" ht="149.25" customHeight="1" x14ac:dyDescent="0.25">
      <c r="A39" s="661"/>
      <c r="B39" s="200"/>
      <c r="C39" s="652"/>
      <c r="D39" s="652"/>
      <c r="E39" s="649" t="s">
        <v>426</v>
      </c>
      <c r="F39" s="674"/>
      <c r="G39" s="651"/>
      <c r="H39" s="651"/>
      <c r="I39" s="651"/>
      <c r="J39" s="651"/>
      <c r="L39" s="712" t="s">
        <v>401</v>
      </c>
      <c r="M39" s="712"/>
      <c r="N39" s="712"/>
    </row>
    <row r="40" spans="1:14" ht="85.5" customHeight="1" x14ac:dyDescent="0.25">
      <c r="A40" s="661"/>
      <c r="B40" s="200"/>
      <c r="C40" s="652"/>
      <c r="D40" s="652"/>
      <c r="E40" s="649" t="s">
        <v>381</v>
      </c>
      <c r="F40" s="650"/>
      <c r="G40" s="651"/>
      <c r="H40" s="651"/>
      <c r="I40" s="651"/>
      <c r="J40" s="651"/>
      <c r="L40" s="712"/>
      <c r="M40" s="712"/>
      <c r="N40" s="712"/>
    </row>
    <row r="41" spans="1:14" ht="122.25" customHeight="1" x14ac:dyDescent="0.25">
      <c r="A41" s="661"/>
      <c r="B41" s="200"/>
      <c r="C41" s="652"/>
      <c r="D41" s="652"/>
      <c r="E41" s="649" t="s">
        <v>428</v>
      </c>
      <c r="F41" s="650"/>
      <c r="G41" s="651"/>
      <c r="H41" s="651"/>
      <c r="I41" s="651"/>
      <c r="J41" s="651"/>
      <c r="L41" s="712"/>
      <c r="M41" s="712"/>
      <c r="N41" s="712"/>
    </row>
    <row r="42" spans="1:14" ht="75.75" customHeight="1" x14ac:dyDescent="0.25">
      <c r="A42" s="661"/>
      <c r="B42" s="200"/>
      <c r="C42" s="652"/>
      <c r="D42" s="652"/>
      <c r="E42" s="649" t="s">
        <v>391</v>
      </c>
      <c r="F42" s="650"/>
      <c r="G42" s="651"/>
      <c r="H42" s="651"/>
      <c r="I42" s="651"/>
      <c r="J42" s="651"/>
      <c r="L42" s="712"/>
      <c r="M42" s="712"/>
      <c r="N42" s="712"/>
    </row>
    <row r="43" spans="1:14" ht="280.5" customHeight="1" x14ac:dyDescent="0.25">
      <c r="A43" s="661"/>
      <c r="B43" s="200"/>
      <c r="C43" s="652"/>
      <c r="D43" s="652"/>
      <c r="E43" s="649" t="s">
        <v>408</v>
      </c>
      <c r="F43" s="650"/>
      <c r="G43" s="651"/>
      <c r="H43" s="651"/>
      <c r="I43" s="651"/>
      <c r="J43" s="651"/>
      <c r="L43" s="712"/>
      <c r="M43" s="712"/>
      <c r="N43" s="712"/>
    </row>
    <row r="44" spans="1:14" ht="158.25" customHeight="1" x14ac:dyDescent="0.25">
      <c r="A44" s="661"/>
      <c r="B44" s="200"/>
      <c r="C44" s="652"/>
      <c r="D44" s="652"/>
      <c r="E44" s="649" t="s">
        <v>427</v>
      </c>
      <c r="F44" s="650"/>
      <c r="G44" s="651"/>
      <c r="H44" s="651"/>
      <c r="I44" s="651"/>
      <c r="J44" s="651"/>
      <c r="L44" s="712"/>
      <c r="M44" s="712"/>
      <c r="N44" s="712"/>
    </row>
    <row r="45" spans="1:14" ht="162" customHeight="1" x14ac:dyDescent="0.25">
      <c r="A45" s="661"/>
      <c r="B45" s="200"/>
      <c r="C45" s="652"/>
      <c r="D45" s="652"/>
      <c r="E45" s="673" t="s">
        <v>402</v>
      </c>
      <c r="F45" s="674"/>
      <c r="G45" s="651"/>
      <c r="H45" s="651"/>
      <c r="I45" s="651"/>
      <c r="J45" s="651"/>
      <c r="L45" s="712"/>
      <c r="M45" s="712"/>
      <c r="N45" s="712"/>
    </row>
    <row r="46" spans="1:14" ht="15" customHeight="1" x14ac:dyDescent="0.25">
      <c r="A46" s="661"/>
      <c r="B46" s="200"/>
      <c r="C46" s="652"/>
      <c r="D46" s="652"/>
      <c r="E46" s="649"/>
      <c r="F46" s="650"/>
      <c r="G46" s="651"/>
      <c r="H46" s="651"/>
      <c r="I46" s="651"/>
      <c r="J46" s="651"/>
      <c r="L46" s="712"/>
      <c r="M46" s="712"/>
      <c r="N46" s="712"/>
    </row>
    <row r="47" spans="1:14" ht="15" customHeight="1" x14ac:dyDescent="0.25">
      <c r="A47" s="661"/>
      <c r="B47" s="200"/>
      <c r="C47" s="652"/>
      <c r="D47" s="652"/>
      <c r="E47" s="649"/>
      <c r="F47" s="650"/>
      <c r="G47" s="651"/>
      <c r="H47" s="651"/>
      <c r="I47" s="651"/>
      <c r="J47" s="651"/>
      <c r="L47" s="712"/>
      <c r="M47" s="712"/>
      <c r="N47" s="712"/>
    </row>
    <row r="48" spans="1:14" ht="15" customHeight="1" x14ac:dyDescent="0.25">
      <c r="A48" s="661"/>
      <c r="B48" s="200"/>
      <c r="C48" s="652"/>
      <c r="D48" s="652"/>
      <c r="E48" s="649"/>
      <c r="F48" s="650"/>
      <c r="G48" s="651"/>
      <c r="H48" s="651"/>
      <c r="I48" s="651"/>
      <c r="J48" s="651"/>
      <c r="L48" s="712"/>
      <c r="M48" s="712"/>
      <c r="N48" s="712"/>
    </row>
    <row r="49" spans="1:14" ht="15" customHeight="1" x14ac:dyDescent="0.25">
      <c r="A49" s="661"/>
      <c r="B49" s="200"/>
      <c r="C49" s="652"/>
      <c r="D49" s="652"/>
      <c r="E49" s="649"/>
      <c r="F49" s="650"/>
      <c r="G49" s="651"/>
      <c r="H49" s="651"/>
      <c r="I49" s="651"/>
      <c r="J49" s="651"/>
      <c r="L49" s="712"/>
      <c r="M49" s="712"/>
      <c r="N49" s="712"/>
    </row>
    <row r="50" spans="1:14" s="203" customFormat="1" ht="44.25" customHeight="1" x14ac:dyDescent="0.3">
      <c r="A50" s="661"/>
      <c r="B50" s="661" t="s">
        <v>249</v>
      </c>
      <c r="C50" s="662" t="s">
        <v>256</v>
      </c>
      <c r="D50" s="662"/>
      <c r="E50" s="663" t="s">
        <v>257</v>
      </c>
      <c r="F50" s="664"/>
      <c r="G50" s="665" t="s">
        <v>258</v>
      </c>
      <c r="H50" s="666"/>
      <c r="I50" s="666"/>
      <c r="J50" s="667"/>
    </row>
    <row r="51" spans="1:14" ht="68.25" customHeight="1" x14ac:dyDescent="0.25">
      <c r="A51" s="661"/>
      <c r="B51" s="661"/>
      <c r="C51" s="668" t="s">
        <v>373</v>
      </c>
      <c r="D51" s="669"/>
      <c r="E51" s="668" t="s">
        <v>374</v>
      </c>
      <c r="F51" s="669"/>
      <c r="G51" s="668" t="s">
        <v>375</v>
      </c>
      <c r="H51" s="670"/>
      <c r="I51" s="670"/>
      <c r="J51" s="669"/>
    </row>
    <row r="52" spans="1:14" ht="80.25" customHeight="1" x14ac:dyDescent="0.25">
      <c r="A52" s="661"/>
      <c r="B52" s="661"/>
      <c r="C52" s="668" t="s">
        <v>376</v>
      </c>
      <c r="D52" s="669"/>
      <c r="E52" s="668" t="s">
        <v>377</v>
      </c>
      <c r="F52" s="669"/>
      <c r="G52" s="668" t="s">
        <v>378</v>
      </c>
      <c r="H52" s="670"/>
      <c r="I52" s="670"/>
      <c r="J52" s="669"/>
    </row>
    <row r="53" spans="1:14" ht="93.75" customHeight="1" x14ac:dyDescent="0.25">
      <c r="A53" s="661"/>
      <c r="B53" s="661"/>
      <c r="C53" s="668" t="s">
        <v>379</v>
      </c>
      <c r="D53" s="669"/>
      <c r="E53" s="660" t="s">
        <v>380</v>
      </c>
      <c r="F53" s="660"/>
      <c r="G53" s="668"/>
      <c r="H53" s="670"/>
      <c r="I53" s="670"/>
      <c r="J53" s="669"/>
    </row>
    <row r="54" spans="1:14" ht="44.25" customHeight="1" x14ac:dyDescent="0.25">
      <c r="A54" s="661"/>
      <c r="B54" s="661"/>
      <c r="C54" s="652" t="s">
        <v>390</v>
      </c>
      <c r="D54" s="652"/>
      <c r="E54" s="660"/>
      <c r="F54" s="660"/>
      <c r="G54" s="652"/>
      <c r="H54" s="652"/>
      <c r="I54" s="652"/>
      <c r="J54" s="652"/>
    </row>
    <row r="55" spans="1:14" ht="44.25" customHeight="1" x14ac:dyDescent="0.25">
      <c r="A55" s="661"/>
      <c r="B55" s="661"/>
      <c r="C55" s="652"/>
      <c r="D55" s="652"/>
      <c r="E55" s="652"/>
      <c r="F55" s="652"/>
      <c r="G55" s="652"/>
      <c r="H55" s="652"/>
      <c r="I55" s="652"/>
      <c r="J55" s="652"/>
    </row>
    <row r="56" spans="1:14" ht="44.25" customHeight="1" x14ac:dyDescent="0.25">
      <c r="A56" s="661"/>
      <c r="B56" s="661"/>
      <c r="C56" s="652"/>
      <c r="D56" s="652"/>
      <c r="E56" s="652"/>
      <c r="F56" s="652"/>
      <c r="G56" s="652"/>
      <c r="H56" s="652"/>
      <c r="I56" s="652"/>
      <c r="J56" s="652"/>
    </row>
    <row r="57" spans="1:14" ht="44.25" customHeight="1" x14ac:dyDescent="0.25">
      <c r="A57" s="661"/>
      <c r="B57" s="661"/>
      <c r="C57" s="654"/>
      <c r="D57" s="655"/>
      <c r="E57" s="654"/>
      <c r="F57" s="655"/>
      <c r="G57" s="654"/>
      <c r="H57" s="656"/>
      <c r="I57" s="656"/>
      <c r="J57" s="655"/>
    </row>
    <row r="58" spans="1:14" ht="44.25" customHeight="1" x14ac:dyDescent="0.25">
      <c r="A58" s="661"/>
      <c r="B58" s="661"/>
      <c r="C58" s="654"/>
      <c r="D58" s="655"/>
      <c r="E58" s="654"/>
      <c r="F58" s="655"/>
      <c r="G58" s="654"/>
      <c r="H58" s="656"/>
      <c r="I58" s="656"/>
      <c r="J58" s="655"/>
    </row>
    <row r="59" spans="1:14" ht="44.25" customHeight="1" x14ac:dyDescent="0.25">
      <c r="A59" s="661"/>
      <c r="B59" s="661"/>
      <c r="C59" s="654"/>
      <c r="D59" s="655"/>
      <c r="E59" s="657"/>
      <c r="F59" s="658"/>
      <c r="G59" s="657"/>
      <c r="H59" s="659"/>
      <c r="I59" s="659"/>
      <c r="J59" s="658"/>
    </row>
    <row r="60" spans="1:14" ht="44.25" customHeight="1" x14ac:dyDescent="0.25">
      <c r="A60" s="661"/>
      <c r="B60" s="661"/>
      <c r="C60" s="654"/>
      <c r="D60" s="655"/>
      <c r="E60" s="654"/>
      <c r="F60" s="655"/>
      <c r="G60" s="654"/>
      <c r="H60" s="656"/>
      <c r="I60" s="656"/>
      <c r="J60" s="655"/>
    </row>
    <row r="61" spans="1:14" ht="44.25" customHeight="1" x14ac:dyDescent="0.25">
      <c r="A61" s="661"/>
      <c r="B61" s="661"/>
      <c r="C61" s="654"/>
      <c r="D61" s="655"/>
      <c r="E61" s="657"/>
      <c r="F61" s="658"/>
      <c r="G61" s="657"/>
      <c r="H61" s="659"/>
      <c r="I61" s="659"/>
      <c r="J61" s="658"/>
    </row>
    <row r="62" spans="1:14" ht="44.25" customHeight="1" x14ac:dyDescent="0.25">
      <c r="A62" s="661"/>
      <c r="B62" s="661"/>
      <c r="C62" s="654"/>
      <c r="D62" s="655"/>
      <c r="E62" s="654"/>
      <c r="F62" s="655"/>
      <c r="G62" s="654"/>
      <c r="H62" s="656"/>
      <c r="I62" s="656"/>
      <c r="J62" s="655"/>
    </row>
    <row r="63" spans="1:14" ht="44.25" customHeight="1" x14ac:dyDescent="0.25">
      <c r="A63" s="661"/>
      <c r="B63" s="661"/>
      <c r="C63" s="654"/>
      <c r="D63" s="655"/>
      <c r="E63" s="654"/>
      <c r="F63" s="655"/>
      <c r="G63" s="654"/>
      <c r="H63" s="656"/>
      <c r="I63" s="656"/>
      <c r="J63" s="655"/>
    </row>
    <row r="64" spans="1:14" ht="44.25" customHeight="1" x14ac:dyDescent="0.25">
      <c r="A64" s="661"/>
      <c r="B64" s="661"/>
      <c r="C64" s="652"/>
      <c r="D64" s="652"/>
      <c r="E64" s="652"/>
      <c r="F64" s="652"/>
      <c r="G64" s="652"/>
      <c r="H64" s="652"/>
      <c r="I64" s="652"/>
      <c r="J64" s="652"/>
    </row>
    <row r="65" spans="1:10" ht="44.25" customHeight="1" x14ac:dyDescent="0.25">
      <c r="A65" s="661"/>
      <c r="B65" s="661"/>
      <c r="C65" s="652"/>
      <c r="D65" s="652"/>
      <c r="E65" s="652"/>
      <c r="F65" s="652"/>
      <c r="G65" s="652"/>
      <c r="H65" s="652"/>
      <c r="I65" s="652"/>
      <c r="J65" s="652"/>
    </row>
    <row r="66" spans="1:10" ht="44.25" customHeight="1" x14ac:dyDescent="0.25">
      <c r="C66" s="183"/>
      <c r="D66" s="183"/>
      <c r="E66" s="653"/>
      <c r="F66" s="653"/>
      <c r="G66" s="653"/>
      <c r="H66" s="653"/>
      <c r="I66" s="653"/>
      <c r="J66" s="653"/>
    </row>
    <row r="67" spans="1:10" ht="44.25" customHeight="1" x14ac:dyDescent="0.25">
      <c r="C67" s="183"/>
      <c r="D67" s="183"/>
      <c r="E67" s="653"/>
      <c r="F67" s="653"/>
      <c r="G67" s="653"/>
      <c r="H67" s="653"/>
      <c r="I67" s="653"/>
      <c r="J67" s="653"/>
    </row>
    <row r="68" spans="1:10" ht="44.25" customHeight="1" x14ac:dyDescent="0.25">
      <c r="E68" s="647"/>
      <c r="F68" s="647"/>
      <c r="G68" s="647"/>
      <c r="H68" s="647"/>
      <c r="I68" s="647"/>
      <c r="J68" s="647"/>
    </row>
    <row r="69" spans="1:10" ht="44.25" customHeight="1" x14ac:dyDescent="0.25">
      <c r="E69" s="647"/>
      <c r="F69" s="647"/>
      <c r="G69" s="647"/>
      <c r="H69" s="647"/>
      <c r="I69" s="647"/>
      <c r="J69" s="647"/>
    </row>
    <row r="70" spans="1:10" ht="44.25" customHeight="1" x14ac:dyDescent="0.25">
      <c r="E70" s="647"/>
      <c r="F70" s="647"/>
      <c r="G70" s="647"/>
      <c r="H70" s="647"/>
      <c r="I70" s="647"/>
      <c r="J70" s="647"/>
    </row>
    <row r="71" spans="1:10" ht="44.25" customHeight="1" x14ac:dyDescent="0.25">
      <c r="E71" s="647"/>
      <c r="F71" s="647"/>
      <c r="G71" s="647"/>
      <c r="H71" s="647"/>
      <c r="I71" s="647"/>
      <c r="J71" s="647"/>
    </row>
    <row r="72" spans="1:10" ht="44.25" customHeight="1" x14ac:dyDescent="0.25">
      <c r="E72" s="647"/>
      <c r="F72" s="647"/>
      <c r="G72" s="647"/>
      <c r="H72" s="647"/>
      <c r="I72" s="647"/>
      <c r="J72" s="647"/>
    </row>
    <row r="73" spans="1:10" ht="44.25" customHeight="1" x14ac:dyDescent="0.25">
      <c r="E73" s="647"/>
      <c r="F73" s="647"/>
      <c r="G73" s="647"/>
      <c r="H73" s="647"/>
      <c r="I73" s="647"/>
      <c r="J73" s="647"/>
    </row>
    <row r="74" spans="1:10" ht="44.25" customHeight="1" x14ac:dyDescent="0.25">
      <c r="E74" s="647"/>
      <c r="F74" s="647"/>
      <c r="G74" s="647"/>
      <c r="H74" s="647"/>
      <c r="I74" s="647"/>
      <c r="J74" s="647"/>
    </row>
    <row r="75" spans="1:10" ht="44.25" customHeight="1" x14ac:dyDescent="0.25">
      <c r="E75" s="647"/>
      <c r="F75" s="647"/>
      <c r="G75" s="647"/>
      <c r="H75" s="647"/>
      <c r="I75" s="647"/>
      <c r="J75" s="647"/>
    </row>
    <row r="76" spans="1:10" ht="44.25" customHeight="1" x14ac:dyDescent="0.25">
      <c r="E76" s="647"/>
      <c r="F76" s="647"/>
      <c r="G76" s="647"/>
      <c r="H76" s="647"/>
      <c r="I76" s="647"/>
      <c r="J76" s="647"/>
    </row>
    <row r="77" spans="1:10" ht="44.25" customHeight="1" x14ac:dyDescent="0.25">
      <c r="E77" s="647"/>
      <c r="F77" s="647"/>
      <c r="G77" s="647"/>
      <c r="H77" s="647"/>
      <c r="I77" s="647"/>
      <c r="J77" s="647"/>
    </row>
    <row r="78" spans="1:10" ht="44.25" customHeight="1" x14ac:dyDescent="0.25">
      <c r="E78" s="647"/>
      <c r="F78" s="647"/>
      <c r="G78" s="647"/>
      <c r="H78" s="647"/>
      <c r="I78" s="647"/>
      <c r="J78" s="647"/>
    </row>
    <row r="79" spans="1:10" ht="44.25" customHeight="1" x14ac:dyDescent="0.25">
      <c r="E79" s="647"/>
      <c r="F79" s="647"/>
      <c r="G79" s="647"/>
      <c r="H79" s="647"/>
      <c r="I79" s="647"/>
      <c r="J79" s="647"/>
    </row>
    <row r="80" spans="1:10" ht="44.25" customHeight="1" x14ac:dyDescent="0.25">
      <c r="E80" s="647"/>
      <c r="F80" s="647"/>
      <c r="G80" s="647"/>
      <c r="H80" s="647"/>
      <c r="I80" s="647"/>
      <c r="J80" s="647"/>
    </row>
    <row r="81" spans="5:10" ht="44.25" customHeight="1" x14ac:dyDescent="0.25">
      <c r="E81" s="647"/>
      <c r="F81" s="647"/>
      <c r="G81" s="647"/>
      <c r="H81" s="647"/>
      <c r="I81" s="647"/>
      <c r="J81" s="647"/>
    </row>
    <row r="82" spans="5:10" ht="44.25" customHeight="1" x14ac:dyDescent="0.25">
      <c r="E82" s="647"/>
      <c r="F82" s="647"/>
      <c r="G82" s="647"/>
      <c r="H82" s="647"/>
      <c r="I82" s="647"/>
      <c r="J82" s="647"/>
    </row>
    <row r="83" spans="5:10" ht="44.25" customHeight="1" x14ac:dyDescent="0.25">
      <c r="E83" s="647"/>
      <c r="F83" s="647"/>
      <c r="G83" s="647"/>
      <c r="H83" s="647"/>
      <c r="I83" s="647"/>
      <c r="J83" s="647"/>
    </row>
    <row r="84" spans="5:10" ht="44.25" customHeight="1" x14ac:dyDescent="0.25">
      <c r="E84" s="647"/>
      <c r="F84" s="647"/>
      <c r="G84" s="647"/>
      <c r="H84" s="647"/>
      <c r="I84" s="647"/>
      <c r="J84" s="647"/>
    </row>
    <row r="85" spans="5:10" ht="44.25" customHeight="1" x14ac:dyDescent="0.25">
      <c r="E85" s="647"/>
      <c r="F85" s="647"/>
      <c r="G85" s="647"/>
      <c r="H85" s="647"/>
      <c r="I85" s="647"/>
      <c r="J85" s="647"/>
    </row>
    <row r="86" spans="5:10" ht="44.25" customHeight="1" x14ac:dyDescent="0.25">
      <c r="E86" s="647"/>
      <c r="F86" s="647"/>
      <c r="G86" s="647"/>
      <c r="H86" s="647"/>
      <c r="I86" s="647"/>
      <c r="J86" s="647"/>
    </row>
    <row r="87" spans="5:10" ht="44.25" customHeight="1" x14ac:dyDescent="0.25">
      <c r="E87" s="647"/>
      <c r="F87" s="647"/>
      <c r="G87" s="647"/>
      <c r="H87" s="647"/>
      <c r="I87" s="647"/>
      <c r="J87" s="647"/>
    </row>
    <row r="88" spans="5:10" ht="44.25" customHeight="1" x14ac:dyDescent="0.25">
      <c r="E88" s="647"/>
      <c r="F88" s="647"/>
      <c r="G88" s="647"/>
      <c r="H88" s="647"/>
      <c r="I88" s="647"/>
      <c r="J88" s="647"/>
    </row>
    <row r="89" spans="5:10" ht="44.25" customHeight="1" x14ac:dyDescent="0.25">
      <c r="E89" s="647"/>
      <c r="F89" s="647"/>
      <c r="G89" s="647"/>
      <c r="H89" s="647"/>
      <c r="I89" s="647"/>
      <c r="J89" s="647"/>
    </row>
    <row r="90" spans="5:10" ht="44.25" customHeight="1" x14ac:dyDescent="0.25">
      <c r="E90" s="647"/>
      <c r="F90" s="647"/>
      <c r="G90" s="647"/>
      <c r="H90" s="647"/>
      <c r="I90" s="647"/>
      <c r="J90" s="647"/>
    </row>
    <row r="91" spans="5:10" ht="44.25" customHeight="1" x14ac:dyDescent="0.25">
      <c r="E91" s="647"/>
      <c r="F91" s="647"/>
      <c r="G91" s="647"/>
      <c r="H91" s="647"/>
      <c r="I91" s="647"/>
      <c r="J91" s="647"/>
    </row>
    <row r="92" spans="5:10" ht="44.25" customHeight="1" x14ac:dyDescent="0.25">
      <c r="E92" s="647"/>
      <c r="F92" s="647"/>
      <c r="G92" s="647"/>
      <c r="H92" s="647"/>
      <c r="I92" s="647"/>
      <c r="J92" s="647"/>
    </row>
    <row r="93" spans="5:10" ht="44.25" customHeight="1" x14ac:dyDescent="0.25">
      <c r="E93" s="647"/>
      <c r="F93" s="647"/>
      <c r="G93" s="647"/>
      <c r="H93" s="647"/>
      <c r="I93" s="647"/>
      <c r="J93" s="647"/>
    </row>
    <row r="94" spans="5:10" ht="44.25" customHeight="1" x14ac:dyDescent="0.25">
      <c r="E94" s="647"/>
      <c r="F94" s="647"/>
      <c r="G94" s="647"/>
      <c r="H94" s="647"/>
      <c r="I94" s="647"/>
      <c r="J94" s="647"/>
    </row>
    <row r="95" spans="5:10" ht="44.25" customHeight="1" x14ac:dyDescent="0.25">
      <c r="E95" s="647"/>
      <c r="F95" s="647"/>
      <c r="G95" s="647"/>
      <c r="H95" s="647"/>
      <c r="I95" s="647"/>
      <c r="J95" s="647"/>
    </row>
    <row r="96" spans="5:10" ht="44.25" customHeight="1" x14ac:dyDescent="0.25">
      <c r="E96" s="647"/>
      <c r="F96" s="647"/>
      <c r="G96" s="647"/>
      <c r="H96" s="647"/>
      <c r="I96" s="647"/>
      <c r="J96" s="647"/>
    </row>
    <row r="97" spans="5:10" ht="44.25" customHeight="1" x14ac:dyDescent="0.25">
      <c r="E97" s="647"/>
      <c r="F97" s="647"/>
      <c r="G97" s="647"/>
      <c r="H97" s="647"/>
      <c r="I97" s="647"/>
      <c r="J97" s="647"/>
    </row>
    <row r="98" spans="5:10" ht="44.25" customHeight="1" x14ac:dyDescent="0.25">
      <c r="E98" s="647"/>
      <c r="F98" s="647"/>
      <c r="G98" s="647"/>
      <c r="H98" s="647"/>
      <c r="I98" s="647"/>
      <c r="J98" s="647"/>
    </row>
    <row r="99" spans="5:10" ht="44.25" customHeight="1" x14ac:dyDescent="0.25">
      <c r="E99" s="647"/>
      <c r="F99" s="647"/>
      <c r="G99" s="647"/>
      <c r="H99" s="647"/>
      <c r="I99" s="647"/>
      <c r="J99" s="647"/>
    </row>
    <row r="100" spans="5:10" ht="44.25" customHeight="1" x14ac:dyDescent="0.25">
      <c r="E100" s="647"/>
      <c r="F100" s="647"/>
      <c r="G100" s="647"/>
      <c r="H100" s="647"/>
      <c r="I100" s="647"/>
      <c r="J100" s="647"/>
    </row>
    <row r="101" spans="5:10" ht="44.25" customHeight="1" x14ac:dyDescent="0.25">
      <c r="E101" s="647"/>
      <c r="F101" s="647"/>
      <c r="G101" s="647"/>
      <c r="H101" s="647"/>
      <c r="I101" s="647"/>
      <c r="J101" s="647"/>
    </row>
    <row r="102" spans="5:10" ht="44.25" customHeight="1" x14ac:dyDescent="0.25">
      <c r="E102" s="647"/>
      <c r="F102" s="647"/>
      <c r="G102" s="647"/>
      <c r="H102" s="647"/>
      <c r="I102" s="647"/>
      <c r="J102" s="647"/>
    </row>
    <row r="103" spans="5:10" ht="44.25" customHeight="1" x14ac:dyDescent="0.25">
      <c r="E103" s="647"/>
      <c r="F103" s="647"/>
      <c r="G103" s="647"/>
      <c r="H103" s="647"/>
      <c r="I103" s="647"/>
      <c r="J103" s="647"/>
    </row>
    <row r="104" spans="5:10" ht="44.25" customHeight="1" x14ac:dyDescent="0.25">
      <c r="E104" s="647"/>
      <c r="F104" s="647"/>
      <c r="G104" s="647"/>
      <c r="H104" s="647"/>
      <c r="I104" s="647"/>
      <c r="J104" s="647"/>
    </row>
    <row r="105" spans="5:10" ht="44.25" customHeight="1" x14ac:dyDescent="0.25">
      <c r="E105" s="647"/>
      <c r="F105" s="647"/>
      <c r="G105" s="647"/>
      <c r="H105" s="647"/>
      <c r="I105" s="647"/>
      <c r="J105" s="647"/>
    </row>
    <row r="106" spans="5:10" ht="44.25" customHeight="1" x14ac:dyDescent="0.25">
      <c r="E106" s="647"/>
      <c r="F106" s="647"/>
      <c r="G106" s="647"/>
      <c r="H106" s="647"/>
      <c r="I106" s="647"/>
      <c r="J106" s="647"/>
    </row>
    <row r="107" spans="5:10" ht="44.25" customHeight="1" x14ac:dyDescent="0.25">
      <c r="E107" s="647"/>
      <c r="F107" s="647"/>
      <c r="G107" s="647"/>
      <c r="H107" s="647"/>
      <c r="I107" s="647"/>
      <c r="J107" s="647"/>
    </row>
    <row r="108" spans="5:10" ht="44.25" customHeight="1" x14ac:dyDescent="0.25">
      <c r="E108" s="647"/>
      <c r="F108" s="647"/>
      <c r="G108" s="647"/>
      <c r="H108" s="647"/>
      <c r="I108" s="647"/>
      <c r="J108" s="647"/>
    </row>
    <row r="109" spans="5:10" ht="44.25" customHeight="1" x14ac:dyDescent="0.25">
      <c r="E109" s="647"/>
      <c r="F109" s="647"/>
      <c r="G109" s="647"/>
      <c r="H109" s="647"/>
      <c r="I109" s="647"/>
      <c r="J109" s="647"/>
    </row>
    <row r="110" spans="5:10" ht="44.25" customHeight="1" x14ac:dyDescent="0.25">
      <c r="E110" s="647"/>
      <c r="F110" s="647"/>
      <c r="G110" s="647"/>
      <c r="H110" s="647"/>
      <c r="I110" s="647"/>
      <c r="J110" s="647"/>
    </row>
    <row r="111" spans="5:10" ht="44.25" customHeight="1" x14ac:dyDescent="0.25">
      <c r="E111" s="647"/>
      <c r="F111" s="647"/>
      <c r="G111" s="647"/>
      <c r="H111" s="647"/>
      <c r="I111" s="647"/>
      <c r="J111" s="647"/>
    </row>
    <row r="112" spans="5:10" ht="44.25" customHeight="1" x14ac:dyDescent="0.25">
      <c r="E112" s="647"/>
      <c r="F112" s="647"/>
      <c r="G112" s="647"/>
      <c r="H112" s="647"/>
      <c r="I112" s="647"/>
      <c r="J112" s="647"/>
    </row>
    <row r="113" spans="5:10" ht="44.25" customHeight="1" x14ac:dyDescent="0.25">
      <c r="E113" s="647"/>
      <c r="F113" s="647"/>
      <c r="G113" s="647"/>
      <c r="H113" s="647"/>
      <c r="I113" s="647"/>
      <c r="J113" s="647"/>
    </row>
    <row r="114" spans="5:10" ht="44.25" customHeight="1" x14ac:dyDescent="0.25">
      <c r="E114" s="647"/>
      <c r="F114" s="647"/>
      <c r="G114" s="647"/>
      <c r="H114" s="647"/>
      <c r="I114" s="647"/>
      <c r="J114" s="647"/>
    </row>
    <row r="115" spans="5:10" ht="44.25" customHeight="1" x14ac:dyDescent="0.25">
      <c r="E115" s="647"/>
      <c r="F115" s="647"/>
      <c r="G115" s="647"/>
      <c r="H115" s="647"/>
      <c r="I115" s="647"/>
      <c r="J115" s="647"/>
    </row>
    <row r="116" spans="5:10" ht="44.25" customHeight="1" x14ac:dyDescent="0.25">
      <c r="E116" s="647"/>
      <c r="F116" s="647"/>
      <c r="G116" s="647"/>
      <c r="H116" s="647"/>
      <c r="I116" s="647"/>
      <c r="J116" s="647"/>
    </row>
    <row r="117" spans="5:10" ht="44.25" customHeight="1" x14ac:dyDescent="0.25">
      <c r="E117" s="647"/>
      <c r="F117" s="647"/>
      <c r="G117" s="647"/>
      <c r="H117" s="647"/>
      <c r="I117" s="647"/>
      <c r="J117" s="647"/>
    </row>
    <row r="118" spans="5:10" ht="44.25" customHeight="1" x14ac:dyDescent="0.25">
      <c r="E118" s="647"/>
      <c r="F118" s="647"/>
      <c r="G118" s="647"/>
      <c r="H118" s="647"/>
      <c r="I118" s="647"/>
      <c r="J118" s="647"/>
    </row>
    <row r="119" spans="5:10" ht="44.25" customHeight="1" x14ac:dyDescent="0.25">
      <c r="E119" s="647"/>
      <c r="F119" s="647"/>
      <c r="G119" s="647"/>
      <c r="H119" s="647"/>
      <c r="I119" s="647"/>
      <c r="J119" s="647"/>
    </row>
    <row r="120" spans="5:10" ht="44.25" customHeight="1" x14ac:dyDescent="0.25">
      <c r="E120" s="647"/>
      <c r="F120" s="647"/>
      <c r="G120" s="647"/>
      <c r="H120" s="647"/>
      <c r="I120" s="647"/>
      <c r="J120" s="647"/>
    </row>
    <row r="121" spans="5:10" ht="44.25" customHeight="1" x14ac:dyDescent="0.25">
      <c r="E121" s="647"/>
      <c r="F121" s="647"/>
      <c r="G121" s="647"/>
      <c r="H121" s="647"/>
      <c r="I121" s="647"/>
      <c r="J121" s="647"/>
    </row>
    <row r="122" spans="5:10" ht="44.25" customHeight="1" x14ac:dyDescent="0.25">
      <c r="E122" s="647"/>
      <c r="F122" s="647"/>
      <c r="G122" s="647"/>
      <c r="H122" s="647"/>
      <c r="I122" s="647"/>
      <c r="J122" s="647"/>
    </row>
    <row r="123" spans="5:10" ht="44.25" customHeight="1" x14ac:dyDescent="0.25">
      <c r="E123" s="647"/>
      <c r="F123" s="647"/>
      <c r="G123" s="647"/>
      <c r="H123" s="647"/>
      <c r="I123" s="647"/>
      <c r="J123" s="647"/>
    </row>
    <row r="124" spans="5:10" ht="44.25" customHeight="1" x14ac:dyDescent="0.25">
      <c r="E124" s="647"/>
      <c r="F124" s="647"/>
      <c r="G124" s="647"/>
      <c r="H124" s="647"/>
      <c r="I124" s="647"/>
      <c r="J124" s="647"/>
    </row>
    <row r="125" spans="5:10" ht="44.25" customHeight="1" x14ac:dyDescent="0.25">
      <c r="E125" s="647"/>
      <c r="F125" s="647"/>
      <c r="G125" s="647"/>
      <c r="H125" s="647"/>
      <c r="I125" s="647"/>
      <c r="J125" s="647"/>
    </row>
    <row r="126" spans="5:10" ht="44.25" customHeight="1" x14ac:dyDescent="0.25">
      <c r="E126" s="647"/>
      <c r="F126" s="647"/>
      <c r="G126" s="647"/>
      <c r="H126" s="647"/>
      <c r="I126" s="647"/>
      <c r="J126" s="647"/>
    </row>
    <row r="127" spans="5:10" ht="44.25" customHeight="1" x14ac:dyDescent="0.25">
      <c r="E127" s="647"/>
      <c r="F127" s="647"/>
      <c r="G127" s="647"/>
      <c r="H127" s="647"/>
      <c r="I127" s="647"/>
      <c r="J127" s="647"/>
    </row>
    <row r="128" spans="5:10" ht="44.25" customHeight="1" x14ac:dyDescent="0.25">
      <c r="E128" s="647"/>
      <c r="F128" s="647"/>
      <c r="G128" s="647"/>
      <c r="H128" s="647"/>
      <c r="I128" s="647"/>
      <c r="J128" s="647"/>
    </row>
    <row r="129" spans="5:10" ht="44.25" customHeight="1" x14ac:dyDescent="0.25">
      <c r="E129" s="647"/>
      <c r="F129" s="647"/>
      <c r="G129" s="647"/>
      <c r="H129" s="647"/>
      <c r="I129" s="647"/>
      <c r="J129" s="647"/>
    </row>
    <row r="130" spans="5:10" ht="44.25" customHeight="1" x14ac:dyDescent="0.25">
      <c r="E130" s="647"/>
      <c r="F130" s="647"/>
      <c r="G130" s="647"/>
      <c r="H130" s="647"/>
      <c r="I130" s="647"/>
      <c r="J130" s="647"/>
    </row>
    <row r="131" spans="5:10" ht="44.25" customHeight="1" x14ac:dyDescent="0.25">
      <c r="E131" s="647"/>
      <c r="F131" s="647"/>
      <c r="G131" s="647"/>
      <c r="H131" s="647"/>
      <c r="I131" s="647"/>
      <c r="J131" s="647"/>
    </row>
    <row r="132" spans="5:10" ht="44.25" customHeight="1" x14ac:dyDescent="0.25">
      <c r="E132" s="647"/>
      <c r="F132" s="647"/>
      <c r="G132" s="647"/>
      <c r="H132" s="647"/>
      <c r="I132" s="647"/>
      <c r="J132" s="647"/>
    </row>
    <row r="133" spans="5:10" ht="44.25" customHeight="1" x14ac:dyDescent="0.25">
      <c r="E133" s="647"/>
      <c r="F133" s="647"/>
      <c r="G133" s="647"/>
      <c r="H133" s="647"/>
      <c r="I133" s="647"/>
      <c r="J133" s="647"/>
    </row>
    <row r="134" spans="5:10" ht="44.25" customHeight="1" x14ac:dyDescent="0.25">
      <c r="E134" s="647"/>
      <c r="F134" s="647"/>
      <c r="G134" s="647"/>
      <c r="H134" s="647"/>
      <c r="I134" s="647"/>
      <c r="J134" s="647"/>
    </row>
    <row r="135" spans="5:10" ht="44.25" customHeight="1" x14ac:dyDescent="0.25">
      <c r="E135" s="647"/>
      <c r="F135" s="647"/>
      <c r="G135" s="647"/>
      <c r="H135" s="647"/>
      <c r="I135" s="647"/>
      <c r="J135" s="647"/>
    </row>
    <row r="136" spans="5:10" ht="44.25" customHeight="1" x14ac:dyDescent="0.25">
      <c r="E136" s="647"/>
      <c r="F136" s="647"/>
      <c r="G136" s="647"/>
      <c r="H136" s="647"/>
      <c r="I136" s="647"/>
      <c r="J136" s="647"/>
    </row>
    <row r="137" spans="5:10" ht="44.25" customHeight="1" x14ac:dyDescent="0.25">
      <c r="E137" s="647"/>
      <c r="F137" s="647"/>
      <c r="G137" s="647"/>
      <c r="H137" s="647"/>
      <c r="I137" s="647"/>
      <c r="J137" s="647"/>
    </row>
    <row r="138" spans="5:10" ht="44.25" customHeight="1" x14ac:dyDescent="0.25">
      <c r="E138" s="647"/>
      <c r="F138" s="647"/>
      <c r="G138" s="647"/>
      <c r="H138" s="647"/>
      <c r="I138" s="647"/>
      <c r="J138" s="647"/>
    </row>
    <row r="139" spans="5:10" ht="44.25" customHeight="1" x14ac:dyDescent="0.25">
      <c r="E139" s="647"/>
      <c r="F139" s="647"/>
      <c r="G139" s="647"/>
      <c r="H139" s="647"/>
      <c r="I139" s="647"/>
      <c r="J139" s="647"/>
    </row>
    <row r="140" spans="5:10" ht="44.25" customHeight="1" x14ac:dyDescent="0.25">
      <c r="E140" s="647"/>
      <c r="F140" s="647"/>
      <c r="G140" s="647"/>
      <c r="H140" s="647"/>
      <c r="I140" s="647"/>
      <c r="J140" s="647"/>
    </row>
    <row r="141" spans="5:10" ht="44.25" customHeight="1" x14ac:dyDescent="0.25">
      <c r="E141" s="647"/>
      <c r="F141" s="647"/>
      <c r="G141" s="647"/>
      <c r="H141" s="647"/>
      <c r="I141" s="647"/>
      <c r="J141" s="647"/>
    </row>
    <row r="142" spans="5:10" ht="44.25" customHeight="1" x14ac:dyDescent="0.25">
      <c r="E142" s="647"/>
      <c r="F142" s="647"/>
      <c r="G142" s="647"/>
      <c r="H142" s="647"/>
      <c r="I142" s="647"/>
      <c r="J142" s="647"/>
    </row>
    <row r="143" spans="5:10" ht="44.25" customHeight="1" x14ac:dyDescent="0.25">
      <c r="E143" s="647"/>
      <c r="F143" s="647"/>
      <c r="G143" s="647"/>
      <c r="H143" s="647"/>
      <c r="I143" s="647"/>
      <c r="J143" s="647"/>
    </row>
  </sheetData>
  <mergeCells count="323">
    <mergeCell ref="M26:P29"/>
    <mergeCell ref="C39:D39"/>
    <mergeCell ref="E39:F39"/>
    <mergeCell ref="G39:J39"/>
    <mergeCell ref="C40:D40"/>
    <mergeCell ref="E40:F40"/>
    <mergeCell ref="G40:J40"/>
    <mergeCell ref="G34:J34"/>
    <mergeCell ref="C35:D35"/>
    <mergeCell ref="E35:F35"/>
    <mergeCell ref="G35:J35"/>
    <mergeCell ref="C32:D32"/>
    <mergeCell ref="E32:F32"/>
    <mergeCell ref="G32:J32"/>
    <mergeCell ref="C33:D33"/>
    <mergeCell ref="E33:F33"/>
    <mergeCell ref="G33:J33"/>
    <mergeCell ref="L39:N49"/>
    <mergeCell ref="C48:D48"/>
    <mergeCell ref="E48:F48"/>
    <mergeCell ref="G48:J48"/>
    <mergeCell ref="C45:D45"/>
    <mergeCell ref="E45:F45"/>
    <mergeCell ref="C41:D41"/>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31:F31"/>
    <mergeCell ref="G31:J31"/>
    <mergeCell ref="E27:F27"/>
    <mergeCell ref="G27:J27"/>
    <mergeCell ref="C28:D28"/>
    <mergeCell ref="E28:F28"/>
    <mergeCell ref="G28:J28"/>
    <mergeCell ref="C29:D29"/>
    <mergeCell ref="E29:F29"/>
    <mergeCell ref="G29:J29"/>
    <mergeCell ref="B50:B65"/>
    <mergeCell ref="C50:D50"/>
    <mergeCell ref="E50:F50"/>
    <mergeCell ref="G50:J50"/>
    <mergeCell ref="C51:D51"/>
    <mergeCell ref="E51:F51"/>
    <mergeCell ref="G51:J51"/>
    <mergeCell ref="C36:D36"/>
    <mergeCell ref="E36:F36"/>
    <mergeCell ref="G36:J36"/>
    <mergeCell ref="C37:D37"/>
    <mergeCell ref="E37:F37"/>
    <mergeCell ref="G37:J37"/>
    <mergeCell ref="C52:D52"/>
    <mergeCell ref="E52:F52"/>
    <mergeCell ref="G52:J52"/>
    <mergeCell ref="C53:D53"/>
    <mergeCell ref="E53:F53"/>
    <mergeCell ref="G53:J53"/>
    <mergeCell ref="C38:D38"/>
    <mergeCell ref="E38:F38"/>
    <mergeCell ref="G38:J38"/>
    <mergeCell ref="B26:B38"/>
    <mergeCell ref="C26:D26"/>
    <mergeCell ref="C56:D56"/>
    <mergeCell ref="E56:F56"/>
    <mergeCell ref="G56:J56"/>
    <mergeCell ref="C57:D57"/>
    <mergeCell ref="E57:F57"/>
    <mergeCell ref="G57:J57"/>
    <mergeCell ref="C54:D54"/>
    <mergeCell ref="E54:F54"/>
    <mergeCell ref="G54:J54"/>
    <mergeCell ref="C55:D55"/>
    <mergeCell ref="E55:F55"/>
    <mergeCell ref="G55:J55"/>
    <mergeCell ref="C60:D60"/>
    <mergeCell ref="E60:F60"/>
    <mergeCell ref="G60:J60"/>
    <mergeCell ref="C61:D61"/>
    <mergeCell ref="E61:F61"/>
    <mergeCell ref="G61:J61"/>
    <mergeCell ref="C58:D58"/>
    <mergeCell ref="E58:F58"/>
    <mergeCell ref="G58:J58"/>
    <mergeCell ref="C59:D59"/>
    <mergeCell ref="E59:F59"/>
    <mergeCell ref="G59:J59"/>
    <mergeCell ref="C64:D64"/>
    <mergeCell ref="E64:F64"/>
    <mergeCell ref="G64:J64"/>
    <mergeCell ref="C65:D65"/>
    <mergeCell ref="E65:F65"/>
    <mergeCell ref="G65:J65"/>
    <mergeCell ref="C62:D62"/>
    <mergeCell ref="E62:F62"/>
    <mergeCell ref="G62:J62"/>
    <mergeCell ref="C63:D63"/>
    <mergeCell ref="E63:F63"/>
    <mergeCell ref="G63:J63"/>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35:F135"/>
    <mergeCell ref="G135:J135"/>
    <mergeCell ref="E136:F136"/>
    <mergeCell ref="G136:J136"/>
    <mergeCell ref="E137:F137"/>
    <mergeCell ref="G137:J137"/>
    <mergeCell ref="E132:F132"/>
    <mergeCell ref="G132:J132"/>
    <mergeCell ref="E133:F133"/>
    <mergeCell ref="G133:J133"/>
    <mergeCell ref="E134:F134"/>
    <mergeCell ref="G134:J134"/>
    <mergeCell ref="E141:F141"/>
    <mergeCell ref="G141:J141"/>
    <mergeCell ref="E142:F142"/>
    <mergeCell ref="G142:J142"/>
    <mergeCell ref="E143:F143"/>
    <mergeCell ref="G143:J143"/>
    <mergeCell ref="E138:F138"/>
    <mergeCell ref="G138:J138"/>
    <mergeCell ref="E139:F139"/>
    <mergeCell ref="G139:J139"/>
    <mergeCell ref="E140:F140"/>
    <mergeCell ref="G140:J140"/>
    <mergeCell ref="C49:D49"/>
    <mergeCell ref="E49:F49"/>
    <mergeCell ref="G49:J49"/>
    <mergeCell ref="C43:D43"/>
    <mergeCell ref="E43:F43"/>
    <mergeCell ref="G43:J43"/>
    <mergeCell ref="C46:D46"/>
    <mergeCell ref="E46:F46"/>
    <mergeCell ref="G46:J46"/>
    <mergeCell ref="C47:D47"/>
    <mergeCell ref="E47:F47"/>
    <mergeCell ref="G47:J47"/>
    <mergeCell ref="E44:F44"/>
    <mergeCell ref="G44:J44"/>
    <mergeCell ref="C44:D44"/>
    <mergeCell ref="I1:J4"/>
    <mergeCell ref="C3:G4"/>
    <mergeCell ref="C1:G2"/>
    <mergeCell ref="A1:B4"/>
    <mergeCell ref="E41:F41"/>
    <mergeCell ref="G41:J41"/>
    <mergeCell ref="C42:D42"/>
    <mergeCell ref="E42:F42"/>
    <mergeCell ref="G45:J45"/>
    <mergeCell ref="G42:J42"/>
    <mergeCell ref="C34:D34"/>
    <mergeCell ref="E34:F34"/>
    <mergeCell ref="E24:F24"/>
    <mergeCell ref="G24:J24"/>
    <mergeCell ref="E25:F25"/>
    <mergeCell ref="G25:J25"/>
    <mergeCell ref="A26:A65"/>
    <mergeCell ref="E26:F26"/>
    <mergeCell ref="G26:J26"/>
    <mergeCell ref="C27:D27"/>
    <mergeCell ref="C30:D30"/>
    <mergeCell ref="E30:F30"/>
    <mergeCell ref="G30:J30"/>
    <mergeCell ref="C31:D3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U140"/>
  <sheetViews>
    <sheetView zoomScale="41" zoomScaleNormal="41" workbookViewId="0">
      <selection activeCell="AW39" sqref="AW39:AW40"/>
    </sheetView>
  </sheetViews>
  <sheetFormatPr baseColWidth="10" defaultRowHeight="14.4" x14ac:dyDescent="0.3"/>
  <cols>
    <col min="2" max="39" width="5.77734375" customWidth="1"/>
    <col min="41" max="46" width="5.77734375" customWidth="1"/>
  </cols>
  <sheetData>
    <row r="1" spans="1:99"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ht="18" customHeight="1" x14ac:dyDescent="0.3">
      <c r="A2" s="65"/>
      <c r="B2" s="798" t="s">
        <v>150</v>
      </c>
      <c r="C2" s="798"/>
      <c r="D2" s="798"/>
      <c r="E2" s="798"/>
      <c r="F2" s="798"/>
      <c r="G2" s="798"/>
      <c r="H2" s="798"/>
      <c r="I2" s="798"/>
      <c r="J2" s="766" t="s">
        <v>2</v>
      </c>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ht="18.75" customHeight="1" x14ac:dyDescent="0.3">
      <c r="A3" s="65"/>
      <c r="B3" s="798"/>
      <c r="C3" s="798"/>
      <c r="D3" s="798"/>
      <c r="E3" s="798"/>
      <c r="F3" s="798"/>
      <c r="G3" s="798"/>
      <c r="H3" s="798"/>
      <c r="I3" s="798"/>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15" customHeight="1" x14ac:dyDescent="0.3">
      <c r="A4" s="65"/>
      <c r="B4" s="798"/>
      <c r="C4" s="798"/>
      <c r="D4" s="798"/>
      <c r="E4" s="798"/>
      <c r="F4" s="798"/>
      <c r="G4" s="798"/>
      <c r="H4" s="798"/>
      <c r="I4" s="798"/>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row>
    <row r="5" spans="1:99"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99" ht="15" customHeight="1" x14ac:dyDescent="0.3">
      <c r="A6" s="65"/>
      <c r="B6" s="713" t="s">
        <v>4</v>
      </c>
      <c r="C6" s="713"/>
      <c r="D6" s="714"/>
      <c r="E6" s="751" t="s">
        <v>111</v>
      </c>
      <c r="F6" s="752"/>
      <c r="G6" s="752"/>
      <c r="H6" s="752"/>
      <c r="I6" s="753"/>
      <c r="J6" s="762" t="str">
        <f>IF(AND('Mapa final'!$K$10="Muy Alta",'Mapa final'!$O$10="Leve"),CONCATENATE("R",'Mapa final'!$A$10),"")</f>
        <v/>
      </c>
      <c r="K6" s="763"/>
      <c r="L6" s="763" t="str">
        <f>IF(AND('Mapa final'!$K$16="Muy Alta",'Mapa final'!$O$16="Leve"),CONCATENATE("R",'Mapa final'!$A$16),"")</f>
        <v/>
      </c>
      <c r="M6" s="763"/>
      <c r="N6" s="763" t="str">
        <f>IF(AND('Mapa final'!$K$22="Muy Alta",'Mapa final'!$O$22="Leve"),CONCATENATE("R",'Mapa final'!$A$22),"")</f>
        <v/>
      </c>
      <c r="O6" s="765"/>
      <c r="P6" s="762" t="str">
        <f>IF(AND('Mapa final'!$K$10="Muy Alta",'Mapa final'!$O$10="Menor"),CONCATENATE("R",'Mapa final'!$A$10),"")</f>
        <v/>
      </c>
      <c r="Q6" s="763"/>
      <c r="R6" s="763" t="str">
        <f>IF(AND('Mapa final'!$K$16="Muy Alta",'Mapa final'!$O$16="Menor"),CONCATENATE("R",'Mapa final'!$A$16),"")</f>
        <v/>
      </c>
      <c r="S6" s="763"/>
      <c r="T6" s="763" t="str">
        <f>IF(AND('Mapa final'!$K$22="Muy Alta",'Mapa final'!$O$22="Menor"),CONCATENATE("R",'Mapa final'!$A$22),"")</f>
        <v/>
      </c>
      <c r="U6" s="765"/>
      <c r="V6" s="762" t="str">
        <f>IF(AND('Mapa final'!$K$10="Muy Alta",'Mapa final'!$O$10="Moderado"),CONCATENATE("R",'Mapa final'!$A$10),"")</f>
        <v/>
      </c>
      <c r="W6" s="763"/>
      <c r="X6" s="763" t="str">
        <f>IF(AND('Mapa final'!$K$16="Muy Alta",'Mapa final'!$O$16="Moderado"),CONCATENATE("R",'Mapa final'!$A$16),"")</f>
        <v>R2</v>
      </c>
      <c r="Y6" s="763"/>
      <c r="Z6" s="763" t="str">
        <f>IF(AND('Mapa final'!$K$22="Muy Alta",'Mapa final'!$O$22="Moderado"),CONCATENATE("R",'Mapa final'!$A$22),"")</f>
        <v/>
      </c>
      <c r="AA6" s="765"/>
      <c r="AB6" s="762" t="str">
        <f>IF(AND('Mapa final'!$K$10="Muy Alta",'Mapa final'!$O$10="Mayor"),CONCATENATE("R",'Mapa final'!$A$10),"")</f>
        <v/>
      </c>
      <c r="AC6" s="763"/>
      <c r="AD6" s="763" t="str">
        <f>IF(AND('Mapa final'!$K$16="Muy Alta",'Mapa final'!$O$16="Mayor"),CONCATENATE("R",'Mapa final'!$A$16),"")</f>
        <v/>
      </c>
      <c r="AE6" s="763"/>
      <c r="AF6" s="763" t="str">
        <f>IF(AND('Mapa final'!$K$22="Muy Alta",'Mapa final'!$O$22="Mayor"),CONCATENATE("R",'Mapa final'!$A$22),"")</f>
        <v/>
      </c>
      <c r="AG6" s="765"/>
      <c r="AH6" s="777" t="str">
        <f>IF(AND('Mapa final'!$K$10="Muy Alta",'Mapa final'!$O$10="Catastrófico"),CONCATENATE("R",'Mapa final'!$A$10),"")</f>
        <v/>
      </c>
      <c r="AI6" s="778"/>
      <c r="AJ6" s="778" t="str">
        <f>IF(AND('Mapa final'!$K$16="Muy Alta",'Mapa final'!$O$16="Catastrófico"),CONCATENATE("R",'Mapa final'!$A$16),"")</f>
        <v/>
      </c>
      <c r="AK6" s="778"/>
      <c r="AL6" s="778" t="str">
        <f>IF(AND('Mapa final'!$K$22="Muy Alta",'Mapa final'!$O$22="Catastrófico"),CONCATENATE("R",'Mapa final'!$A$22),"")</f>
        <v/>
      </c>
      <c r="AM6" s="779"/>
      <c r="AO6" s="715" t="s">
        <v>78</v>
      </c>
      <c r="AP6" s="716"/>
      <c r="AQ6" s="716"/>
      <c r="AR6" s="716"/>
      <c r="AS6" s="716"/>
      <c r="AT6" s="717"/>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99" ht="15" customHeight="1" x14ac:dyDescent="0.3">
      <c r="A7" s="65"/>
      <c r="B7" s="713"/>
      <c r="C7" s="713"/>
      <c r="D7" s="714"/>
      <c r="E7" s="754"/>
      <c r="F7" s="755"/>
      <c r="G7" s="755"/>
      <c r="H7" s="755"/>
      <c r="I7" s="756"/>
      <c r="J7" s="764"/>
      <c r="K7" s="760"/>
      <c r="L7" s="760"/>
      <c r="M7" s="760"/>
      <c r="N7" s="760"/>
      <c r="O7" s="761"/>
      <c r="P7" s="764"/>
      <c r="Q7" s="760"/>
      <c r="R7" s="760"/>
      <c r="S7" s="760"/>
      <c r="T7" s="760"/>
      <c r="U7" s="761"/>
      <c r="V7" s="764"/>
      <c r="W7" s="760"/>
      <c r="X7" s="760"/>
      <c r="Y7" s="760"/>
      <c r="Z7" s="760"/>
      <c r="AA7" s="761"/>
      <c r="AB7" s="764"/>
      <c r="AC7" s="760"/>
      <c r="AD7" s="760"/>
      <c r="AE7" s="760"/>
      <c r="AF7" s="760"/>
      <c r="AG7" s="761"/>
      <c r="AH7" s="771"/>
      <c r="AI7" s="772"/>
      <c r="AJ7" s="772"/>
      <c r="AK7" s="772"/>
      <c r="AL7" s="772"/>
      <c r="AM7" s="773"/>
      <c r="AN7" s="65"/>
      <c r="AO7" s="718"/>
      <c r="AP7" s="719"/>
      <c r="AQ7" s="719"/>
      <c r="AR7" s="719"/>
      <c r="AS7" s="719"/>
      <c r="AT7" s="720"/>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99" ht="15" customHeight="1" x14ac:dyDescent="0.3">
      <c r="A8" s="65"/>
      <c r="B8" s="713"/>
      <c r="C8" s="713"/>
      <c r="D8" s="714"/>
      <c r="E8" s="754"/>
      <c r="F8" s="755"/>
      <c r="G8" s="755"/>
      <c r="H8" s="755"/>
      <c r="I8" s="756"/>
      <c r="J8" s="764" t="str">
        <f>IF(AND('Mapa final'!$K$28="Muy Alta",'Mapa final'!$O$28="Leve"),CONCATENATE("R",'Mapa final'!$A$28),"")</f>
        <v/>
      </c>
      <c r="K8" s="760"/>
      <c r="L8" s="760" t="str">
        <f>IF(AND('Mapa final'!$K$33="Muy Alta",'Mapa final'!$O$33="Leve"),CONCATENATE("R",'Mapa final'!$A$33),"")</f>
        <v/>
      </c>
      <c r="M8" s="760"/>
      <c r="N8" s="760" t="str">
        <f>IF(AND('Mapa final'!$K$39="Muy Alta",'Mapa final'!$O$39="Leve"),CONCATENATE("R",'Mapa final'!$A$39),"")</f>
        <v/>
      </c>
      <c r="O8" s="761"/>
      <c r="P8" s="764" t="str">
        <f>IF(AND('Mapa final'!$K$28="Muy Alta",'Mapa final'!$O$28="Menor"),CONCATENATE("R",'Mapa final'!$A$28),"")</f>
        <v/>
      </c>
      <c r="Q8" s="760"/>
      <c r="R8" s="760" t="str">
        <f>IF(AND('Mapa final'!$K$33="Muy Alta",'Mapa final'!$O$33="Menor"),CONCATENATE("R",'Mapa final'!$A$33),"")</f>
        <v/>
      </c>
      <c r="S8" s="760"/>
      <c r="T8" s="760" t="str">
        <f>IF(AND('Mapa final'!$K$39="Muy Alta",'Mapa final'!$O$39="Menor"),CONCATENATE("R",'Mapa final'!$A$39),"")</f>
        <v/>
      </c>
      <c r="U8" s="761"/>
      <c r="V8" s="764" t="str">
        <f>IF(AND('Mapa final'!$K$28="Muy Alta",'Mapa final'!$O$28="Moderado"),CONCATENATE("R",'Mapa final'!$A$28),"")</f>
        <v/>
      </c>
      <c r="W8" s="760"/>
      <c r="X8" s="760" t="str">
        <f>IF(AND('Mapa final'!$K$33="Muy Alta",'Mapa final'!$O$33="Moderado"),CONCATENATE("R",'Mapa final'!$A$33),"")</f>
        <v/>
      </c>
      <c r="Y8" s="760"/>
      <c r="Z8" s="760" t="str">
        <f>IF(AND('Mapa final'!$K$39="Muy Alta",'Mapa final'!$O$39="Moderado"),CONCATENATE("R",'Mapa final'!$A$39),"")</f>
        <v/>
      </c>
      <c r="AA8" s="761"/>
      <c r="AB8" s="764" t="str">
        <f>IF(AND('Mapa final'!$K$28="Muy Alta",'Mapa final'!$O$28="Mayor"),CONCATENATE("R",'Mapa final'!$A$28),"")</f>
        <v/>
      </c>
      <c r="AC8" s="760"/>
      <c r="AD8" s="760" t="str">
        <f>IF(AND('Mapa final'!$K$33="Muy Alta",'Mapa final'!$O$33="Mayor"),CONCATENATE("R",'Mapa final'!$A$33),"")</f>
        <v/>
      </c>
      <c r="AE8" s="760"/>
      <c r="AF8" s="760" t="str">
        <f>IF(AND('Mapa final'!$K$39="Muy Alta",'Mapa final'!$O$39="Mayor"),CONCATENATE("R",'Mapa final'!$A$39),"")</f>
        <v>R7</v>
      </c>
      <c r="AG8" s="761"/>
      <c r="AH8" s="771" t="str">
        <f>IF(AND('Mapa final'!$K$28="Muy Alta",'Mapa final'!$O$28="Catastrófico"),CONCATENATE("R",'Mapa final'!$A$28),"")</f>
        <v/>
      </c>
      <c r="AI8" s="772"/>
      <c r="AJ8" s="772" t="str">
        <f>IF(AND('Mapa final'!$K$33="Muy Alta",'Mapa final'!$O$33="Catastrófico"),CONCATENATE("R",'Mapa final'!$A$33),"")</f>
        <v/>
      </c>
      <c r="AK8" s="772"/>
      <c r="AL8" s="772" t="str">
        <f>IF(AND('Mapa final'!$K$39="Muy Alta",'Mapa final'!$O$39="Catastrófico"),CONCATENATE("R",'Mapa final'!$A$39),"")</f>
        <v/>
      </c>
      <c r="AM8" s="773"/>
      <c r="AN8" s="65"/>
      <c r="AO8" s="718"/>
      <c r="AP8" s="719"/>
      <c r="AQ8" s="719"/>
      <c r="AR8" s="719"/>
      <c r="AS8" s="719"/>
      <c r="AT8" s="720"/>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99" ht="15" customHeight="1" x14ac:dyDescent="0.3">
      <c r="A9" s="65"/>
      <c r="B9" s="713"/>
      <c r="C9" s="713"/>
      <c r="D9" s="714"/>
      <c r="E9" s="754"/>
      <c r="F9" s="755"/>
      <c r="G9" s="755"/>
      <c r="H9" s="755"/>
      <c r="I9" s="756"/>
      <c r="J9" s="764"/>
      <c r="K9" s="760"/>
      <c r="L9" s="760"/>
      <c r="M9" s="760"/>
      <c r="N9" s="760"/>
      <c r="O9" s="761"/>
      <c r="P9" s="764"/>
      <c r="Q9" s="760"/>
      <c r="R9" s="760"/>
      <c r="S9" s="760"/>
      <c r="T9" s="760"/>
      <c r="U9" s="761"/>
      <c r="V9" s="764"/>
      <c r="W9" s="760"/>
      <c r="X9" s="760"/>
      <c r="Y9" s="760"/>
      <c r="Z9" s="760"/>
      <c r="AA9" s="761"/>
      <c r="AB9" s="764"/>
      <c r="AC9" s="760"/>
      <c r="AD9" s="760"/>
      <c r="AE9" s="760"/>
      <c r="AF9" s="760"/>
      <c r="AG9" s="761"/>
      <c r="AH9" s="771"/>
      <c r="AI9" s="772"/>
      <c r="AJ9" s="772"/>
      <c r="AK9" s="772"/>
      <c r="AL9" s="772"/>
      <c r="AM9" s="773"/>
      <c r="AN9" s="65"/>
      <c r="AO9" s="718"/>
      <c r="AP9" s="719"/>
      <c r="AQ9" s="719"/>
      <c r="AR9" s="719"/>
      <c r="AS9" s="719"/>
      <c r="AT9" s="720"/>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99" ht="15" customHeight="1" x14ac:dyDescent="0.3">
      <c r="A10" s="65"/>
      <c r="B10" s="713"/>
      <c r="C10" s="713"/>
      <c r="D10" s="714"/>
      <c r="E10" s="754"/>
      <c r="F10" s="755"/>
      <c r="G10" s="755"/>
      <c r="H10" s="755"/>
      <c r="I10" s="756"/>
      <c r="J10" s="764" t="str">
        <f>IF(AND('Mapa final'!$K$45="Muy Alta",'Mapa final'!$O$45="Leve"),CONCATENATE("R",'Mapa final'!$A$45),"")</f>
        <v/>
      </c>
      <c r="K10" s="760"/>
      <c r="L10" s="760" t="str">
        <f>IF(AND('Mapa final'!$K$51="Muy Alta",'Mapa final'!$O$51="Leve"),CONCATENATE("R",'Mapa final'!$A$51),"")</f>
        <v/>
      </c>
      <c r="M10" s="760"/>
      <c r="N10" s="760" t="str">
        <f>IF(AND('Mapa final'!$K$57="Muy Alta",'Mapa final'!$O$57="Leve"),CONCATENATE("R",'Mapa final'!$A$57),"")</f>
        <v/>
      </c>
      <c r="O10" s="761"/>
      <c r="P10" s="764" t="str">
        <f>IF(AND('Mapa final'!$K$45="Muy Alta",'Mapa final'!$O$45="Menor"),CONCATENATE("R",'Mapa final'!$A$45),"")</f>
        <v/>
      </c>
      <c r="Q10" s="760"/>
      <c r="R10" s="760" t="str">
        <f>IF(AND('Mapa final'!$K$51="Muy Alta",'Mapa final'!$O$51="Menor"),CONCATENATE("R",'Mapa final'!$A$51),"")</f>
        <v/>
      </c>
      <c r="S10" s="760"/>
      <c r="T10" s="760" t="str">
        <f>IF(AND('Mapa final'!$K$57="Muy Alta",'Mapa final'!$O$57="Menor"),CONCATENATE("R",'Mapa final'!$A$57),"")</f>
        <v/>
      </c>
      <c r="U10" s="761"/>
      <c r="V10" s="764" t="str">
        <f>IF(AND('Mapa final'!$K$45="Muy Alta",'Mapa final'!$O$45="Moderado"),CONCATENATE("R",'Mapa final'!$A$45),"")</f>
        <v/>
      </c>
      <c r="W10" s="760"/>
      <c r="X10" s="760" t="str">
        <f>IF(AND('Mapa final'!$K$51="Muy Alta",'Mapa final'!$O$51="Moderado"),CONCATENATE("R",'Mapa final'!$A$51),"")</f>
        <v/>
      </c>
      <c r="Y10" s="760"/>
      <c r="Z10" s="760" t="str">
        <f>IF(AND('Mapa final'!$K$57="Muy Alta",'Mapa final'!$O$57="Moderado"),CONCATENATE("R",'Mapa final'!$A$57),"")</f>
        <v/>
      </c>
      <c r="AA10" s="761"/>
      <c r="AB10" s="764" t="str">
        <f>IF(AND('Mapa final'!$K$45="Muy Alta",'Mapa final'!$O$45="Mayor"),CONCATENATE("R",'Mapa final'!$A$45),"")</f>
        <v/>
      </c>
      <c r="AC10" s="760"/>
      <c r="AD10" s="760" t="str">
        <f>IF(AND('Mapa final'!$K$51="Muy Alta",'Mapa final'!$O$51="Mayor"),CONCATENATE("R",'Mapa final'!$A$51),"")</f>
        <v/>
      </c>
      <c r="AE10" s="760"/>
      <c r="AF10" s="760" t="str">
        <f>IF(AND('Mapa final'!$K$57="Muy Alta",'Mapa final'!$O$57="Mayor"),CONCATENATE("R",'Mapa final'!$A$57),"")</f>
        <v/>
      </c>
      <c r="AG10" s="761"/>
      <c r="AH10" s="771" t="str">
        <f>IF(AND('Mapa final'!$K$45="Muy Alta",'Mapa final'!$O$45="Catastrófico"),CONCATENATE("R",'Mapa final'!$A$45),"")</f>
        <v/>
      </c>
      <c r="AI10" s="772"/>
      <c r="AJ10" s="772" t="str">
        <f>IF(AND('Mapa final'!$K$51="Muy Alta",'Mapa final'!$O$51="Catastrófico"),CONCATENATE("R",'Mapa final'!$A$51),"")</f>
        <v/>
      </c>
      <c r="AK10" s="772"/>
      <c r="AL10" s="772" t="str">
        <f>IF(AND('Mapa final'!$K$57="Muy Alta",'Mapa final'!$O$57="Catastrófico"),CONCATENATE("R",'Mapa final'!$A$57),"")</f>
        <v/>
      </c>
      <c r="AM10" s="773"/>
      <c r="AN10" s="65"/>
      <c r="AO10" s="718"/>
      <c r="AP10" s="719"/>
      <c r="AQ10" s="719"/>
      <c r="AR10" s="719"/>
      <c r="AS10" s="719"/>
      <c r="AT10" s="720"/>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99" ht="15" customHeight="1" x14ac:dyDescent="0.3">
      <c r="A11" s="65"/>
      <c r="B11" s="713"/>
      <c r="C11" s="713"/>
      <c r="D11" s="714"/>
      <c r="E11" s="754"/>
      <c r="F11" s="755"/>
      <c r="G11" s="755"/>
      <c r="H11" s="755"/>
      <c r="I11" s="756"/>
      <c r="J11" s="764"/>
      <c r="K11" s="760"/>
      <c r="L11" s="760"/>
      <c r="M11" s="760"/>
      <c r="N11" s="760"/>
      <c r="O11" s="761"/>
      <c r="P11" s="764"/>
      <c r="Q11" s="760"/>
      <c r="R11" s="760"/>
      <c r="S11" s="760"/>
      <c r="T11" s="760"/>
      <c r="U11" s="761"/>
      <c r="V11" s="764"/>
      <c r="W11" s="760"/>
      <c r="X11" s="760"/>
      <c r="Y11" s="760"/>
      <c r="Z11" s="760"/>
      <c r="AA11" s="761"/>
      <c r="AB11" s="764"/>
      <c r="AC11" s="760"/>
      <c r="AD11" s="760"/>
      <c r="AE11" s="760"/>
      <c r="AF11" s="760"/>
      <c r="AG11" s="761"/>
      <c r="AH11" s="771"/>
      <c r="AI11" s="772"/>
      <c r="AJ11" s="772"/>
      <c r="AK11" s="772"/>
      <c r="AL11" s="772"/>
      <c r="AM11" s="773"/>
      <c r="AN11" s="65"/>
      <c r="AO11" s="718"/>
      <c r="AP11" s="719"/>
      <c r="AQ11" s="719"/>
      <c r="AR11" s="719"/>
      <c r="AS11" s="719"/>
      <c r="AT11" s="720"/>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99" ht="15" customHeight="1" x14ac:dyDescent="0.3">
      <c r="A12" s="65"/>
      <c r="B12" s="713"/>
      <c r="C12" s="713"/>
      <c r="D12" s="714"/>
      <c r="E12" s="754"/>
      <c r="F12" s="755"/>
      <c r="G12" s="755"/>
      <c r="H12" s="755"/>
      <c r="I12" s="756"/>
      <c r="J12" s="764" t="str">
        <f>IF(AND('Mapa final'!$K$63="Muy Alta",'Mapa final'!$O$63="Leve"),CONCATENATE("R",'Mapa final'!$A$63),"")</f>
        <v/>
      </c>
      <c r="K12" s="760"/>
      <c r="L12" s="760" t="str">
        <f>IF(AND('Mapa final'!$K$69="Muy Alta",'Mapa final'!$O$69="Leve"),CONCATENATE("R",'Mapa final'!$A$69),"")</f>
        <v/>
      </c>
      <c r="M12" s="760"/>
      <c r="N12" s="760" t="str">
        <f>IF(AND('Mapa final'!$K$75="Muy Alta",'Mapa final'!$O$75="Leve"),CONCATENATE("R",'Mapa final'!$A$75),"")</f>
        <v/>
      </c>
      <c r="O12" s="761"/>
      <c r="P12" s="764" t="str">
        <f>IF(AND('Mapa final'!$K$63="Muy Alta",'Mapa final'!$O$63="Menor"),CONCATENATE("R",'Mapa final'!$A$63),"")</f>
        <v/>
      </c>
      <c r="Q12" s="760"/>
      <c r="R12" s="760" t="str">
        <f>IF(AND('Mapa final'!$K$69="Muy Alta",'Mapa final'!$O$69="Menor"),CONCATENATE("R",'Mapa final'!$A$69),"")</f>
        <v/>
      </c>
      <c r="S12" s="760"/>
      <c r="T12" s="760" t="str">
        <f>IF(AND('Mapa final'!$K$75="Muy Alta",'Mapa final'!$O$75="Menor"),CONCATENATE("R",'Mapa final'!$A$75),"")</f>
        <v/>
      </c>
      <c r="U12" s="761"/>
      <c r="V12" s="764" t="str">
        <f>IF(AND('Mapa final'!$K$63="Muy Alta",'Mapa final'!$O$63="Moderado"),CONCATENATE("R",'Mapa final'!$A$63),"")</f>
        <v/>
      </c>
      <c r="W12" s="760"/>
      <c r="X12" s="760" t="str">
        <f>IF(AND('Mapa final'!$K$69="Muy Alta",'Mapa final'!$O$69="Moderado"),CONCATENATE("R",'Mapa final'!$A$69),"")</f>
        <v/>
      </c>
      <c r="Y12" s="760"/>
      <c r="Z12" s="760" t="str">
        <f>IF(AND('Mapa final'!$K$75="Muy Alta",'Mapa final'!$O$75="Moderado"),CONCATENATE("R",'Mapa final'!$A$75),"")</f>
        <v/>
      </c>
      <c r="AA12" s="761"/>
      <c r="AB12" s="764" t="str">
        <f>IF(AND('Mapa final'!$K$63="Muy Alta",'Mapa final'!$O$63="Mayor"),CONCATENATE("R",'Mapa final'!$A$63),"")</f>
        <v/>
      </c>
      <c r="AC12" s="760"/>
      <c r="AD12" s="760" t="str">
        <f>IF(AND('Mapa final'!$K$69="Muy Alta",'Mapa final'!$O$69="Mayor"),CONCATENATE("R",'Mapa final'!$A$69),"")</f>
        <v/>
      </c>
      <c r="AE12" s="760"/>
      <c r="AF12" s="760" t="str">
        <f>IF(AND('Mapa final'!$K$75="Muy Alta",'Mapa final'!$O$75="Mayor"),CONCATENATE("R",'Mapa final'!$A$75),"")</f>
        <v/>
      </c>
      <c r="AG12" s="761"/>
      <c r="AH12" s="771" t="str">
        <f>IF(AND('Mapa final'!$K$63="Muy Alta",'Mapa final'!$O$63="Catastrófico"),CONCATENATE("R",'Mapa final'!$A$63),"")</f>
        <v/>
      </c>
      <c r="AI12" s="772"/>
      <c r="AJ12" s="772" t="str">
        <f>IF(AND('Mapa final'!$K$69="Muy Alta",'Mapa final'!$O$69="Catastrófico"),CONCATENATE("R",'Mapa final'!$A$69),"")</f>
        <v/>
      </c>
      <c r="AK12" s="772"/>
      <c r="AL12" s="772" t="str">
        <f>IF(AND('Mapa final'!$K$75="Muy Alta",'Mapa final'!$O$75="Catastrófico"),CONCATENATE("R",'Mapa final'!$A$75),"")</f>
        <v/>
      </c>
      <c r="AM12" s="773"/>
      <c r="AN12" s="65"/>
      <c r="AO12" s="718"/>
      <c r="AP12" s="719"/>
      <c r="AQ12" s="719"/>
      <c r="AR12" s="719"/>
      <c r="AS12" s="719"/>
      <c r="AT12" s="720"/>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99" ht="15.75" customHeight="1" thickBot="1" x14ac:dyDescent="0.35">
      <c r="A13" s="65"/>
      <c r="B13" s="713"/>
      <c r="C13" s="713"/>
      <c r="D13" s="714"/>
      <c r="E13" s="757"/>
      <c r="F13" s="758"/>
      <c r="G13" s="758"/>
      <c r="H13" s="758"/>
      <c r="I13" s="759"/>
      <c r="J13" s="764"/>
      <c r="K13" s="760"/>
      <c r="L13" s="760"/>
      <c r="M13" s="760"/>
      <c r="N13" s="760"/>
      <c r="O13" s="761"/>
      <c r="P13" s="764"/>
      <c r="Q13" s="760"/>
      <c r="R13" s="760"/>
      <c r="S13" s="760"/>
      <c r="T13" s="760"/>
      <c r="U13" s="761"/>
      <c r="V13" s="764"/>
      <c r="W13" s="760"/>
      <c r="X13" s="760"/>
      <c r="Y13" s="760"/>
      <c r="Z13" s="760"/>
      <c r="AA13" s="761"/>
      <c r="AB13" s="764"/>
      <c r="AC13" s="760"/>
      <c r="AD13" s="760"/>
      <c r="AE13" s="760"/>
      <c r="AF13" s="760"/>
      <c r="AG13" s="761"/>
      <c r="AH13" s="774"/>
      <c r="AI13" s="775"/>
      <c r="AJ13" s="775"/>
      <c r="AK13" s="775"/>
      <c r="AL13" s="775"/>
      <c r="AM13" s="776"/>
      <c r="AN13" s="65"/>
      <c r="AO13" s="721"/>
      <c r="AP13" s="722"/>
      <c r="AQ13" s="722"/>
      <c r="AR13" s="722"/>
      <c r="AS13" s="722"/>
      <c r="AT13" s="723"/>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99" ht="15" customHeight="1" x14ac:dyDescent="0.3">
      <c r="A14" s="65"/>
      <c r="B14" s="713"/>
      <c r="C14" s="713"/>
      <c r="D14" s="714"/>
      <c r="E14" s="751" t="s">
        <v>110</v>
      </c>
      <c r="F14" s="752"/>
      <c r="G14" s="752"/>
      <c r="H14" s="752"/>
      <c r="I14" s="752"/>
      <c r="J14" s="786" t="str">
        <f>IF(AND('Mapa final'!$K$10="Alta",'Mapa final'!$O$10="Leve"),CONCATENATE("R",'Mapa final'!$A$10),"")</f>
        <v/>
      </c>
      <c r="K14" s="787"/>
      <c r="L14" s="787" t="str">
        <f>IF(AND('Mapa final'!$K$16="Alta",'Mapa final'!$O$16="Leve"),CONCATENATE("R",'Mapa final'!$A$16),"")</f>
        <v/>
      </c>
      <c r="M14" s="787"/>
      <c r="N14" s="787" t="str">
        <f>IF(AND('Mapa final'!$K$22="Alta",'Mapa final'!$O$22="Leve"),CONCATENATE("R",'Mapa final'!$A$22),"")</f>
        <v/>
      </c>
      <c r="O14" s="788"/>
      <c r="P14" s="786" t="str">
        <f>IF(AND('Mapa final'!$K$10="Alta",'Mapa final'!$O$10="Menor"),CONCATENATE("R",'Mapa final'!$A$10),"")</f>
        <v/>
      </c>
      <c r="Q14" s="787"/>
      <c r="R14" s="787" t="str">
        <f>IF(AND('Mapa final'!$K$16="Alta",'Mapa final'!$O$16="Menor"),CONCATENATE("R",'Mapa final'!$A$16),"")</f>
        <v/>
      </c>
      <c r="S14" s="787"/>
      <c r="T14" s="787" t="str">
        <f>IF(AND('Mapa final'!$K$22="Alta",'Mapa final'!$O$22="Menor"),CONCATENATE("R",'Mapa final'!$A$22),"")</f>
        <v/>
      </c>
      <c r="U14" s="788"/>
      <c r="V14" s="762" t="str">
        <f>IF(AND('Mapa final'!$K$10="Alta",'Mapa final'!$O$10="Moderado"),CONCATENATE("R",'Mapa final'!$A$10),"")</f>
        <v/>
      </c>
      <c r="W14" s="763"/>
      <c r="X14" s="763" t="str">
        <f>IF(AND('Mapa final'!$K$16="Alta",'Mapa final'!$O$16="Moderado"),CONCATENATE("R",'Mapa final'!$A$16),"")</f>
        <v/>
      </c>
      <c r="Y14" s="763"/>
      <c r="Z14" s="763" t="str">
        <f>IF(AND('Mapa final'!$K$22="Alta",'Mapa final'!$O$22="Moderado"),CONCATENATE("R",'Mapa final'!$A$22),"")</f>
        <v/>
      </c>
      <c r="AA14" s="765"/>
      <c r="AB14" s="762" t="str">
        <f>IF(AND('Mapa final'!$K$10="Alta",'Mapa final'!$O$10="Mayor"),CONCATENATE("R",'Mapa final'!$A$10),"")</f>
        <v/>
      </c>
      <c r="AC14" s="763"/>
      <c r="AD14" s="763" t="str">
        <f>IF(AND('Mapa final'!$K$16="Alta",'Mapa final'!$O$16="Mayor"),CONCATENATE("R",'Mapa final'!$A$16),"")</f>
        <v/>
      </c>
      <c r="AE14" s="763"/>
      <c r="AF14" s="763" t="str">
        <f>IF(AND('Mapa final'!$K$22="Alta",'Mapa final'!$O$22="Mayor"),CONCATENATE("R",'Mapa final'!$A$22),"")</f>
        <v/>
      </c>
      <c r="AG14" s="765"/>
      <c r="AH14" s="777" t="str">
        <f>IF(AND('Mapa final'!$K$10="Alta",'Mapa final'!$O$10="Catastrófico"),CONCATENATE("R",'Mapa final'!$A$10),"")</f>
        <v/>
      </c>
      <c r="AI14" s="778"/>
      <c r="AJ14" s="778" t="str">
        <f>IF(AND('Mapa final'!$K$16="Alta",'Mapa final'!$O$16="Catastrófico"),CONCATENATE("R",'Mapa final'!$A$16),"")</f>
        <v/>
      </c>
      <c r="AK14" s="778"/>
      <c r="AL14" s="778" t="str">
        <f>IF(AND('Mapa final'!$K$22="Alta",'Mapa final'!$O$22="Catastrófico"),CONCATENATE("R",'Mapa final'!$A$22),"")</f>
        <v/>
      </c>
      <c r="AM14" s="779"/>
      <c r="AN14" s="65"/>
      <c r="AO14" s="724" t="s">
        <v>79</v>
      </c>
      <c r="AP14" s="725"/>
      <c r="AQ14" s="725"/>
      <c r="AR14" s="725"/>
      <c r="AS14" s="725"/>
      <c r="AT14" s="726"/>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99" ht="15" customHeight="1" x14ac:dyDescent="0.3">
      <c r="A15" s="65"/>
      <c r="B15" s="713"/>
      <c r="C15" s="713"/>
      <c r="D15" s="714"/>
      <c r="E15" s="754"/>
      <c r="F15" s="755"/>
      <c r="G15" s="755"/>
      <c r="H15" s="755"/>
      <c r="I15" s="755"/>
      <c r="J15" s="780"/>
      <c r="K15" s="781"/>
      <c r="L15" s="781"/>
      <c r="M15" s="781"/>
      <c r="N15" s="781"/>
      <c r="O15" s="782"/>
      <c r="P15" s="780"/>
      <c r="Q15" s="781"/>
      <c r="R15" s="781"/>
      <c r="S15" s="781"/>
      <c r="T15" s="781"/>
      <c r="U15" s="782"/>
      <c r="V15" s="764"/>
      <c r="W15" s="760"/>
      <c r="X15" s="760"/>
      <c r="Y15" s="760"/>
      <c r="Z15" s="760"/>
      <c r="AA15" s="761"/>
      <c r="AB15" s="764"/>
      <c r="AC15" s="760"/>
      <c r="AD15" s="760"/>
      <c r="AE15" s="760"/>
      <c r="AF15" s="760"/>
      <c r="AG15" s="761"/>
      <c r="AH15" s="771"/>
      <c r="AI15" s="772"/>
      <c r="AJ15" s="772"/>
      <c r="AK15" s="772"/>
      <c r="AL15" s="772"/>
      <c r="AM15" s="773"/>
      <c r="AN15" s="65"/>
      <c r="AO15" s="727"/>
      <c r="AP15" s="728"/>
      <c r="AQ15" s="728"/>
      <c r="AR15" s="728"/>
      <c r="AS15" s="728"/>
      <c r="AT15" s="729"/>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99" ht="15" customHeight="1" x14ac:dyDescent="0.3">
      <c r="A16" s="65"/>
      <c r="B16" s="713"/>
      <c r="C16" s="713"/>
      <c r="D16" s="714"/>
      <c r="E16" s="754"/>
      <c r="F16" s="755"/>
      <c r="G16" s="755"/>
      <c r="H16" s="755"/>
      <c r="I16" s="755"/>
      <c r="J16" s="780" t="str">
        <f>IF(AND('Mapa final'!$K$28="Alta",'Mapa final'!$O$28="Leve"),CONCATENATE("R",'Mapa final'!$A$28),"")</f>
        <v/>
      </c>
      <c r="K16" s="781"/>
      <c r="L16" s="781" t="str">
        <f>IF(AND('Mapa final'!$K$33="Alta",'Mapa final'!$O$33="Leve"),CONCATENATE("R",'Mapa final'!$A$33),"")</f>
        <v/>
      </c>
      <c r="M16" s="781"/>
      <c r="N16" s="781" t="str">
        <f>IF(AND('Mapa final'!$K$39="Alta",'Mapa final'!$O$39="Leve"),CONCATENATE("R",'Mapa final'!$A$39),"")</f>
        <v/>
      </c>
      <c r="O16" s="782"/>
      <c r="P16" s="780" t="str">
        <f>IF(AND('Mapa final'!$K$28="Alta",'Mapa final'!$O$28="Menor"),CONCATENATE("R",'Mapa final'!$A$28),"")</f>
        <v/>
      </c>
      <c r="Q16" s="781"/>
      <c r="R16" s="781" t="str">
        <f>IF(AND('Mapa final'!$K$33="Alta",'Mapa final'!$O$33="Menor"),CONCATENATE("R",'Mapa final'!$A$33),"")</f>
        <v/>
      </c>
      <c r="S16" s="781"/>
      <c r="T16" s="781" t="str">
        <f>IF(AND('Mapa final'!$K$39="Alta",'Mapa final'!$O$39="Menor"),CONCATENATE("R",'Mapa final'!$A$39),"")</f>
        <v/>
      </c>
      <c r="U16" s="782"/>
      <c r="V16" s="764" t="str">
        <f>IF(AND('Mapa final'!$K$28="Alta",'Mapa final'!$O$28="Moderado"),CONCATENATE("R",'Mapa final'!$A$28),"")</f>
        <v/>
      </c>
      <c r="W16" s="760"/>
      <c r="X16" s="760" t="str">
        <f>IF(AND('Mapa final'!$K$33="Alta",'Mapa final'!$O$33="Moderado"),CONCATENATE("R",'Mapa final'!$A$33),"")</f>
        <v/>
      </c>
      <c r="Y16" s="760"/>
      <c r="Z16" s="760" t="str">
        <f>IF(AND('Mapa final'!$K$39="Alta",'Mapa final'!$O$39="Moderado"),CONCATENATE("R",'Mapa final'!$A$39),"")</f>
        <v/>
      </c>
      <c r="AA16" s="761"/>
      <c r="AB16" s="764" t="str">
        <f>IF(AND('Mapa final'!$K$28="Alta",'Mapa final'!$O$28="Mayor"),CONCATENATE("R",'Mapa final'!$A$28),"")</f>
        <v/>
      </c>
      <c r="AC16" s="760"/>
      <c r="AD16" s="760" t="str">
        <f>IF(AND('Mapa final'!$K$33="Alta",'Mapa final'!$O$33="Mayor"),CONCATENATE("R",'Mapa final'!$A$33),"")</f>
        <v/>
      </c>
      <c r="AE16" s="760"/>
      <c r="AF16" s="760" t="str">
        <f>IF(AND('Mapa final'!$K$39="Alta",'Mapa final'!$O$39="Mayor"),CONCATENATE("R",'Mapa final'!$A$39),"")</f>
        <v/>
      </c>
      <c r="AG16" s="761"/>
      <c r="AH16" s="771" t="str">
        <f>IF(AND('Mapa final'!$K$28="Alta",'Mapa final'!$O$28="Catastrófico"),CONCATENATE("R",'Mapa final'!$A$28),"")</f>
        <v/>
      </c>
      <c r="AI16" s="772"/>
      <c r="AJ16" s="772" t="str">
        <f>IF(AND('Mapa final'!$K$33="Alta",'Mapa final'!$O$33="Catastrófico"),CONCATENATE("R",'Mapa final'!$A$33),"")</f>
        <v/>
      </c>
      <c r="AK16" s="772"/>
      <c r="AL16" s="772" t="str">
        <f>IF(AND('Mapa final'!$K$39="Alta",'Mapa final'!$O$39="Catastrófico"),CONCATENATE("R",'Mapa final'!$A$39),"")</f>
        <v/>
      </c>
      <c r="AM16" s="773"/>
      <c r="AN16" s="65"/>
      <c r="AO16" s="727"/>
      <c r="AP16" s="728"/>
      <c r="AQ16" s="728"/>
      <c r="AR16" s="728"/>
      <c r="AS16" s="728"/>
      <c r="AT16" s="729"/>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ht="15" customHeight="1" x14ac:dyDescent="0.3">
      <c r="A17" s="65"/>
      <c r="B17" s="713"/>
      <c r="C17" s="713"/>
      <c r="D17" s="714"/>
      <c r="E17" s="754"/>
      <c r="F17" s="755"/>
      <c r="G17" s="755"/>
      <c r="H17" s="755"/>
      <c r="I17" s="755"/>
      <c r="J17" s="780"/>
      <c r="K17" s="781"/>
      <c r="L17" s="781"/>
      <c r="M17" s="781"/>
      <c r="N17" s="781"/>
      <c r="O17" s="782"/>
      <c r="P17" s="780"/>
      <c r="Q17" s="781"/>
      <c r="R17" s="781"/>
      <c r="S17" s="781"/>
      <c r="T17" s="781"/>
      <c r="U17" s="782"/>
      <c r="V17" s="764"/>
      <c r="W17" s="760"/>
      <c r="X17" s="760"/>
      <c r="Y17" s="760"/>
      <c r="Z17" s="760"/>
      <c r="AA17" s="761"/>
      <c r="AB17" s="764"/>
      <c r="AC17" s="760"/>
      <c r="AD17" s="760"/>
      <c r="AE17" s="760"/>
      <c r="AF17" s="760"/>
      <c r="AG17" s="761"/>
      <c r="AH17" s="771"/>
      <c r="AI17" s="772"/>
      <c r="AJ17" s="772"/>
      <c r="AK17" s="772"/>
      <c r="AL17" s="772"/>
      <c r="AM17" s="773"/>
      <c r="AN17" s="65"/>
      <c r="AO17" s="727"/>
      <c r="AP17" s="728"/>
      <c r="AQ17" s="728"/>
      <c r="AR17" s="728"/>
      <c r="AS17" s="728"/>
      <c r="AT17" s="729"/>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ht="15" customHeight="1" x14ac:dyDescent="0.3">
      <c r="A18" s="65"/>
      <c r="B18" s="713"/>
      <c r="C18" s="713"/>
      <c r="D18" s="714"/>
      <c r="E18" s="754"/>
      <c r="F18" s="755"/>
      <c r="G18" s="755"/>
      <c r="H18" s="755"/>
      <c r="I18" s="755"/>
      <c r="J18" s="780" t="str">
        <f>IF(AND('Mapa final'!$K$45="Alta",'Mapa final'!$O$45="Leve"),CONCATENATE("R",'Mapa final'!$A$45),"")</f>
        <v/>
      </c>
      <c r="K18" s="781"/>
      <c r="L18" s="781" t="str">
        <f>IF(AND('Mapa final'!$K$51="Alta",'Mapa final'!$O$51="Leve"),CONCATENATE("R",'Mapa final'!$A$51),"")</f>
        <v/>
      </c>
      <c r="M18" s="781"/>
      <c r="N18" s="781" t="str">
        <f>IF(AND('Mapa final'!$K$57="Alta",'Mapa final'!$O$57="Leve"),CONCATENATE("R",'Mapa final'!$A$57),"")</f>
        <v/>
      </c>
      <c r="O18" s="782"/>
      <c r="P18" s="780" t="str">
        <f>IF(AND('Mapa final'!$K$45="Alta",'Mapa final'!$O$45="Menor"),CONCATENATE("R",'Mapa final'!$A$45),"")</f>
        <v/>
      </c>
      <c r="Q18" s="781"/>
      <c r="R18" s="781" t="str">
        <f>IF(AND('Mapa final'!$K$51="Alta",'Mapa final'!$O$51="Menor"),CONCATENATE("R",'Mapa final'!$A$51),"")</f>
        <v/>
      </c>
      <c r="S18" s="781"/>
      <c r="T18" s="781" t="str">
        <f>IF(AND('Mapa final'!$K$57="Alta",'Mapa final'!$O$57="Menor"),CONCATENATE("R",'Mapa final'!$A$57),"")</f>
        <v/>
      </c>
      <c r="U18" s="782"/>
      <c r="V18" s="764" t="str">
        <f>IF(AND('Mapa final'!$K$45="Alta",'Mapa final'!$O$45="Moderado"),CONCATENATE("R",'Mapa final'!$A$45),"")</f>
        <v/>
      </c>
      <c r="W18" s="760"/>
      <c r="X18" s="760" t="str">
        <f>IF(AND('Mapa final'!$K$51="Alta",'Mapa final'!$O$51="Moderado"),CONCATENATE("R",'Mapa final'!$A$51),"")</f>
        <v/>
      </c>
      <c r="Y18" s="760"/>
      <c r="Z18" s="760" t="str">
        <f>IF(AND('Mapa final'!$K$57="Alta",'Mapa final'!$O$57="Moderado"),CONCATENATE("R",'Mapa final'!$A$57),"")</f>
        <v/>
      </c>
      <c r="AA18" s="761"/>
      <c r="AB18" s="764" t="str">
        <f>IF(AND('Mapa final'!$K$45="Alta",'Mapa final'!$O$45="Mayor"),CONCATENATE("R",'Mapa final'!$A$45),"")</f>
        <v/>
      </c>
      <c r="AC18" s="760"/>
      <c r="AD18" s="760" t="str">
        <f>IF(AND('Mapa final'!$K$51="Alta",'Mapa final'!$O$51="Mayor"),CONCATENATE("R",'Mapa final'!$A$51),"")</f>
        <v/>
      </c>
      <c r="AE18" s="760"/>
      <c r="AF18" s="760" t="str">
        <f>IF(AND('Mapa final'!$K$57="Alta",'Mapa final'!$O$57="Mayor"),CONCATENATE("R",'Mapa final'!$A$57),"")</f>
        <v/>
      </c>
      <c r="AG18" s="761"/>
      <c r="AH18" s="771" t="str">
        <f>IF(AND('Mapa final'!$K$45="Alta",'Mapa final'!$O$45="Catastrófico"),CONCATENATE("R",'Mapa final'!$A$45),"")</f>
        <v/>
      </c>
      <c r="AI18" s="772"/>
      <c r="AJ18" s="772" t="str">
        <f>IF(AND('Mapa final'!$K$51="Alta",'Mapa final'!$O$51="Catastrófico"),CONCATENATE("R",'Mapa final'!$A$51),"")</f>
        <v/>
      </c>
      <c r="AK18" s="772"/>
      <c r="AL18" s="772" t="str">
        <f>IF(AND('Mapa final'!$K$57="Alta",'Mapa final'!$O$57="Catastrófico"),CONCATENATE("R",'Mapa final'!$A$57),"")</f>
        <v/>
      </c>
      <c r="AM18" s="773"/>
      <c r="AN18" s="65"/>
      <c r="AO18" s="727"/>
      <c r="AP18" s="728"/>
      <c r="AQ18" s="728"/>
      <c r="AR18" s="728"/>
      <c r="AS18" s="728"/>
      <c r="AT18" s="729"/>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ht="15" customHeight="1" x14ac:dyDescent="0.3">
      <c r="A19" s="65"/>
      <c r="B19" s="713"/>
      <c r="C19" s="713"/>
      <c r="D19" s="714"/>
      <c r="E19" s="754"/>
      <c r="F19" s="755"/>
      <c r="G19" s="755"/>
      <c r="H19" s="755"/>
      <c r="I19" s="755"/>
      <c r="J19" s="780"/>
      <c r="K19" s="781"/>
      <c r="L19" s="781"/>
      <c r="M19" s="781"/>
      <c r="N19" s="781"/>
      <c r="O19" s="782"/>
      <c r="P19" s="780"/>
      <c r="Q19" s="781"/>
      <c r="R19" s="781"/>
      <c r="S19" s="781"/>
      <c r="T19" s="781"/>
      <c r="U19" s="782"/>
      <c r="V19" s="764"/>
      <c r="W19" s="760"/>
      <c r="X19" s="760"/>
      <c r="Y19" s="760"/>
      <c r="Z19" s="760"/>
      <c r="AA19" s="761"/>
      <c r="AB19" s="764"/>
      <c r="AC19" s="760"/>
      <c r="AD19" s="760"/>
      <c r="AE19" s="760"/>
      <c r="AF19" s="760"/>
      <c r="AG19" s="761"/>
      <c r="AH19" s="771"/>
      <c r="AI19" s="772"/>
      <c r="AJ19" s="772"/>
      <c r="AK19" s="772"/>
      <c r="AL19" s="772"/>
      <c r="AM19" s="773"/>
      <c r="AN19" s="65"/>
      <c r="AO19" s="727"/>
      <c r="AP19" s="728"/>
      <c r="AQ19" s="728"/>
      <c r="AR19" s="728"/>
      <c r="AS19" s="728"/>
      <c r="AT19" s="729"/>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ht="15" customHeight="1" x14ac:dyDescent="0.3">
      <c r="A20" s="65"/>
      <c r="B20" s="713"/>
      <c r="C20" s="713"/>
      <c r="D20" s="714"/>
      <c r="E20" s="754"/>
      <c r="F20" s="755"/>
      <c r="G20" s="755"/>
      <c r="H20" s="755"/>
      <c r="I20" s="755"/>
      <c r="J20" s="780" t="str">
        <f>IF(AND('Mapa final'!$K$63="Alta",'Mapa final'!$O$63="Leve"),CONCATENATE("R",'Mapa final'!$A$63),"")</f>
        <v/>
      </c>
      <c r="K20" s="781"/>
      <c r="L20" s="781" t="str">
        <f>IF(AND('Mapa final'!$K$69="Alta",'Mapa final'!$O$69="Leve"),CONCATENATE("R",'Mapa final'!$A$69),"")</f>
        <v/>
      </c>
      <c r="M20" s="781"/>
      <c r="N20" s="781" t="str">
        <f>IF(AND('Mapa final'!$K$75="Alta",'Mapa final'!$O$75="Leve"),CONCATENATE("R",'Mapa final'!$A$75),"")</f>
        <v/>
      </c>
      <c r="O20" s="782"/>
      <c r="P20" s="780" t="str">
        <f>IF(AND('Mapa final'!$K$63="Alta",'Mapa final'!$O$63="Menor"),CONCATENATE("R",'Mapa final'!$A$63),"")</f>
        <v/>
      </c>
      <c r="Q20" s="781"/>
      <c r="R20" s="781" t="str">
        <f>IF(AND('Mapa final'!$K$69="Alta",'Mapa final'!$O$69="Menor"),CONCATENATE("R",'Mapa final'!$A$69),"")</f>
        <v/>
      </c>
      <c r="S20" s="781"/>
      <c r="T20" s="781" t="str">
        <f>IF(AND('Mapa final'!$K$75="Alta",'Mapa final'!$O$75="Menor"),CONCATENATE("R",'Mapa final'!$A$75),"")</f>
        <v/>
      </c>
      <c r="U20" s="782"/>
      <c r="V20" s="764" t="str">
        <f>IF(AND('Mapa final'!$K$63="Alta",'Mapa final'!$O$63="Moderado"),CONCATENATE("R",'Mapa final'!$A$63),"")</f>
        <v/>
      </c>
      <c r="W20" s="760"/>
      <c r="X20" s="760" t="str">
        <f>IF(AND('Mapa final'!$K$69="Alta",'Mapa final'!$O$69="Moderado"),CONCATENATE("R",'Mapa final'!$A$69),"")</f>
        <v/>
      </c>
      <c r="Y20" s="760"/>
      <c r="Z20" s="760" t="str">
        <f>IF(AND('Mapa final'!$K$75="Alta",'Mapa final'!$O$75="Moderado"),CONCATENATE("R",'Mapa final'!$A$75),"")</f>
        <v/>
      </c>
      <c r="AA20" s="761"/>
      <c r="AB20" s="764" t="str">
        <f>IF(AND('Mapa final'!$K$63="Alta",'Mapa final'!$O$63="Mayor"),CONCATENATE("R",'Mapa final'!$A$63),"")</f>
        <v/>
      </c>
      <c r="AC20" s="760"/>
      <c r="AD20" s="760" t="str">
        <f>IF(AND('Mapa final'!$K$69="Alta",'Mapa final'!$O$69="Mayor"),CONCATENATE("R",'Mapa final'!$A$69),"")</f>
        <v/>
      </c>
      <c r="AE20" s="760"/>
      <c r="AF20" s="760" t="str">
        <f>IF(AND('Mapa final'!$K$75="Alta",'Mapa final'!$O$75="Mayor"),CONCATENATE("R",'Mapa final'!$A$75),"")</f>
        <v/>
      </c>
      <c r="AG20" s="761"/>
      <c r="AH20" s="771" t="str">
        <f>IF(AND('Mapa final'!$K$63="Alta",'Mapa final'!$O$63="Catastrófico"),CONCATENATE("R",'Mapa final'!$A$63),"")</f>
        <v/>
      </c>
      <c r="AI20" s="772"/>
      <c r="AJ20" s="772" t="str">
        <f>IF(AND('Mapa final'!$K$69="Alta",'Mapa final'!$O$69="Catastrófico"),CONCATENATE("R",'Mapa final'!$A$69),"")</f>
        <v/>
      </c>
      <c r="AK20" s="772"/>
      <c r="AL20" s="772" t="str">
        <f>IF(AND('Mapa final'!$K$75="Alta",'Mapa final'!$O$75="Catastrófico"),CONCATENATE("R",'Mapa final'!$A$75),"")</f>
        <v/>
      </c>
      <c r="AM20" s="773"/>
      <c r="AN20" s="65"/>
      <c r="AO20" s="727"/>
      <c r="AP20" s="728"/>
      <c r="AQ20" s="728"/>
      <c r="AR20" s="728"/>
      <c r="AS20" s="728"/>
      <c r="AT20" s="729"/>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ht="15.75" customHeight="1" thickBot="1" x14ac:dyDescent="0.35">
      <c r="A21" s="65"/>
      <c r="B21" s="713"/>
      <c r="C21" s="713"/>
      <c r="D21" s="714"/>
      <c r="E21" s="757"/>
      <c r="F21" s="758"/>
      <c r="G21" s="758"/>
      <c r="H21" s="758"/>
      <c r="I21" s="758"/>
      <c r="J21" s="783"/>
      <c r="K21" s="784"/>
      <c r="L21" s="784"/>
      <c r="M21" s="784"/>
      <c r="N21" s="784"/>
      <c r="O21" s="785"/>
      <c r="P21" s="783"/>
      <c r="Q21" s="784"/>
      <c r="R21" s="784"/>
      <c r="S21" s="784"/>
      <c r="T21" s="784"/>
      <c r="U21" s="785"/>
      <c r="V21" s="768"/>
      <c r="W21" s="769"/>
      <c r="X21" s="769"/>
      <c r="Y21" s="769"/>
      <c r="Z21" s="769"/>
      <c r="AA21" s="770"/>
      <c r="AB21" s="768"/>
      <c r="AC21" s="769"/>
      <c r="AD21" s="769"/>
      <c r="AE21" s="769"/>
      <c r="AF21" s="769"/>
      <c r="AG21" s="770"/>
      <c r="AH21" s="774"/>
      <c r="AI21" s="775"/>
      <c r="AJ21" s="775"/>
      <c r="AK21" s="775"/>
      <c r="AL21" s="775"/>
      <c r="AM21" s="776"/>
      <c r="AN21" s="65"/>
      <c r="AO21" s="730"/>
      <c r="AP21" s="731"/>
      <c r="AQ21" s="731"/>
      <c r="AR21" s="731"/>
      <c r="AS21" s="731"/>
      <c r="AT21" s="732"/>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x14ac:dyDescent="0.3">
      <c r="A22" s="65"/>
      <c r="B22" s="713"/>
      <c r="C22" s="713"/>
      <c r="D22" s="714"/>
      <c r="E22" s="751" t="s">
        <v>112</v>
      </c>
      <c r="F22" s="752"/>
      <c r="G22" s="752"/>
      <c r="H22" s="752"/>
      <c r="I22" s="753"/>
      <c r="J22" s="786" t="str">
        <f>IF(AND('Mapa final'!$K$10="Media",'Mapa final'!$O$10="Leve"),CONCATENATE("R",'Mapa final'!$A$10),"")</f>
        <v/>
      </c>
      <c r="K22" s="787"/>
      <c r="L22" s="787" t="str">
        <f>IF(AND('Mapa final'!$K$16="Media",'Mapa final'!$O$16="Leve"),CONCATENATE("R",'Mapa final'!$A$16),"")</f>
        <v/>
      </c>
      <c r="M22" s="787"/>
      <c r="N22" s="787" t="str">
        <f>IF(AND('Mapa final'!$K$22="Media",'Mapa final'!$O$22="Leve"),CONCATENATE("R",'Mapa final'!$A$22),"")</f>
        <v/>
      </c>
      <c r="O22" s="788"/>
      <c r="P22" s="786" t="str">
        <f>IF(AND('Mapa final'!$K$10="Media",'Mapa final'!$O$10="Menor"),CONCATENATE("R",'Mapa final'!$A$10),"")</f>
        <v/>
      </c>
      <c r="Q22" s="787"/>
      <c r="R22" s="787" t="str">
        <f>IF(AND('Mapa final'!$K$16="Media",'Mapa final'!$O$16="Menor"),CONCATENATE("R",'Mapa final'!$A$16),"")</f>
        <v/>
      </c>
      <c r="S22" s="787"/>
      <c r="T22" s="787" t="str">
        <f>IF(AND('Mapa final'!$K$22="Media",'Mapa final'!$O$22="Menor"),CONCATENATE("R",'Mapa final'!$A$22),"")</f>
        <v/>
      </c>
      <c r="U22" s="788"/>
      <c r="V22" s="786" t="str">
        <f>IF(AND('Mapa final'!$K$10="Media",'Mapa final'!$O$10="Moderado"),CONCATENATE("R",'Mapa final'!$A$10),"")</f>
        <v/>
      </c>
      <c r="W22" s="787"/>
      <c r="X22" s="787" t="str">
        <f>IF(AND('Mapa final'!$K$16="Media",'Mapa final'!$O$16="Moderado"),CONCATENATE("R",'Mapa final'!$A$16),"")</f>
        <v/>
      </c>
      <c r="Y22" s="787"/>
      <c r="Z22" s="787" t="str">
        <f>IF(AND('Mapa final'!$K$22="Media",'Mapa final'!$O$22="Moderado"),CONCATENATE("R",'Mapa final'!$A$22),"")</f>
        <v/>
      </c>
      <c r="AA22" s="788"/>
      <c r="AB22" s="762" t="str">
        <f>IF(AND('Mapa final'!$K$10="Media",'Mapa final'!$O$10="Mayor"),CONCATENATE("R",'Mapa final'!$A$10),"")</f>
        <v/>
      </c>
      <c r="AC22" s="763"/>
      <c r="AD22" s="763" t="str">
        <f>IF(AND('Mapa final'!$K$16="Media",'Mapa final'!$O$16="Mayor"),CONCATENATE("R",'Mapa final'!$A$16),"")</f>
        <v/>
      </c>
      <c r="AE22" s="763"/>
      <c r="AF22" s="763" t="str">
        <f>IF(AND('Mapa final'!$K$22="Media",'Mapa final'!$O$22="Mayor"),CONCATENATE("R",'Mapa final'!$A$22),"")</f>
        <v/>
      </c>
      <c r="AG22" s="765"/>
      <c r="AH22" s="777" t="str">
        <f>IF(AND('Mapa final'!$K$10="Media",'Mapa final'!$O$10="Catastrófico"),CONCATENATE("R",'Mapa final'!$A$10),"")</f>
        <v/>
      </c>
      <c r="AI22" s="778"/>
      <c r="AJ22" s="778" t="str">
        <f>IF(AND('Mapa final'!$K$16="Media",'Mapa final'!$O$16="Catastrófico"),CONCATENATE("R",'Mapa final'!$A$16),"")</f>
        <v/>
      </c>
      <c r="AK22" s="778"/>
      <c r="AL22" s="778" t="str">
        <f>IF(AND('Mapa final'!$K$22="Media",'Mapa final'!$O$22="Catastrófico"),CONCATENATE("R",'Mapa final'!$A$22),"")</f>
        <v/>
      </c>
      <c r="AM22" s="779"/>
      <c r="AN22" s="65"/>
      <c r="AO22" s="733" t="s">
        <v>80</v>
      </c>
      <c r="AP22" s="734"/>
      <c r="AQ22" s="734"/>
      <c r="AR22" s="734"/>
      <c r="AS22" s="734"/>
      <c r="AT22" s="73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x14ac:dyDescent="0.3">
      <c r="A23" s="65"/>
      <c r="B23" s="713"/>
      <c r="C23" s="713"/>
      <c r="D23" s="714"/>
      <c r="E23" s="754"/>
      <c r="F23" s="755"/>
      <c r="G23" s="755"/>
      <c r="H23" s="755"/>
      <c r="I23" s="756"/>
      <c r="J23" s="780"/>
      <c r="K23" s="781"/>
      <c r="L23" s="781"/>
      <c r="M23" s="781"/>
      <c r="N23" s="781"/>
      <c r="O23" s="782"/>
      <c r="P23" s="780"/>
      <c r="Q23" s="781"/>
      <c r="R23" s="781"/>
      <c r="S23" s="781"/>
      <c r="T23" s="781"/>
      <c r="U23" s="782"/>
      <c r="V23" s="780"/>
      <c r="W23" s="781"/>
      <c r="X23" s="781"/>
      <c r="Y23" s="781"/>
      <c r="Z23" s="781"/>
      <c r="AA23" s="782"/>
      <c r="AB23" s="764"/>
      <c r="AC23" s="760"/>
      <c r="AD23" s="760"/>
      <c r="AE23" s="760"/>
      <c r="AF23" s="760"/>
      <c r="AG23" s="761"/>
      <c r="AH23" s="771"/>
      <c r="AI23" s="772"/>
      <c r="AJ23" s="772"/>
      <c r="AK23" s="772"/>
      <c r="AL23" s="772"/>
      <c r="AM23" s="773"/>
      <c r="AN23" s="65"/>
      <c r="AO23" s="736"/>
      <c r="AP23" s="737"/>
      <c r="AQ23" s="737"/>
      <c r="AR23" s="737"/>
      <c r="AS23" s="737"/>
      <c r="AT23" s="738"/>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x14ac:dyDescent="0.3">
      <c r="A24" s="65"/>
      <c r="B24" s="713"/>
      <c r="C24" s="713"/>
      <c r="D24" s="714"/>
      <c r="E24" s="754"/>
      <c r="F24" s="755"/>
      <c r="G24" s="755"/>
      <c r="H24" s="755"/>
      <c r="I24" s="756"/>
      <c r="J24" s="780" t="str">
        <f>IF(AND('Mapa final'!$K$28="Media",'Mapa final'!$O$28="Leve"),CONCATENATE("R",'Mapa final'!$A$28),"")</f>
        <v/>
      </c>
      <c r="K24" s="781"/>
      <c r="L24" s="781" t="str">
        <f>IF(AND('Mapa final'!$K$33="Media",'Mapa final'!$O$33="Leve"),CONCATENATE("R",'Mapa final'!$A$33),"")</f>
        <v/>
      </c>
      <c r="M24" s="781"/>
      <c r="N24" s="781" t="str">
        <f>IF(AND('Mapa final'!$K$39="Media",'Mapa final'!$O$39="Leve"),CONCATENATE("R",'Mapa final'!$A$39),"")</f>
        <v/>
      </c>
      <c r="O24" s="782"/>
      <c r="P24" s="780" t="str">
        <f>IF(AND('Mapa final'!$K$28="Media",'Mapa final'!$O$28="Menor"),CONCATENATE("R",'Mapa final'!$A$28),"")</f>
        <v/>
      </c>
      <c r="Q24" s="781"/>
      <c r="R24" s="781" t="str">
        <f>IF(AND('Mapa final'!$K$33="Media",'Mapa final'!$O$33="Menor"),CONCATENATE("R",'Mapa final'!$A$33),"")</f>
        <v>R5</v>
      </c>
      <c r="S24" s="781"/>
      <c r="T24" s="781" t="str">
        <f>IF(AND('Mapa final'!$K$39="Media",'Mapa final'!$O$39="Menor"),CONCATENATE("R",'Mapa final'!$A$39),"")</f>
        <v/>
      </c>
      <c r="U24" s="782"/>
      <c r="V24" s="780" t="str">
        <f>IF(AND('Mapa final'!$K$28="Media",'Mapa final'!$O$28="Moderado"),CONCATENATE("R",'Mapa final'!$A$28),"")</f>
        <v/>
      </c>
      <c r="W24" s="781"/>
      <c r="X24" s="781" t="str">
        <f>IF(AND('Mapa final'!$K$33="Media",'Mapa final'!$O$33="Moderado"),CONCATENATE("R",'Mapa final'!$A$33),"")</f>
        <v/>
      </c>
      <c r="Y24" s="781"/>
      <c r="Z24" s="781" t="str">
        <f>IF(AND('Mapa final'!$K$39="Media",'Mapa final'!$O$39="Moderado"),CONCATENATE("R",'Mapa final'!$A$39),"")</f>
        <v/>
      </c>
      <c r="AA24" s="782"/>
      <c r="AB24" s="764" t="str">
        <f>IF(AND('Mapa final'!$K$28="Media",'Mapa final'!$O$28="Mayor"),CONCATENATE("R",'Mapa final'!$A$28),"")</f>
        <v/>
      </c>
      <c r="AC24" s="760"/>
      <c r="AD24" s="760" t="str">
        <f>IF(AND('Mapa final'!$K$33="Media",'Mapa final'!$O$33="Mayor"),CONCATENATE("R",'Mapa final'!$A$33),"")</f>
        <v/>
      </c>
      <c r="AE24" s="760"/>
      <c r="AF24" s="760" t="str">
        <f>IF(AND('Mapa final'!$K$39="Media",'Mapa final'!$O$39="Mayor"),CONCATENATE("R",'Mapa final'!$A$39),"")</f>
        <v/>
      </c>
      <c r="AG24" s="761"/>
      <c r="AH24" s="771" t="str">
        <f>IF(AND('Mapa final'!$K$28="Media",'Mapa final'!$O$28="Catastrófico"),CONCATENATE("R",'Mapa final'!$A$28),"")</f>
        <v/>
      </c>
      <c r="AI24" s="772"/>
      <c r="AJ24" s="772" t="str">
        <f>IF(AND('Mapa final'!$K$33="Media",'Mapa final'!$O$33="Catastrófico"),CONCATENATE("R",'Mapa final'!$A$33),"")</f>
        <v/>
      </c>
      <c r="AK24" s="772"/>
      <c r="AL24" s="772" t="str">
        <f>IF(AND('Mapa final'!$K$39="Media",'Mapa final'!$O$39="Catastrófico"),CONCATENATE("R",'Mapa final'!$A$39),"")</f>
        <v/>
      </c>
      <c r="AM24" s="773"/>
      <c r="AN24" s="65"/>
      <c r="AO24" s="736"/>
      <c r="AP24" s="737"/>
      <c r="AQ24" s="737"/>
      <c r="AR24" s="737"/>
      <c r="AS24" s="737"/>
      <c r="AT24" s="738"/>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row>
    <row r="25" spans="1:80" x14ac:dyDescent="0.3">
      <c r="A25" s="65"/>
      <c r="B25" s="713"/>
      <c r="C25" s="713"/>
      <c r="D25" s="714"/>
      <c r="E25" s="754"/>
      <c r="F25" s="755"/>
      <c r="G25" s="755"/>
      <c r="H25" s="755"/>
      <c r="I25" s="756"/>
      <c r="J25" s="780"/>
      <c r="K25" s="781"/>
      <c r="L25" s="781"/>
      <c r="M25" s="781"/>
      <c r="N25" s="781"/>
      <c r="O25" s="782"/>
      <c r="P25" s="780"/>
      <c r="Q25" s="781"/>
      <c r="R25" s="781"/>
      <c r="S25" s="781"/>
      <c r="T25" s="781"/>
      <c r="U25" s="782"/>
      <c r="V25" s="780"/>
      <c r="W25" s="781"/>
      <c r="X25" s="781"/>
      <c r="Y25" s="781"/>
      <c r="Z25" s="781"/>
      <c r="AA25" s="782"/>
      <c r="AB25" s="764"/>
      <c r="AC25" s="760"/>
      <c r="AD25" s="760"/>
      <c r="AE25" s="760"/>
      <c r="AF25" s="760"/>
      <c r="AG25" s="761"/>
      <c r="AH25" s="771"/>
      <c r="AI25" s="772"/>
      <c r="AJ25" s="772"/>
      <c r="AK25" s="772"/>
      <c r="AL25" s="772"/>
      <c r="AM25" s="773"/>
      <c r="AN25" s="65"/>
      <c r="AO25" s="736"/>
      <c r="AP25" s="737"/>
      <c r="AQ25" s="737"/>
      <c r="AR25" s="737"/>
      <c r="AS25" s="737"/>
      <c r="AT25" s="738"/>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row>
    <row r="26" spans="1:80" x14ac:dyDescent="0.3">
      <c r="A26" s="65"/>
      <c r="B26" s="713"/>
      <c r="C26" s="713"/>
      <c r="D26" s="714"/>
      <c r="E26" s="754"/>
      <c r="F26" s="755"/>
      <c r="G26" s="755"/>
      <c r="H26" s="755"/>
      <c r="I26" s="756"/>
      <c r="J26" s="780" t="str">
        <f>IF(AND('Mapa final'!$K$45="Media",'Mapa final'!$O$45="Leve"),CONCATENATE("R",'Mapa final'!$A$45),"")</f>
        <v/>
      </c>
      <c r="K26" s="781"/>
      <c r="L26" s="781" t="str">
        <f>IF(AND('Mapa final'!$K$51="Media",'Mapa final'!$O$51="Leve"),CONCATENATE("R",'Mapa final'!$A$51),"")</f>
        <v/>
      </c>
      <c r="M26" s="781"/>
      <c r="N26" s="781" t="str">
        <f>IF(AND('Mapa final'!$K$57="Media",'Mapa final'!$O$57="Leve"),CONCATENATE("R",'Mapa final'!$A$57),"")</f>
        <v/>
      </c>
      <c r="O26" s="782"/>
      <c r="P26" s="780" t="str">
        <f>IF(AND('Mapa final'!$K$45="Media",'Mapa final'!$O$45="Menor"),CONCATENATE("R",'Mapa final'!$A$45),"")</f>
        <v/>
      </c>
      <c r="Q26" s="781"/>
      <c r="R26" s="781" t="str">
        <f>IF(AND('Mapa final'!$K$51="Media",'Mapa final'!$O$51="Menor"),CONCATENATE("R",'Mapa final'!$A$51),"")</f>
        <v/>
      </c>
      <c r="S26" s="781"/>
      <c r="T26" s="781" t="str">
        <f>IF(AND('Mapa final'!$K$57="Media",'Mapa final'!$O$57="Menor"),CONCATENATE("R",'Mapa final'!$A$57),"")</f>
        <v/>
      </c>
      <c r="U26" s="782"/>
      <c r="V26" s="780" t="str">
        <f>IF(AND('Mapa final'!$K$45="Media",'Mapa final'!$O$45="Moderado"),CONCATENATE("R",'Mapa final'!$A$45),"")</f>
        <v/>
      </c>
      <c r="W26" s="781"/>
      <c r="X26" s="781" t="str">
        <f>IF(AND('Mapa final'!$K$51="Media",'Mapa final'!$O$51="Moderado"),CONCATENATE("R",'Mapa final'!$A$51),"")</f>
        <v/>
      </c>
      <c r="Y26" s="781"/>
      <c r="Z26" s="781" t="str">
        <f>IF(AND('Mapa final'!$K$57="Media",'Mapa final'!$O$57="Moderado"),CONCATENATE("R",'Mapa final'!$A$57),"")</f>
        <v/>
      </c>
      <c r="AA26" s="782"/>
      <c r="AB26" s="764" t="str">
        <f>IF(AND('Mapa final'!$K$45="Media",'Mapa final'!$O$45="Mayor"),CONCATENATE("R",'Mapa final'!$A$45),"")</f>
        <v/>
      </c>
      <c r="AC26" s="760"/>
      <c r="AD26" s="760" t="str">
        <f>IF(AND('Mapa final'!$K$51="Media",'Mapa final'!$O$51="Mayor"),CONCATENATE("R",'Mapa final'!$A$51),"")</f>
        <v/>
      </c>
      <c r="AE26" s="760"/>
      <c r="AF26" s="760" t="str">
        <f>IF(AND('Mapa final'!$K$57="Media",'Mapa final'!$O$57="Mayor"),CONCATENATE("R",'Mapa final'!$A$57),"")</f>
        <v/>
      </c>
      <c r="AG26" s="761"/>
      <c r="AH26" s="771" t="str">
        <f>IF(AND('Mapa final'!$K$45="Media",'Mapa final'!$O$45="Catastrófico"),CONCATENATE("R",'Mapa final'!$A$45),"")</f>
        <v/>
      </c>
      <c r="AI26" s="772"/>
      <c r="AJ26" s="772" t="str">
        <f>IF(AND('Mapa final'!$K$51="Media",'Mapa final'!$O$51="Catastrófico"),CONCATENATE("R",'Mapa final'!$A$51),"")</f>
        <v/>
      </c>
      <c r="AK26" s="772"/>
      <c r="AL26" s="772" t="str">
        <f>IF(AND('Mapa final'!$K$57="Media",'Mapa final'!$O$57="Catastrófico"),CONCATENATE("R",'Mapa final'!$A$57),"")</f>
        <v/>
      </c>
      <c r="AM26" s="773"/>
      <c r="AN26" s="65"/>
      <c r="AO26" s="736"/>
      <c r="AP26" s="737"/>
      <c r="AQ26" s="737"/>
      <c r="AR26" s="737"/>
      <c r="AS26" s="737"/>
      <c r="AT26" s="738"/>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row>
    <row r="27" spans="1:80" x14ac:dyDescent="0.3">
      <c r="A27" s="65"/>
      <c r="B27" s="713"/>
      <c r="C27" s="713"/>
      <c r="D27" s="714"/>
      <c r="E27" s="754"/>
      <c r="F27" s="755"/>
      <c r="G27" s="755"/>
      <c r="H27" s="755"/>
      <c r="I27" s="756"/>
      <c r="J27" s="780"/>
      <c r="K27" s="781"/>
      <c r="L27" s="781"/>
      <c r="M27" s="781"/>
      <c r="N27" s="781"/>
      <c r="O27" s="782"/>
      <c r="P27" s="780"/>
      <c r="Q27" s="781"/>
      <c r="R27" s="781"/>
      <c r="S27" s="781"/>
      <c r="T27" s="781"/>
      <c r="U27" s="782"/>
      <c r="V27" s="780"/>
      <c r="W27" s="781"/>
      <c r="X27" s="781"/>
      <c r="Y27" s="781"/>
      <c r="Z27" s="781"/>
      <c r="AA27" s="782"/>
      <c r="AB27" s="764"/>
      <c r="AC27" s="760"/>
      <c r="AD27" s="760"/>
      <c r="AE27" s="760"/>
      <c r="AF27" s="760"/>
      <c r="AG27" s="761"/>
      <c r="AH27" s="771"/>
      <c r="AI27" s="772"/>
      <c r="AJ27" s="772"/>
      <c r="AK27" s="772"/>
      <c r="AL27" s="772"/>
      <c r="AM27" s="773"/>
      <c r="AN27" s="65"/>
      <c r="AO27" s="736"/>
      <c r="AP27" s="737"/>
      <c r="AQ27" s="737"/>
      <c r="AR27" s="737"/>
      <c r="AS27" s="737"/>
      <c r="AT27" s="738"/>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row>
    <row r="28" spans="1:80" x14ac:dyDescent="0.3">
      <c r="A28" s="65"/>
      <c r="B28" s="713"/>
      <c r="C28" s="713"/>
      <c r="D28" s="714"/>
      <c r="E28" s="754"/>
      <c r="F28" s="755"/>
      <c r="G28" s="755"/>
      <c r="H28" s="755"/>
      <c r="I28" s="756"/>
      <c r="J28" s="780" t="str">
        <f>IF(AND('Mapa final'!$K$63="Media",'Mapa final'!$O$63="Leve"),CONCATENATE("R",'Mapa final'!$A$63),"")</f>
        <v/>
      </c>
      <c r="K28" s="781"/>
      <c r="L28" s="781" t="str">
        <f>IF(AND('Mapa final'!$K$69="Media",'Mapa final'!$O$69="Leve"),CONCATENATE("R",'Mapa final'!$A$69),"")</f>
        <v/>
      </c>
      <c r="M28" s="781"/>
      <c r="N28" s="781" t="str">
        <f>IF(AND('Mapa final'!$K$75="Media",'Mapa final'!$O$75="Leve"),CONCATENATE("R",'Mapa final'!$A$75),"")</f>
        <v/>
      </c>
      <c r="O28" s="782"/>
      <c r="P28" s="780" t="str">
        <f>IF(AND('Mapa final'!$K$63="Media",'Mapa final'!$O$63="Menor"),CONCATENATE("R",'Mapa final'!$A$63),"")</f>
        <v/>
      </c>
      <c r="Q28" s="781"/>
      <c r="R28" s="781" t="str">
        <f>IF(AND('Mapa final'!$K$69="Media",'Mapa final'!$O$69="Menor"),CONCATENATE("R",'Mapa final'!$A$69),"")</f>
        <v/>
      </c>
      <c r="S28" s="781"/>
      <c r="T28" s="781" t="str">
        <f>IF(AND('Mapa final'!$K$75="Media",'Mapa final'!$O$75="Menor"),CONCATENATE("R",'Mapa final'!$A$75),"")</f>
        <v/>
      </c>
      <c r="U28" s="782"/>
      <c r="V28" s="780" t="str">
        <f>IF(AND('Mapa final'!$K$63="Media",'Mapa final'!$O$63="Moderado"),CONCATENATE("R",'Mapa final'!$A$63),"")</f>
        <v/>
      </c>
      <c r="W28" s="781"/>
      <c r="X28" s="781" t="str">
        <f>IF(AND('Mapa final'!$K$69="Media",'Mapa final'!$O$69="Moderado"),CONCATENATE("R",'Mapa final'!$A$69),"")</f>
        <v/>
      </c>
      <c r="Y28" s="781"/>
      <c r="Z28" s="781" t="str">
        <f>IF(AND('Mapa final'!$K$75="Media",'Mapa final'!$O$75="Moderado"),CONCATENATE("R",'Mapa final'!$A$75),"")</f>
        <v/>
      </c>
      <c r="AA28" s="782"/>
      <c r="AB28" s="764" t="str">
        <f>IF(AND('Mapa final'!$K$63="Media",'Mapa final'!$O$63="Mayor"),CONCATENATE("R",'Mapa final'!$A$63),"")</f>
        <v/>
      </c>
      <c r="AC28" s="760"/>
      <c r="AD28" s="760" t="str">
        <f>IF(AND('Mapa final'!$K$69="Media",'Mapa final'!$O$69="Mayor"),CONCATENATE("R",'Mapa final'!$A$69),"")</f>
        <v/>
      </c>
      <c r="AE28" s="760"/>
      <c r="AF28" s="760" t="str">
        <f>IF(AND('Mapa final'!$K$75="Media",'Mapa final'!$O$75="Mayor"),CONCATENATE("R",'Mapa final'!$A$75),"")</f>
        <v/>
      </c>
      <c r="AG28" s="761"/>
      <c r="AH28" s="771" t="str">
        <f>IF(AND('Mapa final'!$K$63="Media",'Mapa final'!$O$63="Catastrófico"),CONCATENATE("R",'Mapa final'!$A$63),"")</f>
        <v/>
      </c>
      <c r="AI28" s="772"/>
      <c r="AJ28" s="772" t="str">
        <f>IF(AND('Mapa final'!$K$69="Media",'Mapa final'!$O$69="Catastrófico"),CONCATENATE("R",'Mapa final'!$A$69),"")</f>
        <v/>
      </c>
      <c r="AK28" s="772"/>
      <c r="AL28" s="772" t="str">
        <f>IF(AND('Mapa final'!$K$75="Media",'Mapa final'!$O$75="Catastrófico"),CONCATENATE("R",'Mapa final'!$A$75),"")</f>
        <v/>
      </c>
      <c r="AM28" s="773"/>
      <c r="AN28" s="65"/>
      <c r="AO28" s="736"/>
      <c r="AP28" s="737"/>
      <c r="AQ28" s="737"/>
      <c r="AR28" s="737"/>
      <c r="AS28" s="737"/>
      <c r="AT28" s="738"/>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row>
    <row r="29" spans="1:80" ht="15" thickBot="1" x14ac:dyDescent="0.35">
      <c r="A29" s="65"/>
      <c r="B29" s="713"/>
      <c r="C29" s="713"/>
      <c r="D29" s="714"/>
      <c r="E29" s="757"/>
      <c r="F29" s="758"/>
      <c r="G29" s="758"/>
      <c r="H29" s="758"/>
      <c r="I29" s="759"/>
      <c r="J29" s="780"/>
      <c r="K29" s="781"/>
      <c r="L29" s="781"/>
      <c r="M29" s="781"/>
      <c r="N29" s="781"/>
      <c r="O29" s="782"/>
      <c r="P29" s="783"/>
      <c r="Q29" s="784"/>
      <c r="R29" s="784"/>
      <c r="S29" s="784"/>
      <c r="T29" s="784"/>
      <c r="U29" s="785"/>
      <c r="V29" s="783"/>
      <c r="W29" s="784"/>
      <c r="X29" s="784"/>
      <c r="Y29" s="784"/>
      <c r="Z29" s="784"/>
      <c r="AA29" s="785"/>
      <c r="AB29" s="768"/>
      <c r="AC29" s="769"/>
      <c r="AD29" s="769"/>
      <c r="AE29" s="769"/>
      <c r="AF29" s="769"/>
      <c r="AG29" s="770"/>
      <c r="AH29" s="774"/>
      <c r="AI29" s="775"/>
      <c r="AJ29" s="775"/>
      <c r="AK29" s="775"/>
      <c r="AL29" s="775"/>
      <c r="AM29" s="776"/>
      <c r="AN29" s="65"/>
      <c r="AO29" s="739"/>
      <c r="AP29" s="740"/>
      <c r="AQ29" s="740"/>
      <c r="AR29" s="740"/>
      <c r="AS29" s="740"/>
      <c r="AT29" s="741"/>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row>
    <row r="30" spans="1:80" x14ac:dyDescent="0.3">
      <c r="A30" s="65"/>
      <c r="B30" s="713"/>
      <c r="C30" s="713"/>
      <c r="D30" s="714"/>
      <c r="E30" s="751" t="s">
        <v>109</v>
      </c>
      <c r="F30" s="752"/>
      <c r="G30" s="752"/>
      <c r="H30" s="752"/>
      <c r="I30" s="752"/>
      <c r="J30" s="795" t="str">
        <f>IF(AND('Mapa final'!$K$10="Baja",'Mapa final'!$O$10="Leve"),CONCATENATE("R",'Mapa final'!$A$10),"")</f>
        <v/>
      </c>
      <c r="K30" s="796"/>
      <c r="L30" s="796" t="str">
        <f>IF(AND('Mapa final'!$K$16="Baja",'Mapa final'!$O$16="Leve"),CONCATENATE("R",'Mapa final'!$A$16),"")</f>
        <v/>
      </c>
      <c r="M30" s="796"/>
      <c r="N30" s="796" t="str">
        <f>IF(AND('Mapa final'!$K$22="Baja",'Mapa final'!$O$22="Leve"),CONCATENATE("R",'Mapa final'!$A$22),"")</f>
        <v/>
      </c>
      <c r="O30" s="797"/>
      <c r="P30" s="787" t="str">
        <f>IF(AND('Mapa final'!$K$10="Baja",'Mapa final'!$O$10="Menor"),CONCATENATE("R",'Mapa final'!$A$10),"")</f>
        <v/>
      </c>
      <c r="Q30" s="787"/>
      <c r="R30" s="787" t="str">
        <f>IF(AND('Mapa final'!$K$16="Baja",'Mapa final'!$O$16="Menor"),CONCATENATE("R",'Mapa final'!$A$16),"")</f>
        <v/>
      </c>
      <c r="S30" s="787"/>
      <c r="T30" s="787" t="str">
        <f>IF(AND('Mapa final'!$K$22="Baja",'Mapa final'!$O$22="Menor"),CONCATENATE("R",'Mapa final'!$A$22),"")</f>
        <v/>
      </c>
      <c r="U30" s="788"/>
      <c r="V30" s="786" t="str">
        <f>IF(AND('Mapa final'!$K$10="Baja",'Mapa final'!$O$10="Moderado"),CONCATENATE("R",'Mapa final'!$A$10),"")</f>
        <v/>
      </c>
      <c r="W30" s="787"/>
      <c r="X30" s="787" t="str">
        <f>IF(AND('Mapa final'!$K$16="Baja",'Mapa final'!$O$16="Moderado"),CONCATENATE("R",'Mapa final'!$A$16),"")</f>
        <v/>
      </c>
      <c r="Y30" s="787"/>
      <c r="Z30" s="787" t="str">
        <f>IF(AND('Mapa final'!$K$22="Baja",'Mapa final'!$O$22="Moderado"),CONCATENATE("R",'Mapa final'!$A$22),"")</f>
        <v>R3</v>
      </c>
      <c r="AA30" s="788"/>
      <c r="AB30" s="762" t="str">
        <f>IF(AND('Mapa final'!$K$10="Baja",'Mapa final'!$O$10="Mayor"),CONCATENATE("R",'Mapa final'!$A$10),"")</f>
        <v/>
      </c>
      <c r="AC30" s="763"/>
      <c r="AD30" s="763" t="str">
        <f>IF(AND('Mapa final'!$K$16="Baja",'Mapa final'!$O$16="Mayor"),CONCATENATE("R",'Mapa final'!$A$16),"")</f>
        <v/>
      </c>
      <c r="AE30" s="763"/>
      <c r="AF30" s="763" t="str">
        <f>IF(AND('Mapa final'!$K$22="Baja",'Mapa final'!$O$22="Mayor"),CONCATENATE("R",'Mapa final'!$A$22),"")</f>
        <v/>
      </c>
      <c r="AG30" s="765"/>
      <c r="AH30" s="777" t="str">
        <f>IF(AND('Mapa final'!$K$10="Baja",'Mapa final'!$O$10="Catastrófico"),CONCATENATE("R",'Mapa final'!$A$10),"")</f>
        <v>R1</v>
      </c>
      <c r="AI30" s="778"/>
      <c r="AJ30" s="778" t="str">
        <f>IF(AND('Mapa final'!$K$16="Baja",'Mapa final'!$O$16="Catastrófico"),CONCATENATE("R",'Mapa final'!$A$16),"")</f>
        <v/>
      </c>
      <c r="AK30" s="778"/>
      <c r="AL30" s="778" t="str">
        <f>IF(AND('Mapa final'!$K$22="Baja",'Mapa final'!$O$22="Catastrófico"),CONCATENATE("R",'Mapa final'!$A$22),"")</f>
        <v/>
      </c>
      <c r="AM30" s="779"/>
      <c r="AN30" s="65"/>
      <c r="AO30" s="742" t="s">
        <v>81</v>
      </c>
      <c r="AP30" s="743"/>
      <c r="AQ30" s="743"/>
      <c r="AR30" s="743"/>
      <c r="AS30" s="743"/>
      <c r="AT30" s="744"/>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row>
    <row r="31" spans="1:80" x14ac:dyDescent="0.3">
      <c r="A31" s="65"/>
      <c r="B31" s="713"/>
      <c r="C31" s="713"/>
      <c r="D31" s="714"/>
      <c r="E31" s="754"/>
      <c r="F31" s="755"/>
      <c r="G31" s="755"/>
      <c r="H31" s="755"/>
      <c r="I31" s="755"/>
      <c r="J31" s="791"/>
      <c r="K31" s="789"/>
      <c r="L31" s="789"/>
      <c r="M31" s="789"/>
      <c r="N31" s="789"/>
      <c r="O31" s="790"/>
      <c r="P31" s="781"/>
      <c r="Q31" s="781"/>
      <c r="R31" s="781"/>
      <c r="S31" s="781"/>
      <c r="T31" s="781"/>
      <c r="U31" s="782"/>
      <c r="V31" s="780"/>
      <c r="W31" s="781"/>
      <c r="X31" s="781"/>
      <c r="Y31" s="781"/>
      <c r="Z31" s="781"/>
      <c r="AA31" s="782"/>
      <c r="AB31" s="764"/>
      <c r="AC31" s="760"/>
      <c r="AD31" s="760"/>
      <c r="AE31" s="760"/>
      <c r="AF31" s="760"/>
      <c r="AG31" s="761"/>
      <c r="AH31" s="771"/>
      <c r="AI31" s="772"/>
      <c r="AJ31" s="772"/>
      <c r="AK31" s="772"/>
      <c r="AL31" s="772"/>
      <c r="AM31" s="773"/>
      <c r="AN31" s="65"/>
      <c r="AO31" s="745"/>
      <c r="AP31" s="746"/>
      <c r="AQ31" s="746"/>
      <c r="AR31" s="746"/>
      <c r="AS31" s="746"/>
      <c r="AT31" s="747"/>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row>
    <row r="32" spans="1:80" x14ac:dyDescent="0.3">
      <c r="A32" s="65"/>
      <c r="B32" s="713"/>
      <c r="C32" s="713"/>
      <c r="D32" s="714"/>
      <c r="E32" s="754"/>
      <c r="F32" s="755"/>
      <c r="G32" s="755"/>
      <c r="H32" s="755"/>
      <c r="I32" s="755"/>
      <c r="J32" s="791" t="str">
        <f>IF(AND('Mapa final'!$K$28="Baja",'Mapa final'!$O$28="Leve"),CONCATENATE("R",'Mapa final'!$A$28),"")</f>
        <v/>
      </c>
      <c r="K32" s="789"/>
      <c r="L32" s="789" t="str">
        <f>IF(AND('Mapa final'!$K$33="Baja",'Mapa final'!$O$33="Leve"),CONCATENATE("R",'Mapa final'!$A$33),"")</f>
        <v/>
      </c>
      <c r="M32" s="789"/>
      <c r="N32" s="789" t="str">
        <f>IF(AND('Mapa final'!$K$39="Baja",'Mapa final'!$O$39="Leve"),CONCATENATE("R",'Mapa final'!$A$39),"")</f>
        <v/>
      </c>
      <c r="O32" s="790"/>
      <c r="P32" s="781" t="str">
        <f>IF(AND('Mapa final'!$K$28="Baja",'Mapa final'!$O$28="Menor"),CONCATENATE("R",'Mapa final'!$A$28),"")</f>
        <v/>
      </c>
      <c r="Q32" s="781"/>
      <c r="R32" s="781" t="str">
        <f>IF(AND('Mapa final'!$K$33="Baja",'Mapa final'!$O$33="Menor"),CONCATENATE("R",'Mapa final'!$A$33),"")</f>
        <v/>
      </c>
      <c r="S32" s="781"/>
      <c r="T32" s="781" t="str">
        <f>IF(AND('Mapa final'!$K$39="Baja",'Mapa final'!$O$39="Menor"),CONCATENATE("R",'Mapa final'!$A$39),"")</f>
        <v/>
      </c>
      <c r="U32" s="782"/>
      <c r="V32" s="780" t="str">
        <f>IF(AND('Mapa final'!$K$28="Baja",'Mapa final'!$O$28="Moderado"),CONCATENATE("R",'Mapa final'!$A$28),"")</f>
        <v/>
      </c>
      <c r="W32" s="781"/>
      <c r="X32" s="781" t="str">
        <f>IF(AND('Mapa final'!$K$33="Baja",'Mapa final'!$O$33="Moderado"),CONCATENATE("R",'Mapa final'!$A$33),"")</f>
        <v/>
      </c>
      <c r="Y32" s="781"/>
      <c r="Z32" s="781" t="str">
        <f>IF(AND('Mapa final'!$K$39="Baja",'Mapa final'!$O$39="Moderado"),CONCATENATE("R",'Mapa final'!$A$39),"")</f>
        <v/>
      </c>
      <c r="AA32" s="782"/>
      <c r="AB32" s="764" t="str">
        <f>IF(AND('Mapa final'!$K$28="Baja",'Mapa final'!$O$28="Mayor"),CONCATENATE("R",'Mapa final'!$A$28),"")</f>
        <v/>
      </c>
      <c r="AC32" s="760"/>
      <c r="AD32" s="760" t="str">
        <f>IF(AND('Mapa final'!$K$33="Baja",'Mapa final'!$O$33="Mayor"),CONCATENATE("R",'Mapa final'!$A$33),"")</f>
        <v/>
      </c>
      <c r="AE32" s="760"/>
      <c r="AF32" s="760" t="str">
        <f>IF(AND('Mapa final'!$K$39="Baja",'Mapa final'!$O$39="Mayor"),CONCATENATE("R",'Mapa final'!$A$39),"")</f>
        <v/>
      </c>
      <c r="AG32" s="761"/>
      <c r="AH32" s="771" t="str">
        <f>IF(AND('Mapa final'!$K$28="Baja",'Mapa final'!$O$28="Catastrófico"),CONCATENATE("R",'Mapa final'!$A$28),"")</f>
        <v/>
      </c>
      <c r="AI32" s="772"/>
      <c r="AJ32" s="772" t="str">
        <f>IF(AND('Mapa final'!$K$33="Baja",'Mapa final'!$O$33="Catastrófico"),CONCATENATE("R",'Mapa final'!$A$33),"")</f>
        <v/>
      </c>
      <c r="AK32" s="772"/>
      <c r="AL32" s="772" t="str">
        <f>IF(AND('Mapa final'!$K$39="Baja",'Mapa final'!$O$39="Catastrófico"),CONCATENATE("R",'Mapa final'!$A$39),"")</f>
        <v/>
      </c>
      <c r="AM32" s="773"/>
      <c r="AN32" s="65"/>
      <c r="AO32" s="745"/>
      <c r="AP32" s="746"/>
      <c r="AQ32" s="746"/>
      <c r="AR32" s="746"/>
      <c r="AS32" s="746"/>
      <c r="AT32" s="747"/>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row>
    <row r="33" spans="1:80" x14ac:dyDescent="0.3">
      <c r="A33" s="65"/>
      <c r="B33" s="713"/>
      <c r="C33" s="713"/>
      <c r="D33" s="714"/>
      <c r="E33" s="754"/>
      <c r="F33" s="755"/>
      <c r="G33" s="755"/>
      <c r="H33" s="755"/>
      <c r="I33" s="755"/>
      <c r="J33" s="791"/>
      <c r="K33" s="789"/>
      <c r="L33" s="789"/>
      <c r="M33" s="789"/>
      <c r="N33" s="789"/>
      <c r="O33" s="790"/>
      <c r="P33" s="781"/>
      <c r="Q33" s="781"/>
      <c r="R33" s="781"/>
      <c r="S33" s="781"/>
      <c r="T33" s="781"/>
      <c r="U33" s="782"/>
      <c r="V33" s="780"/>
      <c r="W33" s="781"/>
      <c r="X33" s="781"/>
      <c r="Y33" s="781"/>
      <c r="Z33" s="781"/>
      <c r="AA33" s="782"/>
      <c r="AB33" s="764"/>
      <c r="AC33" s="760"/>
      <c r="AD33" s="760"/>
      <c r="AE33" s="760"/>
      <c r="AF33" s="760"/>
      <c r="AG33" s="761"/>
      <c r="AH33" s="771"/>
      <c r="AI33" s="772"/>
      <c r="AJ33" s="772"/>
      <c r="AK33" s="772"/>
      <c r="AL33" s="772"/>
      <c r="AM33" s="773"/>
      <c r="AN33" s="65"/>
      <c r="AO33" s="745"/>
      <c r="AP33" s="746"/>
      <c r="AQ33" s="746"/>
      <c r="AR33" s="746"/>
      <c r="AS33" s="746"/>
      <c r="AT33" s="747"/>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row>
    <row r="34" spans="1:80" x14ac:dyDescent="0.3">
      <c r="A34" s="65"/>
      <c r="B34" s="713"/>
      <c r="C34" s="713"/>
      <c r="D34" s="714"/>
      <c r="E34" s="754"/>
      <c r="F34" s="755"/>
      <c r="G34" s="755"/>
      <c r="H34" s="755"/>
      <c r="I34" s="755"/>
      <c r="J34" s="791" t="str">
        <f>IF(AND('Mapa final'!$K$45="Baja",'Mapa final'!$O$45="Leve"),CONCATENATE("R",'Mapa final'!$A$45),"")</f>
        <v/>
      </c>
      <c r="K34" s="789"/>
      <c r="L34" s="789" t="str">
        <f>IF(AND('Mapa final'!$K$51="Baja",'Mapa final'!$O$51="Leve"),CONCATENATE("R",'Mapa final'!$A$51),"")</f>
        <v/>
      </c>
      <c r="M34" s="789"/>
      <c r="N34" s="789" t="str">
        <f>IF(AND('Mapa final'!$K$57="Baja",'Mapa final'!$O$57="Leve"),CONCATENATE("R",'Mapa final'!$A$57),"")</f>
        <v/>
      </c>
      <c r="O34" s="790"/>
      <c r="P34" s="781" t="str">
        <f>IF(AND('Mapa final'!$K$45="Baja",'Mapa final'!$O$45="Menor"),CONCATENATE("R",'Mapa final'!$A$45),"")</f>
        <v/>
      </c>
      <c r="Q34" s="781"/>
      <c r="R34" s="781" t="str">
        <f>IF(AND('Mapa final'!$K$51="Baja",'Mapa final'!$O$51="Menor"),CONCATENATE("R",'Mapa final'!$A$51),"")</f>
        <v/>
      </c>
      <c r="S34" s="781"/>
      <c r="T34" s="781" t="str">
        <f>IF(AND('Mapa final'!$K$57="Baja",'Mapa final'!$O$57="Menor"),CONCATENATE("R",'Mapa final'!$A$57),"")</f>
        <v/>
      </c>
      <c r="U34" s="782"/>
      <c r="V34" s="780" t="str">
        <f>IF(AND('Mapa final'!$K$45="Baja",'Mapa final'!$O$45="Moderado"),CONCATENATE("R",'Mapa final'!$A$45),"")</f>
        <v/>
      </c>
      <c r="W34" s="781"/>
      <c r="X34" s="781" t="str">
        <f>IF(AND('Mapa final'!$K$51="Baja",'Mapa final'!$O$51="Moderado"),CONCATENATE("R",'Mapa final'!$A$51),"")</f>
        <v/>
      </c>
      <c r="Y34" s="781"/>
      <c r="Z34" s="781" t="str">
        <f>IF(AND('Mapa final'!$K$57="Baja",'Mapa final'!$O$57="Moderado"),CONCATENATE("R",'Mapa final'!$A$57),"")</f>
        <v/>
      </c>
      <c r="AA34" s="782"/>
      <c r="AB34" s="764" t="str">
        <f>IF(AND('Mapa final'!$K$45="Baja",'Mapa final'!$O$45="Mayor"),CONCATENATE("R",'Mapa final'!$A$45),"")</f>
        <v/>
      </c>
      <c r="AC34" s="760"/>
      <c r="AD34" s="760" t="str">
        <f>IF(AND('Mapa final'!$K$51="Baja",'Mapa final'!$O$51="Mayor"),CONCATENATE("R",'Mapa final'!$A$51),"")</f>
        <v/>
      </c>
      <c r="AE34" s="760"/>
      <c r="AF34" s="760" t="str">
        <f>IF(AND('Mapa final'!$K$57="Baja",'Mapa final'!$O$57="Mayor"),CONCATENATE("R",'Mapa final'!$A$57),"")</f>
        <v/>
      </c>
      <c r="AG34" s="761"/>
      <c r="AH34" s="771" t="str">
        <f>IF(AND('Mapa final'!$K$45="Baja",'Mapa final'!$O$45="Catastrófico"),CONCATENATE("R",'Mapa final'!$A$45),"")</f>
        <v/>
      </c>
      <c r="AI34" s="772"/>
      <c r="AJ34" s="772" t="str">
        <f>IF(AND('Mapa final'!$K$51="Baja",'Mapa final'!$O$51="Catastrófico"),CONCATENATE("R",'Mapa final'!$A$51),"")</f>
        <v/>
      </c>
      <c r="AK34" s="772"/>
      <c r="AL34" s="772" t="str">
        <f>IF(AND('Mapa final'!$K$57="Baja",'Mapa final'!$O$57="Catastrófico"),CONCATENATE("R",'Mapa final'!$A$57),"")</f>
        <v/>
      </c>
      <c r="AM34" s="773"/>
      <c r="AN34" s="65"/>
      <c r="AO34" s="745"/>
      <c r="AP34" s="746"/>
      <c r="AQ34" s="746"/>
      <c r="AR34" s="746"/>
      <c r="AS34" s="746"/>
      <c r="AT34" s="747"/>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row>
    <row r="35" spans="1:80" x14ac:dyDescent="0.3">
      <c r="A35" s="65"/>
      <c r="B35" s="713"/>
      <c r="C35" s="713"/>
      <c r="D35" s="714"/>
      <c r="E35" s="754"/>
      <c r="F35" s="755"/>
      <c r="G35" s="755"/>
      <c r="H35" s="755"/>
      <c r="I35" s="755"/>
      <c r="J35" s="791"/>
      <c r="K35" s="789"/>
      <c r="L35" s="789"/>
      <c r="M35" s="789"/>
      <c r="N35" s="789"/>
      <c r="O35" s="790"/>
      <c r="P35" s="781"/>
      <c r="Q35" s="781"/>
      <c r="R35" s="781"/>
      <c r="S35" s="781"/>
      <c r="T35" s="781"/>
      <c r="U35" s="782"/>
      <c r="V35" s="780"/>
      <c r="W35" s="781"/>
      <c r="X35" s="781"/>
      <c r="Y35" s="781"/>
      <c r="Z35" s="781"/>
      <c r="AA35" s="782"/>
      <c r="AB35" s="764"/>
      <c r="AC35" s="760"/>
      <c r="AD35" s="760"/>
      <c r="AE35" s="760"/>
      <c r="AF35" s="760"/>
      <c r="AG35" s="761"/>
      <c r="AH35" s="771"/>
      <c r="AI35" s="772"/>
      <c r="AJ35" s="772"/>
      <c r="AK35" s="772"/>
      <c r="AL35" s="772"/>
      <c r="AM35" s="773"/>
      <c r="AN35" s="65"/>
      <c r="AO35" s="745"/>
      <c r="AP35" s="746"/>
      <c r="AQ35" s="746"/>
      <c r="AR35" s="746"/>
      <c r="AS35" s="746"/>
      <c r="AT35" s="747"/>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row>
    <row r="36" spans="1:80" x14ac:dyDescent="0.3">
      <c r="A36" s="65"/>
      <c r="B36" s="713"/>
      <c r="C36" s="713"/>
      <c r="D36" s="714"/>
      <c r="E36" s="754"/>
      <c r="F36" s="755"/>
      <c r="G36" s="755"/>
      <c r="H36" s="755"/>
      <c r="I36" s="755"/>
      <c r="J36" s="791" t="str">
        <f>IF(AND('Mapa final'!$K$63="Baja",'Mapa final'!$O$63="Leve"),CONCATENATE("R",'Mapa final'!$A$63),"")</f>
        <v/>
      </c>
      <c r="K36" s="789"/>
      <c r="L36" s="789" t="str">
        <f>IF(AND('Mapa final'!$K$69="Baja",'Mapa final'!$O$69="Leve"),CONCATENATE("R",'Mapa final'!$A$69),"")</f>
        <v/>
      </c>
      <c r="M36" s="789"/>
      <c r="N36" s="789" t="str">
        <f>IF(AND('Mapa final'!$K$75="Baja",'Mapa final'!$O$75="Leve"),CONCATENATE("R",'Mapa final'!$A$75),"")</f>
        <v/>
      </c>
      <c r="O36" s="790"/>
      <c r="P36" s="781" t="str">
        <f>IF(AND('Mapa final'!$K$63="Baja",'Mapa final'!$O$63="Menor"),CONCATENATE("R",'Mapa final'!$A$63),"")</f>
        <v/>
      </c>
      <c r="Q36" s="781"/>
      <c r="R36" s="781" t="str">
        <f>IF(AND('Mapa final'!$K$69="Baja",'Mapa final'!$O$69="Menor"),CONCATENATE("R",'Mapa final'!$A$69),"")</f>
        <v/>
      </c>
      <c r="S36" s="781"/>
      <c r="T36" s="781" t="str">
        <f>IF(AND('Mapa final'!$K$75="Baja",'Mapa final'!$O$75="Menor"),CONCATENATE("R",'Mapa final'!$A$75),"")</f>
        <v/>
      </c>
      <c r="U36" s="782"/>
      <c r="V36" s="780" t="str">
        <f>IF(AND('Mapa final'!$K$63="Baja",'Mapa final'!$O$63="Moderado"),CONCATENATE("R",'Mapa final'!$A$63),"")</f>
        <v/>
      </c>
      <c r="W36" s="781"/>
      <c r="X36" s="781" t="str">
        <f>IF(AND('Mapa final'!$K$69="Baja",'Mapa final'!$O$69="Moderado"),CONCATENATE("R",'Mapa final'!$A$69),"")</f>
        <v/>
      </c>
      <c r="Y36" s="781"/>
      <c r="Z36" s="781" t="str">
        <f>IF(AND('Mapa final'!$K$75="Baja",'Mapa final'!$O$75="Moderado"),CONCATENATE("R",'Mapa final'!$A$75),"")</f>
        <v/>
      </c>
      <c r="AA36" s="782"/>
      <c r="AB36" s="764" t="str">
        <f>IF(AND('Mapa final'!$K$63="Baja",'Mapa final'!$O$63="Mayor"),CONCATENATE("R",'Mapa final'!$A$63),"")</f>
        <v/>
      </c>
      <c r="AC36" s="760"/>
      <c r="AD36" s="760" t="str">
        <f>IF(AND('Mapa final'!$K$69="Baja",'Mapa final'!$O$69="Mayor"),CONCATENATE("R",'Mapa final'!$A$69),"")</f>
        <v/>
      </c>
      <c r="AE36" s="760"/>
      <c r="AF36" s="760" t="str">
        <f>IF(AND('Mapa final'!$K$75="Baja",'Mapa final'!$O$75="Mayor"),CONCATENATE("R",'Mapa final'!$A$75),"")</f>
        <v/>
      </c>
      <c r="AG36" s="761"/>
      <c r="AH36" s="771" t="str">
        <f>IF(AND('Mapa final'!$K$63="Baja",'Mapa final'!$O$63="Catastrófico"),CONCATENATE("R",'Mapa final'!$A$63),"")</f>
        <v/>
      </c>
      <c r="AI36" s="772"/>
      <c r="AJ36" s="772" t="str">
        <f>IF(AND('Mapa final'!$K$69="Baja",'Mapa final'!$O$69="Catastrófico"),CONCATENATE("R",'Mapa final'!$A$69),"")</f>
        <v/>
      </c>
      <c r="AK36" s="772"/>
      <c r="AL36" s="772" t="str">
        <f>IF(AND('Mapa final'!$K$75="Baja",'Mapa final'!$O$75="Catastrófico"),CONCATENATE("R",'Mapa final'!$A$75),"")</f>
        <v/>
      </c>
      <c r="AM36" s="773"/>
      <c r="AN36" s="65"/>
      <c r="AO36" s="745"/>
      <c r="AP36" s="746"/>
      <c r="AQ36" s="746"/>
      <c r="AR36" s="746"/>
      <c r="AS36" s="746"/>
      <c r="AT36" s="747"/>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row>
    <row r="37" spans="1:80" ht="15" thickBot="1" x14ac:dyDescent="0.35">
      <c r="A37" s="65"/>
      <c r="B37" s="713"/>
      <c r="C37" s="713"/>
      <c r="D37" s="714"/>
      <c r="E37" s="757"/>
      <c r="F37" s="758"/>
      <c r="G37" s="758"/>
      <c r="H37" s="758"/>
      <c r="I37" s="758"/>
      <c r="J37" s="792"/>
      <c r="K37" s="793"/>
      <c r="L37" s="793"/>
      <c r="M37" s="793"/>
      <c r="N37" s="793"/>
      <c r="O37" s="794"/>
      <c r="P37" s="784"/>
      <c r="Q37" s="784"/>
      <c r="R37" s="784"/>
      <c r="S37" s="784"/>
      <c r="T37" s="784"/>
      <c r="U37" s="785"/>
      <c r="V37" s="783"/>
      <c r="W37" s="784"/>
      <c r="X37" s="784"/>
      <c r="Y37" s="784"/>
      <c r="Z37" s="784"/>
      <c r="AA37" s="785"/>
      <c r="AB37" s="768"/>
      <c r="AC37" s="769"/>
      <c r="AD37" s="769"/>
      <c r="AE37" s="769"/>
      <c r="AF37" s="769"/>
      <c r="AG37" s="770"/>
      <c r="AH37" s="774"/>
      <c r="AI37" s="775"/>
      <c r="AJ37" s="775"/>
      <c r="AK37" s="775"/>
      <c r="AL37" s="775"/>
      <c r="AM37" s="776"/>
      <c r="AN37" s="65"/>
      <c r="AO37" s="748"/>
      <c r="AP37" s="749"/>
      <c r="AQ37" s="749"/>
      <c r="AR37" s="749"/>
      <c r="AS37" s="749"/>
      <c r="AT37" s="750"/>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row>
    <row r="38" spans="1:80" x14ac:dyDescent="0.3">
      <c r="A38" s="65"/>
      <c r="B38" s="713"/>
      <c r="C38" s="713"/>
      <c r="D38" s="714"/>
      <c r="E38" s="751" t="s">
        <v>108</v>
      </c>
      <c r="F38" s="752"/>
      <c r="G38" s="752"/>
      <c r="H38" s="752"/>
      <c r="I38" s="753"/>
      <c r="J38" s="795" t="str">
        <f>IF(AND('Mapa final'!$K$10="Muy Baja",'Mapa final'!$O$10="Leve"),CONCATENATE("R",'Mapa final'!$A$10),"")</f>
        <v/>
      </c>
      <c r="K38" s="796"/>
      <c r="L38" s="796" t="str">
        <f>IF(AND('Mapa final'!$K$16="Muy Baja",'Mapa final'!$O$16="Leve"),CONCATENATE("R",'Mapa final'!$A$16),"")</f>
        <v/>
      </c>
      <c r="M38" s="796"/>
      <c r="N38" s="796" t="str">
        <f>IF(AND('Mapa final'!$K$22="Muy Baja",'Mapa final'!$O$22="Leve"),CONCATENATE("R",'Mapa final'!$A$22),"")</f>
        <v/>
      </c>
      <c r="O38" s="797"/>
      <c r="P38" s="795" t="str">
        <f>IF(AND('Mapa final'!$K$10="Muy Baja",'Mapa final'!$O$10="Menor"),CONCATENATE("R",'Mapa final'!$A$10),"")</f>
        <v/>
      </c>
      <c r="Q38" s="796"/>
      <c r="R38" s="796" t="str">
        <f>IF(AND('Mapa final'!$K$16="Muy Baja",'Mapa final'!$O$16="Menor"),CONCATENATE("R",'Mapa final'!$A$16),"")</f>
        <v/>
      </c>
      <c r="S38" s="796"/>
      <c r="T38" s="796" t="str">
        <f>IF(AND('Mapa final'!$K$22="Muy Baja",'Mapa final'!$O$22="Menor"),CONCATENATE("R",'Mapa final'!$A$22),"")</f>
        <v/>
      </c>
      <c r="U38" s="797"/>
      <c r="V38" s="786" t="str">
        <f>IF(AND('Mapa final'!$K$10="Muy Baja",'Mapa final'!$O$10="Moderado"),CONCATENATE("R",'Mapa final'!$A$10),"")</f>
        <v/>
      </c>
      <c r="W38" s="787"/>
      <c r="X38" s="787" t="str">
        <f>IF(AND('Mapa final'!$K$16="Muy Baja",'Mapa final'!$O$16="Moderado"),CONCATENATE("R",'Mapa final'!$A$16),"")</f>
        <v/>
      </c>
      <c r="Y38" s="787"/>
      <c r="Z38" s="787" t="str">
        <f>IF(AND('Mapa final'!$K$22="Muy Baja",'Mapa final'!$O$22="Moderado"),CONCATENATE("R",'Mapa final'!$A$22),"")</f>
        <v/>
      </c>
      <c r="AA38" s="788"/>
      <c r="AB38" s="762" t="str">
        <f>IF(AND('Mapa final'!$K$10="Muy Baja",'Mapa final'!$O$10="Mayor"),CONCATENATE("R",'Mapa final'!$A$10),"")</f>
        <v/>
      </c>
      <c r="AC38" s="763"/>
      <c r="AD38" s="763" t="str">
        <f>IF(AND('Mapa final'!$K$16="Muy Baja",'Mapa final'!$O$16="Mayor"),CONCATENATE("R",'Mapa final'!$A$16),"")</f>
        <v/>
      </c>
      <c r="AE38" s="763"/>
      <c r="AF38" s="763" t="str">
        <f>IF(AND('Mapa final'!$K$22="Muy Baja",'Mapa final'!$O$22="Mayor"),CONCATENATE("R",'Mapa final'!$A$22),"")</f>
        <v/>
      </c>
      <c r="AG38" s="765"/>
      <c r="AH38" s="777" t="str">
        <f>IF(AND('Mapa final'!$K$10="Muy Baja",'Mapa final'!$O$10="Catastrófico"),CONCATENATE("R",'Mapa final'!$A$10),"")</f>
        <v/>
      </c>
      <c r="AI38" s="778"/>
      <c r="AJ38" s="778" t="str">
        <f>IF(AND('Mapa final'!$K$16="Muy Baja",'Mapa final'!$O$16="Catastrófico"),CONCATENATE("R",'Mapa final'!$A$16),"")</f>
        <v/>
      </c>
      <c r="AK38" s="778"/>
      <c r="AL38" s="778" t="str">
        <f>IF(AND('Mapa final'!$K$22="Muy Baja",'Mapa final'!$O$22="Catastrófico"),CONCATENATE("R",'Mapa final'!$A$22),"")</f>
        <v/>
      </c>
      <c r="AM38" s="779"/>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row>
    <row r="39" spans="1:80" x14ac:dyDescent="0.3">
      <c r="A39" s="65"/>
      <c r="B39" s="713"/>
      <c r="C39" s="713"/>
      <c r="D39" s="714"/>
      <c r="E39" s="754"/>
      <c r="F39" s="755"/>
      <c r="G39" s="755"/>
      <c r="H39" s="755"/>
      <c r="I39" s="756"/>
      <c r="J39" s="791"/>
      <c r="K39" s="789"/>
      <c r="L39" s="789"/>
      <c r="M39" s="789"/>
      <c r="N39" s="789"/>
      <c r="O39" s="790"/>
      <c r="P39" s="791"/>
      <c r="Q39" s="789"/>
      <c r="R39" s="789"/>
      <c r="S39" s="789"/>
      <c r="T39" s="789"/>
      <c r="U39" s="790"/>
      <c r="V39" s="780"/>
      <c r="W39" s="781"/>
      <c r="X39" s="781"/>
      <c r="Y39" s="781"/>
      <c r="Z39" s="781"/>
      <c r="AA39" s="782"/>
      <c r="AB39" s="764"/>
      <c r="AC39" s="760"/>
      <c r="AD39" s="760"/>
      <c r="AE39" s="760"/>
      <c r="AF39" s="760"/>
      <c r="AG39" s="761"/>
      <c r="AH39" s="771"/>
      <c r="AI39" s="772"/>
      <c r="AJ39" s="772"/>
      <c r="AK39" s="772"/>
      <c r="AL39" s="772"/>
      <c r="AM39" s="773"/>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row>
    <row r="40" spans="1:80" x14ac:dyDescent="0.3">
      <c r="A40" s="65"/>
      <c r="B40" s="713"/>
      <c r="C40" s="713"/>
      <c r="D40" s="714"/>
      <c r="E40" s="754"/>
      <c r="F40" s="755"/>
      <c r="G40" s="755"/>
      <c r="H40" s="755"/>
      <c r="I40" s="756"/>
      <c r="J40" s="791" t="str">
        <f>IF(AND('Mapa final'!$K$28="Muy Baja",'Mapa final'!$O$28="Leve"),CONCATENATE("R",'Mapa final'!$A$28),"")</f>
        <v>R4</v>
      </c>
      <c r="K40" s="789"/>
      <c r="L40" s="789" t="str">
        <f>IF(AND('Mapa final'!$K$33="Muy Baja",'Mapa final'!$O$33="Leve"),CONCATENATE("R",'Mapa final'!$A$33),"")</f>
        <v/>
      </c>
      <c r="M40" s="789"/>
      <c r="N40" s="789" t="str">
        <f>IF(AND('Mapa final'!$K$39="Muy Baja",'Mapa final'!$O$39="Leve"),CONCATENATE("R",'Mapa final'!$A$39),"")</f>
        <v/>
      </c>
      <c r="O40" s="790"/>
      <c r="P40" s="791" t="str">
        <f>IF(AND('Mapa final'!$K$28="Muy Baja",'Mapa final'!$O$28="Menor"),CONCATENATE("R",'Mapa final'!$A$28),"")</f>
        <v/>
      </c>
      <c r="Q40" s="789"/>
      <c r="R40" s="789" t="str">
        <f>IF(AND('Mapa final'!$K$33="Muy Baja",'Mapa final'!$O$33="Menor"),CONCATENATE("R",'Mapa final'!$A$33),"")</f>
        <v/>
      </c>
      <c r="S40" s="789"/>
      <c r="T40" s="789" t="str">
        <f>IF(AND('Mapa final'!$K$39="Muy Baja",'Mapa final'!$O$39="Menor"),CONCATENATE("R",'Mapa final'!$A$39),"")</f>
        <v/>
      </c>
      <c r="U40" s="790"/>
      <c r="V40" s="780" t="str">
        <f>IF(AND('Mapa final'!$K$28="Muy Baja",'Mapa final'!$O$28="Moderado"),CONCATENATE("R",'Mapa final'!$A$28),"")</f>
        <v/>
      </c>
      <c r="W40" s="781"/>
      <c r="X40" s="781" t="str">
        <f>IF(AND('Mapa final'!$K$33="Muy Baja",'Mapa final'!$O$33="Moderado"),CONCATENATE("R",'Mapa final'!$A$33),"")</f>
        <v/>
      </c>
      <c r="Y40" s="781"/>
      <c r="Z40" s="781" t="str">
        <f>IF(AND('Mapa final'!$K$39="Muy Baja",'Mapa final'!$O$39="Moderado"),CONCATENATE("R",'Mapa final'!$A$39),"")</f>
        <v/>
      </c>
      <c r="AA40" s="782"/>
      <c r="AB40" s="764" t="str">
        <f>IF(AND('Mapa final'!$K$28="Muy Baja",'Mapa final'!$O$28="Mayor"),CONCATENATE("R",'Mapa final'!$A$28),"")</f>
        <v/>
      </c>
      <c r="AC40" s="760"/>
      <c r="AD40" s="760" t="str">
        <f>IF(AND('Mapa final'!$K$33="Muy Baja",'Mapa final'!$O$33="Mayor"),CONCATENATE("R",'Mapa final'!$A$33),"")</f>
        <v/>
      </c>
      <c r="AE40" s="760"/>
      <c r="AF40" s="760" t="str">
        <f>IF(AND('Mapa final'!$K$39="Muy Baja",'Mapa final'!$O$39="Mayor"),CONCATENATE("R",'Mapa final'!$A$39),"")</f>
        <v/>
      </c>
      <c r="AG40" s="761"/>
      <c r="AH40" s="771" t="str">
        <f>IF(AND('Mapa final'!$K$28="Muy Baja",'Mapa final'!$O$28="Catastrófico"),CONCATENATE("R",'Mapa final'!$A$28),"")</f>
        <v/>
      </c>
      <c r="AI40" s="772"/>
      <c r="AJ40" s="772" t="str">
        <f>IF(AND('Mapa final'!$K$33="Muy Baja",'Mapa final'!$O$33="Catastrófico"),CONCATENATE("R",'Mapa final'!$A$33),"")</f>
        <v/>
      </c>
      <c r="AK40" s="772"/>
      <c r="AL40" s="772" t="str">
        <f>IF(AND('Mapa final'!$K$39="Muy Baja",'Mapa final'!$O$39="Catastrófico"),CONCATENATE("R",'Mapa final'!$A$39),"")</f>
        <v/>
      </c>
      <c r="AM40" s="773"/>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row>
    <row r="41" spans="1:80" x14ac:dyDescent="0.3">
      <c r="A41" s="65"/>
      <c r="B41" s="713"/>
      <c r="C41" s="713"/>
      <c r="D41" s="714"/>
      <c r="E41" s="754"/>
      <c r="F41" s="755"/>
      <c r="G41" s="755"/>
      <c r="H41" s="755"/>
      <c r="I41" s="756"/>
      <c r="J41" s="791"/>
      <c r="K41" s="789"/>
      <c r="L41" s="789"/>
      <c r="M41" s="789"/>
      <c r="N41" s="789"/>
      <c r="O41" s="790"/>
      <c r="P41" s="791"/>
      <c r="Q41" s="789"/>
      <c r="R41" s="789"/>
      <c r="S41" s="789"/>
      <c r="T41" s="789"/>
      <c r="U41" s="790"/>
      <c r="V41" s="780"/>
      <c r="W41" s="781"/>
      <c r="X41" s="781"/>
      <c r="Y41" s="781"/>
      <c r="Z41" s="781"/>
      <c r="AA41" s="782"/>
      <c r="AB41" s="764"/>
      <c r="AC41" s="760"/>
      <c r="AD41" s="760"/>
      <c r="AE41" s="760"/>
      <c r="AF41" s="760"/>
      <c r="AG41" s="761"/>
      <c r="AH41" s="771"/>
      <c r="AI41" s="772"/>
      <c r="AJ41" s="772"/>
      <c r="AK41" s="772"/>
      <c r="AL41" s="772"/>
      <c r="AM41" s="773"/>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row>
    <row r="42" spans="1:80" x14ac:dyDescent="0.3">
      <c r="A42" s="65"/>
      <c r="B42" s="713"/>
      <c r="C42" s="713"/>
      <c r="D42" s="714"/>
      <c r="E42" s="754"/>
      <c r="F42" s="755"/>
      <c r="G42" s="755"/>
      <c r="H42" s="755"/>
      <c r="I42" s="756"/>
      <c r="J42" s="791" t="str">
        <f>IF(AND('Mapa final'!$K$45="Muy Baja",'Mapa final'!$O$45="Leve"),CONCATENATE("R",'Mapa final'!$A$45),"")</f>
        <v/>
      </c>
      <c r="K42" s="789"/>
      <c r="L42" s="789" t="str">
        <f>IF(AND('Mapa final'!$K$51="Muy Baja",'Mapa final'!$O$51="Leve"),CONCATENATE("R",'Mapa final'!$A$51),"")</f>
        <v/>
      </c>
      <c r="M42" s="789"/>
      <c r="N42" s="789" t="str">
        <f>IF(AND('Mapa final'!$K$57="Muy Baja",'Mapa final'!$O$57="Leve"),CONCATENATE("R",'Mapa final'!$A$57),"")</f>
        <v/>
      </c>
      <c r="O42" s="790"/>
      <c r="P42" s="791" t="str">
        <f>IF(AND('Mapa final'!$K$45="Muy Baja",'Mapa final'!$O$45="Menor"),CONCATENATE("R",'Mapa final'!$A$45),"")</f>
        <v/>
      </c>
      <c r="Q42" s="789"/>
      <c r="R42" s="789" t="str">
        <f>IF(AND('Mapa final'!$K$51="Muy Baja",'Mapa final'!$O$51="Menor"),CONCATENATE("R",'Mapa final'!$A$51),"")</f>
        <v/>
      </c>
      <c r="S42" s="789"/>
      <c r="T42" s="789" t="str">
        <f>IF(AND('Mapa final'!$K$57="Muy Baja",'Mapa final'!$O$57="Menor"),CONCATENATE("R",'Mapa final'!$A$57),"")</f>
        <v/>
      </c>
      <c r="U42" s="790"/>
      <c r="V42" s="780" t="str">
        <f>IF(AND('Mapa final'!$K$45="Muy Baja",'Mapa final'!$O$45="Moderado"),CONCATENATE("R",'Mapa final'!$A$45),"")</f>
        <v/>
      </c>
      <c r="W42" s="781"/>
      <c r="X42" s="781" t="str">
        <f>IF(AND('Mapa final'!$K$51="Muy Baja",'Mapa final'!$O$51="Moderado"),CONCATENATE("R",'Mapa final'!$A$51),"")</f>
        <v/>
      </c>
      <c r="Y42" s="781"/>
      <c r="Z42" s="781" t="str">
        <f>IF(AND('Mapa final'!$K$57="Muy Baja",'Mapa final'!$O$57="Moderado"),CONCATENATE("R",'Mapa final'!$A$57),"")</f>
        <v/>
      </c>
      <c r="AA42" s="782"/>
      <c r="AB42" s="764" t="str">
        <f>IF(AND('Mapa final'!$K$45="Muy Baja",'Mapa final'!$O$45="Mayor"),CONCATENATE("R",'Mapa final'!$A$45),"")</f>
        <v/>
      </c>
      <c r="AC42" s="760"/>
      <c r="AD42" s="760" t="str">
        <f>IF(AND('Mapa final'!$K$51="Muy Baja",'Mapa final'!$O$51="Mayor"),CONCATENATE("R",'Mapa final'!$A$51),"")</f>
        <v/>
      </c>
      <c r="AE42" s="760"/>
      <c r="AF42" s="760" t="str">
        <f>IF(AND('Mapa final'!$K$57="Muy Baja",'Mapa final'!$O$57="Mayor"),CONCATENATE("R",'Mapa final'!$A$57),"")</f>
        <v/>
      </c>
      <c r="AG42" s="761"/>
      <c r="AH42" s="771" t="str">
        <f>IF(AND('Mapa final'!$K$45="Muy Baja",'Mapa final'!$O$45="Catastrófico"),CONCATENATE("R",'Mapa final'!$A$45),"")</f>
        <v/>
      </c>
      <c r="AI42" s="772"/>
      <c r="AJ42" s="772" t="str">
        <f>IF(AND('Mapa final'!$K$51="Muy Baja",'Mapa final'!$O$51="Catastrófico"),CONCATENATE("R",'Mapa final'!$A$51),"")</f>
        <v/>
      </c>
      <c r="AK42" s="772"/>
      <c r="AL42" s="772" t="str">
        <f>IF(AND('Mapa final'!$K$57="Muy Baja",'Mapa final'!$O$57="Catastrófico"),CONCATENATE("R",'Mapa final'!$A$57),"")</f>
        <v/>
      </c>
      <c r="AM42" s="773"/>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row>
    <row r="43" spans="1:80" x14ac:dyDescent="0.3">
      <c r="A43" s="65"/>
      <c r="B43" s="713"/>
      <c r="C43" s="713"/>
      <c r="D43" s="714"/>
      <c r="E43" s="754"/>
      <c r="F43" s="755"/>
      <c r="G43" s="755"/>
      <c r="H43" s="755"/>
      <c r="I43" s="756"/>
      <c r="J43" s="791"/>
      <c r="K43" s="789"/>
      <c r="L43" s="789"/>
      <c r="M43" s="789"/>
      <c r="N43" s="789"/>
      <c r="O43" s="790"/>
      <c r="P43" s="791"/>
      <c r="Q43" s="789"/>
      <c r="R43" s="789"/>
      <c r="S43" s="789"/>
      <c r="T43" s="789"/>
      <c r="U43" s="790"/>
      <c r="V43" s="780"/>
      <c r="W43" s="781"/>
      <c r="X43" s="781"/>
      <c r="Y43" s="781"/>
      <c r="Z43" s="781"/>
      <c r="AA43" s="782"/>
      <c r="AB43" s="764"/>
      <c r="AC43" s="760"/>
      <c r="AD43" s="760"/>
      <c r="AE43" s="760"/>
      <c r="AF43" s="760"/>
      <c r="AG43" s="761"/>
      <c r="AH43" s="771"/>
      <c r="AI43" s="772"/>
      <c r="AJ43" s="772"/>
      <c r="AK43" s="772"/>
      <c r="AL43" s="772"/>
      <c r="AM43" s="773"/>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row>
    <row r="44" spans="1:80" x14ac:dyDescent="0.3">
      <c r="A44" s="65"/>
      <c r="B44" s="713"/>
      <c r="C44" s="713"/>
      <c r="D44" s="714"/>
      <c r="E44" s="754"/>
      <c r="F44" s="755"/>
      <c r="G44" s="755"/>
      <c r="H44" s="755"/>
      <c r="I44" s="756"/>
      <c r="J44" s="791" t="str">
        <f>IF(AND('Mapa final'!$K$63="Muy Baja",'Mapa final'!$O$63="Leve"),CONCATENATE("R",'Mapa final'!$A$63),"")</f>
        <v/>
      </c>
      <c r="K44" s="789"/>
      <c r="L44" s="789" t="str">
        <f>IF(AND('Mapa final'!$K$69="Muy Baja",'Mapa final'!$O$69="Leve"),CONCATENATE("R",'Mapa final'!$A$69),"")</f>
        <v/>
      </c>
      <c r="M44" s="789"/>
      <c r="N44" s="789" t="str">
        <f>IF(AND('Mapa final'!$K$75="Muy Baja",'Mapa final'!$O$75="Leve"),CONCATENATE("R",'Mapa final'!$A$75),"")</f>
        <v/>
      </c>
      <c r="O44" s="790"/>
      <c r="P44" s="791" t="str">
        <f>IF(AND('Mapa final'!$K$63="Muy Baja",'Mapa final'!$O$63="Menor"),CONCATENATE("R",'Mapa final'!$A$63),"")</f>
        <v/>
      </c>
      <c r="Q44" s="789"/>
      <c r="R44" s="789" t="str">
        <f>IF(AND('Mapa final'!$K$69="Muy Baja",'Mapa final'!$O$69="Menor"),CONCATENATE("R",'Mapa final'!$A$69),"")</f>
        <v/>
      </c>
      <c r="S44" s="789"/>
      <c r="T44" s="789" t="str">
        <f>IF(AND('Mapa final'!$K$75="Muy Baja",'Mapa final'!$O$75="Menor"),CONCATENATE("R",'Mapa final'!$A$75),"")</f>
        <v/>
      </c>
      <c r="U44" s="790"/>
      <c r="V44" s="780" t="str">
        <f>IF(AND('Mapa final'!$K$63="Muy Baja",'Mapa final'!$O$63="Moderado"),CONCATENATE("R",'Mapa final'!$A$63),"")</f>
        <v/>
      </c>
      <c r="W44" s="781"/>
      <c r="X44" s="781" t="str">
        <f>IF(AND('Mapa final'!$K$69="Muy Baja",'Mapa final'!$O$69="Moderado"),CONCATENATE("R",'Mapa final'!$A$69),"")</f>
        <v/>
      </c>
      <c r="Y44" s="781"/>
      <c r="Z44" s="781" t="str">
        <f>IF(AND('Mapa final'!$K$75="Muy Baja",'Mapa final'!$O$75="Moderado"),CONCATENATE("R",'Mapa final'!$A$75),"")</f>
        <v/>
      </c>
      <c r="AA44" s="782"/>
      <c r="AB44" s="764" t="str">
        <f>IF(AND('Mapa final'!$K$63="Muy Baja",'Mapa final'!$O$63="Mayor"),CONCATENATE("R",'Mapa final'!$A$63),"")</f>
        <v/>
      </c>
      <c r="AC44" s="760"/>
      <c r="AD44" s="760" t="str">
        <f>IF(AND('Mapa final'!$K$69="Muy Baja",'Mapa final'!$O$69="Mayor"),CONCATENATE("R",'Mapa final'!$A$69),"")</f>
        <v/>
      </c>
      <c r="AE44" s="760"/>
      <c r="AF44" s="760" t="str">
        <f>IF(AND('Mapa final'!$K$75="Muy Baja",'Mapa final'!$O$75="Mayor"),CONCATENATE("R",'Mapa final'!$A$75),"")</f>
        <v/>
      </c>
      <c r="AG44" s="761"/>
      <c r="AH44" s="771" t="str">
        <f>IF(AND('Mapa final'!$K$63="Muy Baja",'Mapa final'!$O$63="Catastrófico"),CONCATENATE("R",'Mapa final'!$A$63),"")</f>
        <v/>
      </c>
      <c r="AI44" s="772"/>
      <c r="AJ44" s="772" t="str">
        <f>IF(AND('Mapa final'!$K$69="Muy Baja",'Mapa final'!$O$69="Catastrófico"),CONCATENATE("R",'Mapa final'!$A$69),"")</f>
        <v/>
      </c>
      <c r="AK44" s="772"/>
      <c r="AL44" s="772" t="str">
        <f>IF(AND('Mapa final'!$K$75="Muy Baja",'Mapa final'!$O$75="Catastrófico"),CONCATENATE("R",'Mapa final'!$A$75),"")</f>
        <v/>
      </c>
      <c r="AM44" s="773"/>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row>
    <row r="45" spans="1:80" ht="15" thickBot="1" x14ac:dyDescent="0.35">
      <c r="A45" s="65"/>
      <c r="B45" s="713"/>
      <c r="C45" s="713"/>
      <c r="D45" s="714"/>
      <c r="E45" s="757"/>
      <c r="F45" s="758"/>
      <c r="G45" s="758"/>
      <c r="H45" s="758"/>
      <c r="I45" s="759"/>
      <c r="J45" s="792"/>
      <c r="K45" s="793"/>
      <c r="L45" s="793"/>
      <c r="M45" s="793"/>
      <c r="N45" s="793"/>
      <c r="O45" s="794"/>
      <c r="P45" s="792"/>
      <c r="Q45" s="793"/>
      <c r="R45" s="793"/>
      <c r="S45" s="793"/>
      <c r="T45" s="793"/>
      <c r="U45" s="794"/>
      <c r="V45" s="783"/>
      <c r="W45" s="784"/>
      <c r="X45" s="784"/>
      <c r="Y45" s="784"/>
      <c r="Z45" s="784"/>
      <c r="AA45" s="785"/>
      <c r="AB45" s="768"/>
      <c r="AC45" s="769"/>
      <c r="AD45" s="769"/>
      <c r="AE45" s="769"/>
      <c r="AF45" s="769"/>
      <c r="AG45" s="770"/>
      <c r="AH45" s="774"/>
      <c r="AI45" s="775"/>
      <c r="AJ45" s="775"/>
      <c r="AK45" s="775"/>
      <c r="AL45" s="775"/>
      <c r="AM45" s="776"/>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row>
    <row r="46" spans="1:80" x14ac:dyDescent="0.3">
      <c r="A46" s="65"/>
      <c r="B46" s="65"/>
      <c r="C46" s="65"/>
      <c r="D46" s="65"/>
      <c r="E46" s="65"/>
      <c r="F46" s="65"/>
      <c r="G46" s="65"/>
      <c r="H46" s="65"/>
      <c r="I46" s="65"/>
      <c r="J46" s="751" t="s">
        <v>107</v>
      </c>
      <c r="K46" s="752"/>
      <c r="L46" s="752"/>
      <c r="M46" s="752"/>
      <c r="N46" s="752"/>
      <c r="O46" s="753"/>
      <c r="P46" s="751" t="s">
        <v>106</v>
      </c>
      <c r="Q46" s="752"/>
      <c r="R46" s="752"/>
      <c r="S46" s="752"/>
      <c r="T46" s="752"/>
      <c r="U46" s="753"/>
      <c r="V46" s="751" t="s">
        <v>105</v>
      </c>
      <c r="W46" s="752"/>
      <c r="X46" s="752"/>
      <c r="Y46" s="752"/>
      <c r="Z46" s="752"/>
      <c r="AA46" s="753"/>
      <c r="AB46" s="751" t="s">
        <v>104</v>
      </c>
      <c r="AC46" s="767"/>
      <c r="AD46" s="752"/>
      <c r="AE46" s="752"/>
      <c r="AF46" s="752"/>
      <c r="AG46" s="753"/>
      <c r="AH46" s="751" t="s">
        <v>103</v>
      </c>
      <c r="AI46" s="752"/>
      <c r="AJ46" s="752"/>
      <c r="AK46" s="752"/>
      <c r="AL46" s="752"/>
      <c r="AM46" s="753"/>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x14ac:dyDescent="0.3">
      <c r="A47" s="65"/>
      <c r="B47" s="65"/>
      <c r="C47" s="65"/>
      <c r="D47" s="65"/>
      <c r="E47" s="65"/>
      <c r="F47" s="65"/>
      <c r="G47" s="65"/>
      <c r="H47" s="65"/>
      <c r="I47" s="65"/>
      <c r="J47" s="754"/>
      <c r="K47" s="755"/>
      <c r="L47" s="755"/>
      <c r="M47" s="755"/>
      <c r="N47" s="755"/>
      <c r="O47" s="756"/>
      <c r="P47" s="754"/>
      <c r="Q47" s="755"/>
      <c r="R47" s="755"/>
      <c r="S47" s="755"/>
      <c r="T47" s="755"/>
      <c r="U47" s="756"/>
      <c r="V47" s="754"/>
      <c r="W47" s="755"/>
      <c r="X47" s="755"/>
      <c r="Y47" s="755"/>
      <c r="Z47" s="755"/>
      <c r="AA47" s="756"/>
      <c r="AB47" s="754"/>
      <c r="AC47" s="755"/>
      <c r="AD47" s="755"/>
      <c r="AE47" s="755"/>
      <c r="AF47" s="755"/>
      <c r="AG47" s="756"/>
      <c r="AH47" s="754"/>
      <c r="AI47" s="755"/>
      <c r="AJ47" s="755"/>
      <c r="AK47" s="755"/>
      <c r="AL47" s="755"/>
      <c r="AM47" s="756"/>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x14ac:dyDescent="0.3">
      <c r="A48" s="65"/>
      <c r="B48" s="65"/>
      <c r="C48" s="65"/>
      <c r="D48" s="65"/>
      <c r="E48" s="65"/>
      <c r="F48" s="65"/>
      <c r="G48" s="65"/>
      <c r="H48" s="65"/>
      <c r="I48" s="65"/>
      <c r="J48" s="754"/>
      <c r="K48" s="755"/>
      <c r="L48" s="755"/>
      <c r="M48" s="755"/>
      <c r="N48" s="755"/>
      <c r="O48" s="756"/>
      <c r="P48" s="754"/>
      <c r="Q48" s="755"/>
      <c r="R48" s="755"/>
      <c r="S48" s="755"/>
      <c r="T48" s="755"/>
      <c r="U48" s="756"/>
      <c r="V48" s="754"/>
      <c r="W48" s="755"/>
      <c r="X48" s="755"/>
      <c r="Y48" s="755"/>
      <c r="Z48" s="755"/>
      <c r="AA48" s="756"/>
      <c r="AB48" s="754"/>
      <c r="AC48" s="755"/>
      <c r="AD48" s="755"/>
      <c r="AE48" s="755"/>
      <c r="AF48" s="755"/>
      <c r="AG48" s="756"/>
      <c r="AH48" s="754"/>
      <c r="AI48" s="755"/>
      <c r="AJ48" s="755"/>
      <c r="AK48" s="755"/>
      <c r="AL48" s="755"/>
      <c r="AM48" s="756"/>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x14ac:dyDescent="0.3">
      <c r="A49" s="65"/>
      <c r="B49" s="65"/>
      <c r="C49" s="65"/>
      <c r="D49" s="65"/>
      <c r="E49" s="65"/>
      <c r="F49" s="65"/>
      <c r="G49" s="65"/>
      <c r="H49" s="65"/>
      <c r="I49" s="65"/>
      <c r="J49" s="754"/>
      <c r="K49" s="755"/>
      <c r="L49" s="755"/>
      <c r="M49" s="755"/>
      <c r="N49" s="755"/>
      <c r="O49" s="756"/>
      <c r="P49" s="754"/>
      <c r="Q49" s="755"/>
      <c r="R49" s="755"/>
      <c r="S49" s="755"/>
      <c r="T49" s="755"/>
      <c r="U49" s="756"/>
      <c r="V49" s="754"/>
      <c r="W49" s="755"/>
      <c r="X49" s="755"/>
      <c r="Y49" s="755"/>
      <c r="Z49" s="755"/>
      <c r="AA49" s="756"/>
      <c r="AB49" s="754"/>
      <c r="AC49" s="755"/>
      <c r="AD49" s="755"/>
      <c r="AE49" s="755"/>
      <c r="AF49" s="755"/>
      <c r="AG49" s="756"/>
      <c r="AH49" s="754"/>
      <c r="AI49" s="755"/>
      <c r="AJ49" s="755"/>
      <c r="AK49" s="755"/>
      <c r="AL49" s="755"/>
      <c r="AM49" s="756"/>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x14ac:dyDescent="0.3">
      <c r="A50" s="65"/>
      <c r="B50" s="65"/>
      <c r="C50" s="65"/>
      <c r="D50" s="65"/>
      <c r="E50" s="65"/>
      <c r="F50" s="65"/>
      <c r="G50" s="65"/>
      <c r="H50" s="65"/>
      <c r="I50" s="65"/>
      <c r="J50" s="754"/>
      <c r="K50" s="755"/>
      <c r="L50" s="755"/>
      <c r="M50" s="755"/>
      <c r="N50" s="755"/>
      <c r="O50" s="756"/>
      <c r="P50" s="754"/>
      <c r="Q50" s="755"/>
      <c r="R50" s="755"/>
      <c r="S50" s="755"/>
      <c r="T50" s="755"/>
      <c r="U50" s="756"/>
      <c r="V50" s="754"/>
      <c r="W50" s="755"/>
      <c r="X50" s="755"/>
      <c r="Y50" s="755"/>
      <c r="Z50" s="755"/>
      <c r="AA50" s="756"/>
      <c r="AB50" s="754"/>
      <c r="AC50" s="755"/>
      <c r="AD50" s="755"/>
      <c r="AE50" s="755"/>
      <c r="AF50" s="755"/>
      <c r="AG50" s="756"/>
      <c r="AH50" s="754"/>
      <c r="AI50" s="755"/>
      <c r="AJ50" s="755"/>
      <c r="AK50" s="755"/>
      <c r="AL50" s="755"/>
      <c r="AM50" s="756"/>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thickBot="1" x14ac:dyDescent="0.35">
      <c r="A51" s="65"/>
      <c r="B51" s="65"/>
      <c r="C51" s="65"/>
      <c r="D51" s="65"/>
      <c r="E51" s="65"/>
      <c r="F51" s="65"/>
      <c r="G51" s="65"/>
      <c r="H51" s="65"/>
      <c r="I51" s="65"/>
      <c r="J51" s="757"/>
      <c r="K51" s="758"/>
      <c r="L51" s="758"/>
      <c r="M51" s="758"/>
      <c r="N51" s="758"/>
      <c r="O51" s="759"/>
      <c r="P51" s="757"/>
      <c r="Q51" s="758"/>
      <c r="R51" s="758"/>
      <c r="S51" s="758"/>
      <c r="T51" s="758"/>
      <c r="U51" s="759"/>
      <c r="V51" s="757"/>
      <c r="W51" s="758"/>
      <c r="X51" s="758"/>
      <c r="Y51" s="758"/>
      <c r="Z51" s="758"/>
      <c r="AA51" s="759"/>
      <c r="AB51" s="757"/>
      <c r="AC51" s="758"/>
      <c r="AD51" s="758"/>
      <c r="AE51" s="758"/>
      <c r="AF51" s="758"/>
      <c r="AG51" s="759"/>
      <c r="AH51" s="757"/>
      <c r="AI51" s="758"/>
      <c r="AJ51" s="758"/>
      <c r="AK51" s="758"/>
      <c r="AL51" s="758"/>
      <c r="AM51" s="759"/>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row>
    <row r="63" spans="1:80"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row>
    <row r="64" spans="1:80"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row>
    <row r="65" spans="1:8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row>
    <row r="66" spans="1:8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row>
    <row r="67" spans="1:8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row>
    <row r="68" spans="1:8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row>
    <row r="69" spans="1:8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row>
    <row r="70" spans="1:8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row>
    <row r="71" spans="1:8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row>
    <row r="72" spans="1:8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row>
    <row r="73" spans="1:8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row>
    <row r="74" spans="1:8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row>
    <row r="75" spans="1:8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row>
    <row r="76" spans="1:8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row>
    <row r="77" spans="1:8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row>
    <row r="78" spans="1:8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row>
    <row r="79" spans="1:8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8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x14ac:dyDescent="0.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x14ac:dyDescent="0.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x14ac:dyDescent="0.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x14ac:dyDescent="0.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x14ac:dyDescent="0.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x14ac:dyDescent="0.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x14ac:dyDescent="0.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2:63" x14ac:dyDescent="0.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2:63" x14ac:dyDescent="0.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2:63" x14ac:dyDescent="0.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2:63" x14ac:dyDescent="0.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2:63" x14ac:dyDescent="0.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2:63" x14ac:dyDescent="0.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2:63"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2:63" x14ac:dyDescent="0.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2:63" x14ac:dyDescent="0.3">
      <c r="B137" s="65"/>
      <c r="C137" s="65"/>
      <c r="D137" s="65"/>
      <c r="E137" s="65"/>
      <c r="F137" s="65"/>
      <c r="G137" s="65"/>
      <c r="H137" s="65"/>
      <c r="I137" s="65"/>
    </row>
    <row r="138" spans="2:63" x14ac:dyDescent="0.3">
      <c r="B138" s="65"/>
      <c r="C138" s="65"/>
      <c r="D138" s="65"/>
      <c r="E138" s="65"/>
      <c r="F138" s="65"/>
      <c r="G138" s="65"/>
      <c r="H138" s="65"/>
      <c r="I138" s="65"/>
    </row>
    <row r="139" spans="2:63" x14ac:dyDescent="0.3">
      <c r="B139" s="65"/>
      <c r="C139" s="65"/>
      <c r="D139" s="65"/>
      <c r="E139" s="65"/>
      <c r="F139" s="65"/>
      <c r="G139" s="65"/>
      <c r="H139" s="65"/>
      <c r="I139" s="65"/>
    </row>
    <row r="140" spans="2:63" x14ac:dyDescent="0.3">
      <c r="B140" s="65"/>
      <c r="C140" s="65"/>
      <c r="D140" s="65"/>
      <c r="E140" s="65"/>
      <c r="F140" s="65"/>
      <c r="G140" s="65"/>
      <c r="H140" s="65"/>
      <c r="I140" s="65"/>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M248"/>
  <sheetViews>
    <sheetView zoomScale="32" zoomScaleNormal="32" workbookViewId="0">
      <selection activeCell="AK39" sqref="AK39"/>
    </sheetView>
  </sheetViews>
  <sheetFormatPr baseColWidth="10" defaultRowHeight="14.4" x14ac:dyDescent="0.3"/>
  <cols>
    <col min="2" max="18" width="5.77734375" customWidth="1"/>
    <col min="19" max="19" width="8.44140625" customWidth="1"/>
    <col min="20" max="23" width="5.77734375" customWidth="1"/>
    <col min="24" max="24" width="8.5546875" customWidth="1"/>
    <col min="25" max="26" width="5.77734375" customWidth="1"/>
    <col min="27" max="27" width="10.77734375" customWidth="1"/>
    <col min="28" max="28" width="5.77734375" customWidth="1"/>
    <col min="29" max="29" width="7.44140625" customWidth="1"/>
    <col min="30" max="33" width="5.77734375" customWidth="1"/>
    <col min="34" max="34" width="8.5546875" customWidth="1"/>
    <col min="35" max="39" width="5.77734375" customWidth="1"/>
    <col min="41" max="46" width="5.77734375" customWidth="1"/>
  </cols>
  <sheetData>
    <row r="1" spans="1:9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row>
    <row r="2" spans="1:91" ht="18" customHeight="1" x14ac:dyDescent="0.3">
      <c r="A2" s="65"/>
      <c r="B2" s="824" t="s">
        <v>149</v>
      </c>
      <c r="C2" s="825"/>
      <c r="D2" s="825"/>
      <c r="E2" s="825"/>
      <c r="F2" s="825"/>
      <c r="G2" s="825"/>
      <c r="H2" s="825"/>
      <c r="I2" s="825"/>
      <c r="J2" s="766" t="s">
        <v>2</v>
      </c>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ht="18.75" customHeight="1" x14ac:dyDescent="0.3">
      <c r="A3" s="65"/>
      <c r="B3" s="825"/>
      <c r="C3" s="825"/>
      <c r="D3" s="825"/>
      <c r="E3" s="825"/>
      <c r="F3" s="825"/>
      <c r="G3" s="825"/>
      <c r="H3" s="825"/>
      <c r="I3" s="825"/>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ht="15" customHeight="1" x14ac:dyDescent="0.3">
      <c r="A4" s="65"/>
      <c r="B4" s="825"/>
      <c r="C4" s="825"/>
      <c r="D4" s="825"/>
      <c r="E4" s="825"/>
      <c r="F4" s="825"/>
      <c r="G4" s="825"/>
      <c r="H4" s="825"/>
      <c r="I4" s="825"/>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6" spans="1:91" ht="15" customHeight="1" x14ac:dyDescent="0.3">
      <c r="A6" s="65"/>
      <c r="B6" s="713" t="s">
        <v>4</v>
      </c>
      <c r="C6" s="713"/>
      <c r="D6" s="714"/>
      <c r="E6" s="808" t="s">
        <v>111</v>
      </c>
      <c r="F6" s="809"/>
      <c r="G6" s="809"/>
      <c r="H6" s="809"/>
      <c r="I6" s="826"/>
      <c r="J6" s="28" t="str">
        <f>IF(AND('Mapa final'!$AB$10="Muy Alta",'Mapa final'!$AD$10="Leve"),CONCATENATE("R1C",'Mapa final'!$R$10),"")</f>
        <v/>
      </c>
      <c r="K6" s="29" t="str">
        <f>IF(AND('Mapa final'!$AB$11="Muy Alta",'Mapa final'!$AD$11="Leve"),CONCATENATE("R1C",'Mapa final'!$R$11),"")</f>
        <v/>
      </c>
      <c r="L6" s="29" t="str">
        <f>IF(AND('Mapa final'!$AB$12="Muy Alta",'Mapa final'!$AD$12="Leve"),CONCATENATE("R1C",'Mapa final'!$R$12),"")</f>
        <v/>
      </c>
      <c r="M6" s="29" t="str">
        <f>IF(AND('Mapa final'!$AB$13="Muy Alta",'Mapa final'!$AD$13="Leve"),CONCATENATE("R1C",'Mapa final'!$R$13),"")</f>
        <v/>
      </c>
      <c r="N6" s="29" t="str">
        <f>IF(AND('Mapa final'!$AB$14="Muy Alta",'Mapa final'!$AD$14="Leve"),CONCATENATE("R1C",'Mapa final'!$R$14),"")</f>
        <v/>
      </c>
      <c r="O6" s="30" t="str">
        <f>IF(AND('Mapa final'!$AB$15="Muy Alta",'Mapa final'!$AD$15="Leve"),CONCATENATE("R1C",'Mapa final'!$R$15),"")</f>
        <v/>
      </c>
      <c r="P6" s="28" t="str">
        <f>IF(AND('Mapa final'!$AB$10="Muy Alta",'Mapa final'!$AD$10="Menor"),CONCATENATE("R1C",'Mapa final'!$R$10),"")</f>
        <v/>
      </c>
      <c r="Q6" s="29" t="str">
        <f>IF(AND('Mapa final'!$AB$11="Muy Alta",'Mapa final'!$AD$11="Menor"),CONCATENATE("R1C",'Mapa final'!$R$11),"")</f>
        <v/>
      </c>
      <c r="R6" s="29" t="str">
        <f>IF(AND('Mapa final'!$AB$12="Muy Alta",'Mapa final'!$AD$12="Menor"),CONCATENATE("R1C",'Mapa final'!$R$12),"")</f>
        <v/>
      </c>
      <c r="S6" s="29" t="str">
        <f>IF(AND('Mapa final'!$AB$13="Muy Alta",'Mapa final'!$AD$13="Menor"),CONCATENATE("R1C",'Mapa final'!$R$13),"")</f>
        <v/>
      </c>
      <c r="T6" s="29" t="str">
        <f>IF(AND('Mapa final'!$AB$14="Muy Alta",'Mapa final'!$AD$14="Menor"),CONCATENATE("R1C",'Mapa final'!$R$14),"")</f>
        <v/>
      </c>
      <c r="U6" s="30" t="str">
        <f>IF(AND('Mapa final'!$AB$15="Muy Alta",'Mapa final'!$AD$15="Menor"),CONCATENATE("R1C",'Mapa final'!$R$15),"")</f>
        <v/>
      </c>
      <c r="V6" s="28" t="str">
        <f>IF(AND('Mapa final'!$AB$10="Muy Alta",'Mapa final'!$AD$10="Moderado"),CONCATENATE("R1C",'Mapa final'!$R$10),"")</f>
        <v/>
      </c>
      <c r="W6" s="29" t="str">
        <f>IF(AND('Mapa final'!$AB$11="Muy Alta",'Mapa final'!$AD$11="Moderado"),CONCATENATE("R1C",'Mapa final'!$R$11),"")</f>
        <v/>
      </c>
      <c r="X6" s="29" t="str">
        <f>IF(AND('Mapa final'!$AB$12="Muy Alta",'Mapa final'!$AD$12="Moderado"),CONCATENATE("R1C",'Mapa final'!$R$12),"")</f>
        <v/>
      </c>
      <c r="Y6" s="29" t="str">
        <f>IF(AND('Mapa final'!$AB$13="Muy Alta",'Mapa final'!$AD$13="Moderado"),CONCATENATE("R1C",'Mapa final'!$R$13),"")</f>
        <v/>
      </c>
      <c r="Z6" s="29" t="str">
        <f>IF(AND('Mapa final'!$AB$14="Muy Alta",'Mapa final'!$AD$14="Moderado"),CONCATENATE("R1C",'Mapa final'!$R$14),"")</f>
        <v/>
      </c>
      <c r="AA6" s="30" t="str">
        <f>IF(AND('Mapa final'!$AB$15="Muy Alta",'Mapa final'!$AD$15="Moderado"),CONCATENATE("R1C",'Mapa final'!$R$15),"")</f>
        <v/>
      </c>
      <c r="AB6" s="28" t="str">
        <f>IF(AND('Mapa final'!$AB$10="Muy Alta",'Mapa final'!$AD$10="Mayor"),CONCATENATE("R1C",'Mapa final'!$R$10),"")</f>
        <v/>
      </c>
      <c r="AC6" s="29" t="str">
        <f>IF(AND('Mapa final'!$AB$11="Muy Alta",'Mapa final'!$AD$11="Mayor"),CONCATENATE("R1C",'Mapa final'!$R$11),"")</f>
        <v/>
      </c>
      <c r="AD6" s="29" t="str">
        <f>IF(AND('Mapa final'!$AB$12="Muy Alta",'Mapa final'!$AD$12="Mayor"),CONCATENATE("R1C",'Mapa final'!$R$12),"")</f>
        <v/>
      </c>
      <c r="AE6" s="29" t="str">
        <f>IF(AND('Mapa final'!$AB$13="Muy Alta",'Mapa final'!$AD$13="Mayor"),CONCATENATE("R1C",'Mapa final'!$R$13),"")</f>
        <v/>
      </c>
      <c r="AF6" s="29" t="str">
        <f>IF(AND('Mapa final'!$AB$14="Muy Alta",'Mapa final'!$AD$14="Mayor"),CONCATENATE("R1C",'Mapa final'!$R$14),"")</f>
        <v/>
      </c>
      <c r="AG6" s="30" t="str">
        <f>IF(AND('Mapa final'!$AB$15="Muy Alta",'Mapa final'!$AD$15="Mayor"),CONCATENATE("R1C",'Mapa final'!$R$15),"")</f>
        <v/>
      </c>
      <c r="AH6" s="31" t="str">
        <f>IF(AND('Mapa final'!$AB$10="Muy Alta",'Mapa final'!$AD$10="Catastrófico"),CONCATENATE("R1C",'Mapa final'!$R$10),"")</f>
        <v/>
      </c>
      <c r="AI6" s="32" t="str">
        <f>IF(AND('Mapa final'!$AB$11="Muy Alta",'Mapa final'!$AD$11="Catastrófico"),CONCATENATE("R1C",'Mapa final'!$R$11),"")</f>
        <v/>
      </c>
      <c r="AJ6" s="32" t="str">
        <f>IF(AND('Mapa final'!$AB$12="Muy Alta",'Mapa final'!$AD$12="Catastrófico"),CONCATENATE("R1C",'Mapa final'!$R$12),"")</f>
        <v/>
      </c>
      <c r="AK6" s="32" t="str">
        <f>IF(AND('Mapa final'!$AB$13="Muy Alta",'Mapa final'!$AD$13="Catastrófico"),CONCATENATE("R1C",'Mapa final'!$R$13),"")</f>
        <v/>
      </c>
      <c r="AL6" s="32" t="str">
        <f>IF(AND('Mapa final'!$AB$14="Muy Alta",'Mapa final'!$AD$14="Catastrófico"),CONCATENATE("R1C",'Mapa final'!$R$14),"")</f>
        <v/>
      </c>
      <c r="AM6" s="33" t="str">
        <f>IF(AND('Mapa final'!$AB$15="Muy Alta",'Mapa final'!$AD$15="Catastrófico"),CONCATENATE("R1C",'Mapa final'!$R$15),"")</f>
        <v/>
      </c>
      <c r="AN6" s="65"/>
      <c r="AO6" s="815" t="s">
        <v>78</v>
      </c>
      <c r="AP6" s="816"/>
      <c r="AQ6" s="816"/>
      <c r="AR6" s="816"/>
      <c r="AS6" s="816"/>
      <c r="AT6" s="817"/>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row>
    <row r="7" spans="1:91" ht="15" customHeight="1" x14ac:dyDescent="0.3">
      <c r="A7" s="65"/>
      <c r="B7" s="713"/>
      <c r="C7" s="713"/>
      <c r="D7" s="714"/>
      <c r="E7" s="812"/>
      <c r="F7" s="811"/>
      <c r="G7" s="811"/>
      <c r="H7" s="811"/>
      <c r="I7" s="827"/>
      <c r="J7" s="34" t="str">
        <f>IF(AND('Mapa final'!$AB$16="Muy Alta",'Mapa final'!$AD$16="Leve"),CONCATENATE("R2C",'Mapa final'!$R$16),"")</f>
        <v/>
      </c>
      <c r="K7" s="35" t="str">
        <f>IF(AND('Mapa final'!$AB$17="Muy Alta",'Mapa final'!$AD$17="Leve"),CONCATENATE("R2C",'Mapa final'!$R$17),"")</f>
        <v/>
      </c>
      <c r="L7" s="35" t="str">
        <f>IF(AND('Mapa final'!$AB$18="Muy Alta",'Mapa final'!$AD$18="Leve"),CONCATENATE("R2C",'Mapa final'!$R$18),"")</f>
        <v/>
      </c>
      <c r="M7" s="35" t="str">
        <f>IF(AND('Mapa final'!$AB$19="Muy Alta",'Mapa final'!$AD$19="Leve"),CONCATENATE("R2C",'Mapa final'!$R$19),"")</f>
        <v/>
      </c>
      <c r="N7" s="35" t="str">
        <f>IF(AND('Mapa final'!$AB$20="Muy Alta",'Mapa final'!$AD$20="Leve"),CONCATENATE("R2C",'Mapa final'!$R$20),"")</f>
        <v/>
      </c>
      <c r="O7" s="36" t="str">
        <f>IF(AND('Mapa final'!$AB$21="Muy Alta",'Mapa final'!$AD$21="Leve"),CONCATENATE("R2C",'Mapa final'!$R$21),"")</f>
        <v/>
      </c>
      <c r="P7" s="34" t="str">
        <f>IF(AND('Mapa final'!$AB$16="Muy Alta",'Mapa final'!$AD$16="Menor"),CONCATENATE("R2C",'Mapa final'!$R$16),"")</f>
        <v/>
      </c>
      <c r="Q7" s="35" t="str">
        <f>IF(AND('Mapa final'!$AB$17="Muy Alta",'Mapa final'!$AD$17="Menor"),CONCATENATE("R2C",'Mapa final'!$R$17),"")</f>
        <v/>
      </c>
      <c r="R7" s="35" t="str">
        <f>IF(AND('Mapa final'!$AB$18="Muy Alta",'Mapa final'!$AD$18="Menor"),CONCATENATE("R2C",'Mapa final'!$R$18),"")</f>
        <v/>
      </c>
      <c r="S7" s="35" t="str">
        <f>IF(AND('Mapa final'!$AB$19="Muy Alta",'Mapa final'!$AD$19="Menor"),CONCATENATE("R2C",'Mapa final'!$R$19),"")</f>
        <v/>
      </c>
      <c r="T7" s="35" t="str">
        <f>IF(AND('Mapa final'!$AB$20="Muy Alta",'Mapa final'!$AD$20="Menor"),CONCATENATE("R2C",'Mapa final'!$R$20),"")</f>
        <v/>
      </c>
      <c r="U7" s="36" t="str">
        <f>IF(AND('Mapa final'!$AB$21="Muy Alta",'Mapa final'!$AD$21="Menor"),CONCATENATE("R2C",'Mapa final'!$R$21),"")</f>
        <v/>
      </c>
      <c r="V7" s="34" t="str">
        <f>IF(AND('Mapa final'!$AB$16="Muy Alta",'Mapa final'!$AD$16="Moderado"),CONCATENATE("R2C",'Mapa final'!$R$16),"")</f>
        <v/>
      </c>
      <c r="W7" s="35" t="str">
        <f>IF(AND('Mapa final'!$AB$17="Muy Alta",'Mapa final'!$AD$17="Moderado"),CONCATENATE("R2C",'Mapa final'!$R$17),"")</f>
        <v/>
      </c>
      <c r="X7" s="35" t="str">
        <f>IF(AND('Mapa final'!$AB$18="Muy Alta",'Mapa final'!$AD$18="Moderado"),CONCATENATE("R2C",'Mapa final'!$R$18),"")</f>
        <v/>
      </c>
      <c r="Y7" s="35" t="str">
        <f>IF(AND('Mapa final'!$AB$19="Muy Alta",'Mapa final'!$AD$19="Moderado"),CONCATENATE("R2C",'Mapa final'!$R$19),"")</f>
        <v/>
      </c>
      <c r="Z7" s="35" t="str">
        <f>IF(AND('Mapa final'!$AB$20="Muy Alta",'Mapa final'!$AD$20="Moderado"),CONCATENATE("R2C",'Mapa final'!$R$20),"")</f>
        <v/>
      </c>
      <c r="AA7" s="36" t="str">
        <f>IF(AND('Mapa final'!$AB$21="Muy Alta",'Mapa final'!$AD$21="Moderado"),CONCATENATE("R2C",'Mapa final'!$R$21),"")</f>
        <v/>
      </c>
      <c r="AB7" s="34" t="str">
        <f>IF(AND('Mapa final'!$AB$16="Muy Alta",'Mapa final'!$AD$16="Mayor"),CONCATENATE("R2C",'Mapa final'!$R$16),"")</f>
        <v/>
      </c>
      <c r="AC7" s="35" t="str">
        <f>IF(AND('Mapa final'!$AB$17="Muy Alta",'Mapa final'!$AD$17="Mayor"),CONCATENATE("R2C",'Mapa final'!$R$17),"")</f>
        <v/>
      </c>
      <c r="AD7" s="35" t="str">
        <f>IF(AND('Mapa final'!$AB$18="Muy Alta",'Mapa final'!$AD$18="Mayor"),CONCATENATE("R2C",'Mapa final'!$R$18),"")</f>
        <v/>
      </c>
      <c r="AE7" s="35" t="str">
        <f>IF(AND('Mapa final'!$AB$19="Muy Alta",'Mapa final'!$AD$19="Mayor"),CONCATENATE("R2C",'Mapa final'!$R$19),"")</f>
        <v/>
      </c>
      <c r="AF7" s="35" t="str">
        <f>IF(AND('Mapa final'!$AB$20="Muy Alta",'Mapa final'!$AD$20="Mayor"),CONCATENATE("R2C",'Mapa final'!$R$20),"")</f>
        <v/>
      </c>
      <c r="AG7" s="36" t="str">
        <f>IF(AND('Mapa final'!$AB$21="Muy Alta",'Mapa final'!$AD$21="Mayor"),CONCATENATE("R2C",'Mapa final'!$R$21),"")</f>
        <v/>
      </c>
      <c r="AH7" s="37" t="str">
        <f>IF(AND('Mapa final'!$AB$16="Muy Alta",'Mapa final'!$AD$16="Catastrófico"),CONCATENATE("R2C",'Mapa final'!$R$16),"")</f>
        <v/>
      </c>
      <c r="AI7" s="38" t="str">
        <f>IF(AND('Mapa final'!$AB$17="Muy Alta",'Mapa final'!$AD$17="Catastrófico"),CONCATENATE("R2C",'Mapa final'!$R$17),"")</f>
        <v/>
      </c>
      <c r="AJ7" s="38" t="str">
        <f>IF(AND('Mapa final'!$AB$18="Muy Alta",'Mapa final'!$AD$18="Catastrófico"),CONCATENATE("R2C",'Mapa final'!$R$18),"")</f>
        <v/>
      </c>
      <c r="AK7" s="38" t="str">
        <f>IF(AND('Mapa final'!$AB$19="Muy Alta",'Mapa final'!$AD$19="Catastrófico"),CONCATENATE("R2C",'Mapa final'!$R$19),"")</f>
        <v/>
      </c>
      <c r="AL7" s="38" t="str">
        <f>IF(AND('Mapa final'!$AB$20="Muy Alta",'Mapa final'!$AD$20="Catastrófico"),CONCATENATE("R2C",'Mapa final'!$R$20),"")</f>
        <v/>
      </c>
      <c r="AM7" s="39" t="str">
        <f>IF(AND('Mapa final'!$AB$21="Muy Alta",'Mapa final'!$AD$21="Catastrófico"),CONCATENATE("R2C",'Mapa final'!$R$21),"")</f>
        <v/>
      </c>
      <c r="AN7" s="65"/>
      <c r="AO7" s="818"/>
      <c r="AP7" s="819"/>
      <c r="AQ7" s="819"/>
      <c r="AR7" s="819"/>
      <c r="AS7" s="819"/>
      <c r="AT7" s="820"/>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row>
    <row r="8" spans="1:91" ht="15" customHeight="1" x14ac:dyDescent="0.3">
      <c r="A8" s="65"/>
      <c r="B8" s="713"/>
      <c r="C8" s="713"/>
      <c r="D8" s="714"/>
      <c r="E8" s="812"/>
      <c r="F8" s="811"/>
      <c r="G8" s="811"/>
      <c r="H8" s="811"/>
      <c r="I8" s="827"/>
      <c r="J8" s="34" t="str">
        <f>IF(AND('Mapa final'!$AB$22="Muy Alta",'Mapa final'!$AD$22="Leve"),CONCATENATE("R3C",'Mapa final'!$R$22),"")</f>
        <v/>
      </c>
      <c r="K8" s="35" t="str">
        <f>IF(AND('Mapa final'!$AB$23="Muy Alta",'Mapa final'!$AD$23="Leve"),CONCATENATE("R3C",'Mapa final'!$R$23),"")</f>
        <v/>
      </c>
      <c r="L8" s="35" t="str">
        <f>IF(AND('Mapa final'!$AB$24="Muy Alta",'Mapa final'!$AD$24="Leve"),CONCATENATE("R3C",'Mapa final'!$R$24),"")</f>
        <v/>
      </c>
      <c r="M8" s="35" t="str">
        <f>IF(AND('Mapa final'!$AB$25="Muy Alta",'Mapa final'!$AD$25="Leve"),CONCATENATE("R3C",'Mapa final'!$R$25),"")</f>
        <v/>
      </c>
      <c r="N8" s="35" t="str">
        <f>IF(AND('Mapa final'!$AB$26="Muy Alta",'Mapa final'!$AD$26="Leve"),CONCATENATE("R3C",'Mapa final'!$R$26),"")</f>
        <v/>
      </c>
      <c r="O8" s="36" t="str">
        <f>IF(AND('Mapa final'!$AB$27="Muy Alta",'Mapa final'!$AD$27="Leve"),CONCATENATE("R3C",'Mapa final'!$R$27),"")</f>
        <v/>
      </c>
      <c r="P8" s="34" t="str">
        <f>IF(AND('Mapa final'!$AB$22="Muy Alta",'Mapa final'!$AD$22="Menor"),CONCATENATE("R3C",'Mapa final'!$R$22),"")</f>
        <v/>
      </c>
      <c r="Q8" s="35" t="str">
        <f>IF(AND('Mapa final'!$AB$23="Muy Alta",'Mapa final'!$AD$23="Menor"),CONCATENATE("R3C",'Mapa final'!$R$23),"")</f>
        <v/>
      </c>
      <c r="R8" s="35" t="str">
        <f>IF(AND('Mapa final'!$AB$24="Muy Alta",'Mapa final'!$AD$24="Menor"),CONCATENATE("R3C",'Mapa final'!$R$24),"")</f>
        <v/>
      </c>
      <c r="S8" s="35" t="str">
        <f>IF(AND('Mapa final'!$AB$25="Muy Alta",'Mapa final'!$AD$25="Menor"),CONCATENATE("R3C",'Mapa final'!$R$25),"")</f>
        <v/>
      </c>
      <c r="T8" s="35" t="str">
        <f>IF(AND('Mapa final'!$AB$26="Muy Alta",'Mapa final'!$AD$26="Menor"),CONCATENATE("R3C",'Mapa final'!$R$26),"")</f>
        <v/>
      </c>
      <c r="U8" s="36" t="str">
        <f>IF(AND('Mapa final'!$AB$27="Muy Alta",'Mapa final'!$AD$27="Menor"),CONCATENATE("R3C",'Mapa final'!$R$27),"")</f>
        <v/>
      </c>
      <c r="V8" s="34" t="str">
        <f>IF(AND('Mapa final'!$AB$22="Muy Alta",'Mapa final'!$AD$22="Moderado"),CONCATENATE("R3C",'Mapa final'!$R$22),"")</f>
        <v/>
      </c>
      <c r="W8" s="35" t="str">
        <f>IF(AND('Mapa final'!$AB$23="Muy Alta",'Mapa final'!$AD$23="Moderado"),CONCATENATE("R3C",'Mapa final'!$R$23),"")</f>
        <v/>
      </c>
      <c r="X8" s="35" t="str">
        <f>IF(AND('Mapa final'!$AB$24="Muy Alta",'Mapa final'!$AD$24="Moderado"),CONCATENATE("R3C",'Mapa final'!$R$24),"")</f>
        <v/>
      </c>
      <c r="Y8" s="35" t="str">
        <f>IF(AND('Mapa final'!$AB$25="Muy Alta",'Mapa final'!$AD$25="Moderado"),CONCATENATE("R3C",'Mapa final'!$R$25),"")</f>
        <v/>
      </c>
      <c r="Z8" s="35" t="str">
        <f>IF(AND('Mapa final'!$AB$26="Muy Alta",'Mapa final'!$AD$26="Moderado"),CONCATENATE("R3C",'Mapa final'!$R$26),"")</f>
        <v/>
      </c>
      <c r="AA8" s="36" t="str">
        <f>IF(AND('Mapa final'!$AB$27="Muy Alta",'Mapa final'!$AD$27="Moderado"),CONCATENATE("R3C",'Mapa final'!$R$27),"")</f>
        <v/>
      </c>
      <c r="AB8" s="34" t="str">
        <f>IF(AND('Mapa final'!$AB$22="Muy Alta",'Mapa final'!$AD$22="Mayor"),CONCATENATE("R3C",'Mapa final'!$R$22),"")</f>
        <v/>
      </c>
      <c r="AC8" s="35" t="str">
        <f>IF(AND('Mapa final'!$AB$23="Muy Alta",'Mapa final'!$AD$23="Mayor"),CONCATENATE("R3C",'Mapa final'!$R$23),"")</f>
        <v/>
      </c>
      <c r="AD8" s="35" t="str">
        <f>IF(AND('Mapa final'!$AB$24="Muy Alta",'Mapa final'!$AD$24="Mayor"),CONCATENATE("R3C",'Mapa final'!$R$24),"")</f>
        <v/>
      </c>
      <c r="AE8" s="35" t="str">
        <f>IF(AND('Mapa final'!$AB$25="Muy Alta",'Mapa final'!$AD$25="Mayor"),CONCATENATE("R3C",'Mapa final'!$R$25),"")</f>
        <v/>
      </c>
      <c r="AF8" s="35" t="str">
        <f>IF(AND('Mapa final'!$AB$26="Muy Alta",'Mapa final'!$AD$26="Mayor"),CONCATENATE("R3C",'Mapa final'!$R$26),"")</f>
        <v/>
      </c>
      <c r="AG8" s="36" t="str">
        <f>IF(AND('Mapa final'!$AB$27="Muy Alta",'Mapa final'!$AD$27="Mayor"),CONCATENATE("R3C",'Mapa final'!$R$27),"")</f>
        <v/>
      </c>
      <c r="AH8" s="37" t="str">
        <f>IF(AND('Mapa final'!$AB$22="Muy Alta",'Mapa final'!$AD$22="Catastrófico"),CONCATENATE("R3C",'Mapa final'!$R$22),"")</f>
        <v/>
      </c>
      <c r="AI8" s="38" t="str">
        <f>IF(AND('Mapa final'!$AB$23="Muy Alta",'Mapa final'!$AD$23="Catastrófico"),CONCATENATE("R3C",'Mapa final'!$R$23),"")</f>
        <v/>
      </c>
      <c r="AJ8" s="38" t="str">
        <f>IF(AND('Mapa final'!$AB$24="Muy Alta",'Mapa final'!$AD$24="Catastrófico"),CONCATENATE("R3C",'Mapa final'!$R$24),"")</f>
        <v/>
      </c>
      <c r="AK8" s="38" t="str">
        <f>IF(AND('Mapa final'!$AB$25="Muy Alta",'Mapa final'!$AD$25="Catastrófico"),CONCATENATE("R3C",'Mapa final'!$R$25),"")</f>
        <v/>
      </c>
      <c r="AL8" s="38" t="str">
        <f>IF(AND('Mapa final'!$AB$26="Muy Alta",'Mapa final'!$AD$26="Catastrófico"),CONCATENATE("R3C",'Mapa final'!$R$26),"")</f>
        <v/>
      </c>
      <c r="AM8" s="39" t="str">
        <f>IF(AND('Mapa final'!$AB$27="Muy Alta",'Mapa final'!$AD$27="Catastrófico"),CONCATENATE("R3C",'Mapa final'!$R$27),"")</f>
        <v/>
      </c>
      <c r="AN8" s="65"/>
      <c r="AO8" s="818"/>
      <c r="AP8" s="819"/>
      <c r="AQ8" s="819"/>
      <c r="AR8" s="819"/>
      <c r="AS8" s="819"/>
      <c r="AT8" s="820"/>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row>
    <row r="9" spans="1:91" ht="15" customHeight="1" x14ac:dyDescent="0.3">
      <c r="A9" s="65"/>
      <c r="B9" s="713"/>
      <c r="C9" s="713"/>
      <c r="D9" s="714"/>
      <c r="E9" s="812"/>
      <c r="F9" s="811"/>
      <c r="G9" s="811"/>
      <c r="H9" s="811"/>
      <c r="I9" s="827"/>
      <c r="J9" s="34" t="str">
        <f>IF(AND('Mapa final'!$AB$28="Muy Alta",'Mapa final'!$AD$28="Leve"),CONCATENATE("R4C",'Mapa final'!$R$28),"")</f>
        <v/>
      </c>
      <c r="K9" s="35" t="e">
        <f>IF(AND('Mapa final'!#REF!="Muy Alta",'Mapa final'!#REF!="Leve"),CONCATENATE("R4C",'Mapa final'!#REF!),"")</f>
        <v>#REF!</v>
      </c>
      <c r="L9" s="35" t="str">
        <f>IF(AND('Mapa final'!$AB$29="Muy Alta",'Mapa final'!$AD$29="Leve"),CONCATENATE("R4C",'Mapa final'!$R$29),"")</f>
        <v/>
      </c>
      <c r="M9" s="35" t="str">
        <f>IF(AND('Mapa final'!$AB$30="Muy Alta",'Mapa final'!$AD$30="Leve"),CONCATENATE("R4C",'Mapa final'!$R$30),"")</f>
        <v/>
      </c>
      <c r="N9" s="35" t="str">
        <f>IF(AND('Mapa final'!$AB$31="Muy Alta",'Mapa final'!$AD$31="Leve"),CONCATENATE("R4C",'Mapa final'!$R$31),"")</f>
        <v/>
      </c>
      <c r="O9" s="36" t="str">
        <f>IF(AND('Mapa final'!$AB$32="Muy Alta",'Mapa final'!$AD$32="Leve"),CONCATENATE("R4C",'Mapa final'!$R$32),"")</f>
        <v/>
      </c>
      <c r="P9" s="34" t="str">
        <f>IF(AND('Mapa final'!$AB$28="Muy Alta",'Mapa final'!$AD$28="Menor"),CONCATENATE("R4C",'Mapa final'!$R$28),"")</f>
        <v/>
      </c>
      <c r="Q9" s="35" t="e">
        <f>IF(AND('Mapa final'!#REF!="Muy Alta",'Mapa final'!#REF!="Menor"),CONCATENATE("R4C",'Mapa final'!#REF!),"")</f>
        <v>#REF!</v>
      </c>
      <c r="R9" s="35" t="str">
        <f>IF(AND('Mapa final'!$AB$29="Muy Alta",'Mapa final'!$AD$29="Menor"),CONCATENATE("R4C",'Mapa final'!$R$29),"")</f>
        <v/>
      </c>
      <c r="S9" s="35" t="str">
        <f>IF(AND('Mapa final'!$AB$30="Muy Alta",'Mapa final'!$AD$30="Menor"),CONCATENATE("R4C",'Mapa final'!$R$30),"")</f>
        <v/>
      </c>
      <c r="T9" s="35" t="str">
        <f>IF(AND('Mapa final'!$AB$31="Muy Alta",'Mapa final'!$AD$31="Menor"),CONCATENATE("R4C",'Mapa final'!$R$31),"")</f>
        <v/>
      </c>
      <c r="U9" s="36" t="str">
        <f>IF(AND('Mapa final'!$AB$32="Muy Alta",'Mapa final'!$AD$32="Menor"),CONCATENATE("R4C",'Mapa final'!$R$32),"")</f>
        <v/>
      </c>
      <c r="V9" s="34" t="str">
        <f>IF(AND('Mapa final'!$AB$28="Muy Alta",'Mapa final'!$AD$28="Moderado"),CONCATENATE("R4C",'Mapa final'!$R$28),"")</f>
        <v/>
      </c>
      <c r="W9" s="35" t="e">
        <f>IF(AND('Mapa final'!#REF!="Muy Alta",'Mapa final'!#REF!="Moderado"),CONCATENATE("R4C",'Mapa final'!#REF!),"")</f>
        <v>#REF!</v>
      </c>
      <c r="X9" s="35" t="str">
        <f>IF(AND('Mapa final'!$AB$29="Muy Alta",'Mapa final'!$AD$29="Moderado"),CONCATENATE("R4C",'Mapa final'!$R$29),"")</f>
        <v/>
      </c>
      <c r="Y9" s="35" t="str">
        <f>IF(AND('Mapa final'!$AB$30="Muy Alta",'Mapa final'!$AD$30="Moderado"),CONCATENATE("R4C",'Mapa final'!$R$30),"")</f>
        <v/>
      </c>
      <c r="Z9" s="35" t="str">
        <f>IF(AND('Mapa final'!$AB$31="Muy Alta",'Mapa final'!$AD$31="Moderado"),CONCATENATE("R4C",'Mapa final'!$R$31),"")</f>
        <v/>
      </c>
      <c r="AA9" s="36" t="str">
        <f>IF(AND('Mapa final'!$AB$32="Muy Alta",'Mapa final'!$AD$32="Moderado"),CONCATENATE("R4C",'Mapa final'!$R$32),"")</f>
        <v/>
      </c>
      <c r="AB9" s="34" t="str">
        <f>IF(AND('Mapa final'!$AB$28="Muy Alta",'Mapa final'!$AD$28="Mayor"),CONCATENATE("R4C",'Mapa final'!$R$28),"")</f>
        <v/>
      </c>
      <c r="AC9" s="35" t="e">
        <f>IF(AND('Mapa final'!#REF!="Muy Alta",'Mapa final'!#REF!="Mayor"),CONCATENATE("R4C",'Mapa final'!#REF!),"")</f>
        <v>#REF!</v>
      </c>
      <c r="AD9" s="35" t="str">
        <f>IF(AND('Mapa final'!$AB$29="Muy Alta",'Mapa final'!$AD$29="Mayor"),CONCATENATE("R4C",'Mapa final'!$R$29),"")</f>
        <v/>
      </c>
      <c r="AE9" s="35" t="str">
        <f>IF(AND('Mapa final'!$AB$30="Muy Alta",'Mapa final'!$AD$30="Mayor"),CONCATENATE("R4C",'Mapa final'!$R$30),"")</f>
        <v/>
      </c>
      <c r="AF9" s="35" t="str">
        <f>IF(AND('Mapa final'!$AB$31="Muy Alta",'Mapa final'!$AD$31="Mayor"),CONCATENATE("R4C",'Mapa final'!$R$31),"")</f>
        <v/>
      </c>
      <c r="AG9" s="36" t="str">
        <f>IF(AND('Mapa final'!$AB$32="Muy Alta",'Mapa final'!$AD$32="Mayor"),CONCATENATE("R4C",'Mapa final'!$R$32),"")</f>
        <v/>
      </c>
      <c r="AH9" s="37" t="str">
        <f>IF(AND('Mapa final'!$AB$28="Muy Alta",'Mapa final'!$AD$28="Catastrófico"),CONCATENATE("R4C",'Mapa final'!$R$28),"")</f>
        <v/>
      </c>
      <c r="AI9" s="38" t="e">
        <f>IF(AND('Mapa final'!#REF!="Muy Alta",'Mapa final'!#REF!="Catastrófico"),CONCATENATE("R4C",'Mapa final'!#REF!),"")</f>
        <v>#REF!</v>
      </c>
      <c r="AJ9" s="38" t="str">
        <f>IF(AND('Mapa final'!$AB$29="Muy Alta",'Mapa final'!$AD$29="Catastrófico"),CONCATENATE("R4C",'Mapa final'!$R$29),"")</f>
        <v/>
      </c>
      <c r="AK9" s="38" t="str">
        <f>IF(AND('Mapa final'!$AB$30="Muy Alta",'Mapa final'!$AD$30="Catastrófico"),CONCATENATE("R4C",'Mapa final'!$R$30),"")</f>
        <v/>
      </c>
      <c r="AL9" s="38" t="str">
        <f>IF(AND('Mapa final'!$AB$31="Muy Alta",'Mapa final'!$AD$31="Catastrófico"),CONCATENATE("R4C",'Mapa final'!$R$31),"")</f>
        <v/>
      </c>
      <c r="AM9" s="39" t="str">
        <f>IF(AND('Mapa final'!$AB$32="Muy Alta",'Mapa final'!$AD$32="Catastrófico"),CONCATENATE("R4C",'Mapa final'!$R$32),"")</f>
        <v/>
      </c>
      <c r="AN9" s="65"/>
      <c r="AO9" s="818"/>
      <c r="AP9" s="819"/>
      <c r="AQ9" s="819"/>
      <c r="AR9" s="819"/>
      <c r="AS9" s="819"/>
      <c r="AT9" s="820"/>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row>
    <row r="10" spans="1:91" ht="15" customHeight="1" x14ac:dyDescent="0.3">
      <c r="A10" s="65"/>
      <c r="B10" s="713"/>
      <c r="C10" s="713"/>
      <c r="D10" s="714"/>
      <c r="E10" s="812"/>
      <c r="F10" s="811"/>
      <c r="G10" s="811"/>
      <c r="H10" s="811"/>
      <c r="I10" s="827"/>
      <c r="J10" s="34" t="str">
        <f>IF(AND('Mapa final'!$AB$33="Muy Alta",'Mapa final'!$AD$33="Leve"),CONCATENATE("R5C",'Mapa final'!$R$33),"")</f>
        <v/>
      </c>
      <c r="K10" s="35" t="str">
        <f>IF(AND('Mapa final'!$AB$34="Muy Alta",'Mapa final'!$AD$34="Leve"),CONCATENATE("R5C",'Mapa final'!$R$34),"")</f>
        <v/>
      </c>
      <c r="L10" s="35" t="str">
        <f>IF(AND('Mapa final'!$AB$35="Muy Alta",'Mapa final'!$AD$35="Leve"),CONCATENATE("R5C",'Mapa final'!$R$35),"")</f>
        <v/>
      </c>
      <c r="M10" s="35" t="str">
        <f>IF(AND('Mapa final'!$AB$36="Muy Alta",'Mapa final'!$AD$36="Leve"),CONCATENATE("R5C",'Mapa final'!$R$36),"")</f>
        <v/>
      </c>
      <c r="N10" s="35" t="str">
        <f>IF(AND('Mapa final'!$AB$37="Muy Alta",'Mapa final'!$AD$37="Leve"),CONCATENATE("R5C",'Mapa final'!$R$37),"")</f>
        <v/>
      </c>
      <c r="O10" s="36" t="str">
        <f>IF(AND('Mapa final'!$AB$38="Muy Alta",'Mapa final'!$AD$38="Leve"),CONCATENATE("R5C",'Mapa final'!$R$38),"")</f>
        <v/>
      </c>
      <c r="P10" s="34" t="str">
        <f>IF(AND('Mapa final'!$AB$33="Muy Alta",'Mapa final'!$AD$33="Menor"),CONCATENATE("R5C",'Mapa final'!$R$33),"")</f>
        <v/>
      </c>
      <c r="Q10" s="35" t="str">
        <f>IF(AND('Mapa final'!$AB$34="Muy Alta",'Mapa final'!$AD$34="Menor"),CONCATENATE("R5C",'Mapa final'!$R$34),"")</f>
        <v/>
      </c>
      <c r="R10" s="35" t="str">
        <f>IF(AND('Mapa final'!$AB$35="Muy Alta",'Mapa final'!$AD$35="Menor"),CONCATENATE("R5C",'Mapa final'!$R$35),"")</f>
        <v/>
      </c>
      <c r="S10" s="35" t="str">
        <f>IF(AND('Mapa final'!$AB$36="Muy Alta",'Mapa final'!$AD$36="Menor"),CONCATENATE("R5C",'Mapa final'!$R$36),"")</f>
        <v/>
      </c>
      <c r="T10" s="35" t="str">
        <f>IF(AND('Mapa final'!$AB$37="Muy Alta",'Mapa final'!$AD$37="Menor"),CONCATENATE("R5C",'Mapa final'!$R$37),"")</f>
        <v/>
      </c>
      <c r="U10" s="36" t="str">
        <f>IF(AND('Mapa final'!$AB$38="Muy Alta",'Mapa final'!$AD$38="Menor"),CONCATENATE("R5C",'Mapa final'!$R$38),"")</f>
        <v/>
      </c>
      <c r="V10" s="34" t="str">
        <f>IF(AND('Mapa final'!$AB$33="Muy Alta",'Mapa final'!$AD$33="Moderado"),CONCATENATE("R5C",'Mapa final'!$R$33),"")</f>
        <v/>
      </c>
      <c r="W10" s="35" t="str">
        <f>IF(AND('Mapa final'!$AB$34="Muy Alta",'Mapa final'!$AD$34="Moderado"),CONCATENATE("R5C",'Mapa final'!$R$34),"")</f>
        <v/>
      </c>
      <c r="X10" s="35" t="str">
        <f>IF(AND('Mapa final'!$AB$35="Muy Alta",'Mapa final'!$AD$35="Moderado"),CONCATENATE("R5C",'Mapa final'!$R$35),"")</f>
        <v/>
      </c>
      <c r="Y10" s="35" t="str">
        <f>IF(AND('Mapa final'!$AB$36="Muy Alta",'Mapa final'!$AD$36="Moderado"),CONCATENATE("R5C",'Mapa final'!$R$36),"")</f>
        <v/>
      </c>
      <c r="Z10" s="35" t="str">
        <f>IF(AND('Mapa final'!$AB$37="Muy Alta",'Mapa final'!$AD$37="Moderado"),CONCATENATE("R5C",'Mapa final'!$R$37),"")</f>
        <v/>
      </c>
      <c r="AA10" s="36" t="str">
        <f>IF(AND('Mapa final'!$AB$38="Muy Alta",'Mapa final'!$AD$38="Moderado"),CONCATENATE("R5C",'Mapa final'!$R$38),"")</f>
        <v/>
      </c>
      <c r="AB10" s="34" t="str">
        <f>IF(AND('Mapa final'!$AB$33="Muy Alta",'Mapa final'!$AD$33="Mayor"),CONCATENATE("R5C",'Mapa final'!$R$33),"")</f>
        <v/>
      </c>
      <c r="AC10" s="35" t="str">
        <f>IF(AND('Mapa final'!$AB$34="Muy Alta",'Mapa final'!$AD$34="Mayor"),CONCATENATE("R5C",'Mapa final'!$R$34),"")</f>
        <v/>
      </c>
      <c r="AD10" s="35" t="str">
        <f>IF(AND('Mapa final'!$AB$35="Muy Alta",'Mapa final'!$AD$35="Mayor"),CONCATENATE("R5C",'Mapa final'!$R$35),"")</f>
        <v/>
      </c>
      <c r="AE10" s="35" t="str">
        <f>IF(AND('Mapa final'!$AB$36="Muy Alta",'Mapa final'!$AD$36="Mayor"),CONCATENATE("R5C",'Mapa final'!$R$36),"")</f>
        <v/>
      </c>
      <c r="AF10" s="35" t="str">
        <f>IF(AND('Mapa final'!$AB$37="Muy Alta",'Mapa final'!$AD$37="Mayor"),CONCATENATE("R5C",'Mapa final'!$R$37),"")</f>
        <v/>
      </c>
      <c r="AG10" s="36" t="str">
        <f>IF(AND('Mapa final'!$AB$38="Muy Alta",'Mapa final'!$AD$38="Mayor"),CONCATENATE("R5C",'Mapa final'!$R$38),"")</f>
        <v/>
      </c>
      <c r="AH10" s="37" t="str">
        <f>IF(AND('Mapa final'!$AB$33="Muy Alta",'Mapa final'!$AD$33="Catastrófico"),CONCATENATE("R5C",'Mapa final'!$R$33),"")</f>
        <v/>
      </c>
      <c r="AI10" s="38" t="str">
        <f>IF(AND('Mapa final'!$AB$34="Muy Alta",'Mapa final'!$AD$34="Catastrófico"),CONCATENATE("R5C",'Mapa final'!$R$34),"")</f>
        <v/>
      </c>
      <c r="AJ10" s="38" t="str">
        <f>IF(AND('Mapa final'!$AB$35="Muy Alta",'Mapa final'!$AD$35="Catastrófico"),CONCATENATE("R5C",'Mapa final'!$R$35),"")</f>
        <v/>
      </c>
      <c r="AK10" s="38" t="str">
        <f>IF(AND('Mapa final'!$AB$36="Muy Alta",'Mapa final'!$AD$36="Catastrófico"),CONCATENATE("R5C",'Mapa final'!$R$36),"")</f>
        <v/>
      </c>
      <c r="AL10" s="38" t="str">
        <f>IF(AND('Mapa final'!$AB$37="Muy Alta",'Mapa final'!$AD$37="Catastrófico"),CONCATENATE("R5C",'Mapa final'!$R$37),"")</f>
        <v/>
      </c>
      <c r="AM10" s="39" t="str">
        <f>IF(AND('Mapa final'!$AB$38="Muy Alta",'Mapa final'!$AD$38="Catastrófico"),CONCATENATE("R5C",'Mapa final'!$R$38),"")</f>
        <v/>
      </c>
      <c r="AN10" s="65"/>
      <c r="AO10" s="818"/>
      <c r="AP10" s="819"/>
      <c r="AQ10" s="819"/>
      <c r="AR10" s="819"/>
      <c r="AS10" s="819"/>
      <c r="AT10" s="820"/>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91" ht="15" customHeight="1" x14ac:dyDescent="0.3">
      <c r="A11" s="65"/>
      <c r="B11" s="713"/>
      <c r="C11" s="713"/>
      <c r="D11" s="714"/>
      <c r="E11" s="812"/>
      <c r="F11" s="811"/>
      <c r="G11" s="811"/>
      <c r="H11" s="811"/>
      <c r="I11" s="827"/>
      <c r="J11" s="34" t="str">
        <f>IF(AND('Mapa final'!$AB$39="Muy Alta",'Mapa final'!$AD$39="Leve"),CONCATENATE("R6C",'Mapa final'!$R$39),"")</f>
        <v/>
      </c>
      <c r="K11" s="35" t="str">
        <f>IF(AND('Mapa final'!$AB$40="Muy Alta",'Mapa final'!$AD$40="Leve"),CONCATENATE("R6C",'Mapa final'!$R$40),"")</f>
        <v/>
      </c>
      <c r="L11" s="35" t="str">
        <f>IF(AND('Mapa final'!$AB$41="Muy Alta",'Mapa final'!$AD$41="Leve"),CONCATENATE("R6C",'Mapa final'!$R$41),"")</f>
        <v/>
      </c>
      <c r="M11" s="35" t="str">
        <f>IF(AND('Mapa final'!$AB$42="Muy Alta",'Mapa final'!$AD$42="Leve"),CONCATENATE("R6C",'Mapa final'!$R$42),"")</f>
        <v/>
      </c>
      <c r="N11" s="35" t="str">
        <f>IF(AND('Mapa final'!$AB$43="Muy Alta",'Mapa final'!$AD$43="Leve"),CONCATENATE("R6C",'Mapa final'!$R$43),"")</f>
        <v/>
      </c>
      <c r="O11" s="36" t="str">
        <f>IF(AND('Mapa final'!$AB$44="Muy Alta",'Mapa final'!$AD$44="Leve"),CONCATENATE("R6C",'Mapa final'!$R$44),"")</f>
        <v/>
      </c>
      <c r="P11" s="34" t="str">
        <f>IF(AND('Mapa final'!$AB$39="Muy Alta",'Mapa final'!$AD$39="Menor"),CONCATENATE("R6C",'Mapa final'!$R$39),"")</f>
        <v/>
      </c>
      <c r="Q11" s="35" t="str">
        <f>IF(AND('Mapa final'!$AB$40="Muy Alta",'Mapa final'!$AD$40="Menor"),CONCATENATE("R6C",'Mapa final'!$R$40),"")</f>
        <v/>
      </c>
      <c r="R11" s="35" t="str">
        <f>IF(AND('Mapa final'!$AB$41="Muy Alta",'Mapa final'!$AD$41="Menor"),CONCATENATE("R6C",'Mapa final'!$R$41),"")</f>
        <v/>
      </c>
      <c r="S11" s="35" t="str">
        <f>IF(AND('Mapa final'!$AB$42="Muy Alta",'Mapa final'!$AD$42="Menor"),CONCATENATE("R6C",'Mapa final'!$R$42),"")</f>
        <v/>
      </c>
      <c r="T11" s="35" t="str">
        <f>IF(AND('Mapa final'!$AB$43="Muy Alta",'Mapa final'!$AD$43="Menor"),CONCATENATE("R6C",'Mapa final'!$R$43),"")</f>
        <v/>
      </c>
      <c r="U11" s="36" t="str">
        <f>IF(AND('Mapa final'!$AB$44="Muy Alta",'Mapa final'!$AD$44="Menor"),CONCATENATE("R6C",'Mapa final'!$R$44),"")</f>
        <v/>
      </c>
      <c r="V11" s="34" t="str">
        <f>IF(AND('Mapa final'!$AB$39="Muy Alta",'Mapa final'!$AD$39="Moderado"),CONCATENATE("R6C",'Mapa final'!$R$39),"")</f>
        <v/>
      </c>
      <c r="W11" s="35" t="str">
        <f>IF(AND('Mapa final'!$AB$40="Muy Alta",'Mapa final'!$AD$40="Moderado"),CONCATENATE("R6C",'Mapa final'!$R$40),"")</f>
        <v/>
      </c>
      <c r="X11" s="35" t="str">
        <f>IF(AND('Mapa final'!$AB$41="Muy Alta",'Mapa final'!$AD$41="Moderado"),CONCATENATE("R6C",'Mapa final'!$R$41),"")</f>
        <v/>
      </c>
      <c r="Y11" s="35" t="str">
        <f>IF(AND('Mapa final'!$AB$42="Muy Alta",'Mapa final'!$AD$42="Moderado"),CONCATENATE("R6C",'Mapa final'!$R$42),"")</f>
        <v/>
      </c>
      <c r="Z11" s="35" t="str">
        <f>IF(AND('Mapa final'!$AB$43="Muy Alta",'Mapa final'!$AD$43="Moderado"),CONCATENATE("R6C",'Mapa final'!$R$43),"")</f>
        <v/>
      </c>
      <c r="AA11" s="36" t="str">
        <f>IF(AND('Mapa final'!$AB$44="Muy Alta",'Mapa final'!$AD$44="Moderado"),CONCATENATE("R6C",'Mapa final'!$R$44),"")</f>
        <v/>
      </c>
      <c r="AB11" s="34" t="str">
        <f>IF(AND('Mapa final'!$AB$39="Muy Alta",'Mapa final'!$AD$39="Mayor"),CONCATENATE("R6C",'Mapa final'!$R$39),"")</f>
        <v/>
      </c>
      <c r="AC11" s="35" t="str">
        <f>IF(AND('Mapa final'!$AB$40="Muy Alta",'Mapa final'!$AD$40="Mayor"),CONCATENATE("R6C",'Mapa final'!$R$40),"")</f>
        <v/>
      </c>
      <c r="AD11" s="35" t="str">
        <f>IF(AND('Mapa final'!$AB$41="Muy Alta",'Mapa final'!$AD$41="Mayor"),CONCATENATE("R6C",'Mapa final'!$R$41),"")</f>
        <v/>
      </c>
      <c r="AE11" s="35" t="str">
        <f>IF(AND('Mapa final'!$AB$42="Muy Alta",'Mapa final'!$AD$42="Mayor"),CONCATENATE("R6C",'Mapa final'!$R$42),"")</f>
        <v/>
      </c>
      <c r="AF11" s="35" t="str">
        <f>IF(AND('Mapa final'!$AB$43="Muy Alta",'Mapa final'!$AD$43="Mayor"),CONCATENATE("R6C",'Mapa final'!$R$43),"")</f>
        <v/>
      </c>
      <c r="AG11" s="36" t="str">
        <f>IF(AND('Mapa final'!$AB$44="Muy Alta",'Mapa final'!$AD$44="Mayor"),CONCATENATE("R6C",'Mapa final'!$R$44),"")</f>
        <v/>
      </c>
      <c r="AH11" s="37" t="str">
        <f>IF(AND('Mapa final'!$AB$39="Muy Alta",'Mapa final'!$AD$39="Catastrófico"),CONCATENATE("R6C",'Mapa final'!$R$39),"")</f>
        <v/>
      </c>
      <c r="AI11" s="38" t="str">
        <f>IF(AND('Mapa final'!$AB$40="Muy Alta",'Mapa final'!$AD$40="Catastrófico"),CONCATENATE("R6C",'Mapa final'!$R$40),"")</f>
        <v/>
      </c>
      <c r="AJ11" s="38" t="str">
        <f>IF(AND('Mapa final'!$AB$41="Muy Alta",'Mapa final'!$AD$41="Catastrófico"),CONCATENATE("R6C",'Mapa final'!$R$41),"")</f>
        <v/>
      </c>
      <c r="AK11" s="38" t="str">
        <f>IF(AND('Mapa final'!$AB$42="Muy Alta",'Mapa final'!$AD$42="Catastrófico"),CONCATENATE("R6C",'Mapa final'!$R$42),"")</f>
        <v/>
      </c>
      <c r="AL11" s="38" t="str">
        <f>IF(AND('Mapa final'!$AB$43="Muy Alta",'Mapa final'!$AD$43="Catastrófico"),CONCATENATE("R6C",'Mapa final'!$R$43),"")</f>
        <v/>
      </c>
      <c r="AM11" s="39" t="str">
        <f>IF(AND('Mapa final'!$AB$44="Muy Alta",'Mapa final'!$AD$44="Catastrófico"),CONCATENATE("R6C",'Mapa final'!$R$44),"")</f>
        <v/>
      </c>
      <c r="AN11" s="65"/>
      <c r="AO11" s="818"/>
      <c r="AP11" s="819"/>
      <c r="AQ11" s="819"/>
      <c r="AR11" s="819"/>
      <c r="AS11" s="819"/>
      <c r="AT11" s="820"/>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91" ht="15" customHeight="1" x14ac:dyDescent="0.3">
      <c r="A12" s="65"/>
      <c r="B12" s="713"/>
      <c r="C12" s="713"/>
      <c r="D12" s="714"/>
      <c r="E12" s="812"/>
      <c r="F12" s="811"/>
      <c r="G12" s="811"/>
      <c r="H12" s="811"/>
      <c r="I12" s="827"/>
      <c r="J12" s="34" t="str">
        <f>IF(AND('Mapa final'!$AB$45="Muy Alta",'Mapa final'!$AD$45="Leve"),CONCATENATE("R7C",'Mapa final'!$R$45),"")</f>
        <v/>
      </c>
      <c r="K12" s="35" t="str">
        <f>IF(AND('Mapa final'!$AB$46="Muy Alta",'Mapa final'!$AD$46="Leve"),CONCATENATE("R7C",'Mapa final'!$R$46),"")</f>
        <v/>
      </c>
      <c r="L12" s="35" t="str">
        <f>IF(AND('Mapa final'!$AB$47="Muy Alta",'Mapa final'!$AD$47="Leve"),CONCATENATE("R7C",'Mapa final'!$R$47),"")</f>
        <v/>
      </c>
      <c r="M12" s="35" t="str">
        <f>IF(AND('Mapa final'!$AB$48="Muy Alta",'Mapa final'!$AD$48="Leve"),CONCATENATE("R7C",'Mapa final'!$R$48),"")</f>
        <v/>
      </c>
      <c r="N12" s="35" t="str">
        <f>IF(AND('Mapa final'!$AB$49="Muy Alta",'Mapa final'!$AD$49="Leve"),CONCATENATE("R7C",'Mapa final'!$R$49),"")</f>
        <v/>
      </c>
      <c r="O12" s="36" t="str">
        <f>IF(AND('Mapa final'!$AB$50="Muy Alta",'Mapa final'!$AD$50="Leve"),CONCATENATE("R7C",'Mapa final'!$R$50),"")</f>
        <v/>
      </c>
      <c r="P12" s="34" t="str">
        <f>IF(AND('Mapa final'!$AB$45="Muy Alta",'Mapa final'!$AD$45="Menor"),CONCATENATE("R7C",'Mapa final'!$R$45),"")</f>
        <v/>
      </c>
      <c r="Q12" s="35" t="str">
        <f>IF(AND('Mapa final'!$AB$46="Muy Alta",'Mapa final'!$AD$46="Menor"),CONCATENATE("R7C",'Mapa final'!$R$46),"")</f>
        <v/>
      </c>
      <c r="R12" s="35" t="str">
        <f>IF(AND('Mapa final'!$AB$47="Muy Alta",'Mapa final'!$AD$47="Menor"),CONCATENATE("R7C",'Mapa final'!$R$47),"")</f>
        <v/>
      </c>
      <c r="S12" s="35" t="str">
        <f>IF(AND('Mapa final'!$AB$48="Muy Alta",'Mapa final'!$AD$48="Menor"),CONCATENATE("R7C",'Mapa final'!$R$48),"")</f>
        <v/>
      </c>
      <c r="T12" s="35" t="str">
        <f>IF(AND('Mapa final'!$AB$49="Muy Alta",'Mapa final'!$AD$49="Menor"),CONCATENATE("R7C",'Mapa final'!$R$49),"")</f>
        <v/>
      </c>
      <c r="U12" s="36" t="str">
        <f>IF(AND('Mapa final'!$AB$50="Muy Alta",'Mapa final'!$AD$50="Menor"),CONCATENATE("R7C",'Mapa final'!$R$50),"")</f>
        <v/>
      </c>
      <c r="V12" s="34" t="str">
        <f>IF(AND('Mapa final'!$AB$45="Muy Alta",'Mapa final'!$AD$45="Moderado"),CONCATENATE("R7C",'Mapa final'!$R$45),"")</f>
        <v/>
      </c>
      <c r="W12" s="35" t="str">
        <f>IF(AND('Mapa final'!$AB$46="Muy Alta",'Mapa final'!$AD$46="Moderado"),CONCATENATE("R7C",'Mapa final'!$R$46),"")</f>
        <v/>
      </c>
      <c r="X12" s="35" t="str">
        <f>IF(AND('Mapa final'!$AB$47="Muy Alta",'Mapa final'!$AD$47="Moderado"),CONCATENATE("R7C",'Mapa final'!$R$47),"")</f>
        <v/>
      </c>
      <c r="Y12" s="35" t="str">
        <f>IF(AND('Mapa final'!$AB$48="Muy Alta",'Mapa final'!$AD$48="Moderado"),CONCATENATE("R7C",'Mapa final'!$R$48),"")</f>
        <v/>
      </c>
      <c r="Z12" s="35" t="str">
        <f>IF(AND('Mapa final'!$AB$49="Muy Alta",'Mapa final'!$AD$49="Moderado"),CONCATENATE("R7C",'Mapa final'!$R$49),"")</f>
        <v/>
      </c>
      <c r="AA12" s="36" t="str">
        <f>IF(AND('Mapa final'!$AB$50="Muy Alta",'Mapa final'!$AD$50="Moderado"),CONCATENATE("R7C",'Mapa final'!$R$50),"")</f>
        <v/>
      </c>
      <c r="AB12" s="34" t="str">
        <f>IF(AND('Mapa final'!$AB$45="Muy Alta",'Mapa final'!$AD$45="Mayor"),CONCATENATE("R7C",'Mapa final'!$R$45),"")</f>
        <v/>
      </c>
      <c r="AC12" s="35" t="str">
        <f>IF(AND('Mapa final'!$AB$46="Muy Alta",'Mapa final'!$AD$46="Mayor"),CONCATENATE("R7C",'Mapa final'!$R$46),"")</f>
        <v/>
      </c>
      <c r="AD12" s="35" t="str">
        <f>IF(AND('Mapa final'!$AB$47="Muy Alta",'Mapa final'!$AD$47="Mayor"),CONCATENATE("R7C",'Mapa final'!$R$47),"")</f>
        <v/>
      </c>
      <c r="AE12" s="35" t="str">
        <f>IF(AND('Mapa final'!$AB$48="Muy Alta",'Mapa final'!$AD$48="Mayor"),CONCATENATE("R7C",'Mapa final'!$R$48),"")</f>
        <v/>
      </c>
      <c r="AF12" s="35" t="str">
        <f>IF(AND('Mapa final'!$AB$49="Muy Alta",'Mapa final'!$AD$49="Mayor"),CONCATENATE("R7C",'Mapa final'!$R$49),"")</f>
        <v/>
      </c>
      <c r="AG12" s="36" t="str">
        <f>IF(AND('Mapa final'!$AB$50="Muy Alta",'Mapa final'!$AD$50="Mayor"),CONCATENATE("R7C",'Mapa final'!$R$50),"")</f>
        <v/>
      </c>
      <c r="AH12" s="37" t="str">
        <f>IF(AND('Mapa final'!$AB$45="Muy Alta",'Mapa final'!$AD$45="Catastrófico"),CONCATENATE("R7C",'Mapa final'!$R$45),"")</f>
        <v/>
      </c>
      <c r="AI12" s="38" t="str">
        <f>IF(AND('Mapa final'!$AB$46="Muy Alta",'Mapa final'!$AD$46="Catastrófico"),CONCATENATE("R7C",'Mapa final'!$R$46),"")</f>
        <v/>
      </c>
      <c r="AJ12" s="38" t="str">
        <f>IF(AND('Mapa final'!$AB$47="Muy Alta",'Mapa final'!$AD$47="Catastrófico"),CONCATENATE("R7C",'Mapa final'!$R$47),"")</f>
        <v/>
      </c>
      <c r="AK12" s="38" t="str">
        <f>IF(AND('Mapa final'!$AB$48="Muy Alta",'Mapa final'!$AD$48="Catastrófico"),CONCATENATE("R7C",'Mapa final'!$R$48),"")</f>
        <v/>
      </c>
      <c r="AL12" s="38" t="str">
        <f>IF(AND('Mapa final'!$AB$49="Muy Alta",'Mapa final'!$AD$49="Catastrófico"),CONCATENATE("R7C",'Mapa final'!$R$49),"")</f>
        <v/>
      </c>
      <c r="AM12" s="39" t="str">
        <f>IF(AND('Mapa final'!$AB$50="Muy Alta",'Mapa final'!$AD$50="Catastrófico"),CONCATENATE("R7C",'Mapa final'!$R$50),"")</f>
        <v/>
      </c>
      <c r="AN12" s="65"/>
      <c r="AO12" s="818"/>
      <c r="AP12" s="819"/>
      <c r="AQ12" s="819"/>
      <c r="AR12" s="819"/>
      <c r="AS12" s="819"/>
      <c r="AT12" s="820"/>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91" ht="15" customHeight="1" x14ac:dyDescent="0.3">
      <c r="A13" s="65"/>
      <c r="B13" s="713"/>
      <c r="C13" s="713"/>
      <c r="D13" s="714"/>
      <c r="E13" s="812"/>
      <c r="F13" s="811"/>
      <c r="G13" s="811"/>
      <c r="H13" s="811"/>
      <c r="I13" s="827"/>
      <c r="J13" s="34" t="str">
        <f>IF(AND('Mapa final'!$AB$51="Muy Alta",'Mapa final'!$AD$51="Leve"),CONCATENATE("R8C",'Mapa final'!$R$51),"")</f>
        <v/>
      </c>
      <c r="K13" s="35" t="str">
        <f>IF(AND('Mapa final'!$AB$52="Muy Alta",'Mapa final'!$AD$52="Leve"),CONCATENATE("R8C",'Mapa final'!$R$52),"")</f>
        <v/>
      </c>
      <c r="L13" s="35" t="str">
        <f>IF(AND('Mapa final'!$AB$53="Muy Alta",'Mapa final'!$AD$53="Leve"),CONCATENATE("R8C",'Mapa final'!$R$53),"")</f>
        <v/>
      </c>
      <c r="M13" s="35" t="str">
        <f>IF(AND('Mapa final'!$AB$54="Muy Alta",'Mapa final'!$AD$54="Leve"),CONCATENATE("R8C",'Mapa final'!$R$54),"")</f>
        <v/>
      </c>
      <c r="N13" s="35" t="str">
        <f>IF(AND('Mapa final'!$AB$55="Muy Alta",'Mapa final'!$AD$55="Leve"),CONCATENATE("R8C",'Mapa final'!$R$55),"")</f>
        <v/>
      </c>
      <c r="O13" s="36" t="str">
        <f>IF(AND('Mapa final'!$AB$56="Muy Alta",'Mapa final'!$AD$56="Leve"),CONCATENATE("R8C",'Mapa final'!$R$56),"")</f>
        <v/>
      </c>
      <c r="P13" s="34" t="str">
        <f>IF(AND('Mapa final'!$AB$51="Muy Alta",'Mapa final'!$AD$51="Menor"),CONCATENATE("R8C",'Mapa final'!$R$51),"")</f>
        <v/>
      </c>
      <c r="Q13" s="35" t="str">
        <f>IF(AND('Mapa final'!$AB$52="Muy Alta",'Mapa final'!$AD$52="Menor"),CONCATENATE("R8C",'Mapa final'!$R$52),"")</f>
        <v/>
      </c>
      <c r="R13" s="35" t="str">
        <f>IF(AND('Mapa final'!$AB$53="Muy Alta",'Mapa final'!$AD$53="Menor"),CONCATENATE("R8C",'Mapa final'!$R$53),"")</f>
        <v/>
      </c>
      <c r="S13" s="35" t="str">
        <f>IF(AND('Mapa final'!$AB$54="Muy Alta",'Mapa final'!$AD$54="Menor"),CONCATENATE("R8C",'Mapa final'!$R$54),"")</f>
        <v/>
      </c>
      <c r="T13" s="35" t="str">
        <f>IF(AND('Mapa final'!$AB$55="Muy Alta",'Mapa final'!$AD$55="Menor"),CONCATENATE("R8C",'Mapa final'!$R$55),"")</f>
        <v/>
      </c>
      <c r="U13" s="36" t="str">
        <f>IF(AND('Mapa final'!$AB$56="Muy Alta",'Mapa final'!$AD$56="Menor"),CONCATENATE("R8C",'Mapa final'!$R$56),"")</f>
        <v/>
      </c>
      <c r="V13" s="34" t="str">
        <f>IF(AND('Mapa final'!$AB$51="Muy Alta",'Mapa final'!$AD$51="Moderado"),CONCATENATE("R8C",'Mapa final'!$R$51),"")</f>
        <v/>
      </c>
      <c r="W13" s="35" t="str">
        <f>IF(AND('Mapa final'!$AB$52="Muy Alta",'Mapa final'!$AD$52="Moderado"),CONCATENATE("R8C",'Mapa final'!$R$52),"")</f>
        <v/>
      </c>
      <c r="X13" s="35" t="str">
        <f>IF(AND('Mapa final'!$AB$53="Muy Alta",'Mapa final'!$AD$53="Moderado"),CONCATENATE("R8C",'Mapa final'!$R$53),"")</f>
        <v/>
      </c>
      <c r="Y13" s="35" t="str">
        <f>IF(AND('Mapa final'!$AB$54="Muy Alta",'Mapa final'!$AD$54="Moderado"),CONCATENATE("R8C",'Mapa final'!$R$54),"")</f>
        <v/>
      </c>
      <c r="Z13" s="35" t="str">
        <f>IF(AND('Mapa final'!$AB$55="Muy Alta",'Mapa final'!$AD$55="Moderado"),CONCATENATE("R8C",'Mapa final'!$R$55),"")</f>
        <v/>
      </c>
      <c r="AA13" s="36" t="str">
        <f>IF(AND('Mapa final'!$AB$56="Muy Alta",'Mapa final'!$AD$56="Moderado"),CONCATENATE("R8C",'Mapa final'!$R$56),"")</f>
        <v/>
      </c>
      <c r="AB13" s="34" t="str">
        <f>IF(AND('Mapa final'!$AB$51="Muy Alta",'Mapa final'!$AD$51="Mayor"),CONCATENATE("R8C",'Mapa final'!$R$51),"")</f>
        <v/>
      </c>
      <c r="AC13" s="35" t="str">
        <f>IF(AND('Mapa final'!$AB$52="Muy Alta",'Mapa final'!$AD$52="Mayor"),CONCATENATE("R8C",'Mapa final'!$R$52),"")</f>
        <v/>
      </c>
      <c r="AD13" s="35" t="str">
        <f>IF(AND('Mapa final'!$AB$53="Muy Alta",'Mapa final'!$AD$53="Mayor"),CONCATENATE("R8C",'Mapa final'!$R$53),"")</f>
        <v/>
      </c>
      <c r="AE13" s="35" t="str">
        <f>IF(AND('Mapa final'!$AB$54="Muy Alta",'Mapa final'!$AD$54="Mayor"),CONCATENATE("R8C",'Mapa final'!$R$54),"")</f>
        <v/>
      </c>
      <c r="AF13" s="35" t="str">
        <f>IF(AND('Mapa final'!$AB$55="Muy Alta",'Mapa final'!$AD$55="Mayor"),CONCATENATE("R8C",'Mapa final'!$R$55),"")</f>
        <v/>
      </c>
      <c r="AG13" s="36" t="str">
        <f>IF(AND('Mapa final'!$AB$56="Muy Alta",'Mapa final'!$AD$56="Mayor"),CONCATENATE("R8C",'Mapa final'!$R$56),"")</f>
        <v/>
      </c>
      <c r="AH13" s="37" t="str">
        <f>IF(AND('Mapa final'!$AB$51="Muy Alta",'Mapa final'!$AD$51="Catastrófico"),CONCATENATE("R8C",'Mapa final'!$R$51),"")</f>
        <v/>
      </c>
      <c r="AI13" s="38" t="str">
        <f>IF(AND('Mapa final'!$AB$52="Muy Alta",'Mapa final'!$AD$52="Catastrófico"),CONCATENATE("R8C",'Mapa final'!$R$52),"")</f>
        <v/>
      </c>
      <c r="AJ13" s="38" t="str">
        <f>IF(AND('Mapa final'!$AB$53="Muy Alta",'Mapa final'!$AD$53="Catastrófico"),CONCATENATE("R8C",'Mapa final'!$R$53),"")</f>
        <v/>
      </c>
      <c r="AK13" s="38" t="str">
        <f>IF(AND('Mapa final'!$AB$54="Muy Alta",'Mapa final'!$AD$54="Catastrófico"),CONCATENATE("R8C",'Mapa final'!$R$54),"")</f>
        <v/>
      </c>
      <c r="AL13" s="38" t="str">
        <f>IF(AND('Mapa final'!$AB$55="Muy Alta",'Mapa final'!$AD$55="Catastrófico"),CONCATENATE("R8C",'Mapa final'!$R$55),"")</f>
        <v/>
      </c>
      <c r="AM13" s="39" t="str">
        <f>IF(AND('Mapa final'!$AB$56="Muy Alta",'Mapa final'!$AD$56="Catastrófico"),CONCATENATE("R8C",'Mapa final'!$R$56),"")</f>
        <v/>
      </c>
      <c r="AN13" s="65"/>
      <c r="AO13" s="818"/>
      <c r="AP13" s="819"/>
      <c r="AQ13" s="819"/>
      <c r="AR13" s="819"/>
      <c r="AS13" s="819"/>
      <c r="AT13" s="820"/>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91" ht="15" customHeight="1" x14ac:dyDescent="0.3">
      <c r="A14" s="65"/>
      <c r="B14" s="713"/>
      <c r="C14" s="713"/>
      <c r="D14" s="714"/>
      <c r="E14" s="812"/>
      <c r="F14" s="811"/>
      <c r="G14" s="811"/>
      <c r="H14" s="811"/>
      <c r="I14" s="827"/>
      <c r="J14" s="34" t="str">
        <f>IF(AND('Mapa final'!$AB$57="Muy Alta",'Mapa final'!$AD$57="Leve"),CONCATENATE("R9C",'Mapa final'!$R$57),"")</f>
        <v/>
      </c>
      <c r="K14" s="35" t="str">
        <f>IF(AND('Mapa final'!$AB$58="Muy Alta",'Mapa final'!$AD$58="Leve"),CONCATENATE("R9C",'Mapa final'!$R$58),"")</f>
        <v/>
      </c>
      <c r="L14" s="35" t="str">
        <f>IF(AND('Mapa final'!$AB$59="Muy Alta",'Mapa final'!$AD$59="Leve"),CONCATENATE("R9C",'Mapa final'!$R$59),"")</f>
        <v/>
      </c>
      <c r="M14" s="35" t="str">
        <f>IF(AND('Mapa final'!$AB$60="Muy Alta",'Mapa final'!$AD$60="Leve"),CONCATENATE("R9C",'Mapa final'!$R$60),"")</f>
        <v/>
      </c>
      <c r="N14" s="35" t="str">
        <f>IF(AND('Mapa final'!$AB$61="Muy Alta",'Mapa final'!$AD$61="Leve"),CONCATENATE("R9C",'Mapa final'!$R$61),"")</f>
        <v/>
      </c>
      <c r="O14" s="36" t="str">
        <f>IF(AND('Mapa final'!$AB$62="Muy Alta",'Mapa final'!$AD$62="Leve"),CONCATENATE("R9C",'Mapa final'!$R$62),"")</f>
        <v/>
      </c>
      <c r="P14" s="34" t="str">
        <f>IF(AND('Mapa final'!$AB$57="Muy Alta",'Mapa final'!$AD$57="Menor"),CONCATENATE("R9C",'Mapa final'!$R$57),"")</f>
        <v/>
      </c>
      <c r="Q14" s="35" t="str">
        <f>IF(AND('Mapa final'!$AB$58="Muy Alta",'Mapa final'!$AD$58="Menor"),CONCATENATE("R9C",'Mapa final'!$R$58),"")</f>
        <v/>
      </c>
      <c r="R14" s="35" t="str">
        <f>IF(AND('Mapa final'!$AB$59="Muy Alta",'Mapa final'!$AD$59="Menor"),CONCATENATE("R9C",'Mapa final'!$R$59),"")</f>
        <v/>
      </c>
      <c r="S14" s="35" t="str">
        <f>IF(AND('Mapa final'!$AB$60="Muy Alta",'Mapa final'!$AD$60="Menor"),CONCATENATE("R9C",'Mapa final'!$R$60),"")</f>
        <v/>
      </c>
      <c r="T14" s="35" t="str">
        <f>IF(AND('Mapa final'!$AB$61="Muy Alta",'Mapa final'!$AD$61="Menor"),CONCATENATE("R9C",'Mapa final'!$R$61),"")</f>
        <v/>
      </c>
      <c r="U14" s="36" t="str">
        <f>IF(AND('Mapa final'!$AB$62="Muy Alta",'Mapa final'!$AD$62="Menor"),CONCATENATE("R9C",'Mapa final'!$R$62),"")</f>
        <v/>
      </c>
      <c r="V14" s="34" t="str">
        <f>IF(AND('Mapa final'!$AB$57="Muy Alta",'Mapa final'!$AD$57="Moderado"),CONCATENATE("R9C",'Mapa final'!$R$57),"")</f>
        <v/>
      </c>
      <c r="W14" s="35" t="str">
        <f>IF(AND('Mapa final'!$AB$58="Muy Alta",'Mapa final'!$AD$58="Moderado"),CONCATENATE("R9C",'Mapa final'!$R$58),"")</f>
        <v/>
      </c>
      <c r="X14" s="35" t="str">
        <f>IF(AND('Mapa final'!$AB$59="Muy Alta",'Mapa final'!$AD$59="Moderado"),CONCATENATE("R9C",'Mapa final'!$R$59),"")</f>
        <v/>
      </c>
      <c r="Y14" s="35" t="str">
        <f>IF(AND('Mapa final'!$AB$60="Muy Alta",'Mapa final'!$AD$60="Moderado"),CONCATENATE("R9C",'Mapa final'!$R$60),"")</f>
        <v/>
      </c>
      <c r="Z14" s="35" t="str">
        <f>IF(AND('Mapa final'!$AB$61="Muy Alta",'Mapa final'!$AD$61="Moderado"),CONCATENATE("R9C",'Mapa final'!$R$61),"")</f>
        <v/>
      </c>
      <c r="AA14" s="36" t="str">
        <f>IF(AND('Mapa final'!$AB$62="Muy Alta",'Mapa final'!$AD$62="Moderado"),CONCATENATE("R9C",'Mapa final'!$R$62),"")</f>
        <v/>
      </c>
      <c r="AB14" s="34" t="str">
        <f>IF(AND('Mapa final'!$AB$57="Muy Alta",'Mapa final'!$AD$57="Mayor"),CONCATENATE("R9C",'Mapa final'!$R$57),"")</f>
        <v/>
      </c>
      <c r="AC14" s="35" t="str">
        <f>IF(AND('Mapa final'!$AB$58="Muy Alta",'Mapa final'!$AD$58="Mayor"),CONCATENATE("R9C",'Mapa final'!$R$58),"")</f>
        <v/>
      </c>
      <c r="AD14" s="35" t="str">
        <f>IF(AND('Mapa final'!$AB$59="Muy Alta",'Mapa final'!$AD$59="Mayor"),CONCATENATE("R9C",'Mapa final'!$R$59),"")</f>
        <v/>
      </c>
      <c r="AE14" s="35" t="str">
        <f>IF(AND('Mapa final'!$AB$60="Muy Alta",'Mapa final'!$AD$60="Mayor"),CONCATENATE("R9C",'Mapa final'!$R$60),"")</f>
        <v/>
      </c>
      <c r="AF14" s="35" t="str">
        <f>IF(AND('Mapa final'!$AB$61="Muy Alta",'Mapa final'!$AD$61="Mayor"),CONCATENATE("R9C",'Mapa final'!$R$61),"")</f>
        <v/>
      </c>
      <c r="AG14" s="36" t="str">
        <f>IF(AND('Mapa final'!$AB$62="Muy Alta",'Mapa final'!$AD$62="Mayor"),CONCATENATE("R9C",'Mapa final'!$R$62),"")</f>
        <v/>
      </c>
      <c r="AH14" s="37" t="str">
        <f>IF(AND('Mapa final'!$AB$57="Muy Alta",'Mapa final'!$AD$57="Catastrófico"),CONCATENATE("R9C",'Mapa final'!$R$57),"")</f>
        <v/>
      </c>
      <c r="AI14" s="38" t="str">
        <f>IF(AND('Mapa final'!$AB$58="Muy Alta",'Mapa final'!$AD$58="Catastrófico"),CONCATENATE("R9C",'Mapa final'!$R$58),"")</f>
        <v/>
      </c>
      <c r="AJ14" s="38" t="str">
        <f>IF(AND('Mapa final'!$AB$59="Muy Alta",'Mapa final'!$AD$59="Catastrófico"),CONCATENATE("R9C",'Mapa final'!$R$59),"")</f>
        <v/>
      </c>
      <c r="AK14" s="38" t="str">
        <f>IF(AND('Mapa final'!$AB$60="Muy Alta",'Mapa final'!$AD$60="Catastrófico"),CONCATENATE("R9C",'Mapa final'!$R$60),"")</f>
        <v/>
      </c>
      <c r="AL14" s="38" t="str">
        <f>IF(AND('Mapa final'!$AB$61="Muy Alta",'Mapa final'!$AD$61="Catastrófico"),CONCATENATE("R9C",'Mapa final'!$R$61),"")</f>
        <v/>
      </c>
      <c r="AM14" s="39" t="str">
        <f>IF(AND('Mapa final'!$AB$62="Muy Alta",'Mapa final'!$AD$62="Catastrófico"),CONCATENATE("R9C",'Mapa final'!$R$62),"")</f>
        <v/>
      </c>
      <c r="AN14" s="65"/>
      <c r="AO14" s="818"/>
      <c r="AP14" s="819"/>
      <c r="AQ14" s="819"/>
      <c r="AR14" s="819"/>
      <c r="AS14" s="819"/>
      <c r="AT14" s="820"/>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row>
    <row r="15" spans="1:91" ht="15.75" customHeight="1" thickBot="1" x14ac:dyDescent="0.35">
      <c r="A15" s="65"/>
      <c r="B15" s="713"/>
      <c r="C15" s="713"/>
      <c r="D15" s="714"/>
      <c r="E15" s="813"/>
      <c r="F15" s="814"/>
      <c r="G15" s="814"/>
      <c r="H15" s="814"/>
      <c r="I15" s="828"/>
      <c r="J15" s="40" t="str">
        <f>IF(AND('Mapa final'!$AB$63="Muy Alta",'Mapa final'!$AD$63="Leve"),CONCATENATE("R10C",'Mapa final'!$R$63),"")</f>
        <v/>
      </c>
      <c r="K15" s="41" t="str">
        <f>IF(AND('Mapa final'!$AB$64="Muy Alta",'Mapa final'!$AD$64="Leve"),CONCATENATE("R10C",'Mapa final'!$R$64),"")</f>
        <v/>
      </c>
      <c r="L15" s="41" t="str">
        <f>IF(AND('Mapa final'!$AB$65="Muy Alta",'Mapa final'!$AD$65="Leve"),CONCATENATE("R10C",'Mapa final'!$R$65),"")</f>
        <v/>
      </c>
      <c r="M15" s="41" t="str">
        <f>IF(AND('Mapa final'!$AB$66="Muy Alta",'Mapa final'!$AD$66="Leve"),CONCATENATE("R10C",'Mapa final'!$R$66),"")</f>
        <v/>
      </c>
      <c r="N15" s="41" t="str">
        <f>IF(AND('Mapa final'!$AB$67="Muy Alta",'Mapa final'!$AD$67="Leve"),CONCATENATE("R10C",'Mapa final'!$R$67),"")</f>
        <v/>
      </c>
      <c r="O15" s="42" t="str">
        <f>IF(AND('Mapa final'!$AB$68="Muy Alta",'Mapa final'!$AD$68="Leve"),CONCATENATE("R10C",'Mapa final'!$R$68),"")</f>
        <v/>
      </c>
      <c r="P15" s="34" t="str">
        <f>IF(AND('Mapa final'!$AB$63="Muy Alta",'Mapa final'!$AD$63="Menor"),CONCATENATE("R10C",'Mapa final'!$R$63),"")</f>
        <v/>
      </c>
      <c r="Q15" s="35" t="str">
        <f>IF(AND('Mapa final'!$AB$64="Muy Alta",'Mapa final'!$AD$64="Menor"),CONCATENATE("R10C",'Mapa final'!$R$64),"")</f>
        <v/>
      </c>
      <c r="R15" s="35" t="str">
        <f>IF(AND('Mapa final'!$AB$65="Muy Alta",'Mapa final'!$AD$65="Menor"),CONCATENATE("R10C",'Mapa final'!$R$65),"")</f>
        <v/>
      </c>
      <c r="S15" s="35" t="str">
        <f>IF(AND('Mapa final'!$AB$66="Muy Alta",'Mapa final'!$AD$66="Menor"),CONCATENATE("R10C",'Mapa final'!$R$66),"")</f>
        <v/>
      </c>
      <c r="T15" s="35" t="str">
        <f>IF(AND('Mapa final'!$AB$67="Muy Alta",'Mapa final'!$AD$67="Menor"),CONCATENATE("R10C",'Mapa final'!$R$67),"")</f>
        <v/>
      </c>
      <c r="U15" s="36" t="str">
        <f>IF(AND('Mapa final'!$AB$68="Muy Alta",'Mapa final'!$AD$68="Menor"),CONCATENATE("R10C",'Mapa final'!$R$68),"")</f>
        <v/>
      </c>
      <c r="V15" s="40" t="str">
        <f>IF(AND('Mapa final'!$AB$63="Muy Alta",'Mapa final'!$AD$63="Moderado"),CONCATENATE("R10C",'Mapa final'!$R$63),"")</f>
        <v/>
      </c>
      <c r="W15" s="41" t="str">
        <f>IF(AND('Mapa final'!$AB$64="Muy Alta",'Mapa final'!$AD$64="Moderado"),CONCATENATE("R10C",'Mapa final'!$R$64),"")</f>
        <v/>
      </c>
      <c r="X15" s="41" t="str">
        <f>IF(AND('Mapa final'!$AB$65="Muy Alta",'Mapa final'!$AD$65="Moderado"),CONCATENATE("R10C",'Mapa final'!$R$65),"")</f>
        <v/>
      </c>
      <c r="Y15" s="41" t="str">
        <f>IF(AND('Mapa final'!$AB$66="Muy Alta",'Mapa final'!$AD$66="Moderado"),CONCATENATE("R10C",'Mapa final'!$R$66),"")</f>
        <v/>
      </c>
      <c r="Z15" s="41" t="str">
        <f>IF(AND('Mapa final'!$AB$67="Muy Alta",'Mapa final'!$AD$67="Moderado"),CONCATENATE("R10C",'Mapa final'!$R$67),"")</f>
        <v/>
      </c>
      <c r="AA15" s="42" t="str">
        <f>IF(AND('Mapa final'!$AB$68="Muy Alta",'Mapa final'!$AD$68="Moderado"),CONCATENATE("R10C",'Mapa final'!$R$68),"")</f>
        <v/>
      </c>
      <c r="AB15" s="34" t="str">
        <f>IF(AND('Mapa final'!$AB$63="Muy Alta",'Mapa final'!$AD$63="Mayor"),CONCATENATE("R10C",'Mapa final'!$R$63),"")</f>
        <v/>
      </c>
      <c r="AC15" s="35" t="str">
        <f>IF(AND('Mapa final'!$AB$64="Muy Alta",'Mapa final'!$AD$64="Mayor"),CONCATENATE("R10C",'Mapa final'!$R$64),"")</f>
        <v/>
      </c>
      <c r="AD15" s="35" t="str">
        <f>IF(AND('Mapa final'!$AB$65="Muy Alta",'Mapa final'!$AD$65="Mayor"),CONCATENATE("R10C",'Mapa final'!$R$65),"")</f>
        <v/>
      </c>
      <c r="AE15" s="35" t="str">
        <f>IF(AND('Mapa final'!$AB$66="Muy Alta",'Mapa final'!$AD$66="Mayor"),CONCATENATE("R10C",'Mapa final'!$R$66),"")</f>
        <v/>
      </c>
      <c r="AF15" s="35" t="str">
        <f>IF(AND('Mapa final'!$AB$67="Muy Alta",'Mapa final'!$AD$67="Mayor"),CONCATENATE("R10C",'Mapa final'!$R$67),"")</f>
        <v/>
      </c>
      <c r="AG15" s="36" t="str">
        <f>IF(AND('Mapa final'!$AB$68="Muy Alta",'Mapa final'!$AD$68="Mayor"),CONCATENATE("R10C",'Mapa final'!$R$68),"")</f>
        <v/>
      </c>
      <c r="AH15" s="43" t="str">
        <f>IF(AND('Mapa final'!$AB$63="Muy Alta",'Mapa final'!$AD$63="Catastrófico"),CONCATENATE("R10C",'Mapa final'!$R$63),"")</f>
        <v/>
      </c>
      <c r="AI15" s="44" t="str">
        <f>IF(AND('Mapa final'!$AB$64="Muy Alta",'Mapa final'!$AD$64="Catastrófico"),CONCATENATE("R10C",'Mapa final'!$R$64),"")</f>
        <v/>
      </c>
      <c r="AJ15" s="44" t="str">
        <f>IF(AND('Mapa final'!$AB$65="Muy Alta",'Mapa final'!$AD$65="Catastrófico"),CONCATENATE("R10C",'Mapa final'!$R$65),"")</f>
        <v/>
      </c>
      <c r="AK15" s="44" t="str">
        <f>IF(AND('Mapa final'!$AB$66="Muy Alta",'Mapa final'!$AD$66="Catastrófico"),CONCATENATE("R10C",'Mapa final'!$R$66),"")</f>
        <v/>
      </c>
      <c r="AL15" s="44" t="str">
        <f>IF(AND('Mapa final'!$AB$67="Muy Alta",'Mapa final'!$AD$67="Catastrófico"),CONCATENATE("R10C",'Mapa final'!$R$67),"")</f>
        <v/>
      </c>
      <c r="AM15" s="45" t="str">
        <f>IF(AND('Mapa final'!$AB$68="Muy Alta",'Mapa final'!$AD$68="Catastrófico"),CONCATENATE("R10C",'Mapa final'!$R$68),"")</f>
        <v/>
      </c>
      <c r="AN15" s="65"/>
      <c r="AO15" s="821"/>
      <c r="AP15" s="822"/>
      <c r="AQ15" s="822"/>
      <c r="AR15" s="822"/>
      <c r="AS15" s="822"/>
      <c r="AT15" s="823"/>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91" ht="15" customHeight="1" x14ac:dyDescent="0.3">
      <c r="A16" s="65"/>
      <c r="B16" s="713"/>
      <c r="C16" s="713"/>
      <c r="D16" s="714"/>
      <c r="E16" s="808" t="s">
        <v>110</v>
      </c>
      <c r="F16" s="809"/>
      <c r="G16" s="809"/>
      <c r="H16" s="809"/>
      <c r="I16" s="809"/>
      <c r="J16" s="46" t="str">
        <f>IF(AND('Mapa final'!$AB$10="Alta",'Mapa final'!$AD$10="Leve"),CONCATENATE("R1C",'Mapa final'!$R$10),"")</f>
        <v/>
      </c>
      <c r="K16" s="47" t="str">
        <f>IF(AND('Mapa final'!$AB$11="Alta",'Mapa final'!$AD$11="Leve"),CONCATENATE("R1C",'Mapa final'!$R$11),"")</f>
        <v/>
      </c>
      <c r="L16" s="47" t="str">
        <f>IF(AND('Mapa final'!$AB$12="Alta",'Mapa final'!$AD$12="Leve"),CONCATENATE("R1C",'Mapa final'!$R$12),"")</f>
        <v/>
      </c>
      <c r="M16" s="47" t="str">
        <f>IF(AND('Mapa final'!$AB$13="Alta",'Mapa final'!$AD$13="Leve"),CONCATENATE("R1C",'Mapa final'!$R$13),"")</f>
        <v/>
      </c>
      <c r="N16" s="47" t="str">
        <f>IF(AND('Mapa final'!$AB$14="Alta",'Mapa final'!$AD$14="Leve"),CONCATENATE("R1C",'Mapa final'!$R$14),"")</f>
        <v/>
      </c>
      <c r="O16" s="48" t="str">
        <f>IF(AND('Mapa final'!$AB$15="Alta",'Mapa final'!$AD$15="Leve"),CONCATENATE("R1C",'Mapa final'!$R$15),"")</f>
        <v/>
      </c>
      <c r="P16" s="46" t="str">
        <f>IF(AND('Mapa final'!$AB$10="Alta",'Mapa final'!$AD$10="Menor"),CONCATENATE("R1C",'Mapa final'!$R$10),"")</f>
        <v/>
      </c>
      <c r="Q16" s="47" t="str">
        <f>IF(AND('Mapa final'!$AB$11="Alta",'Mapa final'!$AD$11="Menor"),CONCATENATE("R1C",'Mapa final'!$R$11),"")</f>
        <v/>
      </c>
      <c r="R16" s="47" t="str">
        <f>IF(AND('Mapa final'!$AB$12="Alta",'Mapa final'!$AD$12="Menor"),CONCATENATE("R1C",'Mapa final'!$R$12),"")</f>
        <v/>
      </c>
      <c r="S16" s="47" t="str">
        <f>IF(AND('Mapa final'!$AB$13="Alta",'Mapa final'!$AD$13="Menor"),CONCATENATE("R1C",'Mapa final'!$R$13),"")</f>
        <v/>
      </c>
      <c r="T16" s="47" t="str">
        <f>IF(AND('Mapa final'!$AB$14="Alta",'Mapa final'!$AD$14="Menor"),CONCATENATE("R1C",'Mapa final'!$R$14),"")</f>
        <v/>
      </c>
      <c r="U16" s="48" t="str">
        <f>IF(AND('Mapa final'!$AB$15="Alta",'Mapa final'!$AD$15="Menor"),CONCATENATE("R1C",'Mapa final'!$R$15),"")</f>
        <v/>
      </c>
      <c r="V16" s="28" t="str">
        <f>IF(AND('Mapa final'!$AB$10="Alta",'Mapa final'!$AD$10="Moderado"),CONCATENATE("R1C",'Mapa final'!$R$10),"")</f>
        <v/>
      </c>
      <c r="W16" s="29" t="str">
        <f>IF(AND('Mapa final'!$AB$11="Alta",'Mapa final'!$AD$11="Moderado"),CONCATENATE("R1C",'Mapa final'!$R$11),"")</f>
        <v/>
      </c>
      <c r="X16" s="29" t="str">
        <f>IF(AND('Mapa final'!$AB$12="Alta",'Mapa final'!$AD$12="Moderado"),CONCATENATE("R1C",'Mapa final'!$R$12),"")</f>
        <v/>
      </c>
      <c r="Y16" s="29" t="str">
        <f>IF(AND('Mapa final'!$AB$13="Alta",'Mapa final'!$AD$13="Moderado"),CONCATENATE("R1C",'Mapa final'!$R$13),"")</f>
        <v/>
      </c>
      <c r="Z16" s="29" t="str">
        <f>IF(AND('Mapa final'!$AB$14="Alta",'Mapa final'!$AD$14="Moderado"),CONCATENATE("R1C",'Mapa final'!$R$14),"")</f>
        <v/>
      </c>
      <c r="AA16" s="30" t="str">
        <f>IF(AND('Mapa final'!$AB$15="Alta",'Mapa final'!$AD$15="Moderado"),CONCATENATE("R1C",'Mapa final'!$R$15),"")</f>
        <v/>
      </c>
      <c r="AB16" s="28" t="str">
        <f>IF(AND('Mapa final'!$AB$10="Alta",'Mapa final'!$AD$10="Mayor"),CONCATENATE("R1C",'Mapa final'!$R$10),"")</f>
        <v/>
      </c>
      <c r="AC16" s="29" t="str">
        <f>IF(AND('Mapa final'!$AB$11="Alta",'Mapa final'!$AD$11="Mayor"),CONCATENATE("R1C",'Mapa final'!$R$11),"")</f>
        <v/>
      </c>
      <c r="AD16" s="29" t="str">
        <f>IF(AND('Mapa final'!$AB$12="Alta",'Mapa final'!$AD$12="Mayor"),CONCATENATE("R1C",'Mapa final'!$R$12),"")</f>
        <v/>
      </c>
      <c r="AE16" s="29" t="str">
        <f>IF(AND('Mapa final'!$AB$13="Alta",'Mapa final'!$AD$13="Mayor"),CONCATENATE("R1C",'Mapa final'!$R$13),"")</f>
        <v/>
      </c>
      <c r="AF16" s="29" t="str">
        <f>IF(AND('Mapa final'!$AB$14="Alta",'Mapa final'!$AD$14="Mayor"),CONCATENATE("R1C",'Mapa final'!$R$14),"")</f>
        <v/>
      </c>
      <c r="AG16" s="30" t="str">
        <f>IF(AND('Mapa final'!$AB$15="Alta",'Mapa final'!$AD$15="Mayor"),CONCATENATE("R1C",'Mapa final'!$R$15),"")</f>
        <v/>
      </c>
      <c r="AH16" s="31" t="str">
        <f>IF(AND('Mapa final'!$AB$10="Alta",'Mapa final'!$AD$10="Catastrófico"),CONCATENATE("R1C",'Mapa final'!$R$10),"")</f>
        <v/>
      </c>
      <c r="AI16" s="32" t="str">
        <f>IF(AND('Mapa final'!$AB$11="Alta",'Mapa final'!$AD$11="Catastrófico"),CONCATENATE("R1C",'Mapa final'!$R$11),"")</f>
        <v/>
      </c>
      <c r="AJ16" s="32" t="str">
        <f>IF(AND('Mapa final'!$AB$12="Alta",'Mapa final'!$AD$12="Catastrófico"),CONCATENATE("R1C",'Mapa final'!$R$12),"")</f>
        <v/>
      </c>
      <c r="AK16" s="32" t="str">
        <f>IF(AND('Mapa final'!$AB$13="Alta",'Mapa final'!$AD$13="Catastrófico"),CONCATENATE("R1C",'Mapa final'!$R$13),"")</f>
        <v/>
      </c>
      <c r="AL16" s="32" t="str">
        <f>IF(AND('Mapa final'!$AB$14="Alta",'Mapa final'!$AD$14="Catastrófico"),CONCATENATE("R1C",'Mapa final'!$R$14),"")</f>
        <v/>
      </c>
      <c r="AM16" s="33" t="str">
        <f>IF(AND('Mapa final'!$AB$15="Alta",'Mapa final'!$AD$15="Catastrófico"),CONCATENATE("R1C",'Mapa final'!$R$15),"")</f>
        <v/>
      </c>
      <c r="AN16" s="65"/>
      <c r="AO16" s="799" t="s">
        <v>79</v>
      </c>
      <c r="AP16" s="800"/>
      <c r="AQ16" s="800"/>
      <c r="AR16" s="800"/>
      <c r="AS16" s="800"/>
      <c r="AT16" s="801"/>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ht="15" customHeight="1" x14ac:dyDescent="0.3">
      <c r="A17" s="65"/>
      <c r="B17" s="713"/>
      <c r="C17" s="713"/>
      <c r="D17" s="714"/>
      <c r="E17" s="810"/>
      <c r="F17" s="811"/>
      <c r="G17" s="811"/>
      <c r="H17" s="811"/>
      <c r="I17" s="811"/>
      <c r="J17" s="49" t="str">
        <f>IF(AND('Mapa final'!$AB$16="Alta",'Mapa final'!$AD$16="Leve"),CONCATENATE("R2C",'Mapa final'!$R$16),"")</f>
        <v/>
      </c>
      <c r="K17" s="50" t="str">
        <f>IF(AND('Mapa final'!$AB$17="Alta",'Mapa final'!$AD$17="Leve"),CONCATENATE("R2C",'Mapa final'!$R$17),"")</f>
        <v/>
      </c>
      <c r="L17" s="50" t="str">
        <f>IF(AND('Mapa final'!$AB$18="Alta",'Mapa final'!$AD$18="Leve"),CONCATENATE("R2C",'Mapa final'!$R$18),"")</f>
        <v/>
      </c>
      <c r="M17" s="50" t="str">
        <f>IF(AND('Mapa final'!$AB$19="Alta",'Mapa final'!$AD$19="Leve"),CONCATENATE("R2C",'Mapa final'!$R$19),"")</f>
        <v/>
      </c>
      <c r="N17" s="50" t="str">
        <f>IF(AND('Mapa final'!$AB$20="Alta",'Mapa final'!$AD$20="Leve"),CONCATENATE("R2C",'Mapa final'!$R$20),"")</f>
        <v/>
      </c>
      <c r="O17" s="51" t="str">
        <f>IF(AND('Mapa final'!$AB$21="Alta",'Mapa final'!$AD$21="Leve"),CONCATENATE("R2C",'Mapa final'!$R$21),"")</f>
        <v/>
      </c>
      <c r="P17" s="49" t="str">
        <f>IF(AND('Mapa final'!$AB$16="Alta",'Mapa final'!$AD$16="Menor"),CONCATENATE("R2C",'Mapa final'!$R$16),"")</f>
        <v/>
      </c>
      <c r="Q17" s="50" t="str">
        <f>IF(AND('Mapa final'!$AB$17="Alta",'Mapa final'!$AD$17="Menor"),CONCATENATE("R2C",'Mapa final'!$R$17),"")</f>
        <v/>
      </c>
      <c r="R17" s="50" t="str">
        <f>IF(AND('Mapa final'!$AB$18="Alta",'Mapa final'!$AD$18="Menor"),CONCATENATE("R2C",'Mapa final'!$R$18),"")</f>
        <v/>
      </c>
      <c r="S17" s="50" t="str">
        <f>IF(AND('Mapa final'!$AB$19="Alta",'Mapa final'!$AD$19="Menor"),CONCATENATE("R2C",'Mapa final'!$R$19),"")</f>
        <v/>
      </c>
      <c r="T17" s="50" t="str">
        <f>IF(AND('Mapa final'!$AB$20="Alta",'Mapa final'!$AD$20="Menor"),CONCATENATE("R2C",'Mapa final'!$R$20),"")</f>
        <v/>
      </c>
      <c r="U17" s="51" t="str">
        <f>IF(AND('Mapa final'!$AB$21="Alta",'Mapa final'!$AD$21="Menor"),CONCATENATE("R2C",'Mapa final'!$R$21),"")</f>
        <v/>
      </c>
      <c r="V17" s="34" t="str">
        <f>IF(AND('Mapa final'!$AB$16="Alta",'Mapa final'!$AD$16="Moderado"),CONCATENATE("R2C",'Mapa final'!$R$16),"")</f>
        <v/>
      </c>
      <c r="W17" s="35" t="str">
        <f>IF(AND('Mapa final'!$AB$17="Alta",'Mapa final'!$AD$17="Moderado"),CONCATENATE("R2C",'Mapa final'!$R$17),"")</f>
        <v/>
      </c>
      <c r="X17" s="35" t="str">
        <f>IF(AND('Mapa final'!$AB$18="Alta",'Mapa final'!$AD$18="Moderado"),CONCATENATE("R2C",'Mapa final'!$R$18),"")</f>
        <v/>
      </c>
      <c r="Y17" s="35" t="str">
        <f>IF(AND('Mapa final'!$AB$19="Alta",'Mapa final'!$AD$19="Moderado"),CONCATENATE("R2C",'Mapa final'!$R$19),"")</f>
        <v/>
      </c>
      <c r="Z17" s="35" t="str">
        <f>IF(AND('Mapa final'!$AB$20="Alta",'Mapa final'!$AD$20="Moderado"),CONCATENATE("R2C",'Mapa final'!$R$20),"")</f>
        <v/>
      </c>
      <c r="AA17" s="36" t="str">
        <f>IF(AND('Mapa final'!$AB$21="Alta",'Mapa final'!$AD$21="Moderado"),CONCATENATE("R2C",'Mapa final'!$R$21),"")</f>
        <v/>
      </c>
      <c r="AB17" s="34" t="str">
        <f>IF(AND('Mapa final'!$AB$16="Alta",'Mapa final'!$AD$16="Mayor"),CONCATENATE("R2C",'Mapa final'!$R$16),"")</f>
        <v/>
      </c>
      <c r="AC17" s="35" t="str">
        <f>IF(AND('Mapa final'!$AB$17="Alta",'Mapa final'!$AD$17="Mayor"),CONCATENATE("R2C",'Mapa final'!$R$17),"")</f>
        <v/>
      </c>
      <c r="AD17" s="35" t="str">
        <f>IF(AND('Mapa final'!$AB$18="Alta",'Mapa final'!$AD$18="Mayor"),CONCATENATE("R2C",'Mapa final'!$R$18),"")</f>
        <v/>
      </c>
      <c r="AE17" s="35" t="str">
        <f>IF(AND('Mapa final'!$AB$19="Alta",'Mapa final'!$AD$19="Mayor"),CONCATENATE("R2C",'Mapa final'!$R$19),"")</f>
        <v/>
      </c>
      <c r="AF17" s="35" t="str">
        <f>IF(AND('Mapa final'!$AB$20="Alta",'Mapa final'!$AD$20="Mayor"),CONCATENATE("R2C",'Mapa final'!$R$20),"")</f>
        <v/>
      </c>
      <c r="AG17" s="36" t="str">
        <f>IF(AND('Mapa final'!$AB$21="Alta",'Mapa final'!$AD$21="Mayor"),CONCATENATE("R2C",'Mapa final'!$R$21),"")</f>
        <v/>
      </c>
      <c r="AH17" s="37" t="str">
        <f>IF(AND('Mapa final'!$AB$16="Alta",'Mapa final'!$AD$16="Catastrófico"),CONCATENATE("R2C",'Mapa final'!$R$16),"")</f>
        <v/>
      </c>
      <c r="AI17" s="38" t="str">
        <f>IF(AND('Mapa final'!$AB$17="Alta",'Mapa final'!$AD$17="Catastrófico"),CONCATENATE("R2C",'Mapa final'!$R$17),"")</f>
        <v/>
      </c>
      <c r="AJ17" s="38" t="str">
        <f>IF(AND('Mapa final'!$AB$18="Alta",'Mapa final'!$AD$18="Catastrófico"),CONCATENATE("R2C",'Mapa final'!$R$18),"")</f>
        <v/>
      </c>
      <c r="AK17" s="38" t="str">
        <f>IF(AND('Mapa final'!$AB$19="Alta",'Mapa final'!$AD$19="Catastrófico"),CONCATENATE("R2C",'Mapa final'!$R$19),"")</f>
        <v/>
      </c>
      <c r="AL17" s="38" t="str">
        <f>IF(AND('Mapa final'!$AB$20="Alta",'Mapa final'!$AD$20="Catastrófico"),CONCATENATE("R2C",'Mapa final'!$R$20),"")</f>
        <v/>
      </c>
      <c r="AM17" s="39" t="str">
        <f>IF(AND('Mapa final'!$AB$21="Alta",'Mapa final'!$AD$21="Catastrófico"),CONCATENATE("R2C",'Mapa final'!$R$21),"")</f>
        <v/>
      </c>
      <c r="AN17" s="65"/>
      <c r="AO17" s="802"/>
      <c r="AP17" s="803"/>
      <c r="AQ17" s="803"/>
      <c r="AR17" s="803"/>
      <c r="AS17" s="803"/>
      <c r="AT17" s="804"/>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ht="15" customHeight="1" x14ac:dyDescent="0.3">
      <c r="A18" s="65"/>
      <c r="B18" s="713"/>
      <c r="C18" s="713"/>
      <c r="D18" s="714"/>
      <c r="E18" s="812"/>
      <c r="F18" s="811"/>
      <c r="G18" s="811"/>
      <c r="H18" s="811"/>
      <c r="I18" s="811"/>
      <c r="J18" s="49" t="str">
        <f>IF(AND('Mapa final'!$AB$22="Alta",'Mapa final'!$AD$22="Leve"),CONCATENATE("R3C",'Mapa final'!$R$22),"")</f>
        <v/>
      </c>
      <c r="K18" s="50" t="str">
        <f>IF(AND('Mapa final'!$AB$23="Alta",'Mapa final'!$AD$23="Leve"),CONCATENATE("R3C",'Mapa final'!$R$23),"")</f>
        <v/>
      </c>
      <c r="L18" s="50" t="str">
        <f>IF(AND('Mapa final'!$AB$24="Alta",'Mapa final'!$AD$24="Leve"),CONCATENATE("R3C",'Mapa final'!$R$24),"")</f>
        <v/>
      </c>
      <c r="M18" s="50" t="str">
        <f>IF(AND('Mapa final'!$AB$25="Alta",'Mapa final'!$AD$25="Leve"),CONCATENATE("R3C",'Mapa final'!$R$25),"")</f>
        <v/>
      </c>
      <c r="N18" s="50" t="str">
        <f>IF(AND('Mapa final'!$AB$26="Alta",'Mapa final'!$AD$26="Leve"),CONCATENATE("R3C",'Mapa final'!$R$26),"")</f>
        <v/>
      </c>
      <c r="O18" s="51" t="str">
        <f>IF(AND('Mapa final'!$AB$27="Alta",'Mapa final'!$AD$27="Leve"),CONCATENATE("R3C",'Mapa final'!$R$27),"")</f>
        <v/>
      </c>
      <c r="P18" s="49" t="str">
        <f>IF(AND('Mapa final'!$AB$22="Alta",'Mapa final'!$AD$22="Menor"),CONCATENATE("R3C",'Mapa final'!$R$22),"")</f>
        <v/>
      </c>
      <c r="Q18" s="50" t="str">
        <f>IF(AND('Mapa final'!$AB$23="Alta",'Mapa final'!$AD$23="Menor"),CONCATENATE("R3C",'Mapa final'!$R$23),"")</f>
        <v/>
      </c>
      <c r="R18" s="50" t="str">
        <f>IF(AND('Mapa final'!$AB$24="Alta",'Mapa final'!$AD$24="Menor"),CONCATENATE("R3C",'Mapa final'!$R$24),"")</f>
        <v/>
      </c>
      <c r="S18" s="50" t="str">
        <f>IF(AND('Mapa final'!$AB$25="Alta",'Mapa final'!$AD$25="Menor"),CONCATENATE("R3C",'Mapa final'!$R$25),"")</f>
        <v/>
      </c>
      <c r="T18" s="50" t="str">
        <f>IF(AND('Mapa final'!$AB$26="Alta",'Mapa final'!$AD$26="Menor"),CONCATENATE("R3C",'Mapa final'!$R$26),"")</f>
        <v/>
      </c>
      <c r="U18" s="51" t="str">
        <f>IF(AND('Mapa final'!$AB$27="Alta",'Mapa final'!$AD$27="Menor"),CONCATENATE("R3C",'Mapa final'!$R$27),"")</f>
        <v/>
      </c>
      <c r="V18" s="34" t="str">
        <f>IF(AND('Mapa final'!$AB$22="Alta",'Mapa final'!$AD$22="Moderado"),CONCATENATE("R3C",'Mapa final'!$R$22),"")</f>
        <v/>
      </c>
      <c r="W18" s="35" t="str">
        <f>IF(AND('Mapa final'!$AB$23="Alta",'Mapa final'!$AD$23="Moderado"),CONCATENATE("R3C",'Mapa final'!$R$23),"")</f>
        <v/>
      </c>
      <c r="X18" s="35" t="str">
        <f>IF(AND('Mapa final'!$AB$24="Alta",'Mapa final'!$AD$24="Moderado"),CONCATENATE("R3C",'Mapa final'!$R$24),"")</f>
        <v/>
      </c>
      <c r="Y18" s="35" t="str">
        <f>IF(AND('Mapa final'!$AB$25="Alta",'Mapa final'!$AD$25="Moderado"),CONCATENATE("R3C",'Mapa final'!$R$25),"")</f>
        <v/>
      </c>
      <c r="Z18" s="35" t="str">
        <f>IF(AND('Mapa final'!$AB$26="Alta",'Mapa final'!$AD$26="Moderado"),CONCATENATE("R3C",'Mapa final'!$R$26),"")</f>
        <v/>
      </c>
      <c r="AA18" s="36" t="str">
        <f>IF(AND('Mapa final'!$AB$27="Alta",'Mapa final'!$AD$27="Moderado"),CONCATENATE("R3C",'Mapa final'!$R$27),"")</f>
        <v/>
      </c>
      <c r="AB18" s="34" t="str">
        <f>IF(AND('Mapa final'!$AB$22="Alta",'Mapa final'!$AD$22="Mayor"),CONCATENATE("R3C",'Mapa final'!$R$22),"")</f>
        <v/>
      </c>
      <c r="AC18" s="35" t="str">
        <f>IF(AND('Mapa final'!$AB$23="Alta",'Mapa final'!$AD$23="Mayor"),CONCATENATE("R3C",'Mapa final'!$R$23),"")</f>
        <v/>
      </c>
      <c r="AD18" s="35" t="str">
        <f>IF(AND('Mapa final'!$AB$24="Alta",'Mapa final'!$AD$24="Mayor"),CONCATENATE("R3C",'Mapa final'!$R$24),"")</f>
        <v/>
      </c>
      <c r="AE18" s="35" t="str">
        <f>IF(AND('Mapa final'!$AB$25="Alta",'Mapa final'!$AD$25="Mayor"),CONCATENATE("R3C",'Mapa final'!$R$25),"")</f>
        <v/>
      </c>
      <c r="AF18" s="35" t="str">
        <f>IF(AND('Mapa final'!$AB$26="Alta",'Mapa final'!$AD$26="Mayor"),CONCATENATE("R3C",'Mapa final'!$R$26),"")</f>
        <v/>
      </c>
      <c r="AG18" s="36" t="str">
        <f>IF(AND('Mapa final'!$AB$27="Alta",'Mapa final'!$AD$27="Mayor"),CONCATENATE("R3C",'Mapa final'!$R$27),"")</f>
        <v/>
      </c>
      <c r="AH18" s="37" t="str">
        <f>IF(AND('Mapa final'!$AB$22="Alta",'Mapa final'!$AD$22="Catastrófico"),CONCATENATE("R3C",'Mapa final'!$R$22),"")</f>
        <v/>
      </c>
      <c r="AI18" s="38" t="str">
        <f>IF(AND('Mapa final'!$AB$23="Alta",'Mapa final'!$AD$23="Catastrófico"),CONCATENATE("R3C",'Mapa final'!$R$23),"")</f>
        <v/>
      </c>
      <c r="AJ18" s="38" t="str">
        <f>IF(AND('Mapa final'!$AB$24="Alta",'Mapa final'!$AD$24="Catastrófico"),CONCATENATE("R3C",'Mapa final'!$R$24),"")</f>
        <v/>
      </c>
      <c r="AK18" s="38" t="str">
        <f>IF(AND('Mapa final'!$AB$25="Alta",'Mapa final'!$AD$25="Catastrófico"),CONCATENATE("R3C",'Mapa final'!$R$25),"")</f>
        <v/>
      </c>
      <c r="AL18" s="38" t="str">
        <f>IF(AND('Mapa final'!$AB$26="Alta",'Mapa final'!$AD$26="Catastrófico"),CONCATENATE("R3C",'Mapa final'!$R$26),"")</f>
        <v/>
      </c>
      <c r="AM18" s="39" t="str">
        <f>IF(AND('Mapa final'!$AB$27="Alta",'Mapa final'!$AD$27="Catastrófico"),CONCATENATE("R3C",'Mapa final'!$R$27),"")</f>
        <v/>
      </c>
      <c r="AN18" s="65"/>
      <c r="AO18" s="802"/>
      <c r="AP18" s="803"/>
      <c r="AQ18" s="803"/>
      <c r="AR18" s="803"/>
      <c r="AS18" s="803"/>
      <c r="AT18" s="804"/>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ht="15" customHeight="1" x14ac:dyDescent="0.3">
      <c r="A19" s="65"/>
      <c r="B19" s="713"/>
      <c r="C19" s="713"/>
      <c r="D19" s="714"/>
      <c r="E19" s="812"/>
      <c r="F19" s="811"/>
      <c r="G19" s="811"/>
      <c r="H19" s="811"/>
      <c r="I19" s="811"/>
      <c r="J19" s="49" t="str">
        <f>IF(AND('Mapa final'!$AB$28="Alta",'Mapa final'!$AD$28="Leve"),CONCATENATE("R4C",'Mapa final'!$R$28),"")</f>
        <v/>
      </c>
      <c r="K19" s="50" t="e">
        <f>IF(AND('Mapa final'!#REF!="Alta",'Mapa final'!#REF!="Leve"),CONCATENATE("R4C",'Mapa final'!#REF!),"")</f>
        <v>#REF!</v>
      </c>
      <c r="L19" s="50" t="str">
        <f>IF(AND('Mapa final'!$AB$29="Alta",'Mapa final'!$AD$29="Leve"),CONCATENATE("R4C",'Mapa final'!$R$29),"")</f>
        <v/>
      </c>
      <c r="M19" s="50" t="str">
        <f>IF(AND('Mapa final'!$AB$30="Alta",'Mapa final'!$AD$30="Leve"),CONCATENATE("R4C",'Mapa final'!$R$30),"")</f>
        <v/>
      </c>
      <c r="N19" s="50" t="str">
        <f>IF(AND('Mapa final'!$AB$31="Alta",'Mapa final'!$AD$31="Leve"),CONCATENATE("R4C",'Mapa final'!$R$31),"")</f>
        <v/>
      </c>
      <c r="O19" s="51" t="str">
        <f>IF(AND('Mapa final'!$AB$32="Alta",'Mapa final'!$AD$32="Leve"),CONCATENATE("R4C",'Mapa final'!$R$32),"")</f>
        <v/>
      </c>
      <c r="P19" s="49" t="str">
        <f>IF(AND('Mapa final'!$AB$28="Alta",'Mapa final'!$AD$28="Menor"),CONCATENATE("R4C",'Mapa final'!$R$28),"")</f>
        <v/>
      </c>
      <c r="Q19" s="50" t="e">
        <f>IF(AND('Mapa final'!#REF!="Alta",'Mapa final'!#REF!="Menor"),CONCATENATE("R4C",'Mapa final'!#REF!),"")</f>
        <v>#REF!</v>
      </c>
      <c r="R19" s="50" t="str">
        <f>IF(AND('Mapa final'!$AB$29="Alta",'Mapa final'!$AD$29="Menor"),CONCATENATE("R4C",'Mapa final'!$R$29),"")</f>
        <v/>
      </c>
      <c r="S19" s="50" t="str">
        <f>IF(AND('Mapa final'!$AB$30="Alta",'Mapa final'!$AD$30="Menor"),CONCATENATE("R4C",'Mapa final'!$R$30),"")</f>
        <v/>
      </c>
      <c r="T19" s="50" t="str">
        <f>IF(AND('Mapa final'!$AB$31="Alta",'Mapa final'!$AD$31="Menor"),CONCATENATE("R4C",'Mapa final'!$R$31),"")</f>
        <v/>
      </c>
      <c r="U19" s="51" t="str">
        <f>IF(AND('Mapa final'!$AB$32="Alta",'Mapa final'!$AD$32="Menor"),CONCATENATE("R4C",'Mapa final'!$R$32),"")</f>
        <v/>
      </c>
      <c r="V19" s="34" t="str">
        <f>IF(AND('Mapa final'!$AB$28="Alta",'Mapa final'!$AD$28="Moderado"),CONCATENATE("R4C",'Mapa final'!$R$28),"")</f>
        <v/>
      </c>
      <c r="W19" s="35" t="e">
        <f>IF(AND('Mapa final'!#REF!="Alta",'Mapa final'!#REF!="Moderado"),CONCATENATE("R4C",'Mapa final'!#REF!),"")</f>
        <v>#REF!</v>
      </c>
      <c r="X19" s="35" t="str">
        <f>IF(AND('Mapa final'!$AB$29="Alta",'Mapa final'!$AD$29="Moderado"),CONCATENATE("R4C",'Mapa final'!$R$29),"")</f>
        <v/>
      </c>
      <c r="Y19" s="35" t="str">
        <f>IF(AND('Mapa final'!$AB$30="Alta",'Mapa final'!$AD$30="Moderado"),CONCATENATE("R4C",'Mapa final'!$R$30),"")</f>
        <v/>
      </c>
      <c r="Z19" s="35" t="str">
        <f>IF(AND('Mapa final'!$AB$31="Alta",'Mapa final'!$AD$31="Moderado"),CONCATENATE("R4C",'Mapa final'!$R$31),"")</f>
        <v/>
      </c>
      <c r="AA19" s="36" t="str">
        <f>IF(AND('Mapa final'!$AB$32="Alta",'Mapa final'!$AD$32="Moderado"),CONCATENATE("R4C",'Mapa final'!$R$32),"")</f>
        <v/>
      </c>
      <c r="AB19" s="34" t="str">
        <f>IF(AND('Mapa final'!$AB$28="Alta",'Mapa final'!$AD$28="Mayor"),CONCATENATE("R4C",'Mapa final'!$R$28),"")</f>
        <v/>
      </c>
      <c r="AC19" s="35" t="e">
        <f>IF(AND('Mapa final'!#REF!="Alta",'Mapa final'!#REF!="Mayor"),CONCATENATE("R4C",'Mapa final'!#REF!),"")</f>
        <v>#REF!</v>
      </c>
      <c r="AD19" s="35" t="str">
        <f>IF(AND('Mapa final'!$AB$29="Alta",'Mapa final'!$AD$29="Mayor"),CONCATENATE("R4C",'Mapa final'!$R$29),"")</f>
        <v/>
      </c>
      <c r="AE19" s="35" t="str">
        <f>IF(AND('Mapa final'!$AB$30="Alta",'Mapa final'!$AD$30="Mayor"),CONCATENATE("R4C",'Mapa final'!$R$30),"")</f>
        <v/>
      </c>
      <c r="AF19" s="35" t="str">
        <f>IF(AND('Mapa final'!$AB$31="Alta",'Mapa final'!$AD$31="Mayor"),CONCATENATE("R4C",'Mapa final'!$R$31),"")</f>
        <v/>
      </c>
      <c r="AG19" s="36" t="str">
        <f>IF(AND('Mapa final'!$AB$32="Alta",'Mapa final'!$AD$32="Mayor"),CONCATENATE("R4C",'Mapa final'!$R$32),"")</f>
        <v/>
      </c>
      <c r="AH19" s="37" t="str">
        <f>IF(AND('Mapa final'!$AB$28="Alta",'Mapa final'!$AD$28="Catastrófico"),CONCATENATE("R4C",'Mapa final'!$R$28),"")</f>
        <v/>
      </c>
      <c r="AI19" s="38" t="e">
        <f>IF(AND('Mapa final'!#REF!="Alta",'Mapa final'!#REF!="Catastrófico"),CONCATENATE("R4C",'Mapa final'!#REF!),"")</f>
        <v>#REF!</v>
      </c>
      <c r="AJ19" s="38" t="str">
        <f>IF(AND('Mapa final'!$AB$29="Alta",'Mapa final'!$AD$29="Catastrófico"),CONCATENATE("R4C",'Mapa final'!$R$29),"")</f>
        <v/>
      </c>
      <c r="AK19" s="38" t="str">
        <f>IF(AND('Mapa final'!$AB$30="Alta",'Mapa final'!$AD$30="Catastrófico"),CONCATENATE("R4C",'Mapa final'!$R$30),"")</f>
        <v/>
      </c>
      <c r="AL19" s="38" t="str">
        <f>IF(AND('Mapa final'!$AB$31="Alta",'Mapa final'!$AD$31="Catastrófico"),CONCATENATE("R4C",'Mapa final'!$R$31),"")</f>
        <v/>
      </c>
      <c r="AM19" s="39" t="str">
        <f>IF(AND('Mapa final'!$AB$32="Alta",'Mapa final'!$AD$32="Catastrófico"),CONCATENATE("R4C",'Mapa final'!$R$32),"")</f>
        <v/>
      </c>
      <c r="AN19" s="65"/>
      <c r="AO19" s="802"/>
      <c r="AP19" s="803"/>
      <c r="AQ19" s="803"/>
      <c r="AR19" s="803"/>
      <c r="AS19" s="803"/>
      <c r="AT19" s="804"/>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ht="15" customHeight="1" x14ac:dyDescent="0.3">
      <c r="A20" s="65"/>
      <c r="B20" s="713"/>
      <c r="C20" s="713"/>
      <c r="D20" s="714"/>
      <c r="E20" s="812"/>
      <c r="F20" s="811"/>
      <c r="G20" s="811"/>
      <c r="H20" s="811"/>
      <c r="I20" s="811"/>
      <c r="J20" s="49" t="str">
        <f>IF(AND('Mapa final'!$AB$33="Alta",'Mapa final'!$AD$33="Leve"),CONCATENATE("R5C",'Mapa final'!$R$33),"")</f>
        <v/>
      </c>
      <c r="K20" s="50" t="str">
        <f>IF(AND('Mapa final'!$AB$34="Alta",'Mapa final'!$AD$34="Leve"),CONCATENATE("R5C",'Mapa final'!$R$34),"")</f>
        <v/>
      </c>
      <c r="L20" s="50" t="str">
        <f>IF(AND('Mapa final'!$AB$35="Alta",'Mapa final'!$AD$35="Leve"),CONCATENATE("R5C",'Mapa final'!$R$35),"")</f>
        <v/>
      </c>
      <c r="M20" s="50" t="str">
        <f>IF(AND('Mapa final'!$AB$36="Alta",'Mapa final'!$AD$36="Leve"),CONCATENATE("R5C",'Mapa final'!$R$36),"")</f>
        <v/>
      </c>
      <c r="N20" s="50" t="str">
        <f>IF(AND('Mapa final'!$AB$37="Alta",'Mapa final'!$AD$37="Leve"),CONCATENATE("R5C",'Mapa final'!$R$37),"")</f>
        <v/>
      </c>
      <c r="O20" s="51" t="str">
        <f>IF(AND('Mapa final'!$AB$38="Alta",'Mapa final'!$AD$38="Leve"),CONCATENATE("R5C",'Mapa final'!$R$38),"")</f>
        <v/>
      </c>
      <c r="P20" s="49" t="str">
        <f>IF(AND('Mapa final'!$AB$33="Alta",'Mapa final'!$AD$33="Menor"),CONCATENATE("R5C",'Mapa final'!$R$33),"")</f>
        <v/>
      </c>
      <c r="Q20" s="50" t="str">
        <f>IF(AND('Mapa final'!$AB$34="Alta",'Mapa final'!$AD$34="Menor"),CONCATENATE("R5C",'Mapa final'!$R$34),"")</f>
        <v/>
      </c>
      <c r="R20" s="50" t="str">
        <f>IF(AND('Mapa final'!$AB$35="Alta",'Mapa final'!$AD$35="Menor"),CONCATENATE("R5C",'Mapa final'!$R$35),"")</f>
        <v/>
      </c>
      <c r="S20" s="50" t="str">
        <f>IF(AND('Mapa final'!$AB$36="Alta",'Mapa final'!$AD$36="Menor"),CONCATENATE("R5C",'Mapa final'!$R$36),"")</f>
        <v/>
      </c>
      <c r="T20" s="50" t="str">
        <f>IF(AND('Mapa final'!$AB$37="Alta",'Mapa final'!$AD$37="Menor"),CONCATENATE("R5C",'Mapa final'!$R$37),"")</f>
        <v/>
      </c>
      <c r="U20" s="51" t="str">
        <f>IF(AND('Mapa final'!$AB$38="Alta",'Mapa final'!$AD$38="Menor"),CONCATENATE("R5C",'Mapa final'!$R$38),"")</f>
        <v/>
      </c>
      <c r="V20" s="34" t="str">
        <f>IF(AND('Mapa final'!$AB$33="Alta",'Mapa final'!$AD$33="Moderado"),CONCATENATE("R5C",'Mapa final'!$R$33),"")</f>
        <v/>
      </c>
      <c r="W20" s="35" t="str">
        <f>IF(AND('Mapa final'!$AB$34="Alta",'Mapa final'!$AD$34="Moderado"),CONCATENATE("R5C",'Mapa final'!$R$34),"")</f>
        <v/>
      </c>
      <c r="X20" s="35" t="str">
        <f>IF(AND('Mapa final'!$AB$35="Alta",'Mapa final'!$AD$35="Moderado"),CONCATENATE("R5C",'Mapa final'!$R$35),"")</f>
        <v/>
      </c>
      <c r="Y20" s="35" t="str">
        <f>IF(AND('Mapa final'!$AB$36="Alta",'Mapa final'!$AD$36="Moderado"),CONCATENATE("R5C",'Mapa final'!$R$36),"")</f>
        <v/>
      </c>
      <c r="Z20" s="35" t="str">
        <f>IF(AND('Mapa final'!$AB$37="Alta",'Mapa final'!$AD$37="Moderado"),CONCATENATE("R5C",'Mapa final'!$R$37),"")</f>
        <v/>
      </c>
      <c r="AA20" s="36" t="str">
        <f>IF(AND('Mapa final'!$AB$38="Alta",'Mapa final'!$AD$38="Moderado"),CONCATENATE("R5C",'Mapa final'!$R$38),"")</f>
        <v/>
      </c>
      <c r="AB20" s="34" t="str">
        <f>IF(AND('Mapa final'!$AB$33="Alta",'Mapa final'!$AD$33="Mayor"),CONCATENATE("R5C",'Mapa final'!$R$33),"")</f>
        <v/>
      </c>
      <c r="AC20" s="35" t="str">
        <f>IF(AND('Mapa final'!$AB$34="Alta",'Mapa final'!$AD$34="Mayor"),CONCATENATE("R5C",'Mapa final'!$R$34),"")</f>
        <v/>
      </c>
      <c r="AD20" s="35" t="str">
        <f>IF(AND('Mapa final'!$AB$35="Alta",'Mapa final'!$AD$35="Mayor"),CONCATENATE("R5C",'Mapa final'!$R$35),"")</f>
        <v/>
      </c>
      <c r="AE20" s="35" t="str">
        <f>IF(AND('Mapa final'!$AB$36="Alta",'Mapa final'!$AD$36="Mayor"),CONCATENATE("R5C",'Mapa final'!$R$36),"")</f>
        <v/>
      </c>
      <c r="AF20" s="35" t="str">
        <f>IF(AND('Mapa final'!$AB$37="Alta",'Mapa final'!$AD$37="Mayor"),CONCATENATE("R5C",'Mapa final'!$R$37),"")</f>
        <v/>
      </c>
      <c r="AG20" s="36" t="str">
        <f>IF(AND('Mapa final'!$AB$38="Alta",'Mapa final'!$AD$38="Mayor"),CONCATENATE("R5C",'Mapa final'!$R$38),"")</f>
        <v/>
      </c>
      <c r="AH20" s="37" t="str">
        <f>IF(AND('Mapa final'!$AB$33="Alta",'Mapa final'!$AD$33="Catastrófico"),CONCATENATE("R5C",'Mapa final'!$R$33),"")</f>
        <v/>
      </c>
      <c r="AI20" s="38" t="str">
        <f>IF(AND('Mapa final'!$AB$34="Alta",'Mapa final'!$AD$34="Catastrófico"),CONCATENATE("R5C",'Mapa final'!$R$34),"")</f>
        <v/>
      </c>
      <c r="AJ20" s="38" t="str">
        <f>IF(AND('Mapa final'!$AB$35="Alta",'Mapa final'!$AD$35="Catastrófico"),CONCATENATE("R5C",'Mapa final'!$R$35),"")</f>
        <v/>
      </c>
      <c r="AK20" s="38" t="str">
        <f>IF(AND('Mapa final'!$AB$36="Alta",'Mapa final'!$AD$36="Catastrófico"),CONCATENATE("R5C",'Mapa final'!$R$36),"")</f>
        <v/>
      </c>
      <c r="AL20" s="38" t="str">
        <f>IF(AND('Mapa final'!$AB$37="Alta",'Mapa final'!$AD$37="Catastrófico"),CONCATENATE("R5C",'Mapa final'!$R$37),"")</f>
        <v/>
      </c>
      <c r="AM20" s="39" t="str">
        <f>IF(AND('Mapa final'!$AB$38="Alta",'Mapa final'!$AD$38="Catastrófico"),CONCATENATE("R5C",'Mapa final'!$R$38),"")</f>
        <v/>
      </c>
      <c r="AN20" s="65"/>
      <c r="AO20" s="802"/>
      <c r="AP20" s="803"/>
      <c r="AQ20" s="803"/>
      <c r="AR20" s="803"/>
      <c r="AS20" s="803"/>
      <c r="AT20" s="804"/>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ht="15" customHeight="1" x14ac:dyDescent="0.3">
      <c r="A21" s="65"/>
      <c r="B21" s="713"/>
      <c r="C21" s="713"/>
      <c r="D21" s="714"/>
      <c r="E21" s="812"/>
      <c r="F21" s="811"/>
      <c r="G21" s="811"/>
      <c r="H21" s="811"/>
      <c r="I21" s="811"/>
      <c r="J21" s="49" t="str">
        <f>IF(AND('Mapa final'!$AB$39="Alta",'Mapa final'!$AD$39="Leve"),CONCATENATE("R6C",'Mapa final'!$R$39),"")</f>
        <v/>
      </c>
      <c r="K21" s="50" t="str">
        <f>IF(AND('Mapa final'!$AB$40="Alta",'Mapa final'!$AD$40="Leve"),CONCATENATE("R6C",'Mapa final'!$R$40),"")</f>
        <v/>
      </c>
      <c r="L21" s="50" t="str">
        <f>IF(AND('Mapa final'!$AB$41="Alta",'Mapa final'!$AD$41="Leve"),CONCATENATE("R6C",'Mapa final'!$R$41),"")</f>
        <v/>
      </c>
      <c r="M21" s="50" t="str">
        <f>IF(AND('Mapa final'!$AB$42="Alta",'Mapa final'!$AD$42="Leve"),CONCATENATE("R6C",'Mapa final'!$R$42),"")</f>
        <v/>
      </c>
      <c r="N21" s="50" t="str">
        <f>IF(AND('Mapa final'!$AB$43="Alta",'Mapa final'!$AD$43="Leve"),CONCATENATE("R6C",'Mapa final'!$R$43),"")</f>
        <v/>
      </c>
      <c r="O21" s="51" t="str">
        <f>IF(AND('Mapa final'!$AB$44="Alta",'Mapa final'!$AD$44="Leve"),CONCATENATE("R6C",'Mapa final'!$R$44),"")</f>
        <v/>
      </c>
      <c r="P21" s="49" t="str">
        <f>IF(AND('Mapa final'!$AB$39="Alta",'Mapa final'!$AD$39="Menor"),CONCATENATE("R6C",'Mapa final'!$R$39),"")</f>
        <v/>
      </c>
      <c r="Q21" s="50" t="str">
        <f>IF(AND('Mapa final'!$AB$40="Alta",'Mapa final'!$AD$40="Menor"),CONCATENATE("R6C",'Mapa final'!$R$40),"")</f>
        <v/>
      </c>
      <c r="R21" s="50" t="str">
        <f>IF(AND('Mapa final'!$AB$41="Alta",'Mapa final'!$AD$41="Menor"),CONCATENATE("R6C",'Mapa final'!$R$41),"")</f>
        <v/>
      </c>
      <c r="S21" s="50" t="str">
        <f>IF(AND('Mapa final'!$AB$42="Alta",'Mapa final'!$AD$42="Menor"),CONCATENATE("R6C",'Mapa final'!$R$42),"")</f>
        <v/>
      </c>
      <c r="T21" s="50" t="str">
        <f>IF(AND('Mapa final'!$AB$43="Alta",'Mapa final'!$AD$43="Menor"),CONCATENATE("R6C",'Mapa final'!$R$43),"")</f>
        <v/>
      </c>
      <c r="U21" s="51" t="str">
        <f>IF(AND('Mapa final'!$AB$44="Alta",'Mapa final'!$AD$44="Menor"),CONCATENATE("R6C",'Mapa final'!$R$44),"")</f>
        <v/>
      </c>
      <c r="V21" s="34" t="str">
        <f>IF(AND('Mapa final'!$AB$39="Alta",'Mapa final'!$AD$39="Moderado"),CONCATENATE("R6C",'Mapa final'!$R$39),"")</f>
        <v/>
      </c>
      <c r="W21" s="35" t="str">
        <f>IF(AND('Mapa final'!$AB$40="Alta",'Mapa final'!$AD$40="Moderado"),CONCATENATE("R6C",'Mapa final'!$R$40),"")</f>
        <v/>
      </c>
      <c r="X21" s="35" t="str">
        <f>IF(AND('Mapa final'!$AB$41="Alta",'Mapa final'!$AD$41="Moderado"),CONCATENATE("R6C",'Mapa final'!$R$41),"")</f>
        <v/>
      </c>
      <c r="Y21" s="35" t="str">
        <f>IF(AND('Mapa final'!$AB$42="Alta",'Mapa final'!$AD$42="Moderado"),CONCATENATE("R6C",'Mapa final'!$R$42),"")</f>
        <v/>
      </c>
      <c r="Z21" s="35" t="str">
        <f>IF(AND('Mapa final'!$AB$43="Alta",'Mapa final'!$AD$43="Moderado"),CONCATENATE("R6C",'Mapa final'!$R$43),"")</f>
        <v/>
      </c>
      <c r="AA21" s="36" t="str">
        <f>IF(AND('Mapa final'!$AB$44="Alta",'Mapa final'!$AD$44="Moderado"),CONCATENATE("R6C",'Mapa final'!$R$44),"")</f>
        <v/>
      </c>
      <c r="AB21" s="34" t="str">
        <f>IF(AND('Mapa final'!$AB$39="Alta",'Mapa final'!$AD$39="Mayor"),CONCATENATE("R6C",'Mapa final'!$R$39),"")</f>
        <v/>
      </c>
      <c r="AC21" s="35" t="str">
        <f>IF(AND('Mapa final'!$AB$40="Alta",'Mapa final'!$AD$40="Mayor"),CONCATENATE("R6C",'Mapa final'!$R$40),"")</f>
        <v/>
      </c>
      <c r="AD21" s="35" t="str">
        <f>IF(AND('Mapa final'!$AB$41="Alta",'Mapa final'!$AD$41="Mayor"),CONCATENATE("R6C",'Mapa final'!$R$41),"")</f>
        <v/>
      </c>
      <c r="AE21" s="35" t="str">
        <f>IF(AND('Mapa final'!$AB$42="Alta",'Mapa final'!$AD$42="Mayor"),CONCATENATE("R6C",'Mapa final'!$R$42),"")</f>
        <v/>
      </c>
      <c r="AF21" s="35" t="str">
        <f>IF(AND('Mapa final'!$AB$43="Alta",'Mapa final'!$AD$43="Mayor"),CONCATENATE("R6C",'Mapa final'!$R$43),"")</f>
        <v/>
      </c>
      <c r="AG21" s="36" t="str">
        <f>IF(AND('Mapa final'!$AB$44="Alta",'Mapa final'!$AD$44="Mayor"),CONCATENATE("R6C",'Mapa final'!$R$44),"")</f>
        <v/>
      </c>
      <c r="AH21" s="37" t="str">
        <f>IF(AND('Mapa final'!$AB$39="Alta",'Mapa final'!$AD$39="Catastrófico"),CONCATENATE("R6C",'Mapa final'!$R$39),"")</f>
        <v/>
      </c>
      <c r="AI21" s="38" t="str">
        <f>IF(AND('Mapa final'!$AB$40="Alta",'Mapa final'!$AD$40="Catastrófico"),CONCATENATE("R6C",'Mapa final'!$R$40),"")</f>
        <v/>
      </c>
      <c r="AJ21" s="38" t="str">
        <f>IF(AND('Mapa final'!$AB$41="Alta",'Mapa final'!$AD$41="Catastrófico"),CONCATENATE("R6C",'Mapa final'!$R$41),"")</f>
        <v/>
      </c>
      <c r="AK21" s="38" t="str">
        <f>IF(AND('Mapa final'!$AB$42="Alta",'Mapa final'!$AD$42="Catastrófico"),CONCATENATE("R6C",'Mapa final'!$R$42),"")</f>
        <v/>
      </c>
      <c r="AL21" s="38" t="str">
        <f>IF(AND('Mapa final'!$AB$43="Alta",'Mapa final'!$AD$43="Catastrófico"),CONCATENATE("R6C",'Mapa final'!$R$43),"")</f>
        <v/>
      </c>
      <c r="AM21" s="39" t="str">
        <f>IF(AND('Mapa final'!$AB$44="Alta",'Mapa final'!$AD$44="Catastrófico"),CONCATENATE("R6C",'Mapa final'!$R$44),"")</f>
        <v/>
      </c>
      <c r="AN21" s="65"/>
      <c r="AO21" s="802"/>
      <c r="AP21" s="803"/>
      <c r="AQ21" s="803"/>
      <c r="AR21" s="803"/>
      <c r="AS21" s="803"/>
      <c r="AT21" s="804"/>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5" customHeight="1" x14ac:dyDescent="0.3">
      <c r="A22" s="65"/>
      <c r="B22" s="713"/>
      <c r="C22" s="713"/>
      <c r="D22" s="714"/>
      <c r="E22" s="812"/>
      <c r="F22" s="811"/>
      <c r="G22" s="811"/>
      <c r="H22" s="811"/>
      <c r="I22" s="811"/>
      <c r="J22" s="49" t="str">
        <f>IF(AND('Mapa final'!$AB$45="Alta",'Mapa final'!$AD$45="Leve"),CONCATENATE("R7C",'Mapa final'!$R$45),"")</f>
        <v/>
      </c>
      <c r="K22" s="50" t="str">
        <f>IF(AND('Mapa final'!$AB$46="Alta",'Mapa final'!$AD$46="Leve"),CONCATENATE("R7C",'Mapa final'!$R$46),"")</f>
        <v/>
      </c>
      <c r="L22" s="50" t="str">
        <f>IF(AND('Mapa final'!$AB$47="Alta",'Mapa final'!$AD$47="Leve"),CONCATENATE("R7C",'Mapa final'!$R$47),"")</f>
        <v/>
      </c>
      <c r="M22" s="50" t="str">
        <f>IF(AND('Mapa final'!$AB$48="Alta",'Mapa final'!$AD$48="Leve"),CONCATENATE("R7C",'Mapa final'!$R$48),"")</f>
        <v/>
      </c>
      <c r="N22" s="50" t="str">
        <f>IF(AND('Mapa final'!$AB$49="Alta",'Mapa final'!$AD$49="Leve"),CONCATENATE("R7C",'Mapa final'!$R$49),"")</f>
        <v/>
      </c>
      <c r="O22" s="51" t="str">
        <f>IF(AND('Mapa final'!$AB$50="Alta",'Mapa final'!$AD$50="Leve"),CONCATENATE("R7C",'Mapa final'!$R$50),"")</f>
        <v/>
      </c>
      <c r="P22" s="49" t="str">
        <f>IF(AND('Mapa final'!$AB$45="Alta",'Mapa final'!$AD$45="Menor"),CONCATENATE("R7C",'Mapa final'!$R$45),"")</f>
        <v/>
      </c>
      <c r="Q22" s="50" t="str">
        <f>IF(AND('Mapa final'!$AB$46="Alta",'Mapa final'!$AD$46="Menor"),CONCATENATE("R7C",'Mapa final'!$R$46),"")</f>
        <v/>
      </c>
      <c r="R22" s="50" t="str">
        <f>IF(AND('Mapa final'!$AB$47="Alta",'Mapa final'!$AD$47="Menor"),CONCATENATE("R7C",'Mapa final'!$R$47),"")</f>
        <v/>
      </c>
      <c r="S22" s="50" t="str">
        <f>IF(AND('Mapa final'!$AB$48="Alta",'Mapa final'!$AD$48="Menor"),CONCATENATE("R7C",'Mapa final'!$R$48),"")</f>
        <v/>
      </c>
      <c r="T22" s="50" t="str">
        <f>IF(AND('Mapa final'!$AB$49="Alta",'Mapa final'!$AD$49="Menor"),CONCATENATE("R7C",'Mapa final'!$R$49),"")</f>
        <v/>
      </c>
      <c r="U22" s="51" t="str">
        <f>IF(AND('Mapa final'!$AB$50="Alta",'Mapa final'!$AD$50="Menor"),CONCATENATE("R7C",'Mapa final'!$R$50),"")</f>
        <v/>
      </c>
      <c r="V22" s="34" t="str">
        <f>IF(AND('Mapa final'!$AB$45="Alta",'Mapa final'!$AD$45="Moderado"),CONCATENATE("R7C",'Mapa final'!$R$45),"")</f>
        <v/>
      </c>
      <c r="W22" s="35" t="str">
        <f>IF(AND('Mapa final'!$AB$46="Alta",'Mapa final'!$AD$46="Moderado"),CONCATENATE("R7C",'Mapa final'!$R$46),"")</f>
        <v/>
      </c>
      <c r="X22" s="35" t="str">
        <f>IF(AND('Mapa final'!$AB$47="Alta",'Mapa final'!$AD$47="Moderado"),CONCATENATE("R7C",'Mapa final'!$R$47),"")</f>
        <v/>
      </c>
      <c r="Y22" s="35" t="str">
        <f>IF(AND('Mapa final'!$AB$48="Alta",'Mapa final'!$AD$48="Moderado"),CONCATENATE("R7C",'Mapa final'!$R$48),"")</f>
        <v/>
      </c>
      <c r="Z22" s="35" t="str">
        <f>IF(AND('Mapa final'!$AB$49="Alta",'Mapa final'!$AD$49="Moderado"),CONCATENATE("R7C",'Mapa final'!$R$49),"")</f>
        <v/>
      </c>
      <c r="AA22" s="36" t="str">
        <f>IF(AND('Mapa final'!$AB$50="Alta",'Mapa final'!$AD$50="Moderado"),CONCATENATE("R7C",'Mapa final'!$R$50),"")</f>
        <v/>
      </c>
      <c r="AB22" s="34" t="str">
        <f>IF(AND('Mapa final'!$AB$45="Alta",'Mapa final'!$AD$45="Mayor"),CONCATENATE("R7C",'Mapa final'!$R$45),"")</f>
        <v/>
      </c>
      <c r="AC22" s="35" t="str">
        <f>IF(AND('Mapa final'!$AB$46="Alta",'Mapa final'!$AD$46="Mayor"),CONCATENATE("R7C",'Mapa final'!$R$46),"")</f>
        <v/>
      </c>
      <c r="AD22" s="35" t="str">
        <f>IF(AND('Mapa final'!$AB$47="Alta",'Mapa final'!$AD$47="Mayor"),CONCATENATE("R7C",'Mapa final'!$R$47),"")</f>
        <v/>
      </c>
      <c r="AE22" s="35" t="str">
        <f>IF(AND('Mapa final'!$AB$48="Alta",'Mapa final'!$AD$48="Mayor"),CONCATENATE("R7C",'Mapa final'!$R$48),"")</f>
        <v/>
      </c>
      <c r="AF22" s="35" t="str">
        <f>IF(AND('Mapa final'!$AB$49="Alta",'Mapa final'!$AD$49="Mayor"),CONCATENATE("R7C",'Mapa final'!$R$49),"")</f>
        <v/>
      </c>
      <c r="AG22" s="36" t="str">
        <f>IF(AND('Mapa final'!$AB$50="Alta",'Mapa final'!$AD$50="Mayor"),CONCATENATE("R7C",'Mapa final'!$R$50),"")</f>
        <v/>
      </c>
      <c r="AH22" s="37" t="str">
        <f>IF(AND('Mapa final'!$AB$45="Alta",'Mapa final'!$AD$45="Catastrófico"),CONCATENATE("R7C",'Mapa final'!$R$45),"")</f>
        <v/>
      </c>
      <c r="AI22" s="38" t="str">
        <f>IF(AND('Mapa final'!$AB$46="Alta",'Mapa final'!$AD$46="Catastrófico"),CONCATENATE("R7C",'Mapa final'!$R$46),"")</f>
        <v/>
      </c>
      <c r="AJ22" s="38" t="str">
        <f>IF(AND('Mapa final'!$AB$47="Alta",'Mapa final'!$AD$47="Catastrófico"),CONCATENATE("R7C",'Mapa final'!$R$47),"")</f>
        <v/>
      </c>
      <c r="AK22" s="38" t="str">
        <f>IF(AND('Mapa final'!$AB$48="Alta",'Mapa final'!$AD$48="Catastrófico"),CONCATENATE("R7C",'Mapa final'!$R$48),"")</f>
        <v/>
      </c>
      <c r="AL22" s="38" t="str">
        <f>IF(AND('Mapa final'!$AB$49="Alta",'Mapa final'!$AD$49="Catastrófico"),CONCATENATE("R7C",'Mapa final'!$R$49),"")</f>
        <v/>
      </c>
      <c r="AM22" s="39" t="str">
        <f>IF(AND('Mapa final'!$AB$50="Alta",'Mapa final'!$AD$50="Catastrófico"),CONCATENATE("R7C",'Mapa final'!$R$50),"")</f>
        <v/>
      </c>
      <c r="AN22" s="65"/>
      <c r="AO22" s="802"/>
      <c r="AP22" s="803"/>
      <c r="AQ22" s="803"/>
      <c r="AR22" s="803"/>
      <c r="AS22" s="803"/>
      <c r="AT22" s="804"/>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5" customHeight="1" x14ac:dyDescent="0.3">
      <c r="A23" s="65"/>
      <c r="B23" s="713"/>
      <c r="C23" s="713"/>
      <c r="D23" s="714"/>
      <c r="E23" s="812"/>
      <c r="F23" s="811"/>
      <c r="G23" s="811"/>
      <c r="H23" s="811"/>
      <c r="I23" s="811"/>
      <c r="J23" s="49" t="str">
        <f>IF(AND('Mapa final'!$AB$51="Alta",'Mapa final'!$AD$51="Leve"),CONCATENATE("R8C",'Mapa final'!$R$51),"")</f>
        <v/>
      </c>
      <c r="K23" s="50" t="str">
        <f>IF(AND('Mapa final'!$AB$52="Alta",'Mapa final'!$AD$52="Leve"),CONCATENATE("R8C",'Mapa final'!$R$52),"")</f>
        <v/>
      </c>
      <c r="L23" s="50" t="str">
        <f>IF(AND('Mapa final'!$AB$53="Alta",'Mapa final'!$AD$53="Leve"),CONCATENATE("R8C",'Mapa final'!$R$53),"")</f>
        <v/>
      </c>
      <c r="M23" s="50" t="str">
        <f>IF(AND('Mapa final'!$AB$54="Alta",'Mapa final'!$AD$54="Leve"),CONCATENATE("R8C",'Mapa final'!$R$54),"")</f>
        <v/>
      </c>
      <c r="N23" s="50" t="str">
        <f>IF(AND('Mapa final'!$AB$55="Alta",'Mapa final'!$AD$55="Leve"),CONCATENATE("R8C",'Mapa final'!$R$55),"")</f>
        <v/>
      </c>
      <c r="O23" s="51" t="str">
        <f>IF(AND('Mapa final'!$AB$56="Alta",'Mapa final'!$AD$56="Leve"),CONCATENATE("R8C",'Mapa final'!$R$56),"")</f>
        <v/>
      </c>
      <c r="P23" s="49" t="str">
        <f>IF(AND('Mapa final'!$AB$51="Alta",'Mapa final'!$AD$51="Menor"),CONCATENATE("R8C",'Mapa final'!$R$51),"")</f>
        <v/>
      </c>
      <c r="Q23" s="50" t="str">
        <f>IF(AND('Mapa final'!$AB$52="Alta",'Mapa final'!$AD$52="Menor"),CONCATENATE("R8C",'Mapa final'!$R$52),"")</f>
        <v/>
      </c>
      <c r="R23" s="50" t="str">
        <f>IF(AND('Mapa final'!$AB$53="Alta",'Mapa final'!$AD$53="Menor"),CONCATENATE("R8C",'Mapa final'!$R$53),"")</f>
        <v/>
      </c>
      <c r="S23" s="50" t="str">
        <f>IF(AND('Mapa final'!$AB$54="Alta",'Mapa final'!$AD$54="Menor"),CONCATENATE("R8C",'Mapa final'!$R$54),"")</f>
        <v/>
      </c>
      <c r="T23" s="50" t="str">
        <f>IF(AND('Mapa final'!$AB$55="Alta",'Mapa final'!$AD$55="Menor"),CONCATENATE("R8C",'Mapa final'!$R$55),"")</f>
        <v/>
      </c>
      <c r="U23" s="51" t="str">
        <f>IF(AND('Mapa final'!$AB$56="Alta",'Mapa final'!$AD$56="Menor"),CONCATENATE("R8C",'Mapa final'!$R$56),"")</f>
        <v/>
      </c>
      <c r="V23" s="34" t="str">
        <f>IF(AND('Mapa final'!$AB$51="Alta",'Mapa final'!$AD$51="Moderado"),CONCATENATE("R8C",'Mapa final'!$R$51),"")</f>
        <v/>
      </c>
      <c r="W23" s="35" t="str">
        <f>IF(AND('Mapa final'!$AB$52="Alta",'Mapa final'!$AD$52="Moderado"),CONCATENATE("R8C",'Mapa final'!$R$52),"")</f>
        <v/>
      </c>
      <c r="X23" s="35" t="str">
        <f>IF(AND('Mapa final'!$AB$53="Alta",'Mapa final'!$AD$53="Moderado"),CONCATENATE("R8C",'Mapa final'!$R$53),"")</f>
        <v/>
      </c>
      <c r="Y23" s="35" t="str">
        <f>IF(AND('Mapa final'!$AB$54="Alta",'Mapa final'!$AD$54="Moderado"),CONCATENATE("R8C",'Mapa final'!$R$54),"")</f>
        <v/>
      </c>
      <c r="Z23" s="35" t="str">
        <f>IF(AND('Mapa final'!$AB$55="Alta",'Mapa final'!$AD$55="Moderado"),CONCATENATE("R8C",'Mapa final'!$R$55),"")</f>
        <v/>
      </c>
      <c r="AA23" s="36" t="str">
        <f>IF(AND('Mapa final'!$AB$56="Alta",'Mapa final'!$AD$56="Moderado"),CONCATENATE("R8C",'Mapa final'!$R$56),"")</f>
        <v/>
      </c>
      <c r="AB23" s="34" t="str">
        <f>IF(AND('Mapa final'!$AB$51="Alta",'Mapa final'!$AD$51="Mayor"),CONCATENATE("R8C",'Mapa final'!$R$51),"")</f>
        <v/>
      </c>
      <c r="AC23" s="35" t="str">
        <f>IF(AND('Mapa final'!$AB$52="Alta",'Mapa final'!$AD$52="Mayor"),CONCATENATE("R8C",'Mapa final'!$R$52),"")</f>
        <v/>
      </c>
      <c r="AD23" s="35" t="str">
        <f>IF(AND('Mapa final'!$AB$53="Alta",'Mapa final'!$AD$53="Mayor"),CONCATENATE("R8C",'Mapa final'!$R$53),"")</f>
        <v/>
      </c>
      <c r="AE23" s="35" t="str">
        <f>IF(AND('Mapa final'!$AB$54="Alta",'Mapa final'!$AD$54="Mayor"),CONCATENATE("R8C",'Mapa final'!$R$54),"")</f>
        <v/>
      </c>
      <c r="AF23" s="35" t="str">
        <f>IF(AND('Mapa final'!$AB$55="Alta",'Mapa final'!$AD$55="Mayor"),CONCATENATE("R8C",'Mapa final'!$R$55),"")</f>
        <v/>
      </c>
      <c r="AG23" s="36" t="str">
        <f>IF(AND('Mapa final'!$AB$56="Alta",'Mapa final'!$AD$56="Mayor"),CONCATENATE("R8C",'Mapa final'!$R$56),"")</f>
        <v/>
      </c>
      <c r="AH23" s="37" t="str">
        <f>IF(AND('Mapa final'!$AB$51="Alta",'Mapa final'!$AD$51="Catastrófico"),CONCATENATE("R8C",'Mapa final'!$R$51),"")</f>
        <v/>
      </c>
      <c r="AI23" s="38" t="str">
        <f>IF(AND('Mapa final'!$AB$52="Alta",'Mapa final'!$AD$52="Catastrófico"),CONCATENATE("R8C",'Mapa final'!$R$52),"")</f>
        <v/>
      </c>
      <c r="AJ23" s="38" t="str">
        <f>IF(AND('Mapa final'!$AB$53="Alta",'Mapa final'!$AD$53="Catastrófico"),CONCATENATE("R8C",'Mapa final'!$R$53),"")</f>
        <v/>
      </c>
      <c r="AK23" s="38" t="str">
        <f>IF(AND('Mapa final'!$AB$54="Alta",'Mapa final'!$AD$54="Catastrófico"),CONCATENATE("R8C",'Mapa final'!$R$54),"")</f>
        <v/>
      </c>
      <c r="AL23" s="38" t="str">
        <f>IF(AND('Mapa final'!$AB$55="Alta",'Mapa final'!$AD$55="Catastrófico"),CONCATENATE("R8C",'Mapa final'!$R$55),"")</f>
        <v/>
      </c>
      <c r="AM23" s="39" t="str">
        <f>IF(AND('Mapa final'!$AB$56="Alta",'Mapa final'!$AD$56="Catastrófico"),CONCATENATE("R8C",'Mapa final'!$R$56),"")</f>
        <v/>
      </c>
      <c r="AN23" s="65"/>
      <c r="AO23" s="802"/>
      <c r="AP23" s="803"/>
      <c r="AQ23" s="803"/>
      <c r="AR23" s="803"/>
      <c r="AS23" s="803"/>
      <c r="AT23" s="804"/>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ht="15" customHeight="1" x14ac:dyDescent="0.3">
      <c r="A24" s="65"/>
      <c r="B24" s="713"/>
      <c r="C24" s="713"/>
      <c r="D24" s="714"/>
      <c r="E24" s="812"/>
      <c r="F24" s="811"/>
      <c r="G24" s="811"/>
      <c r="H24" s="811"/>
      <c r="I24" s="811"/>
      <c r="J24" s="49" t="str">
        <f>IF(AND('Mapa final'!$AB$57="Alta",'Mapa final'!$AD$57="Leve"),CONCATENATE("R9C",'Mapa final'!$R$57),"")</f>
        <v/>
      </c>
      <c r="K24" s="50" t="str">
        <f>IF(AND('Mapa final'!$AB$58="Alta",'Mapa final'!$AD$58="Leve"),CONCATENATE("R9C",'Mapa final'!$R$58),"")</f>
        <v/>
      </c>
      <c r="L24" s="50" t="str">
        <f>IF(AND('Mapa final'!$AB$59="Alta",'Mapa final'!$AD$59="Leve"),CONCATENATE("R9C",'Mapa final'!$R$59),"")</f>
        <v/>
      </c>
      <c r="M24" s="50" t="str">
        <f>IF(AND('Mapa final'!$AB$60="Alta",'Mapa final'!$AD$60="Leve"),CONCATENATE("R9C",'Mapa final'!$R$60),"")</f>
        <v/>
      </c>
      <c r="N24" s="50" t="str">
        <f>IF(AND('Mapa final'!$AB$61="Alta",'Mapa final'!$AD$61="Leve"),CONCATENATE("R9C",'Mapa final'!$R$61),"")</f>
        <v/>
      </c>
      <c r="O24" s="51" t="str">
        <f>IF(AND('Mapa final'!$AB$62="Alta",'Mapa final'!$AD$62="Leve"),CONCATENATE("R9C",'Mapa final'!$R$62),"")</f>
        <v/>
      </c>
      <c r="P24" s="49" t="str">
        <f>IF(AND('Mapa final'!$AB$57="Alta",'Mapa final'!$AD$57="Menor"),CONCATENATE("R9C",'Mapa final'!$R$57),"")</f>
        <v/>
      </c>
      <c r="Q24" s="50" t="str">
        <f>IF(AND('Mapa final'!$AB$58="Alta",'Mapa final'!$AD$58="Menor"),CONCATENATE("R9C",'Mapa final'!$R$58),"")</f>
        <v/>
      </c>
      <c r="R24" s="50" t="str">
        <f>IF(AND('Mapa final'!$AB$59="Alta",'Mapa final'!$AD$59="Menor"),CONCATENATE("R9C",'Mapa final'!$R$59),"")</f>
        <v/>
      </c>
      <c r="S24" s="50" t="str">
        <f>IF(AND('Mapa final'!$AB$60="Alta",'Mapa final'!$AD$60="Menor"),CONCATENATE("R9C",'Mapa final'!$R$60),"")</f>
        <v/>
      </c>
      <c r="T24" s="50" t="str">
        <f>IF(AND('Mapa final'!$AB$61="Alta",'Mapa final'!$AD$61="Menor"),CONCATENATE("R9C",'Mapa final'!$R$61),"")</f>
        <v/>
      </c>
      <c r="U24" s="51" t="str">
        <f>IF(AND('Mapa final'!$AB$62="Alta",'Mapa final'!$AD$62="Menor"),CONCATENATE("R9C",'Mapa final'!$R$62),"")</f>
        <v/>
      </c>
      <c r="V24" s="34" t="str">
        <f>IF(AND('Mapa final'!$AB$57="Alta",'Mapa final'!$AD$57="Moderado"),CONCATENATE("R9C",'Mapa final'!$R$57),"")</f>
        <v/>
      </c>
      <c r="W24" s="35" t="str">
        <f>IF(AND('Mapa final'!$AB$58="Alta",'Mapa final'!$AD$58="Moderado"),CONCATENATE("R9C",'Mapa final'!$R$58),"")</f>
        <v/>
      </c>
      <c r="X24" s="35" t="str">
        <f>IF(AND('Mapa final'!$AB$59="Alta",'Mapa final'!$AD$59="Moderado"),CONCATENATE("R9C",'Mapa final'!$R$59),"")</f>
        <v/>
      </c>
      <c r="Y24" s="35" t="str">
        <f>IF(AND('Mapa final'!$AB$60="Alta",'Mapa final'!$AD$60="Moderado"),CONCATENATE("R9C",'Mapa final'!$R$60),"")</f>
        <v/>
      </c>
      <c r="Z24" s="35" t="str">
        <f>IF(AND('Mapa final'!$AB$61="Alta",'Mapa final'!$AD$61="Moderado"),CONCATENATE("R9C",'Mapa final'!$R$61),"")</f>
        <v/>
      </c>
      <c r="AA24" s="36" t="str">
        <f>IF(AND('Mapa final'!$AB$62="Alta",'Mapa final'!$AD$62="Moderado"),CONCATENATE("R9C",'Mapa final'!$R$62),"")</f>
        <v/>
      </c>
      <c r="AB24" s="34" t="str">
        <f>IF(AND('Mapa final'!$AB$57="Alta",'Mapa final'!$AD$57="Mayor"),CONCATENATE("R9C",'Mapa final'!$R$57),"")</f>
        <v/>
      </c>
      <c r="AC24" s="35" t="str">
        <f>IF(AND('Mapa final'!$AB$58="Alta",'Mapa final'!$AD$58="Mayor"),CONCATENATE("R9C",'Mapa final'!$R$58),"")</f>
        <v/>
      </c>
      <c r="AD24" s="35" t="str">
        <f>IF(AND('Mapa final'!$AB$59="Alta",'Mapa final'!$AD$59="Mayor"),CONCATENATE("R9C",'Mapa final'!$R$59),"")</f>
        <v/>
      </c>
      <c r="AE24" s="35" t="str">
        <f>IF(AND('Mapa final'!$AB$60="Alta",'Mapa final'!$AD$60="Mayor"),CONCATENATE("R9C",'Mapa final'!$R$60),"")</f>
        <v/>
      </c>
      <c r="AF24" s="35" t="str">
        <f>IF(AND('Mapa final'!$AB$61="Alta",'Mapa final'!$AD$61="Mayor"),CONCATENATE("R9C",'Mapa final'!$R$61),"")</f>
        <v/>
      </c>
      <c r="AG24" s="36" t="str">
        <f>IF(AND('Mapa final'!$AB$62="Alta",'Mapa final'!$AD$62="Mayor"),CONCATENATE("R9C",'Mapa final'!$R$62),"")</f>
        <v/>
      </c>
      <c r="AH24" s="37" t="str">
        <f>IF(AND('Mapa final'!$AB$57="Alta",'Mapa final'!$AD$57="Catastrófico"),CONCATENATE("R9C",'Mapa final'!$R$57),"")</f>
        <v/>
      </c>
      <c r="AI24" s="38" t="str">
        <f>IF(AND('Mapa final'!$AB$58="Alta",'Mapa final'!$AD$58="Catastrófico"),CONCATENATE("R9C",'Mapa final'!$R$58),"")</f>
        <v/>
      </c>
      <c r="AJ24" s="38" t="str">
        <f>IF(AND('Mapa final'!$AB$59="Alta",'Mapa final'!$AD$59="Catastrófico"),CONCATENATE("R9C",'Mapa final'!$R$59),"")</f>
        <v/>
      </c>
      <c r="AK24" s="38" t="str">
        <f>IF(AND('Mapa final'!$AB$60="Alta",'Mapa final'!$AD$60="Catastrófico"),CONCATENATE("R9C",'Mapa final'!$R$60),"")</f>
        <v/>
      </c>
      <c r="AL24" s="38" t="str">
        <f>IF(AND('Mapa final'!$AB$61="Alta",'Mapa final'!$AD$61="Catastrófico"),CONCATENATE("R9C",'Mapa final'!$R$61),"")</f>
        <v/>
      </c>
      <c r="AM24" s="39" t="str">
        <f>IF(AND('Mapa final'!$AB$62="Alta",'Mapa final'!$AD$62="Catastrófico"),CONCATENATE("R9C",'Mapa final'!$R$62),"")</f>
        <v/>
      </c>
      <c r="AN24" s="65"/>
      <c r="AO24" s="802"/>
      <c r="AP24" s="803"/>
      <c r="AQ24" s="803"/>
      <c r="AR24" s="803"/>
      <c r="AS24" s="803"/>
      <c r="AT24" s="804"/>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ht="15.75" customHeight="1" thickBot="1" x14ac:dyDescent="0.35">
      <c r="A25" s="65"/>
      <c r="B25" s="713"/>
      <c r="C25" s="713"/>
      <c r="D25" s="714"/>
      <c r="E25" s="813"/>
      <c r="F25" s="814"/>
      <c r="G25" s="814"/>
      <c r="H25" s="814"/>
      <c r="I25" s="814"/>
      <c r="J25" s="52" t="str">
        <f>IF(AND('Mapa final'!$AB$63="Alta",'Mapa final'!$AD$63="Leve"),CONCATENATE("R10C",'Mapa final'!$R$63),"")</f>
        <v/>
      </c>
      <c r="K25" s="53" t="str">
        <f>IF(AND('Mapa final'!$AB$64="Alta",'Mapa final'!$AD$64="Leve"),CONCATENATE("R10C",'Mapa final'!$R$64),"")</f>
        <v/>
      </c>
      <c r="L25" s="53" t="str">
        <f>IF(AND('Mapa final'!$AB$65="Alta",'Mapa final'!$AD$65="Leve"),CONCATENATE("R10C",'Mapa final'!$R$65),"")</f>
        <v/>
      </c>
      <c r="M25" s="53" t="str">
        <f>IF(AND('Mapa final'!$AB$66="Alta",'Mapa final'!$AD$66="Leve"),CONCATENATE("R10C",'Mapa final'!$R$66),"")</f>
        <v/>
      </c>
      <c r="N25" s="53" t="str">
        <f>IF(AND('Mapa final'!$AB$67="Alta",'Mapa final'!$AD$67="Leve"),CONCATENATE("R10C",'Mapa final'!$R$67),"")</f>
        <v/>
      </c>
      <c r="O25" s="54" t="str">
        <f>IF(AND('Mapa final'!$AB$68="Alta",'Mapa final'!$AD$68="Leve"),CONCATENATE("R10C",'Mapa final'!$R$68),"")</f>
        <v/>
      </c>
      <c r="P25" s="52" t="str">
        <f>IF(AND('Mapa final'!$AB$63="Alta",'Mapa final'!$AD$63="Menor"),CONCATENATE("R10C",'Mapa final'!$R$63),"")</f>
        <v/>
      </c>
      <c r="Q25" s="53" t="str">
        <f>IF(AND('Mapa final'!$AB$64="Alta",'Mapa final'!$AD$64="Menor"),CONCATENATE("R10C",'Mapa final'!$R$64),"")</f>
        <v/>
      </c>
      <c r="R25" s="53" t="str">
        <f>IF(AND('Mapa final'!$AB$65="Alta",'Mapa final'!$AD$65="Menor"),CONCATENATE("R10C",'Mapa final'!$R$65),"")</f>
        <v/>
      </c>
      <c r="S25" s="53" t="str">
        <f>IF(AND('Mapa final'!$AB$66="Alta",'Mapa final'!$AD$66="Menor"),CONCATENATE("R10C",'Mapa final'!$R$66),"")</f>
        <v/>
      </c>
      <c r="T25" s="53" t="str">
        <f>IF(AND('Mapa final'!$AB$67="Alta",'Mapa final'!$AD$67="Menor"),CONCATENATE("R10C",'Mapa final'!$R$67),"")</f>
        <v/>
      </c>
      <c r="U25" s="54" t="str">
        <f>IF(AND('Mapa final'!$AB$68="Alta",'Mapa final'!$AD$68="Menor"),CONCATENATE("R10C",'Mapa final'!$R$68),"")</f>
        <v/>
      </c>
      <c r="V25" s="40" t="str">
        <f>IF(AND('Mapa final'!$AB$63="Alta",'Mapa final'!$AD$63="Moderado"),CONCATENATE("R10C",'Mapa final'!$R$63),"")</f>
        <v/>
      </c>
      <c r="W25" s="41" t="str">
        <f>IF(AND('Mapa final'!$AB$64="Alta",'Mapa final'!$AD$64="Moderado"),CONCATENATE("R10C",'Mapa final'!$R$64),"")</f>
        <v/>
      </c>
      <c r="X25" s="41" t="str">
        <f>IF(AND('Mapa final'!$AB$65="Alta",'Mapa final'!$AD$65="Moderado"),CONCATENATE("R10C",'Mapa final'!$R$65),"")</f>
        <v/>
      </c>
      <c r="Y25" s="41" t="str">
        <f>IF(AND('Mapa final'!$AB$66="Alta",'Mapa final'!$AD$66="Moderado"),CONCATENATE("R10C",'Mapa final'!$R$66),"")</f>
        <v/>
      </c>
      <c r="Z25" s="41" t="str">
        <f>IF(AND('Mapa final'!$AB$67="Alta",'Mapa final'!$AD$67="Moderado"),CONCATENATE("R10C",'Mapa final'!$R$67),"")</f>
        <v/>
      </c>
      <c r="AA25" s="42" t="str">
        <f>IF(AND('Mapa final'!$AB$68="Alta",'Mapa final'!$AD$68="Moderado"),CONCATENATE("R10C",'Mapa final'!$R$68),"")</f>
        <v/>
      </c>
      <c r="AB25" s="40" t="str">
        <f>IF(AND('Mapa final'!$AB$63="Alta",'Mapa final'!$AD$63="Mayor"),CONCATENATE("R10C",'Mapa final'!$R$63),"")</f>
        <v/>
      </c>
      <c r="AC25" s="41" t="str">
        <f>IF(AND('Mapa final'!$AB$64="Alta",'Mapa final'!$AD$64="Mayor"),CONCATENATE("R10C",'Mapa final'!$R$64),"")</f>
        <v/>
      </c>
      <c r="AD25" s="41" t="str">
        <f>IF(AND('Mapa final'!$AB$65="Alta",'Mapa final'!$AD$65="Mayor"),CONCATENATE("R10C",'Mapa final'!$R$65),"")</f>
        <v/>
      </c>
      <c r="AE25" s="41" t="str">
        <f>IF(AND('Mapa final'!$AB$66="Alta",'Mapa final'!$AD$66="Mayor"),CONCATENATE("R10C",'Mapa final'!$R$66),"")</f>
        <v/>
      </c>
      <c r="AF25" s="41" t="str">
        <f>IF(AND('Mapa final'!$AB$67="Alta",'Mapa final'!$AD$67="Mayor"),CONCATENATE("R10C",'Mapa final'!$R$67),"")</f>
        <v/>
      </c>
      <c r="AG25" s="42" t="str">
        <f>IF(AND('Mapa final'!$AB$68="Alta",'Mapa final'!$AD$68="Mayor"),CONCATENATE("R10C",'Mapa final'!$R$68),"")</f>
        <v/>
      </c>
      <c r="AH25" s="43" t="str">
        <f>IF(AND('Mapa final'!$AB$63="Alta",'Mapa final'!$AD$63="Catastrófico"),CONCATENATE("R10C",'Mapa final'!$R$63),"")</f>
        <v/>
      </c>
      <c r="AI25" s="44" t="str">
        <f>IF(AND('Mapa final'!$AB$64="Alta",'Mapa final'!$AD$64="Catastrófico"),CONCATENATE("R10C",'Mapa final'!$R$64),"")</f>
        <v/>
      </c>
      <c r="AJ25" s="44" t="str">
        <f>IF(AND('Mapa final'!$AB$65="Alta",'Mapa final'!$AD$65="Catastrófico"),CONCATENATE("R10C",'Mapa final'!$R$65),"")</f>
        <v/>
      </c>
      <c r="AK25" s="44" t="str">
        <f>IF(AND('Mapa final'!$AB$66="Alta",'Mapa final'!$AD$66="Catastrófico"),CONCATENATE("R10C",'Mapa final'!$R$66),"")</f>
        <v/>
      </c>
      <c r="AL25" s="44" t="str">
        <f>IF(AND('Mapa final'!$AB$67="Alta",'Mapa final'!$AD$67="Catastrófico"),CONCATENATE("R10C",'Mapa final'!$R$67),"")</f>
        <v/>
      </c>
      <c r="AM25" s="45" t="str">
        <f>IF(AND('Mapa final'!$AB$68="Alta",'Mapa final'!$AD$68="Catastrófico"),CONCATENATE("R10C",'Mapa final'!$R$68),"")</f>
        <v/>
      </c>
      <c r="AN25" s="65"/>
      <c r="AO25" s="805"/>
      <c r="AP25" s="806"/>
      <c r="AQ25" s="806"/>
      <c r="AR25" s="806"/>
      <c r="AS25" s="806"/>
      <c r="AT25" s="807"/>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ht="15" customHeight="1" x14ac:dyDescent="0.3">
      <c r="A26" s="65"/>
      <c r="B26" s="713"/>
      <c r="C26" s="713"/>
      <c r="D26" s="714"/>
      <c r="E26" s="808" t="s">
        <v>112</v>
      </c>
      <c r="F26" s="809"/>
      <c r="G26" s="809"/>
      <c r="H26" s="809"/>
      <c r="I26" s="826"/>
      <c r="J26" s="46" t="str">
        <f>IF(AND('Mapa final'!$AB$10="Media",'Mapa final'!$AD$10="Leve"),CONCATENATE("R1C",'Mapa final'!$R$10),"")</f>
        <v/>
      </c>
      <c r="K26" s="47" t="str">
        <f>IF(AND('Mapa final'!$AB$11="Media",'Mapa final'!$AD$11="Leve"),CONCATENATE("R1C",'Mapa final'!$R$11),"")</f>
        <v/>
      </c>
      <c r="L26" s="47" t="str">
        <f>IF(AND('Mapa final'!$AB$12="Media",'Mapa final'!$AD$12="Leve"),CONCATENATE("R1C",'Mapa final'!$R$12),"")</f>
        <v/>
      </c>
      <c r="M26" s="47" t="str">
        <f>IF(AND('Mapa final'!$AB$13="Media",'Mapa final'!$AD$13="Leve"),CONCATENATE("R1C",'Mapa final'!$R$13),"")</f>
        <v/>
      </c>
      <c r="N26" s="47" t="str">
        <f>IF(AND('Mapa final'!$AB$14="Media",'Mapa final'!$AD$14="Leve"),CONCATENATE("R1C",'Mapa final'!$R$14),"")</f>
        <v/>
      </c>
      <c r="O26" s="48" t="str">
        <f>IF(AND('Mapa final'!$AB$15="Media",'Mapa final'!$AD$15="Leve"),CONCATENATE("R1C",'Mapa final'!$R$15),"")</f>
        <v/>
      </c>
      <c r="P26" s="46" t="str">
        <f>IF(AND('Mapa final'!$AB$10="Media",'Mapa final'!$AD$10="Menor"),CONCATENATE("R1C",'Mapa final'!$R$10),"")</f>
        <v/>
      </c>
      <c r="Q26" s="47" t="str">
        <f>IF(AND('Mapa final'!$AB$11="Media",'Mapa final'!$AD$11="Menor"),CONCATENATE("R1C",'Mapa final'!$R$11),"")</f>
        <v/>
      </c>
      <c r="R26" s="47" t="str">
        <f>IF(AND('Mapa final'!$AB$12="Media",'Mapa final'!$AD$12="Menor"),CONCATENATE("R1C",'Mapa final'!$R$12),"")</f>
        <v/>
      </c>
      <c r="S26" s="47" t="str">
        <f>IF(AND('Mapa final'!$AB$13="Media",'Mapa final'!$AD$13="Menor"),CONCATENATE("R1C",'Mapa final'!$R$13),"")</f>
        <v/>
      </c>
      <c r="T26" s="47" t="str">
        <f>IF(AND('Mapa final'!$AB$14="Media",'Mapa final'!$AD$14="Menor"),CONCATENATE("R1C",'Mapa final'!$R$14),"")</f>
        <v/>
      </c>
      <c r="U26" s="48" t="str">
        <f>IF(AND('Mapa final'!$AB$15="Media",'Mapa final'!$AD$15="Menor"),CONCATENATE("R1C",'Mapa final'!$R$15),"")</f>
        <v/>
      </c>
      <c r="V26" s="46" t="str">
        <f>IF(AND('Mapa final'!$AB$10="Media",'Mapa final'!$AD$10="Moderado"),CONCATENATE("R1C",'Mapa final'!$R$10),"")</f>
        <v/>
      </c>
      <c r="W26" s="47" t="str">
        <f>IF(AND('Mapa final'!$AB$11="Media",'Mapa final'!$AD$11="Moderado"),CONCATENATE("R1C",'Mapa final'!$R$11),"")</f>
        <v/>
      </c>
      <c r="X26" s="47" t="str">
        <f>IF(AND('Mapa final'!$AB$12="Media",'Mapa final'!$AD$12="Moderado"),CONCATENATE("R1C",'Mapa final'!$R$12),"")</f>
        <v/>
      </c>
      <c r="Y26" s="47" t="str">
        <f>IF(AND('Mapa final'!$AB$13="Media",'Mapa final'!$AD$13="Moderado"),CONCATENATE("R1C",'Mapa final'!$R$13),"")</f>
        <v/>
      </c>
      <c r="Z26" s="47" t="str">
        <f>IF(AND('Mapa final'!$AB$14="Media",'Mapa final'!$AD$14="Moderado"),CONCATENATE("R1C",'Mapa final'!$R$14),"")</f>
        <v/>
      </c>
      <c r="AA26" s="48" t="str">
        <f>IF(AND('Mapa final'!$AB$15="Media",'Mapa final'!$AD$15="Moderado"),CONCATENATE("R1C",'Mapa final'!$R$15),"")</f>
        <v/>
      </c>
      <c r="AB26" s="28" t="str">
        <f>IF(AND('Mapa final'!$AB$10="Media",'Mapa final'!$AD$10="Mayor"),CONCATENATE("R1C",'Mapa final'!$R$10),"")</f>
        <v/>
      </c>
      <c r="AC26" s="29" t="str">
        <f>IF(AND('Mapa final'!$AB$11="Media",'Mapa final'!$AD$11="Mayor"),CONCATENATE("R1C",'Mapa final'!$R$11),"")</f>
        <v/>
      </c>
      <c r="AD26" s="29" t="str">
        <f>IF(AND('Mapa final'!$AB$12="Media",'Mapa final'!$AD$12="Mayor"),CONCATENATE("R1C",'Mapa final'!$R$12),"")</f>
        <v/>
      </c>
      <c r="AE26" s="29" t="str">
        <f>IF(AND('Mapa final'!$AB$13="Media",'Mapa final'!$AD$13="Mayor"),CONCATENATE("R1C",'Mapa final'!$R$13),"")</f>
        <v/>
      </c>
      <c r="AF26" s="29" t="str">
        <f>IF(AND('Mapa final'!$AB$14="Media",'Mapa final'!$AD$14="Mayor"),CONCATENATE("R1C",'Mapa final'!$R$14),"")</f>
        <v/>
      </c>
      <c r="AG26" s="30" t="str">
        <f>IF(AND('Mapa final'!$AB$15="Media",'Mapa final'!$AD$15="Mayor"),CONCATENATE("R1C",'Mapa final'!$R$15),"")</f>
        <v/>
      </c>
      <c r="AH26" s="31" t="str">
        <f>IF(AND('Mapa final'!$AB$10="Media",'Mapa final'!$AD$10="Catastrófico"),CONCATENATE("R1C",'Mapa final'!$R$10),"")</f>
        <v/>
      </c>
      <c r="AI26" s="32" t="str">
        <f>IF(AND('Mapa final'!$AB$11="Media",'Mapa final'!$AD$11="Catastrófico"),CONCATENATE("R1C",'Mapa final'!$R$11),"")</f>
        <v/>
      </c>
      <c r="AJ26" s="32" t="str">
        <f>IF(AND('Mapa final'!$AB$12="Media",'Mapa final'!$AD$12="Catastrófico"),CONCATENATE("R1C",'Mapa final'!$R$12),"")</f>
        <v/>
      </c>
      <c r="AK26" s="32" t="str">
        <f>IF(AND('Mapa final'!$AB$13="Media",'Mapa final'!$AD$13="Catastrófico"),CONCATENATE("R1C",'Mapa final'!$R$13),"")</f>
        <v/>
      </c>
      <c r="AL26" s="32" t="str">
        <f>IF(AND('Mapa final'!$AB$14="Media",'Mapa final'!$AD$14="Catastrófico"),CONCATENATE("R1C",'Mapa final'!$R$14),"")</f>
        <v/>
      </c>
      <c r="AM26" s="33" t="str">
        <f>IF(AND('Mapa final'!$AB$15="Media",'Mapa final'!$AD$15="Catastrófico"),CONCATENATE("R1C",'Mapa final'!$R$15),"")</f>
        <v/>
      </c>
      <c r="AN26" s="65"/>
      <c r="AO26" s="838" t="s">
        <v>80</v>
      </c>
      <c r="AP26" s="839"/>
      <c r="AQ26" s="839"/>
      <c r="AR26" s="839"/>
      <c r="AS26" s="839"/>
      <c r="AT26" s="840"/>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ht="15" customHeight="1" x14ac:dyDescent="0.3">
      <c r="A27" s="65"/>
      <c r="B27" s="713"/>
      <c r="C27" s="713"/>
      <c r="D27" s="714"/>
      <c r="E27" s="810"/>
      <c r="F27" s="811"/>
      <c r="G27" s="811"/>
      <c r="H27" s="811"/>
      <c r="I27" s="827"/>
      <c r="J27" s="49" t="str">
        <f>IF(AND('Mapa final'!$AB$16="Media",'Mapa final'!$AD$16="Leve"),CONCATENATE("R2C",'Mapa final'!$R$16),"")</f>
        <v/>
      </c>
      <c r="K27" s="50" t="str">
        <f>IF(AND('Mapa final'!$AB$17="Media",'Mapa final'!$AD$17="Leve"),CONCATENATE("R2C",'Mapa final'!$R$17),"")</f>
        <v/>
      </c>
      <c r="L27" s="50" t="str">
        <f>IF(AND('Mapa final'!$AB$18="Media",'Mapa final'!$AD$18="Leve"),CONCATENATE("R2C",'Mapa final'!$R$18),"")</f>
        <v/>
      </c>
      <c r="M27" s="50" t="str">
        <f>IF(AND('Mapa final'!$AB$19="Media",'Mapa final'!$AD$19="Leve"),CONCATENATE("R2C",'Mapa final'!$R$19),"")</f>
        <v/>
      </c>
      <c r="N27" s="50" t="str">
        <f>IF(AND('Mapa final'!$AB$20="Media",'Mapa final'!$AD$20="Leve"),CONCATENATE("R2C",'Mapa final'!$R$20),"")</f>
        <v/>
      </c>
      <c r="O27" s="51" t="str">
        <f>IF(AND('Mapa final'!$AB$21="Media",'Mapa final'!$AD$21="Leve"),CONCATENATE("R2C",'Mapa final'!$R$21),"")</f>
        <v/>
      </c>
      <c r="P27" s="49" t="str">
        <f>IF(AND('Mapa final'!$AB$16="Media",'Mapa final'!$AD$16="Menor"),CONCATENATE("R2C",'Mapa final'!$R$16),"")</f>
        <v/>
      </c>
      <c r="Q27" s="50" t="str">
        <f>IF(AND('Mapa final'!$AB$17="Media",'Mapa final'!$AD$17="Menor"),CONCATENATE("R2C",'Mapa final'!$R$17),"")</f>
        <v/>
      </c>
      <c r="R27" s="50" t="str">
        <f>IF(AND('Mapa final'!$AB$18="Media",'Mapa final'!$AD$18="Menor"),CONCATENATE("R2C",'Mapa final'!$R$18),"")</f>
        <v/>
      </c>
      <c r="S27" s="50" t="str">
        <f>IF(AND('Mapa final'!$AB$19="Media",'Mapa final'!$AD$19="Menor"),CONCATENATE("R2C",'Mapa final'!$R$19),"")</f>
        <v/>
      </c>
      <c r="T27" s="50" t="str">
        <f>IF(AND('Mapa final'!$AB$20="Media",'Mapa final'!$AD$20="Menor"),CONCATENATE("R2C",'Mapa final'!$R$20),"")</f>
        <v/>
      </c>
      <c r="U27" s="51" t="str">
        <f>IF(AND('Mapa final'!$AB$21="Media",'Mapa final'!$AD$21="Menor"),CONCATENATE("R2C",'Mapa final'!$R$21),"")</f>
        <v/>
      </c>
      <c r="V27" s="49" t="str">
        <f>IF(AND('Mapa final'!$AB$16="Media",'Mapa final'!$AD$16="Moderado"),CONCATENATE("R2C",'Mapa final'!$R$16),"")</f>
        <v>R2C1</v>
      </c>
      <c r="W27" s="50" t="str">
        <f>IF(AND('Mapa final'!$AB$17="Media",'Mapa final'!$AD$17="Moderado"),CONCATENATE("R2C",'Mapa final'!$R$17),"")</f>
        <v/>
      </c>
      <c r="X27" s="50" t="str">
        <f>IF(AND('Mapa final'!$AB$18="Media",'Mapa final'!$AD$18="Moderado"),CONCATENATE("R2C",'Mapa final'!$R$18),"")</f>
        <v/>
      </c>
      <c r="Y27" s="50" t="str">
        <f>IF(AND('Mapa final'!$AB$19="Media",'Mapa final'!$AD$19="Moderado"),CONCATENATE("R2C",'Mapa final'!$R$19),"")</f>
        <v/>
      </c>
      <c r="Z27" s="50" t="str">
        <f>IF(AND('Mapa final'!$AB$20="Media",'Mapa final'!$AD$20="Moderado"),CONCATENATE("R2C",'Mapa final'!$R$20),"")</f>
        <v/>
      </c>
      <c r="AA27" s="51" t="str">
        <f>IF(AND('Mapa final'!$AB$21="Media",'Mapa final'!$AD$21="Moderado"),CONCATENATE("R2C",'Mapa final'!$R$21),"")</f>
        <v/>
      </c>
      <c r="AB27" s="34" t="str">
        <f>IF(AND('Mapa final'!$AB$16="Media",'Mapa final'!$AD$16="Mayor"),CONCATENATE("R2C",'Mapa final'!$R$16),"")</f>
        <v/>
      </c>
      <c r="AC27" s="35" t="str">
        <f>IF(AND('Mapa final'!$AB$17="Media",'Mapa final'!$AD$17="Mayor"),CONCATENATE("R2C",'Mapa final'!$R$17),"")</f>
        <v/>
      </c>
      <c r="AD27" s="35" t="str">
        <f>IF(AND('Mapa final'!$AB$18="Media",'Mapa final'!$AD$18="Mayor"),CONCATENATE("R2C",'Mapa final'!$R$18),"")</f>
        <v/>
      </c>
      <c r="AE27" s="35" t="str">
        <f>IF(AND('Mapa final'!$AB$19="Media",'Mapa final'!$AD$19="Mayor"),CONCATENATE("R2C",'Mapa final'!$R$19),"")</f>
        <v/>
      </c>
      <c r="AF27" s="35" t="str">
        <f>IF(AND('Mapa final'!$AB$20="Media",'Mapa final'!$AD$20="Mayor"),CONCATENATE("R2C",'Mapa final'!$R$20),"")</f>
        <v/>
      </c>
      <c r="AG27" s="36" t="str">
        <f>IF(AND('Mapa final'!$AB$21="Media",'Mapa final'!$AD$21="Mayor"),CONCATENATE("R2C",'Mapa final'!$R$21),"")</f>
        <v/>
      </c>
      <c r="AH27" s="37" t="str">
        <f>IF(AND('Mapa final'!$AB$16="Media",'Mapa final'!$AD$16="Catastrófico"),CONCATENATE("R2C",'Mapa final'!$R$16),"")</f>
        <v/>
      </c>
      <c r="AI27" s="38" t="str">
        <f>IF(AND('Mapa final'!$AB$17="Media",'Mapa final'!$AD$17="Catastrófico"),CONCATENATE("R2C",'Mapa final'!$R$17),"")</f>
        <v/>
      </c>
      <c r="AJ27" s="38" t="str">
        <f>IF(AND('Mapa final'!$AB$18="Media",'Mapa final'!$AD$18="Catastrófico"),CONCATENATE("R2C",'Mapa final'!$R$18),"")</f>
        <v/>
      </c>
      <c r="AK27" s="38" t="str">
        <f>IF(AND('Mapa final'!$AB$19="Media",'Mapa final'!$AD$19="Catastrófico"),CONCATENATE("R2C",'Mapa final'!$R$19),"")</f>
        <v/>
      </c>
      <c r="AL27" s="38" t="str">
        <f>IF(AND('Mapa final'!$AB$20="Media",'Mapa final'!$AD$20="Catastrófico"),CONCATENATE("R2C",'Mapa final'!$R$20),"")</f>
        <v/>
      </c>
      <c r="AM27" s="39" t="str">
        <f>IF(AND('Mapa final'!$AB$21="Media",'Mapa final'!$AD$21="Catastrófico"),CONCATENATE("R2C",'Mapa final'!$R$21),"")</f>
        <v/>
      </c>
      <c r="AN27" s="65"/>
      <c r="AO27" s="841"/>
      <c r="AP27" s="842"/>
      <c r="AQ27" s="842"/>
      <c r="AR27" s="842"/>
      <c r="AS27" s="842"/>
      <c r="AT27" s="843"/>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ht="15" customHeight="1" x14ac:dyDescent="0.3">
      <c r="A28" s="65"/>
      <c r="B28" s="713"/>
      <c r="C28" s="713"/>
      <c r="D28" s="714"/>
      <c r="E28" s="812"/>
      <c r="F28" s="811"/>
      <c r="G28" s="811"/>
      <c r="H28" s="811"/>
      <c r="I28" s="827"/>
      <c r="J28" s="49" t="str">
        <f>IF(AND('Mapa final'!$AB$22="Media",'Mapa final'!$AD$22="Leve"),CONCATENATE("R3C",'Mapa final'!$R$22),"")</f>
        <v/>
      </c>
      <c r="K28" s="50" t="str">
        <f>IF(AND('Mapa final'!$AB$23="Media",'Mapa final'!$AD$23="Leve"),CONCATENATE("R3C",'Mapa final'!$R$23),"")</f>
        <v/>
      </c>
      <c r="L28" s="50" t="str">
        <f>IF(AND('Mapa final'!$AB$24="Media",'Mapa final'!$AD$24="Leve"),CONCATENATE("R3C",'Mapa final'!$R$24),"")</f>
        <v/>
      </c>
      <c r="M28" s="50" t="str">
        <f>IF(AND('Mapa final'!$AB$25="Media",'Mapa final'!$AD$25="Leve"),CONCATENATE("R3C",'Mapa final'!$R$25),"")</f>
        <v/>
      </c>
      <c r="N28" s="50" t="str">
        <f>IF(AND('Mapa final'!$AB$26="Media",'Mapa final'!$AD$26="Leve"),CONCATENATE("R3C",'Mapa final'!$R$26),"")</f>
        <v/>
      </c>
      <c r="O28" s="51" t="str">
        <f>IF(AND('Mapa final'!$AB$27="Media",'Mapa final'!$AD$27="Leve"),CONCATENATE("R3C",'Mapa final'!$R$27),"")</f>
        <v/>
      </c>
      <c r="P28" s="49" t="str">
        <f>IF(AND('Mapa final'!$AB$22="Media",'Mapa final'!$AD$22="Menor"),CONCATENATE("R3C",'Mapa final'!$R$22),"")</f>
        <v/>
      </c>
      <c r="Q28" s="50" t="str">
        <f>IF(AND('Mapa final'!$AB$23="Media",'Mapa final'!$AD$23="Menor"),CONCATENATE("R3C",'Mapa final'!$R$23),"")</f>
        <v/>
      </c>
      <c r="R28" s="50" t="str">
        <f>IF(AND('Mapa final'!$AB$24="Media",'Mapa final'!$AD$24="Menor"),CONCATENATE("R3C",'Mapa final'!$R$24),"")</f>
        <v/>
      </c>
      <c r="S28" s="50" t="str">
        <f>IF(AND('Mapa final'!$AB$25="Media",'Mapa final'!$AD$25="Menor"),CONCATENATE("R3C",'Mapa final'!$R$25),"")</f>
        <v/>
      </c>
      <c r="T28" s="50" t="str">
        <f>IF(AND('Mapa final'!$AB$26="Media",'Mapa final'!$AD$26="Menor"),CONCATENATE("R3C",'Mapa final'!$R$26),"")</f>
        <v/>
      </c>
      <c r="U28" s="51" t="str">
        <f>IF(AND('Mapa final'!$AB$27="Media",'Mapa final'!$AD$27="Menor"),CONCATENATE("R3C",'Mapa final'!$R$27),"")</f>
        <v/>
      </c>
      <c r="V28" s="49" t="str">
        <f>IF(AND('Mapa final'!$AB$22="Media",'Mapa final'!$AD$22="Moderado"),CONCATENATE("R3C",'Mapa final'!$R$22),"")</f>
        <v/>
      </c>
      <c r="W28" s="50" t="str">
        <f>IF(AND('Mapa final'!$AB$23="Media",'Mapa final'!$AD$23="Moderado"),CONCATENATE("R3C",'Mapa final'!$R$23),"")</f>
        <v/>
      </c>
      <c r="X28" s="50" t="str">
        <f>IF(AND('Mapa final'!$AB$24="Media",'Mapa final'!$AD$24="Moderado"),CONCATENATE("R3C",'Mapa final'!$R$24),"")</f>
        <v/>
      </c>
      <c r="Y28" s="50" t="str">
        <f>IF(AND('Mapa final'!$AB$25="Media",'Mapa final'!$AD$25="Moderado"),CONCATENATE("R3C",'Mapa final'!$R$25),"")</f>
        <v/>
      </c>
      <c r="Z28" s="50" t="str">
        <f>IF(AND('Mapa final'!$AB$26="Media",'Mapa final'!$AD$26="Moderado"),CONCATENATE("R3C",'Mapa final'!$R$26),"")</f>
        <v/>
      </c>
      <c r="AA28" s="51" t="str">
        <f>IF(AND('Mapa final'!$AB$27="Media",'Mapa final'!$AD$27="Moderado"),CONCATENATE("R3C",'Mapa final'!$R$27),"")</f>
        <v/>
      </c>
      <c r="AB28" s="34" t="str">
        <f>IF(AND('Mapa final'!$AB$22="Media",'Mapa final'!$AD$22="Mayor"),CONCATENATE("R3C",'Mapa final'!$R$22),"")</f>
        <v/>
      </c>
      <c r="AC28" s="35" t="str">
        <f>IF(AND('Mapa final'!$AB$23="Media",'Mapa final'!$AD$23="Mayor"),CONCATENATE("R3C",'Mapa final'!$R$23),"")</f>
        <v/>
      </c>
      <c r="AD28" s="35" t="str">
        <f>IF(AND('Mapa final'!$AB$24="Media",'Mapa final'!$AD$24="Mayor"),CONCATENATE("R3C",'Mapa final'!$R$24),"")</f>
        <v/>
      </c>
      <c r="AE28" s="35" t="str">
        <f>IF(AND('Mapa final'!$AB$25="Media",'Mapa final'!$AD$25="Mayor"),CONCATENATE("R3C",'Mapa final'!$R$25),"")</f>
        <v/>
      </c>
      <c r="AF28" s="35" t="str">
        <f>IF(AND('Mapa final'!$AB$26="Media",'Mapa final'!$AD$26="Mayor"),CONCATENATE("R3C",'Mapa final'!$R$26),"")</f>
        <v/>
      </c>
      <c r="AG28" s="36" t="str">
        <f>IF(AND('Mapa final'!$AB$27="Media",'Mapa final'!$AD$27="Mayor"),CONCATENATE("R3C",'Mapa final'!$R$27),"")</f>
        <v/>
      </c>
      <c r="AH28" s="37" t="str">
        <f>IF(AND('Mapa final'!$AB$22="Media",'Mapa final'!$AD$22="Catastrófico"),CONCATENATE("R3C",'Mapa final'!$R$22),"")</f>
        <v/>
      </c>
      <c r="AI28" s="38" t="str">
        <f>IF(AND('Mapa final'!$AB$23="Media",'Mapa final'!$AD$23="Catastrófico"),CONCATENATE("R3C",'Mapa final'!$R$23),"")</f>
        <v/>
      </c>
      <c r="AJ28" s="38" t="str">
        <f>IF(AND('Mapa final'!$AB$24="Media",'Mapa final'!$AD$24="Catastrófico"),CONCATENATE("R3C",'Mapa final'!$R$24),"")</f>
        <v/>
      </c>
      <c r="AK28" s="38" t="str">
        <f>IF(AND('Mapa final'!$AB$25="Media",'Mapa final'!$AD$25="Catastrófico"),CONCATENATE("R3C",'Mapa final'!$R$25),"")</f>
        <v/>
      </c>
      <c r="AL28" s="38" t="str">
        <f>IF(AND('Mapa final'!$AB$26="Media",'Mapa final'!$AD$26="Catastrófico"),CONCATENATE("R3C",'Mapa final'!$R$26),"")</f>
        <v/>
      </c>
      <c r="AM28" s="39" t="str">
        <f>IF(AND('Mapa final'!$AB$27="Media",'Mapa final'!$AD$27="Catastrófico"),CONCATENATE("R3C",'Mapa final'!$R$27),"")</f>
        <v/>
      </c>
      <c r="AN28" s="65"/>
      <c r="AO28" s="841"/>
      <c r="AP28" s="842"/>
      <c r="AQ28" s="842"/>
      <c r="AR28" s="842"/>
      <c r="AS28" s="842"/>
      <c r="AT28" s="843"/>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ht="15" customHeight="1" x14ac:dyDescent="0.3">
      <c r="A29" s="65"/>
      <c r="B29" s="713"/>
      <c r="C29" s="713"/>
      <c r="D29" s="714"/>
      <c r="E29" s="812"/>
      <c r="F29" s="811"/>
      <c r="G29" s="811"/>
      <c r="H29" s="811"/>
      <c r="I29" s="827"/>
      <c r="J29" s="49" t="str">
        <f>IF(AND('Mapa final'!$AB$28="Media",'Mapa final'!$AD$28="Leve"),CONCATENATE("R4C",'Mapa final'!$R$28),"")</f>
        <v/>
      </c>
      <c r="K29" s="50" t="e">
        <f>IF(AND('Mapa final'!#REF!="Media",'Mapa final'!#REF!="Leve"),CONCATENATE("R4C",'Mapa final'!#REF!),"")</f>
        <v>#REF!</v>
      </c>
      <c r="L29" s="50" t="str">
        <f>IF(AND('Mapa final'!$AB$29="Media",'Mapa final'!$AD$29="Leve"),CONCATENATE("R4C",'Mapa final'!$R$29),"")</f>
        <v/>
      </c>
      <c r="M29" s="50" t="str">
        <f>IF(AND('Mapa final'!$AB$30="Media",'Mapa final'!$AD$30="Leve"),CONCATENATE("R4C",'Mapa final'!$R$30),"")</f>
        <v/>
      </c>
      <c r="N29" s="50" t="str">
        <f>IF(AND('Mapa final'!$AB$31="Media",'Mapa final'!$AD$31="Leve"),CONCATENATE("R4C",'Mapa final'!$R$31),"")</f>
        <v/>
      </c>
      <c r="O29" s="51" t="str">
        <f>IF(AND('Mapa final'!$AB$32="Media",'Mapa final'!$AD$32="Leve"),CONCATENATE("R4C",'Mapa final'!$R$32),"")</f>
        <v/>
      </c>
      <c r="P29" s="49" t="str">
        <f>IF(AND('Mapa final'!$AB$28="Media",'Mapa final'!$AD$28="Menor"),CONCATENATE("R4C",'Mapa final'!$R$28),"")</f>
        <v/>
      </c>
      <c r="Q29" s="50" t="e">
        <f>IF(AND('Mapa final'!#REF!="Media",'Mapa final'!#REF!="Menor"),CONCATENATE("R4C",'Mapa final'!#REF!),"")</f>
        <v>#REF!</v>
      </c>
      <c r="R29" s="50" t="str">
        <f>IF(AND('Mapa final'!$AB$29="Media",'Mapa final'!$AD$29="Menor"),CONCATENATE("R4C",'Mapa final'!$R$29),"")</f>
        <v/>
      </c>
      <c r="S29" s="50" t="str">
        <f>IF(AND('Mapa final'!$AB$30="Media",'Mapa final'!$AD$30="Menor"),CONCATENATE("R4C",'Mapa final'!$R$30),"")</f>
        <v/>
      </c>
      <c r="T29" s="50" t="str">
        <f>IF(AND('Mapa final'!$AB$31="Media",'Mapa final'!$AD$31="Menor"),CONCATENATE("R4C",'Mapa final'!$R$31),"")</f>
        <v/>
      </c>
      <c r="U29" s="51" t="str">
        <f>IF(AND('Mapa final'!$AB$32="Media",'Mapa final'!$AD$32="Menor"),CONCATENATE("R4C",'Mapa final'!$R$32),"")</f>
        <v/>
      </c>
      <c r="V29" s="49" t="str">
        <f>IF(AND('Mapa final'!$AB$28="Media",'Mapa final'!$AD$28="Moderado"),CONCATENATE("R4C",'Mapa final'!$R$28),"")</f>
        <v/>
      </c>
      <c r="W29" s="50" t="e">
        <f>IF(AND('Mapa final'!#REF!="Media",'Mapa final'!#REF!="Moderado"),CONCATENATE("R4C",'Mapa final'!#REF!),"")</f>
        <v>#REF!</v>
      </c>
      <c r="X29" s="50" t="str">
        <f>IF(AND('Mapa final'!$AB$29="Media",'Mapa final'!$AD$29="Moderado"),CONCATENATE("R4C",'Mapa final'!$R$29),"")</f>
        <v/>
      </c>
      <c r="Y29" s="50" t="str">
        <f>IF(AND('Mapa final'!$AB$30="Media",'Mapa final'!$AD$30="Moderado"),CONCATENATE("R4C",'Mapa final'!$R$30),"")</f>
        <v/>
      </c>
      <c r="Z29" s="50" t="str">
        <f>IF(AND('Mapa final'!$AB$31="Media",'Mapa final'!$AD$31="Moderado"),CONCATENATE("R4C",'Mapa final'!$R$31),"")</f>
        <v/>
      </c>
      <c r="AA29" s="51" t="str">
        <f>IF(AND('Mapa final'!$AB$32="Media",'Mapa final'!$AD$32="Moderado"),CONCATENATE("R4C",'Mapa final'!$R$32),"")</f>
        <v/>
      </c>
      <c r="AB29" s="34" t="str">
        <f>IF(AND('Mapa final'!$AB$28="Media",'Mapa final'!$AD$28="Mayor"),CONCATENATE("R4C",'Mapa final'!$R$28),"")</f>
        <v/>
      </c>
      <c r="AC29" s="35" t="e">
        <f>IF(AND('Mapa final'!#REF!="Media",'Mapa final'!#REF!="Mayor"),CONCATENATE("R4C",'Mapa final'!#REF!),"")</f>
        <v>#REF!</v>
      </c>
      <c r="AD29" s="35" t="str">
        <f>IF(AND('Mapa final'!$AB$29="Media",'Mapa final'!$AD$29="Mayor"),CONCATENATE("R4C",'Mapa final'!$R$29),"")</f>
        <v/>
      </c>
      <c r="AE29" s="35" t="str">
        <f>IF(AND('Mapa final'!$AB$30="Media",'Mapa final'!$AD$30="Mayor"),CONCATENATE("R4C",'Mapa final'!$R$30),"")</f>
        <v/>
      </c>
      <c r="AF29" s="35" t="str">
        <f>IF(AND('Mapa final'!$AB$31="Media",'Mapa final'!$AD$31="Mayor"),CONCATENATE("R4C",'Mapa final'!$R$31),"")</f>
        <v/>
      </c>
      <c r="AG29" s="36" t="str">
        <f>IF(AND('Mapa final'!$AB$32="Media",'Mapa final'!$AD$32="Mayor"),CONCATENATE("R4C",'Mapa final'!$R$32),"")</f>
        <v/>
      </c>
      <c r="AH29" s="37" t="str">
        <f>IF(AND('Mapa final'!$AB$28="Media",'Mapa final'!$AD$28="Catastrófico"),CONCATENATE("R4C",'Mapa final'!$R$28),"")</f>
        <v/>
      </c>
      <c r="AI29" s="38" t="e">
        <f>IF(AND('Mapa final'!#REF!="Media",'Mapa final'!#REF!="Catastrófico"),CONCATENATE("R4C",'Mapa final'!#REF!),"")</f>
        <v>#REF!</v>
      </c>
      <c r="AJ29" s="38" t="str">
        <f>IF(AND('Mapa final'!$AB$29="Media",'Mapa final'!$AD$29="Catastrófico"),CONCATENATE("R4C",'Mapa final'!$R$29),"")</f>
        <v/>
      </c>
      <c r="AK29" s="38" t="str">
        <f>IF(AND('Mapa final'!$AB$30="Media",'Mapa final'!$AD$30="Catastrófico"),CONCATENATE("R4C",'Mapa final'!$R$30),"")</f>
        <v/>
      </c>
      <c r="AL29" s="38" t="str">
        <f>IF(AND('Mapa final'!$AB$31="Media",'Mapa final'!$AD$31="Catastrófico"),CONCATENATE("R4C",'Mapa final'!$R$31),"")</f>
        <v/>
      </c>
      <c r="AM29" s="39" t="str">
        <f>IF(AND('Mapa final'!$AB$32="Media",'Mapa final'!$AD$32="Catastrófico"),CONCATENATE("R4C",'Mapa final'!$R$32),"")</f>
        <v/>
      </c>
      <c r="AN29" s="65"/>
      <c r="AO29" s="841"/>
      <c r="AP29" s="842"/>
      <c r="AQ29" s="842"/>
      <c r="AR29" s="842"/>
      <c r="AS29" s="842"/>
      <c r="AT29" s="843"/>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ht="15" customHeight="1" x14ac:dyDescent="0.3">
      <c r="A30" s="65"/>
      <c r="B30" s="713"/>
      <c r="C30" s="713"/>
      <c r="D30" s="714"/>
      <c r="E30" s="812"/>
      <c r="F30" s="811"/>
      <c r="G30" s="811"/>
      <c r="H30" s="811"/>
      <c r="I30" s="827"/>
      <c r="J30" s="49" t="str">
        <f>IF(AND('Mapa final'!$AB$33="Media",'Mapa final'!$AD$33="Leve"),CONCATENATE("R5C",'Mapa final'!$R$33),"")</f>
        <v/>
      </c>
      <c r="K30" s="50" t="str">
        <f>IF(AND('Mapa final'!$AB$34="Media",'Mapa final'!$AD$34="Leve"),CONCATENATE("R5C",'Mapa final'!$R$34),"")</f>
        <v/>
      </c>
      <c r="L30" s="50" t="str">
        <f>IF(AND('Mapa final'!$AB$35="Media",'Mapa final'!$AD$35="Leve"),CONCATENATE("R5C",'Mapa final'!$R$35),"")</f>
        <v/>
      </c>
      <c r="M30" s="50" t="str">
        <f>IF(AND('Mapa final'!$AB$36="Media",'Mapa final'!$AD$36="Leve"),CONCATENATE("R5C",'Mapa final'!$R$36),"")</f>
        <v/>
      </c>
      <c r="N30" s="50" t="str">
        <f>IF(AND('Mapa final'!$AB$37="Media",'Mapa final'!$AD$37="Leve"),CONCATENATE("R5C",'Mapa final'!$R$37),"")</f>
        <v/>
      </c>
      <c r="O30" s="51" t="str">
        <f>IF(AND('Mapa final'!$AB$38="Media",'Mapa final'!$AD$38="Leve"),CONCATENATE("R5C",'Mapa final'!$R$38),"")</f>
        <v/>
      </c>
      <c r="P30" s="49" t="str">
        <f>IF(AND('Mapa final'!$AB$33="Media",'Mapa final'!$AD$33="Menor"),CONCATENATE("R5C",'Mapa final'!$R$33),"")</f>
        <v/>
      </c>
      <c r="Q30" s="50" t="str">
        <f>IF(AND('Mapa final'!$AB$34="Media",'Mapa final'!$AD$34="Menor"),CONCATENATE("R5C",'Mapa final'!$R$34),"")</f>
        <v/>
      </c>
      <c r="R30" s="50" t="str">
        <f>IF(AND('Mapa final'!$AB$35="Media",'Mapa final'!$AD$35="Menor"),CONCATENATE("R5C",'Mapa final'!$R$35),"")</f>
        <v/>
      </c>
      <c r="S30" s="50" t="str">
        <f>IF(AND('Mapa final'!$AB$36="Media",'Mapa final'!$AD$36="Menor"),CONCATENATE("R5C",'Mapa final'!$R$36),"")</f>
        <v/>
      </c>
      <c r="T30" s="50" t="str">
        <f>IF(AND('Mapa final'!$AB$37="Media",'Mapa final'!$AD$37="Menor"),CONCATENATE("R5C",'Mapa final'!$R$37),"")</f>
        <v/>
      </c>
      <c r="U30" s="51" t="str">
        <f>IF(AND('Mapa final'!$AB$38="Media",'Mapa final'!$AD$38="Menor"),CONCATENATE("R5C",'Mapa final'!$R$38),"")</f>
        <v/>
      </c>
      <c r="V30" s="49" t="str">
        <f>IF(AND('Mapa final'!$AB$33="Media",'Mapa final'!$AD$33="Moderado"),CONCATENATE("R5C",'Mapa final'!$R$33),"")</f>
        <v/>
      </c>
      <c r="W30" s="50" t="str">
        <f>IF(AND('Mapa final'!$AB$34="Media",'Mapa final'!$AD$34="Moderado"),CONCATENATE("R5C",'Mapa final'!$R$34),"")</f>
        <v/>
      </c>
      <c r="X30" s="50" t="str">
        <f>IF(AND('Mapa final'!$AB$35="Media",'Mapa final'!$AD$35="Moderado"),CONCATENATE("R5C",'Mapa final'!$R$35),"")</f>
        <v/>
      </c>
      <c r="Y30" s="50" t="str">
        <f>IF(AND('Mapa final'!$AB$36="Media",'Mapa final'!$AD$36="Moderado"),CONCATENATE("R5C",'Mapa final'!$R$36),"")</f>
        <v/>
      </c>
      <c r="Z30" s="50" t="str">
        <f>IF(AND('Mapa final'!$AB$37="Media",'Mapa final'!$AD$37="Moderado"),CONCATENATE("R5C",'Mapa final'!$R$37),"")</f>
        <v/>
      </c>
      <c r="AA30" s="51" t="str">
        <f>IF(AND('Mapa final'!$AB$38="Media",'Mapa final'!$AD$38="Moderado"),CONCATENATE("R5C",'Mapa final'!$R$38),"")</f>
        <v/>
      </c>
      <c r="AB30" s="34" t="str">
        <f>IF(AND('Mapa final'!$AB$33="Media",'Mapa final'!$AD$33="Mayor"),CONCATENATE("R5C",'Mapa final'!$R$33),"")</f>
        <v/>
      </c>
      <c r="AC30" s="35" t="str">
        <f>IF(AND('Mapa final'!$AB$34="Media",'Mapa final'!$AD$34="Mayor"),CONCATENATE("R5C",'Mapa final'!$R$34),"")</f>
        <v/>
      </c>
      <c r="AD30" s="35" t="str">
        <f>IF(AND('Mapa final'!$AB$35="Media",'Mapa final'!$AD$35="Mayor"),CONCATENATE("R5C",'Mapa final'!$R$35),"")</f>
        <v/>
      </c>
      <c r="AE30" s="35" t="str">
        <f>IF(AND('Mapa final'!$AB$36="Media",'Mapa final'!$AD$36="Mayor"),CONCATENATE("R5C",'Mapa final'!$R$36),"")</f>
        <v/>
      </c>
      <c r="AF30" s="35" t="str">
        <f>IF(AND('Mapa final'!$AB$37="Media",'Mapa final'!$AD$37="Mayor"),CONCATENATE("R5C",'Mapa final'!$R$37),"")</f>
        <v/>
      </c>
      <c r="AG30" s="36" t="str">
        <f>IF(AND('Mapa final'!$AB$38="Media",'Mapa final'!$AD$38="Mayor"),CONCATENATE("R5C",'Mapa final'!$R$38),"")</f>
        <v/>
      </c>
      <c r="AH30" s="37" t="str">
        <f>IF(AND('Mapa final'!$AB$33="Media",'Mapa final'!$AD$33="Catastrófico"),CONCATENATE("R5C",'Mapa final'!$R$33),"")</f>
        <v/>
      </c>
      <c r="AI30" s="38" t="str">
        <f>IF(AND('Mapa final'!$AB$34="Media",'Mapa final'!$AD$34="Catastrófico"),CONCATENATE("R5C",'Mapa final'!$R$34),"")</f>
        <v/>
      </c>
      <c r="AJ30" s="38" t="str">
        <f>IF(AND('Mapa final'!$AB$35="Media",'Mapa final'!$AD$35="Catastrófico"),CONCATENATE("R5C",'Mapa final'!$R$35),"")</f>
        <v/>
      </c>
      <c r="AK30" s="38" t="str">
        <f>IF(AND('Mapa final'!$AB$36="Media",'Mapa final'!$AD$36="Catastrófico"),CONCATENATE("R5C",'Mapa final'!$R$36),"")</f>
        <v/>
      </c>
      <c r="AL30" s="38" t="str">
        <f>IF(AND('Mapa final'!$AB$37="Media",'Mapa final'!$AD$37="Catastrófico"),CONCATENATE("R5C",'Mapa final'!$R$37),"")</f>
        <v/>
      </c>
      <c r="AM30" s="39" t="str">
        <f>IF(AND('Mapa final'!$AB$38="Media",'Mapa final'!$AD$38="Catastrófico"),CONCATENATE("R5C",'Mapa final'!$R$38),"")</f>
        <v/>
      </c>
      <c r="AN30" s="65"/>
      <c r="AO30" s="841"/>
      <c r="AP30" s="842"/>
      <c r="AQ30" s="842"/>
      <c r="AR30" s="842"/>
      <c r="AS30" s="842"/>
      <c r="AT30" s="843"/>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ht="15" customHeight="1" x14ac:dyDescent="0.3">
      <c r="A31" s="65"/>
      <c r="B31" s="713"/>
      <c r="C31" s="713"/>
      <c r="D31" s="714"/>
      <c r="E31" s="812"/>
      <c r="F31" s="811"/>
      <c r="G31" s="811"/>
      <c r="H31" s="811"/>
      <c r="I31" s="827"/>
      <c r="J31" s="49" t="str">
        <f>IF(AND('Mapa final'!$AB$39="Media",'Mapa final'!$AD$39="Leve"),CONCATENATE("R6C",'Mapa final'!$R$39),"")</f>
        <v/>
      </c>
      <c r="K31" s="50" t="str">
        <f>IF(AND('Mapa final'!$AB$40="Media",'Mapa final'!$AD$40="Leve"),CONCATENATE("R6C",'Mapa final'!$R$40),"")</f>
        <v/>
      </c>
      <c r="L31" s="50" t="str">
        <f>IF(AND('Mapa final'!$AB$41="Media",'Mapa final'!$AD$41="Leve"),CONCATENATE("R6C",'Mapa final'!$R$41),"")</f>
        <v/>
      </c>
      <c r="M31" s="50" t="str">
        <f>IF(AND('Mapa final'!$AB$42="Media",'Mapa final'!$AD$42="Leve"),CONCATENATE("R6C",'Mapa final'!$R$42),"")</f>
        <v/>
      </c>
      <c r="N31" s="50" t="str">
        <f>IF(AND('Mapa final'!$AB$43="Media",'Mapa final'!$AD$43="Leve"),CONCATENATE("R6C",'Mapa final'!$R$43),"")</f>
        <v/>
      </c>
      <c r="O31" s="51" t="str">
        <f>IF(AND('Mapa final'!$AB$44="Media",'Mapa final'!$AD$44="Leve"),CONCATENATE("R6C",'Mapa final'!$R$44),"")</f>
        <v/>
      </c>
      <c r="P31" s="49" t="str">
        <f>IF(AND('Mapa final'!$AB$39="Media",'Mapa final'!$AD$39="Menor"),CONCATENATE("R6C",'Mapa final'!$R$39),"")</f>
        <v/>
      </c>
      <c r="Q31" s="50" t="str">
        <f>IF(AND('Mapa final'!$AB$40="Media",'Mapa final'!$AD$40="Menor"),CONCATENATE("R6C",'Mapa final'!$R$40),"")</f>
        <v/>
      </c>
      <c r="R31" s="50" t="str">
        <f>IF(AND('Mapa final'!$AB$41="Media",'Mapa final'!$AD$41="Menor"),CONCATENATE("R6C",'Mapa final'!$R$41),"")</f>
        <v/>
      </c>
      <c r="S31" s="50" t="str">
        <f>IF(AND('Mapa final'!$AB$42="Media",'Mapa final'!$AD$42="Menor"),CONCATENATE("R6C",'Mapa final'!$R$42),"")</f>
        <v/>
      </c>
      <c r="T31" s="50" t="str">
        <f>IF(AND('Mapa final'!$AB$43="Media",'Mapa final'!$AD$43="Menor"),CONCATENATE("R6C",'Mapa final'!$R$43),"")</f>
        <v/>
      </c>
      <c r="U31" s="51" t="str">
        <f>IF(AND('Mapa final'!$AB$44="Media",'Mapa final'!$AD$44="Menor"),CONCATENATE("R6C",'Mapa final'!$R$44),"")</f>
        <v/>
      </c>
      <c r="V31" s="49" t="str">
        <f>IF(AND('Mapa final'!$AB$39="Media",'Mapa final'!$AD$39="Moderado"),CONCATENATE("R6C",'Mapa final'!$R$39),"")</f>
        <v/>
      </c>
      <c r="W31" s="50" t="str">
        <f>IF(AND('Mapa final'!$AB$40="Media",'Mapa final'!$AD$40="Moderado"),CONCATENATE("R6C",'Mapa final'!$R$40),"")</f>
        <v/>
      </c>
      <c r="X31" s="50" t="str">
        <f>IF(AND('Mapa final'!$AB$41="Media",'Mapa final'!$AD$41="Moderado"),CONCATENATE("R6C",'Mapa final'!$R$41),"")</f>
        <v/>
      </c>
      <c r="Y31" s="50" t="str">
        <f>IF(AND('Mapa final'!$AB$42="Media",'Mapa final'!$AD$42="Moderado"),CONCATENATE("R6C",'Mapa final'!$R$42),"")</f>
        <v/>
      </c>
      <c r="Z31" s="50" t="str">
        <f>IF(AND('Mapa final'!$AB$43="Media",'Mapa final'!$AD$43="Moderado"),CONCATENATE("R6C",'Mapa final'!$R$43),"")</f>
        <v/>
      </c>
      <c r="AA31" s="51" t="str">
        <f>IF(AND('Mapa final'!$AB$44="Media",'Mapa final'!$AD$44="Moderado"),CONCATENATE("R6C",'Mapa final'!$R$44),"")</f>
        <v/>
      </c>
      <c r="AB31" s="34" t="str">
        <f>IF(AND('Mapa final'!$AB$39="Media",'Mapa final'!$AD$39="Mayor"),CONCATENATE("R6C",'Mapa final'!$R$39),"")</f>
        <v>R6C1</v>
      </c>
      <c r="AC31" s="35" t="str">
        <f>IF(AND('Mapa final'!$AB$40="Media",'Mapa final'!$AD$40="Mayor"),CONCATENATE("R6C",'Mapa final'!$R$40),"")</f>
        <v/>
      </c>
      <c r="AD31" s="35" t="str">
        <f>IF(AND('Mapa final'!$AB$41="Media",'Mapa final'!$AD$41="Mayor"),CONCATENATE("R6C",'Mapa final'!$R$41),"")</f>
        <v/>
      </c>
      <c r="AE31" s="35" t="str">
        <f>IF(AND('Mapa final'!$AB$42="Media",'Mapa final'!$AD$42="Mayor"),CONCATENATE("R6C",'Mapa final'!$R$42),"")</f>
        <v/>
      </c>
      <c r="AF31" s="35" t="str">
        <f>IF(AND('Mapa final'!$AB$43="Media",'Mapa final'!$AD$43="Mayor"),CONCATENATE("R6C",'Mapa final'!$R$43),"")</f>
        <v/>
      </c>
      <c r="AG31" s="36" t="str">
        <f>IF(AND('Mapa final'!$AB$44="Media",'Mapa final'!$AD$44="Mayor"),CONCATENATE("R6C",'Mapa final'!$R$44),"")</f>
        <v/>
      </c>
      <c r="AH31" s="37" t="str">
        <f>IF(AND('Mapa final'!$AB$39="Media",'Mapa final'!$AD$39="Catastrófico"),CONCATENATE("R6C",'Mapa final'!$R$39),"")</f>
        <v/>
      </c>
      <c r="AI31" s="38" t="str">
        <f>IF(AND('Mapa final'!$AB$40="Media",'Mapa final'!$AD$40="Catastrófico"),CONCATENATE("R6C",'Mapa final'!$R$40),"")</f>
        <v/>
      </c>
      <c r="AJ31" s="38" t="str">
        <f>IF(AND('Mapa final'!$AB$41="Media",'Mapa final'!$AD$41="Catastrófico"),CONCATENATE("R6C",'Mapa final'!$R$41),"")</f>
        <v/>
      </c>
      <c r="AK31" s="38" t="str">
        <f>IF(AND('Mapa final'!$AB$42="Media",'Mapa final'!$AD$42="Catastrófico"),CONCATENATE("R6C",'Mapa final'!$R$42),"")</f>
        <v/>
      </c>
      <c r="AL31" s="38" t="str">
        <f>IF(AND('Mapa final'!$AB$43="Media",'Mapa final'!$AD$43="Catastrófico"),CONCATENATE("R6C",'Mapa final'!$R$43),"")</f>
        <v/>
      </c>
      <c r="AM31" s="39" t="str">
        <f>IF(AND('Mapa final'!$AB$44="Media",'Mapa final'!$AD$44="Catastrófico"),CONCATENATE("R6C",'Mapa final'!$R$44),"")</f>
        <v/>
      </c>
      <c r="AN31" s="65"/>
      <c r="AO31" s="841"/>
      <c r="AP31" s="842"/>
      <c r="AQ31" s="842"/>
      <c r="AR31" s="842"/>
      <c r="AS31" s="842"/>
      <c r="AT31" s="843"/>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ht="15" customHeight="1" x14ac:dyDescent="0.3">
      <c r="A32" s="65"/>
      <c r="B32" s="713"/>
      <c r="C32" s="713"/>
      <c r="D32" s="714"/>
      <c r="E32" s="812"/>
      <c r="F32" s="811"/>
      <c r="G32" s="811"/>
      <c r="H32" s="811"/>
      <c r="I32" s="827"/>
      <c r="J32" s="49" t="str">
        <f>IF(AND('Mapa final'!$AB$45="Media",'Mapa final'!$AD$45="Leve"),CONCATENATE("R7C",'Mapa final'!$R$45),"")</f>
        <v/>
      </c>
      <c r="K32" s="50" t="str">
        <f>IF(AND('Mapa final'!$AB$46="Media",'Mapa final'!$AD$46="Leve"),CONCATENATE("R7C",'Mapa final'!$R$46),"")</f>
        <v/>
      </c>
      <c r="L32" s="50" t="str">
        <f>IF(AND('Mapa final'!$AB$47="Media",'Mapa final'!$AD$47="Leve"),CONCATENATE("R7C",'Mapa final'!$R$47),"")</f>
        <v/>
      </c>
      <c r="M32" s="50" t="str">
        <f>IF(AND('Mapa final'!$AB$48="Media",'Mapa final'!$AD$48="Leve"),CONCATENATE("R7C",'Mapa final'!$R$48),"")</f>
        <v/>
      </c>
      <c r="N32" s="50" t="str">
        <f>IF(AND('Mapa final'!$AB$49="Media",'Mapa final'!$AD$49="Leve"),CONCATENATE("R7C",'Mapa final'!$R$49),"")</f>
        <v/>
      </c>
      <c r="O32" s="51" t="str">
        <f>IF(AND('Mapa final'!$AB$50="Media",'Mapa final'!$AD$50="Leve"),CONCATENATE("R7C",'Mapa final'!$R$50),"")</f>
        <v/>
      </c>
      <c r="P32" s="49" t="str">
        <f>IF(AND('Mapa final'!$AB$45="Media",'Mapa final'!$AD$45="Menor"),CONCATENATE("R7C",'Mapa final'!$R$45),"")</f>
        <v/>
      </c>
      <c r="Q32" s="50" t="str">
        <f>IF(AND('Mapa final'!$AB$46="Media",'Mapa final'!$AD$46="Menor"),CONCATENATE("R7C",'Mapa final'!$R$46),"")</f>
        <v/>
      </c>
      <c r="R32" s="50" t="str">
        <f>IF(AND('Mapa final'!$AB$47="Media",'Mapa final'!$AD$47="Menor"),CONCATENATE("R7C",'Mapa final'!$R$47),"")</f>
        <v/>
      </c>
      <c r="S32" s="50" t="str">
        <f>IF(AND('Mapa final'!$AB$48="Media",'Mapa final'!$AD$48="Menor"),CONCATENATE("R7C",'Mapa final'!$R$48),"")</f>
        <v/>
      </c>
      <c r="T32" s="50" t="str">
        <f>IF(AND('Mapa final'!$AB$49="Media",'Mapa final'!$AD$49="Menor"),CONCATENATE("R7C",'Mapa final'!$R$49),"")</f>
        <v/>
      </c>
      <c r="U32" s="51" t="str">
        <f>IF(AND('Mapa final'!$AB$50="Media",'Mapa final'!$AD$50="Menor"),CONCATENATE("R7C",'Mapa final'!$R$50),"")</f>
        <v/>
      </c>
      <c r="V32" s="49" t="str">
        <f>IF(AND('Mapa final'!$AB$45="Media",'Mapa final'!$AD$45="Moderado"),CONCATENATE("R7C",'Mapa final'!$R$45),"")</f>
        <v/>
      </c>
      <c r="W32" s="50" t="str">
        <f>IF(AND('Mapa final'!$AB$46="Media",'Mapa final'!$AD$46="Moderado"),CONCATENATE("R7C",'Mapa final'!$R$46),"")</f>
        <v/>
      </c>
      <c r="X32" s="50" t="str">
        <f>IF(AND('Mapa final'!$AB$47="Media",'Mapa final'!$AD$47="Moderado"),CONCATENATE("R7C",'Mapa final'!$R$47),"")</f>
        <v/>
      </c>
      <c r="Y32" s="50" t="str">
        <f>IF(AND('Mapa final'!$AB$48="Media",'Mapa final'!$AD$48="Moderado"),CONCATENATE("R7C",'Mapa final'!$R$48),"")</f>
        <v/>
      </c>
      <c r="Z32" s="50" t="str">
        <f>IF(AND('Mapa final'!$AB$49="Media",'Mapa final'!$AD$49="Moderado"),CONCATENATE("R7C",'Mapa final'!$R$49),"")</f>
        <v/>
      </c>
      <c r="AA32" s="51" t="str">
        <f>IF(AND('Mapa final'!$AB$50="Media",'Mapa final'!$AD$50="Moderado"),CONCATENATE("R7C",'Mapa final'!$R$50),"")</f>
        <v/>
      </c>
      <c r="AB32" s="34" t="str">
        <f>IF(AND('Mapa final'!$AB$45="Media",'Mapa final'!$AD$45="Mayor"),CONCATENATE("R7C",'Mapa final'!$R$45),"")</f>
        <v/>
      </c>
      <c r="AC32" s="35" t="str">
        <f>IF(AND('Mapa final'!$AB$46="Media",'Mapa final'!$AD$46="Mayor"),CONCATENATE("R7C",'Mapa final'!$R$46),"")</f>
        <v/>
      </c>
      <c r="AD32" s="35" t="str">
        <f>IF(AND('Mapa final'!$AB$47="Media",'Mapa final'!$AD$47="Mayor"),CONCATENATE("R7C",'Mapa final'!$R$47),"")</f>
        <v/>
      </c>
      <c r="AE32" s="35" t="str">
        <f>IF(AND('Mapa final'!$AB$48="Media",'Mapa final'!$AD$48="Mayor"),CONCATENATE("R7C",'Mapa final'!$R$48),"")</f>
        <v/>
      </c>
      <c r="AF32" s="35" t="str">
        <f>IF(AND('Mapa final'!$AB$49="Media",'Mapa final'!$AD$49="Mayor"),CONCATENATE("R7C",'Mapa final'!$R$49),"")</f>
        <v/>
      </c>
      <c r="AG32" s="36" t="str">
        <f>IF(AND('Mapa final'!$AB$50="Media",'Mapa final'!$AD$50="Mayor"),CONCATENATE("R7C",'Mapa final'!$R$50),"")</f>
        <v/>
      </c>
      <c r="AH32" s="37" t="str">
        <f>IF(AND('Mapa final'!$AB$45="Media",'Mapa final'!$AD$45="Catastrófico"),CONCATENATE("R7C",'Mapa final'!$R$45),"")</f>
        <v/>
      </c>
      <c r="AI32" s="38" t="str">
        <f>IF(AND('Mapa final'!$AB$46="Media",'Mapa final'!$AD$46="Catastrófico"),CONCATENATE("R7C",'Mapa final'!$R$46),"")</f>
        <v/>
      </c>
      <c r="AJ32" s="38" t="str">
        <f>IF(AND('Mapa final'!$AB$47="Media",'Mapa final'!$AD$47="Catastrófico"),CONCATENATE("R7C",'Mapa final'!$R$47),"")</f>
        <v/>
      </c>
      <c r="AK32" s="38" t="str">
        <f>IF(AND('Mapa final'!$AB$48="Media",'Mapa final'!$AD$48="Catastrófico"),CONCATENATE("R7C",'Mapa final'!$R$48),"")</f>
        <v/>
      </c>
      <c r="AL32" s="38" t="str">
        <f>IF(AND('Mapa final'!$AB$49="Media",'Mapa final'!$AD$49="Catastrófico"),CONCATENATE("R7C",'Mapa final'!$R$49),"")</f>
        <v/>
      </c>
      <c r="AM32" s="39" t="str">
        <f>IF(AND('Mapa final'!$AB$50="Media",'Mapa final'!$AD$50="Catastrófico"),CONCATENATE("R7C",'Mapa final'!$R$50),"")</f>
        <v/>
      </c>
      <c r="AN32" s="65"/>
      <c r="AO32" s="841"/>
      <c r="AP32" s="842"/>
      <c r="AQ32" s="842"/>
      <c r="AR32" s="842"/>
      <c r="AS32" s="842"/>
      <c r="AT32" s="843"/>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0" ht="15" customHeight="1" x14ac:dyDescent="0.3">
      <c r="A33" s="65"/>
      <c r="B33" s="713"/>
      <c r="C33" s="713"/>
      <c r="D33" s="714"/>
      <c r="E33" s="812"/>
      <c r="F33" s="811"/>
      <c r="G33" s="811"/>
      <c r="H33" s="811"/>
      <c r="I33" s="827"/>
      <c r="J33" s="49" t="str">
        <f>IF(AND('Mapa final'!$AB$51="Media",'Mapa final'!$AD$51="Leve"),CONCATENATE("R8C",'Mapa final'!$R$51),"")</f>
        <v/>
      </c>
      <c r="K33" s="50" t="str">
        <f>IF(AND('Mapa final'!$AB$52="Media",'Mapa final'!$AD$52="Leve"),CONCATENATE("R8C",'Mapa final'!$R$52),"")</f>
        <v/>
      </c>
      <c r="L33" s="50" t="str">
        <f>IF(AND('Mapa final'!$AB$53="Media",'Mapa final'!$AD$53="Leve"),CONCATENATE("R8C",'Mapa final'!$R$53),"")</f>
        <v/>
      </c>
      <c r="M33" s="50" t="str">
        <f>IF(AND('Mapa final'!$AB$54="Media",'Mapa final'!$AD$54="Leve"),CONCATENATE("R8C",'Mapa final'!$R$54),"")</f>
        <v/>
      </c>
      <c r="N33" s="50" t="str">
        <f>IF(AND('Mapa final'!$AB$55="Media",'Mapa final'!$AD$55="Leve"),CONCATENATE("R8C",'Mapa final'!$R$55),"")</f>
        <v/>
      </c>
      <c r="O33" s="51" t="str">
        <f>IF(AND('Mapa final'!$AB$56="Media",'Mapa final'!$AD$56="Leve"),CONCATENATE("R8C",'Mapa final'!$R$56),"")</f>
        <v/>
      </c>
      <c r="P33" s="49" t="str">
        <f>IF(AND('Mapa final'!$AB$51="Media",'Mapa final'!$AD$51="Menor"),CONCATENATE("R8C",'Mapa final'!$R$51),"")</f>
        <v/>
      </c>
      <c r="Q33" s="50" t="str">
        <f>IF(AND('Mapa final'!$AB$52="Media",'Mapa final'!$AD$52="Menor"),CONCATENATE("R8C",'Mapa final'!$R$52),"")</f>
        <v/>
      </c>
      <c r="R33" s="50" t="str">
        <f>IF(AND('Mapa final'!$AB$53="Media",'Mapa final'!$AD$53="Menor"),CONCATENATE("R8C",'Mapa final'!$R$53),"")</f>
        <v/>
      </c>
      <c r="S33" s="50" t="str">
        <f>IF(AND('Mapa final'!$AB$54="Media",'Mapa final'!$AD$54="Menor"),CONCATENATE("R8C",'Mapa final'!$R$54),"")</f>
        <v/>
      </c>
      <c r="T33" s="50" t="str">
        <f>IF(AND('Mapa final'!$AB$55="Media",'Mapa final'!$AD$55="Menor"),CONCATENATE("R8C",'Mapa final'!$R$55),"")</f>
        <v/>
      </c>
      <c r="U33" s="51" t="str">
        <f>IF(AND('Mapa final'!$AB$56="Media",'Mapa final'!$AD$56="Menor"),CONCATENATE("R8C",'Mapa final'!$R$56),"")</f>
        <v/>
      </c>
      <c r="V33" s="49" t="str">
        <f>IF(AND('Mapa final'!$AB$51="Media",'Mapa final'!$AD$51="Moderado"),CONCATENATE("R8C",'Mapa final'!$R$51),"")</f>
        <v/>
      </c>
      <c r="W33" s="50" t="str">
        <f>IF(AND('Mapa final'!$AB$52="Media",'Mapa final'!$AD$52="Moderado"),CONCATENATE("R8C",'Mapa final'!$R$52),"")</f>
        <v/>
      </c>
      <c r="X33" s="50" t="str">
        <f>IF(AND('Mapa final'!$AB$53="Media",'Mapa final'!$AD$53="Moderado"),CONCATENATE("R8C",'Mapa final'!$R$53),"")</f>
        <v/>
      </c>
      <c r="Y33" s="50" t="str">
        <f>IF(AND('Mapa final'!$AB$54="Media",'Mapa final'!$AD$54="Moderado"),CONCATENATE("R8C",'Mapa final'!$R$54),"")</f>
        <v/>
      </c>
      <c r="Z33" s="50" t="str">
        <f>IF(AND('Mapa final'!$AB$55="Media",'Mapa final'!$AD$55="Moderado"),CONCATENATE("R8C",'Mapa final'!$R$55),"")</f>
        <v/>
      </c>
      <c r="AA33" s="51" t="str">
        <f>IF(AND('Mapa final'!$AB$56="Media",'Mapa final'!$AD$56="Moderado"),CONCATENATE("R8C",'Mapa final'!$R$56),"")</f>
        <v/>
      </c>
      <c r="AB33" s="34" t="str">
        <f>IF(AND('Mapa final'!$AB$51="Media",'Mapa final'!$AD$51="Mayor"),CONCATENATE("R8C",'Mapa final'!$R$51),"")</f>
        <v/>
      </c>
      <c r="AC33" s="35" t="str">
        <f>IF(AND('Mapa final'!$AB$52="Media",'Mapa final'!$AD$52="Mayor"),CONCATENATE("R8C",'Mapa final'!$R$52),"")</f>
        <v/>
      </c>
      <c r="AD33" s="35" t="str">
        <f>IF(AND('Mapa final'!$AB$53="Media",'Mapa final'!$AD$53="Mayor"),CONCATENATE("R8C",'Mapa final'!$R$53),"")</f>
        <v/>
      </c>
      <c r="AE33" s="35" t="str">
        <f>IF(AND('Mapa final'!$AB$54="Media",'Mapa final'!$AD$54="Mayor"),CONCATENATE("R8C",'Mapa final'!$R$54),"")</f>
        <v/>
      </c>
      <c r="AF33" s="35" t="str">
        <f>IF(AND('Mapa final'!$AB$55="Media",'Mapa final'!$AD$55="Mayor"),CONCATENATE("R8C",'Mapa final'!$R$55),"")</f>
        <v/>
      </c>
      <c r="AG33" s="36" t="str">
        <f>IF(AND('Mapa final'!$AB$56="Media",'Mapa final'!$AD$56="Mayor"),CONCATENATE("R8C",'Mapa final'!$R$56),"")</f>
        <v/>
      </c>
      <c r="AH33" s="37" t="str">
        <f>IF(AND('Mapa final'!$AB$51="Media",'Mapa final'!$AD$51="Catastrófico"),CONCATENATE("R8C",'Mapa final'!$R$51),"")</f>
        <v/>
      </c>
      <c r="AI33" s="38" t="str">
        <f>IF(AND('Mapa final'!$AB$52="Media",'Mapa final'!$AD$52="Catastrófico"),CONCATENATE("R8C",'Mapa final'!$R$52),"")</f>
        <v/>
      </c>
      <c r="AJ33" s="38" t="str">
        <f>IF(AND('Mapa final'!$AB$53="Media",'Mapa final'!$AD$53="Catastrófico"),CONCATENATE("R8C",'Mapa final'!$R$53),"")</f>
        <v/>
      </c>
      <c r="AK33" s="38" t="str">
        <f>IF(AND('Mapa final'!$AB$54="Media",'Mapa final'!$AD$54="Catastrófico"),CONCATENATE("R8C",'Mapa final'!$R$54),"")</f>
        <v/>
      </c>
      <c r="AL33" s="38" t="str">
        <f>IF(AND('Mapa final'!$AB$55="Media",'Mapa final'!$AD$55="Catastrófico"),CONCATENATE("R8C",'Mapa final'!$R$55),"")</f>
        <v/>
      </c>
      <c r="AM33" s="39" t="str">
        <f>IF(AND('Mapa final'!$AB$56="Media",'Mapa final'!$AD$56="Catastrófico"),CONCATENATE("R8C",'Mapa final'!$R$56),"")</f>
        <v/>
      </c>
      <c r="AN33" s="65"/>
      <c r="AO33" s="841"/>
      <c r="AP33" s="842"/>
      <c r="AQ33" s="842"/>
      <c r="AR33" s="842"/>
      <c r="AS33" s="842"/>
      <c r="AT33" s="843"/>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0" ht="15" customHeight="1" x14ac:dyDescent="0.3">
      <c r="A34" s="65"/>
      <c r="B34" s="713"/>
      <c r="C34" s="713"/>
      <c r="D34" s="714"/>
      <c r="E34" s="812"/>
      <c r="F34" s="811"/>
      <c r="G34" s="811"/>
      <c r="H34" s="811"/>
      <c r="I34" s="827"/>
      <c r="J34" s="49" t="str">
        <f>IF(AND('Mapa final'!$AB$57="Media",'Mapa final'!$AD$57="Leve"),CONCATENATE("R9C",'Mapa final'!$R$57),"")</f>
        <v/>
      </c>
      <c r="K34" s="50" t="str">
        <f>IF(AND('Mapa final'!$AB$58="Media",'Mapa final'!$AD$58="Leve"),CONCATENATE("R9C",'Mapa final'!$R$58),"")</f>
        <v/>
      </c>
      <c r="L34" s="50" t="str">
        <f>IF(AND('Mapa final'!$AB$59="Media",'Mapa final'!$AD$59="Leve"),CONCATENATE("R9C",'Mapa final'!$R$59),"")</f>
        <v/>
      </c>
      <c r="M34" s="50" t="str">
        <f>IF(AND('Mapa final'!$AB$60="Media",'Mapa final'!$AD$60="Leve"),CONCATENATE("R9C",'Mapa final'!$R$60),"")</f>
        <v/>
      </c>
      <c r="N34" s="50" t="str">
        <f>IF(AND('Mapa final'!$AB$61="Media",'Mapa final'!$AD$61="Leve"),CONCATENATE("R9C",'Mapa final'!$R$61),"")</f>
        <v/>
      </c>
      <c r="O34" s="51" t="str">
        <f>IF(AND('Mapa final'!$AB$62="Media",'Mapa final'!$AD$62="Leve"),CONCATENATE("R9C",'Mapa final'!$R$62),"")</f>
        <v/>
      </c>
      <c r="P34" s="49" t="str">
        <f>IF(AND('Mapa final'!$AB$57="Media",'Mapa final'!$AD$57="Menor"),CONCATENATE("R9C",'Mapa final'!$R$57),"")</f>
        <v/>
      </c>
      <c r="Q34" s="50" t="str">
        <f>IF(AND('Mapa final'!$AB$58="Media",'Mapa final'!$AD$58="Menor"),CONCATENATE("R9C",'Mapa final'!$R$58),"")</f>
        <v/>
      </c>
      <c r="R34" s="50" t="str">
        <f>IF(AND('Mapa final'!$AB$59="Media",'Mapa final'!$AD$59="Menor"),CONCATENATE("R9C",'Mapa final'!$R$59),"")</f>
        <v/>
      </c>
      <c r="S34" s="50" t="str">
        <f>IF(AND('Mapa final'!$AB$60="Media",'Mapa final'!$AD$60="Menor"),CONCATENATE("R9C",'Mapa final'!$R$60),"")</f>
        <v/>
      </c>
      <c r="T34" s="50" t="str">
        <f>IF(AND('Mapa final'!$AB$61="Media",'Mapa final'!$AD$61="Menor"),CONCATENATE("R9C",'Mapa final'!$R$61),"")</f>
        <v/>
      </c>
      <c r="U34" s="51" t="str">
        <f>IF(AND('Mapa final'!$AB$62="Media",'Mapa final'!$AD$62="Menor"),CONCATENATE("R9C",'Mapa final'!$R$62),"")</f>
        <v/>
      </c>
      <c r="V34" s="49" t="str">
        <f>IF(AND('Mapa final'!$AB$57="Media",'Mapa final'!$AD$57="Moderado"),CONCATENATE("R9C",'Mapa final'!$R$57),"")</f>
        <v/>
      </c>
      <c r="W34" s="50" t="str">
        <f>IF(AND('Mapa final'!$AB$58="Media",'Mapa final'!$AD$58="Moderado"),CONCATENATE("R9C",'Mapa final'!$R$58),"")</f>
        <v/>
      </c>
      <c r="X34" s="50" t="str">
        <f>IF(AND('Mapa final'!$AB$59="Media",'Mapa final'!$AD$59="Moderado"),CONCATENATE("R9C",'Mapa final'!$R$59),"")</f>
        <v/>
      </c>
      <c r="Y34" s="50" t="str">
        <f>IF(AND('Mapa final'!$AB$60="Media",'Mapa final'!$AD$60="Moderado"),CONCATENATE("R9C",'Mapa final'!$R$60),"")</f>
        <v/>
      </c>
      <c r="Z34" s="50" t="str">
        <f>IF(AND('Mapa final'!$AB$61="Media",'Mapa final'!$AD$61="Moderado"),CONCATENATE("R9C",'Mapa final'!$R$61),"")</f>
        <v/>
      </c>
      <c r="AA34" s="51" t="str">
        <f>IF(AND('Mapa final'!$AB$62="Media",'Mapa final'!$AD$62="Moderado"),CONCATENATE("R9C",'Mapa final'!$R$62),"")</f>
        <v/>
      </c>
      <c r="AB34" s="34" t="str">
        <f>IF(AND('Mapa final'!$AB$57="Media",'Mapa final'!$AD$57="Mayor"),CONCATENATE("R9C",'Mapa final'!$R$57),"")</f>
        <v/>
      </c>
      <c r="AC34" s="35" t="str">
        <f>IF(AND('Mapa final'!$AB$58="Media",'Mapa final'!$AD$58="Mayor"),CONCATENATE("R9C",'Mapa final'!$R$58),"")</f>
        <v/>
      </c>
      <c r="AD34" s="35" t="str">
        <f>IF(AND('Mapa final'!$AB$59="Media",'Mapa final'!$AD$59="Mayor"),CONCATENATE("R9C",'Mapa final'!$R$59),"")</f>
        <v/>
      </c>
      <c r="AE34" s="35" t="str">
        <f>IF(AND('Mapa final'!$AB$60="Media",'Mapa final'!$AD$60="Mayor"),CONCATENATE("R9C",'Mapa final'!$R$60),"")</f>
        <v/>
      </c>
      <c r="AF34" s="35" t="str">
        <f>IF(AND('Mapa final'!$AB$61="Media",'Mapa final'!$AD$61="Mayor"),CONCATENATE("R9C",'Mapa final'!$R$61),"")</f>
        <v/>
      </c>
      <c r="AG34" s="36" t="str">
        <f>IF(AND('Mapa final'!$AB$62="Media",'Mapa final'!$AD$62="Mayor"),CONCATENATE("R9C",'Mapa final'!$R$62),"")</f>
        <v/>
      </c>
      <c r="AH34" s="37" t="str">
        <f>IF(AND('Mapa final'!$AB$57="Media",'Mapa final'!$AD$57="Catastrófico"),CONCATENATE("R9C",'Mapa final'!$R$57),"")</f>
        <v/>
      </c>
      <c r="AI34" s="38" t="str">
        <f>IF(AND('Mapa final'!$AB$58="Media",'Mapa final'!$AD$58="Catastrófico"),CONCATENATE("R9C",'Mapa final'!$R$58),"")</f>
        <v/>
      </c>
      <c r="AJ34" s="38" t="str">
        <f>IF(AND('Mapa final'!$AB$59="Media",'Mapa final'!$AD$59="Catastrófico"),CONCATENATE("R9C",'Mapa final'!$R$59),"")</f>
        <v/>
      </c>
      <c r="AK34" s="38" t="str">
        <f>IF(AND('Mapa final'!$AB$60="Media",'Mapa final'!$AD$60="Catastrófico"),CONCATENATE("R9C",'Mapa final'!$R$60),"")</f>
        <v/>
      </c>
      <c r="AL34" s="38" t="str">
        <f>IF(AND('Mapa final'!$AB$61="Media",'Mapa final'!$AD$61="Catastrófico"),CONCATENATE("R9C",'Mapa final'!$R$61),"")</f>
        <v/>
      </c>
      <c r="AM34" s="39" t="str">
        <f>IF(AND('Mapa final'!$AB$62="Media",'Mapa final'!$AD$62="Catastrófico"),CONCATENATE("R9C",'Mapa final'!$R$62),"")</f>
        <v/>
      </c>
      <c r="AN34" s="65"/>
      <c r="AO34" s="841"/>
      <c r="AP34" s="842"/>
      <c r="AQ34" s="842"/>
      <c r="AR34" s="842"/>
      <c r="AS34" s="842"/>
      <c r="AT34" s="843"/>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0" ht="15.75" customHeight="1" thickBot="1" x14ac:dyDescent="0.35">
      <c r="A35" s="65"/>
      <c r="B35" s="713"/>
      <c r="C35" s="713"/>
      <c r="D35" s="714"/>
      <c r="E35" s="813"/>
      <c r="F35" s="814"/>
      <c r="G35" s="814"/>
      <c r="H35" s="814"/>
      <c r="I35" s="828"/>
      <c r="J35" s="49" t="str">
        <f>IF(AND('Mapa final'!$AB$63="Media",'Mapa final'!$AD$63="Leve"),CONCATENATE("R10C",'Mapa final'!$R$63),"")</f>
        <v/>
      </c>
      <c r="K35" s="50" t="str">
        <f>IF(AND('Mapa final'!$AB$64="Media",'Mapa final'!$AD$64="Leve"),CONCATENATE("R10C",'Mapa final'!$R$64),"")</f>
        <v/>
      </c>
      <c r="L35" s="50" t="str">
        <f>IF(AND('Mapa final'!$AB$65="Media",'Mapa final'!$AD$65="Leve"),CONCATENATE("R10C",'Mapa final'!$R$65),"")</f>
        <v/>
      </c>
      <c r="M35" s="50" t="str">
        <f>IF(AND('Mapa final'!$AB$66="Media",'Mapa final'!$AD$66="Leve"),CONCATENATE("R10C",'Mapa final'!$R$66),"")</f>
        <v/>
      </c>
      <c r="N35" s="50" t="str">
        <f>IF(AND('Mapa final'!$AB$67="Media",'Mapa final'!$AD$67="Leve"),CONCATENATE("R10C",'Mapa final'!$R$67),"")</f>
        <v/>
      </c>
      <c r="O35" s="51" t="str">
        <f>IF(AND('Mapa final'!$AB$68="Media",'Mapa final'!$AD$68="Leve"),CONCATENATE("R10C",'Mapa final'!$R$68),"")</f>
        <v/>
      </c>
      <c r="P35" s="49" t="str">
        <f>IF(AND('Mapa final'!$AB$63="Media",'Mapa final'!$AD$63="Menor"),CONCATENATE("R10C",'Mapa final'!$R$63),"")</f>
        <v/>
      </c>
      <c r="Q35" s="50" t="str">
        <f>IF(AND('Mapa final'!$AB$64="Media",'Mapa final'!$AD$64="Menor"),CONCATENATE("R10C",'Mapa final'!$R$64),"")</f>
        <v/>
      </c>
      <c r="R35" s="50" t="str">
        <f>IF(AND('Mapa final'!$AB$65="Media",'Mapa final'!$AD$65="Menor"),CONCATENATE("R10C",'Mapa final'!$R$65),"")</f>
        <v/>
      </c>
      <c r="S35" s="50" t="str">
        <f>IF(AND('Mapa final'!$AB$66="Media",'Mapa final'!$AD$66="Menor"),CONCATENATE("R10C",'Mapa final'!$R$66),"")</f>
        <v/>
      </c>
      <c r="T35" s="50" t="str">
        <f>IF(AND('Mapa final'!$AB$67="Media",'Mapa final'!$AD$67="Menor"),CONCATENATE("R10C",'Mapa final'!$R$67),"")</f>
        <v/>
      </c>
      <c r="U35" s="51" t="str">
        <f>IF(AND('Mapa final'!$AB$68="Media",'Mapa final'!$AD$68="Menor"),CONCATENATE("R10C",'Mapa final'!$R$68),"")</f>
        <v/>
      </c>
      <c r="V35" s="49" t="str">
        <f>IF(AND('Mapa final'!$AB$63="Media",'Mapa final'!$AD$63="Moderado"),CONCATENATE("R10C",'Mapa final'!$R$63),"")</f>
        <v/>
      </c>
      <c r="W35" s="50" t="str">
        <f>IF(AND('Mapa final'!$AB$64="Media",'Mapa final'!$AD$64="Moderado"),CONCATENATE("R10C",'Mapa final'!$R$64),"")</f>
        <v/>
      </c>
      <c r="X35" s="50" t="str">
        <f>IF(AND('Mapa final'!$AB$65="Media",'Mapa final'!$AD$65="Moderado"),CONCATENATE("R10C",'Mapa final'!$R$65),"")</f>
        <v/>
      </c>
      <c r="Y35" s="50" t="str">
        <f>IF(AND('Mapa final'!$AB$66="Media",'Mapa final'!$AD$66="Moderado"),CONCATENATE("R10C",'Mapa final'!$R$66),"")</f>
        <v/>
      </c>
      <c r="Z35" s="50" t="str">
        <f>IF(AND('Mapa final'!$AB$67="Media",'Mapa final'!$AD$67="Moderado"),CONCATENATE("R10C",'Mapa final'!$R$67),"")</f>
        <v/>
      </c>
      <c r="AA35" s="51" t="str">
        <f>IF(AND('Mapa final'!$AB$68="Media",'Mapa final'!$AD$68="Moderado"),CONCATENATE("R10C",'Mapa final'!$R$68),"")</f>
        <v/>
      </c>
      <c r="AB35" s="40" t="str">
        <f>IF(AND('Mapa final'!$AB$63="Media",'Mapa final'!$AD$63="Mayor"),CONCATENATE("R10C",'Mapa final'!$R$63),"")</f>
        <v/>
      </c>
      <c r="AC35" s="41" t="str">
        <f>IF(AND('Mapa final'!$AB$64="Media",'Mapa final'!$AD$64="Mayor"),CONCATENATE("R10C",'Mapa final'!$R$64),"")</f>
        <v/>
      </c>
      <c r="AD35" s="41" t="str">
        <f>IF(AND('Mapa final'!$AB$65="Media",'Mapa final'!$AD$65="Mayor"),CONCATENATE("R10C",'Mapa final'!$R$65),"")</f>
        <v/>
      </c>
      <c r="AE35" s="41" t="str">
        <f>IF(AND('Mapa final'!$AB$66="Media",'Mapa final'!$AD$66="Mayor"),CONCATENATE("R10C",'Mapa final'!$R$66),"")</f>
        <v/>
      </c>
      <c r="AF35" s="41" t="str">
        <f>IF(AND('Mapa final'!$AB$67="Media",'Mapa final'!$AD$67="Mayor"),CONCATENATE("R10C",'Mapa final'!$R$67),"")</f>
        <v/>
      </c>
      <c r="AG35" s="42" t="str">
        <f>IF(AND('Mapa final'!$AB$68="Media",'Mapa final'!$AD$68="Mayor"),CONCATENATE("R10C",'Mapa final'!$R$68),"")</f>
        <v/>
      </c>
      <c r="AH35" s="43" t="str">
        <f>IF(AND('Mapa final'!$AB$63="Media",'Mapa final'!$AD$63="Catastrófico"),CONCATENATE("R10C",'Mapa final'!$R$63),"")</f>
        <v/>
      </c>
      <c r="AI35" s="44" t="str">
        <f>IF(AND('Mapa final'!$AB$64="Media",'Mapa final'!$AD$64="Catastrófico"),CONCATENATE("R10C",'Mapa final'!$R$64),"")</f>
        <v/>
      </c>
      <c r="AJ35" s="44" t="str">
        <f>IF(AND('Mapa final'!$AB$65="Media",'Mapa final'!$AD$65="Catastrófico"),CONCATENATE("R10C",'Mapa final'!$R$65),"")</f>
        <v/>
      </c>
      <c r="AK35" s="44" t="str">
        <f>IF(AND('Mapa final'!$AB$66="Media",'Mapa final'!$AD$66="Catastrófico"),CONCATENATE("R10C",'Mapa final'!$R$66),"")</f>
        <v/>
      </c>
      <c r="AL35" s="44" t="str">
        <f>IF(AND('Mapa final'!$AB$67="Media",'Mapa final'!$AD$67="Catastrófico"),CONCATENATE("R10C",'Mapa final'!$R$67),"")</f>
        <v/>
      </c>
      <c r="AM35" s="45" t="str">
        <f>IF(AND('Mapa final'!$AB$68="Media",'Mapa final'!$AD$68="Catastrófico"),CONCATENATE("R10C",'Mapa final'!$R$68),"")</f>
        <v/>
      </c>
      <c r="AN35" s="65"/>
      <c r="AO35" s="844"/>
      <c r="AP35" s="845"/>
      <c r="AQ35" s="845"/>
      <c r="AR35" s="845"/>
      <c r="AS35" s="845"/>
      <c r="AT35" s="846"/>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0" ht="15" customHeight="1" x14ac:dyDescent="0.3">
      <c r="A36" s="65"/>
      <c r="B36" s="713"/>
      <c r="C36" s="713"/>
      <c r="D36" s="714"/>
      <c r="E36" s="808" t="s">
        <v>109</v>
      </c>
      <c r="F36" s="809"/>
      <c r="G36" s="809"/>
      <c r="H36" s="809"/>
      <c r="I36" s="809"/>
      <c r="J36" s="55" t="str">
        <f>IF(AND('Mapa final'!$AB$10="Baja",'Mapa final'!$AD$10="Leve"),CONCATENATE("R1C",'Mapa final'!$R$10),"")</f>
        <v/>
      </c>
      <c r="K36" s="56" t="str">
        <f>IF(AND('Mapa final'!$AB$11="Baja",'Mapa final'!$AD$11="Leve"),CONCATENATE("R1C",'Mapa final'!$R$11),"")</f>
        <v/>
      </c>
      <c r="L36" s="56" t="str">
        <f>IF(AND('Mapa final'!$AB$12="Baja",'Mapa final'!$AD$12="Leve"),CONCATENATE("R1C",'Mapa final'!$R$12),"")</f>
        <v/>
      </c>
      <c r="M36" s="56" t="str">
        <f>IF(AND('Mapa final'!$AB$13="Baja",'Mapa final'!$AD$13="Leve"),CONCATENATE("R1C",'Mapa final'!$R$13),"")</f>
        <v/>
      </c>
      <c r="N36" s="56" t="str">
        <f>IF(AND('Mapa final'!$AB$14="Baja",'Mapa final'!$AD$14="Leve"),CONCATENATE("R1C",'Mapa final'!$R$14),"")</f>
        <v/>
      </c>
      <c r="O36" s="57" t="str">
        <f>IF(AND('Mapa final'!$AB$15="Baja",'Mapa final'!$AD$15="Leve"),CONCATENATE("R1C",'Mapa final'!$R$15),"")</f>
        <v/>
      </c>
      <c r="P36" s="46" t="str">
        <f>IF(AND('Mapa final'!$AB$10="Baja",'Mapa final'!$AD$10="Menor"),CONCATENATE("R1C",'Mapa final'!$R$10),"")</f>
        <v/>
      </c>
      <c r="Q36" s="47" t="str">
        <f>IF(AND('Mapa final'!$AB$11="Baja",'Mapa final'!$AD$11="Menor"),CONCATENATE("R1C",'Mapa final'!$R$11),"")</f>
        <v/>
      </c>
      <c r="R36" s="47" t="str">
        <f>IF(AND('Mapa final'!$AB$12="Baja",'Mapa final'!$AD$12="Menor"),CONCATENATE("R1C",'Mapa final'!$R$12),"")</f>
        <v/>
      </c>
      <c r="S36" s="47" t="str">
        <f>IF(AND('Mapa final'!$AB$13="Baja",'Mapa final'!$AD$13="Menor"),CONCATENATE("R1C",'Mapa final'!$R$13),"")</f>
        <v/>
      </c>
      <c r="T36" s="47" t="str">
        <f>IF(AND('Mapa final'!$AB$14="Baja",'Mapa final'!$AD$14="Menor"),CONCATENATE("R1C",'Mapa final'!$R$14),"")</f>
        <v/>
      </c>
      <c r="U36" s="48" t="str">
        <f>IF(AND('Mapa final'!$AB$15="Baja",'Mapa final'!$AD$15="Menor"),CONCATENATE("R1C",'Mapa final'!$R$15),"")</f>
        <v/>
      </c>
      <c r="V36" s="46" t="str">
        <f>IF(AND('Mapa final'!$AB$10="Baja",'Mapa final'!$AD$10="Moderado"),CONCATENATE("R1C",'Mapa final'!$R$10),"")</f>
        <v/>
      </c>
      <c r="W36" s="47" t="str">
        <f>IF(AND('Mapa final'!$AB$11="Baja",'Mapa final'!$AD$11="Moderado"),CONCATENATE("R1C",'Mapa final'!$R$11),"")</f>
        <v/>
      </c>
      <c r="X36" s="47" t="str">
        <f>IF(AND('Mapa final'!$AB$12="Baja",'Mapa final'!$AD$12="Moderado"),CONCATENATE("R1C",'Mapa final'!$R$12),"")</f>
        <v/>
      </c>
      <c r="Y36" s="47" t="str">
        <f>IF(AND('Mapa final'!$AB$13="Baja",'Mapa final'!$AD$13="Moderado"),CONCATENATE("R1C",'Mapa final'!$R$13),"")</f>
        <v/>
      </c>
      <c r="Z36" s="47" t="str">
        <f>IF(AND('Mapa final'!$AB$14="Baja",'Mapa final'!$AD$14="Moderado"),CONCATENATE("R1C",'Mapa final'!$R$14),"")</f>
        <v/>
      </c>
      <c r="AA36" s="48" t="str">
        <f>IF(AND('Mapa final'!$AB$15="Baja",'Mapa final'!$AD$15="Moderado"),CONCATENATE("R1C",'Mapa final'!$R$15),"")</f>
        <v/>
      </c>
      <c r="AB36" s="28" t="str">
        <f>IF(AND('Mapa final'!$AB$10="Baja",'Mapa final'!$AD$10="Mayor"),CONCATENATE("R1C",'Mapa final'!$R$10),"")</f>
        <v/>
      </c>
      <c r="AC36" s="29" t="str">
        <f>IF(AND('Mapa final'!$AB$11="Baja",'Mapa final'!$AD$11="Mayor"),CONCATENATE("R1C",'Mapa final'!$R$11),"")</f>
        <v/>
      </c>
      <c r="AD36" s="29" t="str">
        <f>IF(AND('Mapa final'!$AB$12="Baja",'Mapa final'!$AD$12="Mayor"),CONCATENATE("R1C",'Mapa final'!$R$12),"")</f>
        <v/>
      </c>
      <c r="AE36" s="29" t="str">
        <f>IF(AND('Mapa final'!$AB$13="Baja",'Mapa final'!$AD$13="Mayor"),CONCATENATE("R1C",'Mapa final'!$R$13),"")</f>
        <v/>
      </c>
      <c r="AF36" s="29" t="str">
        <f>IF(AND('Mapa final'!$AB$14="Baja",'Mapa final'!$AD$14="Mayor"),CONCATENATE("R1C",'Mapa final'!$R$14),"")</f>
        <v/>
      </c>
      <c r="AG36" s="30" t="str">
        <f>IF(AND('Mapa final'!$AB$15="Baja",'Mapa final'!$AD$15="Mayor"),CONCATENATE("R1C",'Mapa final'!$R$15),"")</f>
        <v/>
      </c>
      <c r="AH36" s="31" t="str">
        <f>IF(AND('Mapa final'!$AB$10="Baja",'Mapa final'!$AD$10="Catastrófico"),CONCATENATE("R1C",'Mapa final'!$R$10),"")</f>
        <v>R1C1</v>
      </c>
      <c r="AI36" s="32" t="str">
        <f>IF(AND('Mapa final'!$AB$11="Baja",'Mapa final'!$AD$11="Catastrófico"),CONCATENATE("R1C",'Mapa final'!$R$11),"")</f>
        <v/>
      </c>
      <c r="AJ36" s="32" t="str">
        <f>IF(AND('Mapa final'!$AB$12="Baja",'Mapa final'!$AD$12="Catastrófico"),CONCATENATE("R1C",'Mapa final'!$R$12),"")</f>
        <v/>
      </c>
      <c r="AK36" s="32" t="str">
        <f>IF(AND('Mapa final'!$AB$13="Baja",'Mapa final'!$AD$13="Catastrófico"),CONCATENATE("R1C",'Mapa final'!$R$13),"")</f>
        <v/>
      </c>
      <c r="AL36" s="32" t="str">
        <f>IF(AND('Mapa final'!$AB$14="Baja",'Mapa final'!$AD$14="Catastrófico"),CONCATENATE("R1C",'Mapa final'!$R$14),"")</f>
        <v/>
      </c>
      <c r="AM36" s="33" t="str">
        <f>IF(AND('Mapa final'!$AB$15="Baja",'Mapa final'!$AD$15="Catastrófico"),CONCATENATE("R1C",'Mapa final'!$R$15),"")</f>
        <v/>
      </c>
      <c r="AN36" s="65"/>
      <c r="AO36" s="829" t="s">
        <v>81</v>
      </c>
      <c r="AP36" s="830"/>
      <c r="AQ36" s="830"/>
      <c r="AR36" s="830"/>
      <c r="AS36" s="830"/>
      <c r="AT36" s="831"/>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80" ht="15" customHeight="1" x14ac:dyDescent="0.3">
      <c r="A37" s="65"/>
      <c r="B37" s="713"/>
      <c r="C37" s="713"/>
      <c r="D37" s="714"/>
      <c r="E37" s="810"/>
      <c r="F37" s="811"/>
      <c r="G37" s="811"/>
      <c r="H37" s="811"/>
      <c r="I37" s="811"/>
      <c r="J37" s="58" t="str">
        <f>IF(AND('Mapa final'!$AB$16="Baja",'Mapa final'!$AD$16="Leve"),CONCATENATE("R2C",'Mapa final'!$R$16),"")</f>
        <v/>
      </c>
      <c r="K37" s="59" t="str">
        <f>IF(AND('Mapa final'!$AB$17="Baja",'Mapa final'!$AD$17="Leve"),CONCATENATE("R2C",'Mapa final'!$R$17),"")</f>
        <v/>
      </c>
      <c r="L37" s="59" t="str">
        <f>IF(AND('Mapa final'!$AB$18="Baja",'Mapa final'!$AD$18="Leve"),CONCATENATE("R2C",'Mapa final'!$R$18),"")</f>
        <v/>
      </c>
      <c r="M37" s="59" t="str">
        <f>IF(AND('Mapa final'!$AB$19="Baja",'Mapa final'!$AD$19="Leve"),CONCATENATE("R2C",'Mapa final'!$R$19),"")</f>
        <v/>
      </c>
      <c r="N37" s="59" t="str">
        <f>IF(AND('Mapa final'!$AB$20="Baja",'Mapa final'!$AD$20="Leve"),CONCATENATE("R2C",'Mapa final'!$R$20),"")</f>
        <v/>
      </c>
      <c r="O37" s="60" t="str">
        <f>IF(AND('Mapa final'!$AB$21="Baja",'Mapa final'!$AD$21="Leve"),CONCATENATE("R2C",'Mapa final'!$R$21),"")</f>
        <v/>
      </c>
      <c r="P37" s="49" t="str">
        <f>IF(AND('Mapa final'!$AB$16="Baja",'Mapa final'!$AD$16="Menor"),CONCATENATE("R2C",'Mapa final'!$R$16),"")</f>
        <v/>
      </c>
      <c r="Q37" s="50" t="str">
        <f>IF(AND('Mapa final'!$AB$17="Baja",'Mapa final'!$AD$17="Menor"),CONCATENATE("R2C",'Mapa final'!$R$17),"")</f>
        <v/>
      </c>
      <c r="R37" s="50" t="str">
        <f>IF(AND('Mapa final'!$AB$18="Baja",'Mapa final'!$AD$18="Menor"),CONCATENATE("R2C",'Mapa final'!$R$18),"")</f>
        <v/>
      </c>
      <c r="S37" s="50" t="str">
        <f>IF(AND('Mapa final'!$AB$19="Baja",'Mapa final'!$AD$19="Menor"),CONCATENATE("R2C",'Mapa final'!$R$19),"")</f>
        <v/>
      </c>
      <c r="T37" s="50" t="str">
        <f>IF(AND('Mapa final'!$AB$20="Baja",'Mapa final'!$AD$20="Menor"),CONCATENATE("R2C",'Mapa final'!$R$20),"")</f>
        <v/>
      </c>
      <c r="U37" s="51" t="str">
        <f>IF(AND('Mapa final'!$AB$21="Baja",'Mapa final'!$AD$21="Menor"),CONCATENATE("R2C",'Mapa final'!$R$21),"")</f>
        <v/>
      </c>
      <c r="V37" s="49" t="str">
        <f>IF(AND('Mapa final'!$AB$16="Baja",'Mapa final'!$AD$16="Moderado"),CONCATENATE("R2C",'Mapa final'!$R$16),"")</f>
        <v/>
      </c>
      <c r="W37" s="50" t="str">
        <f>IF(AND('Mapa final'!$AB$17="Baja",'Mapa final'!$AD$17="Moderado"),CONCATENATE("R2C",'Mapa final'!$R$17),"")</f>
        <v/>
      </c>
      <c r="X37" s="50" t="str">
        <f>IF(AND('Mapa final'!$AB$18="Baja",'Mapa final'!$AD$18="Moderado"),CONCATENATE("R2C",'Mapa final'!$R$18),"")</f>
        <v/>
      </c>
      <c r="Y37" s="50" t="str">
        <f>IF(AND('Mapa final'!$AB$19="Baja",'Mapa final'!$AD$19="Moderado"),CONCATENATE("R2C",'Mapa final'!$R$19),"")</f>
        <v/>
      </c>
      <c r="Z37" s="50" t="str">
        <f>IF(AND('Mapa final'!$AB$20="Baja",'Mapa final'!$AD$20="Moderado"),CONCATENATE("R2C",'Mapa final'!$R$20),"")</f>
        <v/>
      </c>
      <c r="AA37" s="51" t="str">
        <f>IF(AND('Mapa final'!$AB$21="Baja",'Mapa final'!$AD$21="Moderado"),CONCATENATE("R2C",'Mapa final'!$R$21),"")</f>
        <v/>
      </c>
      <c r="AB37" s="34" t="str">
        <f>IF(AND('Mapa final'!$AB$16="Baja",'Mapa final'!$AD$16="Mayor"),CONCATENATE("R2C",'Mapa final'!$R$16),"")</f>
        <v/>
      </c>
      <c r="AC37" s="35" t="str">
        <f>IF(AND('Mapa final'!$AB$17="Baja",'Mapa final'!$AD$17="Mayor"),CONCATENATE("R2C",'Mapa final'!$R$17),"")</f>
        <v/>
      </c>
      <c r="AD37" s="35" t="str">
        <f>IF(AND('Mapa final'!$AB$18="Baja",'Mapa final'!$AD$18="Mayor"),CONCATENATE("R2C",'Mapa final'!$R$18),"")</f>
        <v/>
      </c>
      <c r="AE37" s="35" t="str">
        <f>IF(AND('Mapa final'!$AB$19="Baja",'Mapa final'!$AD$19="Mayor"),CONCATENATE("R2C",'Mapa final'!$R$19),"")</f>
        <v/>
      </c>
      <c r="AF37" s="35" t="str">
        <f>IF(AND('Mapa final'!$AB$20="Baja",'Mapa final'!$AD$20="Mayor"),CONCATENATE("R2C",'Mapa final'!$R$20),"")</f>
        <v/>
      </c>
      <c r="AG37" s="36" t="str">
        <f>IF(AND('Mapa final'!$AB$21="Baja",'Mapa final'!$AD$21="Mayor"),CONCATENATE("R2C",'Mapa final'!$R$21),"")</f>
        <v/>
      </c>
      <c r="AH37" s="37" t="str">
        <f>IF(AND('Mapa final'!$AB$16="Baja",'Mapa final'!$AD$16="Catastrófico"),CONCATENATE("R2C",'Mapa final'!$R$16),"")</f>
        <v/>
      </c>
      <c r="AI37" s="38" t="str">
        <f>IF(AND('Mapa final'!$AB$17="Baja",'Mapa final'!$AD$17="Catastrófico"),CONCATENATE("R2C",'Mapa final'!$R$17),"")</f>
        <v/>
      </c>
      <c r="AJ37" s="38" t="str">
        <f>IF(AND('Mapa final'!$AB$18="Baja",'Mapa final'!$AD$18="Catastrófico"),CONCATENATE("R2C",'Mapa final'!$R$18),"")</f>
        <v/>
      </c>
      <c r="AK37" s="38" t="str">
        <f>IF(AND('Mapa final'!$AB$19="Baja",'Mapa final'!$AD$19="Catastrófico"),CONCATENATE("R2C",'Mapa final'!$R$19),"")</f>
        <v/>
      </c>
      <c r="AL37" s="38" t="str">
        <f>IF(AND('Mapa final'!$AB$20="Baja",'Mapa final'!$AD$20="Catastrófico"),CONCATENATE("R2C",'Mapa final'!$R$20),"")</f>
        <v/>
      </c>
      <c r="AM37" s="39" t="str">
        <f>IF(AND('Mapa final'!$AB$21="Baja",'Mapa final'!$AD$21="Catastrófico"),CONCATENATE("R2C",'Mapa final'!$R$21),"")</f>
        <v/>
      </c>
      <c r="AN37" s="65"/>
      <c r="AO37" s="832"/>
      <c r="AP37" s="833"/>
      <c r="AQ37" s="833"/>
      <c r="AR37" s="833"/>
      <c r="AS37" s="833"/>
      <c r="AT37" s="834"/>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80" ht="15" customHeight="1" x14ac:dyDescent="0.3">
      <c r="A38" s="65"/>
      <c r="B38" s="713"/>
      <c r="C38" s="713"/>
      <c r="D38" s="714"/>
      <c r="E38" s="812"/>
      <c r="F38" s="811"/>
      <c r="G38" s="811"/>
      <c r="H38" s="811"/>
      <c r="I38" s="811"/>
      <c r="J38" s="58" t="str">
        <f>IF(AND('Mapa final'!$AB$22="Baja",'Mapa final'!$AD$22="Leve"),CONCATENATE("R3C",'Mapa final'!$R$22),"")</f>
        <v/>
      </c>
      <c r="K38" s="59" t="str">
        <f>IF(AND('Mapa final'!$AB$23="Baja",'Mapa final'!$AD$23="Leve"),CONCATENATE("R3C",'Mapa final'!$R$23),"")</f>
        <v/>
      </c>
      <c r="L38" s="59" t="str">
        <f>IF(AND('Mapa final'!$AB$24="Baja",'Mapa final'!$AD$24="Leve"),CONCATENATE("R3C",'Mapa final'!$R$24),"")</f>
        <v/>
      </c>
      <c r="M38" s="59" t="str">
        <f>IF(AND('Mapa final'!$AB$25="Baja",'Mapa final'!$AD$25="Leve"),CONCATENATE("R3C",'Mapa final'!$R$25),"")</f>
        <v/>
      </c>
      <c r="N38" s="59" t="str">
        <f>IF(AND('Mapa final'!$AB$26="Baja",'Mapa final'!$AD$26="Leve"),CONCATENATE("R3C",'Mapa final'!$R$26),"")</f>
        <v/>
      </c>
      <c r="O38" s="60" t="str">
        <f>IF(AND('Mapa final'!$AB$27="Baja",'Mapa final'!$AD$27="Leve"),CONCATENATE("R3C",'Mapa final'!$R$27),"")</f>
        <v/>
      </c>
      <c r="P38" s="49" t="str">
        <f>IF(AND('Mapa final'!$AB$22="Baja",'Mapa final'!$AD$22="Menor"),CONCATENATE("R3C",'Mapa final'!$R$22),"")</f>
        <v/>
      </c>
      <c r="Q38" s="50" t="str">
        <f>IF(AND('Mapa final'!$AB$23="Baja",'Mapa final'!$AD$23="Menor"),CONCATENATE("R3C",'Mapa final'!$R$23),"")</f>
        <v/>
      </c>
      <c r="R38" s="50" t="str">
        <f>IF(AND('Mapa final'!$AB$24="Baja",'Mapa final'!$AD$24="Menor"),CONCATENATE("R3C",'Mapa final'!$R$24),"")</f>
        <v/>
      </c>
      <c r="S38" s="50" t="str">
        <f>IF(AND('Mapa final'!$AB$25="Baja",'Mapa final'!$AD$25="Menor"),CONCATENATE("R3C",'Mapa final'!$R$25),"")</f>
        <v/>
      </c>
      <c r="T38" s="50" t="str">
        <f>IF(AND('Mapa final'!$AB$26="Baja",'Mapa final'!$AD$26="Menor"),CONCATENATE("R3C",'Mapa final'!$R$26),"")</f>
        <v/>
      </c>
      <c r="U38" s="51" t="str">
        <f>IF(AND('Mapa final'!$AB$27="Baja",'Mapa final'!$AD$27="Menor"),CONCATENATE("R3C",'Mapa final'!$R$27),"")</f>
        <v/>
      </c>
      <c r="V38" s="49" t="str">
        <f>IF(AND('Mapa final'!$AB$22="Baja",'Mapa final'!$AD$22="Moderado"),CONCATENATE("R3C",'Mapa final'!$R$22),"")</f>
        <v>R3C1</v>
      </c>
      <c r="W38" s="50" t="str">
        <f>IF(AND('Mapa final'!$AB$23="Baja",'Mapa final'!$AD$23="Moderado"),CONCATENATE("R3C",'Mapa final'!$R$23),"")</f>
        <v/>
      </c>
      <c r="X38" s="50" t="str">
        <f>IF(AND('Mapa final'!$AB$24="Baja",'Mapa final'!$AD$24="Moderado"),CONCATENATE("R3C",'Mapa final'!$R$24),"")</f>
        <v/>
      </c>
      <c r="Y38" s="50" t="str">
        <f>IF(AND('Mapa final'!$AB$25="Baja",'Mapa final'!$AD$25="Moderado"),CONCATENATE("R3C",'Mapa final'!$R$25),"")</f>
        <v/>
      </c>
      <c r="Z38" s="50" t="str">
        <f>IF(AND('Mapa final'!$AB$26="Baja",'Mapa final'!$AD$26="Moderado"),CONCATENATE("R3C",'Mapa final'!$R$26),"")</f>
        <v/>
      </c>
      <c r="AA38" s="51" t="str">
        <f>IF(AND('Mapa final'!$AB$27="Baja",'Mapa final'!$AD$27="Moderado"),CONCATENATE("R3C",'Mapa final'!$R$27),"")</f>
        <v/>
      </c>
      <c r="AB38" s="34" t="str">
        <f>IF(AND('Mapa final'!$AB$22="Baja",'Mapa final'!$AD$22="Mayor"),CONCATENATE("R3C",'Mapa final'!$R$22),"")</f>
        <v/>
      </c>
      <c r="AC38" s="35" t="str">
        <f>IF(AND('Mapa final'!$AB$23="Baja",'Mapa final'!$AD$23="Mayor"),CONCATENATE("R3C",'Mapa final'!$R$23),"")</f>
        <v/>
      </c>
      <c r="AD38" s="35" t="str">
        <f>IF(AND('Mapa final'!$AB$24="Baja",'Mapa final'!$AD$24="Mayor"),CONCATENATE("R3C",'Mapa final'!$R$24),"")</f>
        <v/>
      </c>
      <c r="AE38" s="35" t="str">
        <f>IF(AND('Mapa final'!$AB$25="Baja",'Mapa final'!$AD$25="Mayor"),CONCATENATE("R3C",'Mapa final'!$R$25),"")</f>
        <v/>
      </c>
      <c r="AF38" s="35" t="str">
        <f>IF(AND('Mapa final'!$AB$26="Baja",'Mapa final'!$AD$26="Mayor"),CONCATENATE("R3C",'Mapa final'!$R$26),"")</f>
        <v/>
      </c>
      <c r="AG38" s="36" t="str">
        <f>IF(AND('Mapa final'!$AB$27="Baja",'Mapa final'!$AD$27="Mayor"),CONCATENATE("R3C",'Mapa final'!$R$27),"")</f>
        <v/>
      </c>
      <c r="AH38" s="37" t="str">
        <f>IF(AND('Mapa final'!$AB$22="Baja",'Mapa final'!$AD$22="Catastrófico"),CONCATENATE("R3C",'Mapa final'!$R$22),"")</f>
        <v/>
      </c>
      <c r="AI38" s="38" t="str">
        <f>IF(AND('Mapa final'!$AB$23="Baja",'Mapa final'!$AD$23="Catastrófico"),CONCATENATE("R3C",'Mapa final'!$R$23),"")</f>
        <v/>
      </c>
      <c r="AJ38" s="38" t="str">
        <f>IF(AND('Mapa final'!$AB$24="Baja",'Mapa final'!$AD$24="Catastrófico"),CONCATENATE("R3C",'Mapa final'!$R$24),"")</f>
        <v/>
      </c>
      <c r="AK38" s="38" t="str">
        <f>IF(AND('Mapa final'!$AB$25="Baja",'Mapa final'!$AD$25="Catastrófico"),CONCATENATE("R3C",'Mapa final'!$R$25),"")</f>
        <v/>
      </c>
      <c r="AL38" s="38" t="str">
        <f>IF(AND('Mapa final'!$AB$26="Baja",'Mapa final'!$AD$26="Catastrófico"),CONCATENATE("R3C",'Mapa final'!$R$26),"")</f>
        <v/>
      </c>
      <c r="AM38" s="39" t="str">
        <f>IF(AND('Mapa final'!$AB$27="Baja",'Mapa final'!$AD$27="Catastrófico"),CONCATENATE("R3C",'Mapa final'!$R$27),"")</f>
        <v/>
      </c>
      <c r="AN38" s="65"/>
      <c r="AO38" s="832"/>
      <c r="AP38" s="833"/>
      <c r="AQ38" s="833"/>
      <c r="AR38" s="833"/>
      <c r="AS38" s="833"/>
      <c r="AT38" s="834"/>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0" ht="15" customHeight="1" x14ac:dyDescent="0.3">
      <c r="A39" s="65"/>
      <c r="B39" s="713"/>
      <c r="C39" s="713"/>
      <c r="D39" s="714"/>
      <c r="E39" s="812"/>
      <c r="F39" s="811"/>
      <c r="G39" s="811"/>
      <c r="H39" s="811"/>
      <c r="I39" s="811"/>
      <c r="J39" s="58" t="str">
        <f>IF(AND('Mapa final'!$AB$28="Baja",'Mapa final'!$AD$28="Leve"),CONCATENATE("R4C",'Mapa final'!$R$28),"")</f>
        <v/>
      </c>
      <c r="K39" s="59" t="e">
        <f>IF(AND('Mapa final'!#REF!="Baja",'Mapa final'!#REF!="Leve"),CONCATENATE("R4C",'Mapa final'!#REF!),"")</f>
        <v>#REF!</v>
      </c>
      <c r="L39" s="59" t="str">
        <f>IF(AND('Mapa final'!$AB$29="Baja",'Mapa final'!$AD$29="Leve"),CONCATENATE("R4C",'Mapa final'!$R$29),"")</f>
        <v/>
      </c>
      <c r="M39" s="59" t="str">
        <f>IF(AND('Mapa final'!$AB$30="Baja",'Mapa final'!$AD$30="Leve"),CONCATENATE("R4C",'Mapa final'!$R$30),"")</f>
        <v/>
      </c>
      <c r="N39" s="59" t="str">
        <f>IF(AND('Mapa final'!$AB$31="Baja",'Mapa final'!$AD$31="Leve"),CONCATENATE("R4C",'Mapa final'!$R$31),"")</f>
        <v/>
      </c>
      <c r="O39" s="60" t="str">
        <f>IF(AND('Mapa final'!$AB$32="Baja",'Mapa final'!$AD$32="Leve"),CONCATENATE("R4C",'Mapa final'!$R$32),"")</f>
        <v/>
      </c>
      <c r="P39" s="49" t="str">
        <f>IF(AND('Mapa final'!$AB$28="Baja",'Mapa final'!$AD$28="Menor"),CONCATENATE("R4C",'Mapa final'!$R$28),"")</f>
        <v/>
      </c>
      <c r="Q39" s="50" t="e">
        <f>IF(AND('Mapa final'!#REF!="Baja",'Mapa final'!#REF!="Menor"),CONCATENATE("R4C",'Mapa final'!#REF!),"")</f>
        <v>#REF!</v>
      </c>
      <c r="R39" s="50" t="str">
        <f>IF(AND('Mapa final'!$AB$29="Baja",'Mapa final'!$AD$29="Menor"),CONCATENATE("R4C",'Mapa final'!$R$29),"")</f>
        <v/>
      </c>
      <c r="S39" s="50" t="str">
        <f>IF(AND('Mapa final'!$AB$30="Baja",'Mapa final'!$AD$30="Menor"),CONCATENATE("R4C",'Mapa final'!$R$30),"")</f>
        <v/>
      </c>
      <c r="T39" s="50" t="str">
        <f>IF(AND('Mapa final'!$AB$31="Baja",'Mapa final'!$AD$31="Menor"),CONCATENATE("R4C",'Mapa final'!$R$31),"")</f>
        <v/>
      </c>
      <c r="U39" s="51" t="str">
        <f>IF(AND('Mapa final'!$AB$32="Baja",'Mapa final'!$AD$32="Menor"),CONCATENATE("R4C",'Mapa final'!$R$32),"")</f>
        <v/>
      </c>
      <c r="V39" s="49" t="str">
        <f>IF(AND('Mapa final'!$AB$28="Baja",'Mapa final'!$AD$28="Moderado"),CONCATENATE("R4C",'Mapa final'!$R$28),"")</f>
        <v/>
      </c>
      <c r="W39" s="50" t="e">
        <f>IF(AND('Mapa final'!#REF!="Baja",'Mapa final'!#REF!="Moderado"),CONCATENATE("R4C",'Mapa final'!#REF!),"")</f>
        <v>#REF!</v>
      </c>
      <c r="X39" s="50" t="str">
        <f>IF(AND('Mapa final'!$AB$29="Baja",'Mapa final'!$AD$29="Moderado"),CONCATENATE("R4C",'Mapa final'!$R$29),"")</f>
        <v/>
      </c>
      <c r="Y39" s="50" t="str">
        <f>IF(AND('Mapa final'!$AB$30="Baja",'Mapa final'!$AD$30="Moderado"),CONCATENATE("R4C",'Mapa final'!$R$30),"")</f>
        <v/>
      </c>
      <c r="Z39" s="50" t="str">
        <f>IF(AND('Mapa final'!$AB$31="Baja",'Mapa final'!$AD$31="Moderado"),CONCATENATE("R4C",'Mapa final'!$R$31),"")</f>
        <v/>
      </c>
      <c r="AA39" s="51" t="str">
        <f>IF(AND('Mapa final'!$AB$32="Baja",'Mapa final'!$AD$32="Moderado"),CONCATENATE("R4C",'Mapa final'!$R$32),"")</f>
        <v/>
      </c>
      <c r="AB39" s="34" t="str">
        <f>IF(AND('Mapa final'!$AB$28="Baja",'Mapa final'!$AD$28="Mayor"),CONCATENATE("R4C",'Mapa final'!$R$28),"")</f>
        <v/>
      </c>
      <c r="AC39" s="35" t="e">
        <f>IF(AND('Mapa final'!#REF!="Baja",'Mapa final'!#REF!="Mayor"),CONCATENATE("R4C",'Mapa final'!#REF!),"")</f>
        <v>#REF!</v>
      </c>
      <c r="AD39" s="35" t="str">
        <f>IF(AND('Mapa final'!$AB$29="Baja",'Mapa final'!$AD$29="Mayor"),CONCATENATE("R4C",'Mapa final'!$R$29),"")</f>
        <v/>
      </c>
      <c r="AE39" s="35" t="str">
        <f>IF(AND('Mapa final'!$AB$30="Baja",'Mapa final'!$AD$30="Mayor"),CONCATENATE("R4C",'Mapa final'!$R$30),"")</f>
        <v/>
      </c>
      <c r="AF39" s="35" t="str">
        <f>IF(AND('Mapa final'!$AB$31="Baja",'Mapa final'!$AD$31="Mayor"),CONCATENATE("R4C",'Mapa final'!$R$31),"")</f>
        <v/>
      </c>
      <c r="AG39" s="36" t="str">
        <f>IF(AND('Mapa final'!$AB$32="Baja",'Mapa final'!$AD$32="Mayor"),CONCATENATE("R4C",'Mapa final'!$R$32),"")</f>
        <v/>
      </c>
      <c r="AH39" s="37" t="str">
        <f>IF(AND('Mapa final'!$AB$28="Baja",'Mapa final'!$AD$28="Catastrófico"),CONCATENATE("R4C",'Mapa final'!$R$28),"")</f>
        <v/>
      </c>
      <c r="AI39" s="38" t="e">
        <f>IF(AND('Mapa final'!#REF!="Baja",'Mapa final'!#REF!="Catastrófico"),CONCATENATE("R4C",'Mapa final'!#REF!),"")</f>
        <v>#REF!</v>
      </c>
      <c r="AJ39" s="38" t="str">
        <f>IF(AND('Mapa final'!$AB$29="Baja",'Mapa final'!$AD$29="Catastrófico"),CONCATENATE("R4C",'Mapa final'!$R$29),"")</f>
        <v/>
      </c>
      <c r="AK39" s="38" t="str">
        <f>IF(AND('Mapa final'!$AB$30="Baja",'Mapa final'!$AD$30="Catastrófico"),CONCATENATE("R4C",'Mapa final'!$R$30),"")</f>
        <v/>
      </c>
      <c r="AL39" s="38" t="str">
        <f>IF(AND('Mapa final'!$AB$31="Baja",'Mapa final'!$AD$31="Catastrófico"),CONCATENATE("R4C",'Mapa final'!$R$31),"")</f>
        <v/>
      </c>
      <c r="AM39" s="39" t="str">
        <f>IF(AND('Mapa final'!$AB$32="Baja",'Mapa final'!$AD$32="Catastrófico"),CONCATENATE("R4C",'Mapa final'!$R$32),"")</f>
        <v/>
      </c>
      <c r="AN39" s="65"/>
      <c r="AO39" s="832"/>
      <c r="AP39" s="833"/>
      <c r="AQ39" s="833"/>
      <c r="AR39" s="833"/>
      <c r="AS39" s="833"/>
      <c r="AT39" s="834"/>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0" ht="15" customHeight="1" x14ac:dyDescent="0.3">
      <c r="A40" s="65"/>
      <c r="B40" s="713"/>
      <c r="C40" s="713"/>
      <c r="D40" s="714"/>
      <c r="E40" s="812"/>
      <c r="F40" s="811"/>
      <c r="G40" s="811"/>
      <c r="H40" s="811"/>
      <c r="I40" s="811"/>
      <c r="J40" s="58" t="str">
        <f>IF(AND('Mapa final'!$AB$33="Baja",'Mapa final'!$AD$33="Leve"),CONCATENATE("R5C",'Mapa final'!$R$33),"")</f>
        <v/>
      </c>
      <c r="K40" s="59" t="str">
        <f>IF(AND('Mapa final'!$AB$34="Baja",'Mapa final'!$AD$34="Leve"),CONCATENATE("R5C",'Mapa final'!$R$34),"")</f>
        <v/>
      </c>
      <c r="L40" s="59" t="str">
        <f>IF(AND('Mapa final'!$AB$35="Baja",'Mapa final'!$AD$35="Leve"),CONCATENATE("R5C",'Mapa final'!$R$35),"")</f>
        <v/>
      </c>
      <c r="M40" s="59" t="str">
        <f>IF(AND('Mapa final'!$AB$36="Baja",'Mapa final'!$AD$36="Leve"),CONCATENATE("R5C",'Mapa final'!$R$36),"")</f>
        <v/>
      </c>
      <c r="N40" s="59" t="str">
        <f>IF(AND('Mapa final'!$AB$37="Baja",'Mapa final'!$AD$37="Leve"),CONCATENATE("R5C",'Mapa final'!$R$37),"")</f>
        <v/>
      </c>
      <c r="O40" s="60" t="str">
        <f>IF(AND('Mapa final'!$AB$38="Baja",'Mapa final'!$AD$38="Leve"),CONCATENATE("R5C",'Mapa final'!$R$38),"")</f>
        <v/>
      </c>
      <c r="P40" s="49" t="str">
        <f>IF(AND('Mapa final'!$AB$33="Baja",'Mapa final'!$AD$33="Menor"),CONCATENATE("R5C",'Mapa final'!$R$33),"")</f>
        <v>R5C1</v>
      </c>
      <c r="Q40" s="50" t="str">
        <f>IF(AND('Mapa final'!$AB$34="Baja",'Mapa final'!$AD$34="Menor"),CONCATENATE("R5C",'Mapa final'!$R$34),"")</f>
        <v>R5C2</v>
      </c>
      <c r="R40" s="50" t="str">
        <f>IF(AND('Mapa final'!$AB$35="Baja",'Mapa final'!$AD$35="Menor"),CONCATENATE("R5C",'Mapa final'!$R$35),"")</f>
        <v/>
      </c>
      <c r="S40" s="50" t="str">
        <f>IF(AND('Mapa final'!$AB$36="Baja",'Mapa final'!$AD$36="Menor"),CONCATENATE("R5C",'Mapa final'!$R$36),"")</f>
        <v/>
      </c>
      <c r="T40" s="50" t="str">
        <f>IF(AND('Mapa final'!$AB$37="Baja",'Mapa final'!$AD$37="Menor"),CONCATENATE("R5C",'Mapa final'!$R$37),"")</f>
        <v/>
      </c>
      <c r="U40" s="51" t="str">
        <f>IF(AND('Mapa final'!$AB$38="Baja",'Mapa final'!$AD$38="Menor"),CONCATENATE("R5C",'Mapa final'!$R$38),"")</f>
        <v/>
      </c>
      <c r="V40" s="49" t="str">
        <f>IF(AND('Mapa final'!$AB$33="Baja",'Mapa final'!$AD$33="Moderado"),CONCATENATE("R5C",'Mapa final'!$R$33),"")</f>
        <v/>
      </c>
      <c r="W40" s="50" t="str">
        <f>IF(AND('Mapa final'!$AB$34="Baja",'Mapa final'!$AD$34="Moderado"),CONCATENATE("R5C",'Mapa final'!$R$34),"")</f>
        <v/>
      </c>
      <c r="X40" s="50" t="str">
        <f>IF(AND('Mapa final'!$AB$35="Baja",'Mapa final'!$AD$35="Moderado"),CONCATENATE("R5C",'Mapa final'!$R$35),"")</f>
        <v/>
      </c>
      <c r="Y40" s="50" t="str">
        <f>IF(AND('Mapa final'!$AB$36="Baja",'Mapa final'!$AD$36="Moderado"),CONCATENATE("R5C",'Mapa final'!$R$36),"")</f>
        <v/>
      </c>
      <c r="Z40" s="50" t="str">
        <f>IF(AND('Mapa final'!$AB$37="Baja",'Mapa final'!$AD$37="Moderado"),CONCATENATE("R5C",'Mapa final'!$R$37),"")</f>
        <v/>
      </c>
      <c r="AA40" s="51" t="str">
        <f>IF(AND('Mapa final'!$AB$38="Baja",'Mapa final'!$AD$38="Moderado"),CONCATENATE("R5C",'Mapa final'!$R$38),"")</f>
        <v/>
      </c>
      <c r="AB40" s="34" t="str">
        <f>IF(AND('Mapa final'!$AB$33="Baja",'Mapa final'!$AD$33="Mayor"),CONCATENATE("R5C",'Mapa final'!$R$33),"")</f>
        <v/>
      </c>
      <c r="AC40" s="35" t="str">
        <f>IF(AND('Mapa final'!$AB$34="Baja",'Mapa final'!$AD$34="Mayor"),CONCATENATE("R5C",'Mapa final'!$R$34),"")</f>
        <v/>
      </c>
      <c r="AD40" s="35" t="str">
        <f>IF(AND('Mapa final'!$AB$35="Baja",'Mapa final'!$AD$35="Mayor"),CONCATENATE("R5C",'Mapa final'!$R$35),"")</f>
        <v/>
      </c>
      <c r="AE40" s="35" t="str">
        <f>IF(AND('Mapa final'!$AB$36="Baja",'Mapa final'!$AD$36="Mayor"),CONCATENATE("R5C",'Mapa final'!$R$36),"")</f>
        <v/>
      </c>
      <c r="AF40" s="35" t="str">
        <f>IF(AND('Mapa final'!$AB$37="Baja",'Mapa final'!$AD$37="Mayor"),CONCATENATE("R5C",'Mapa final'!$R$37),"")</f>
        <v/>
      </c>
      <c r="AG40" s="36" t="str">
        <f>IF(AND('Mapa final'!$AB$38="Baja",'Mapa final'!$AD$38="Mayor"),CONCATENATE("R5C",'Mapa final'!$R$38),"")</f>
        <v/>
      </c>
      <c r="AH40" s="37" t="str">
        <f>IF(AND('Mapa final'!$AB$33="Baja",'Mapa final'!$AD$33="Catastrófico"),CONCATENATE("R5C",'Mapa final'!$R$33),"")</f>
        <v/>
      </c>
      <c r="AI40" s="38" t="str">
        <f>IF(AND('Mapa final'!$AB$34="Baja",'Mapa final'!$AD$34="Catastrófico"),CONCATENATE("R5C",'Mapa final'!$R$34),"")</f>
        <v/>
      </c>
      <c r="AJ40" s="38" t="str">
        <f>IF(AND('Mapa final'!$AB$35="Baja",'Mapa final'!$AD$35="Catastrófico"),CONCATENATE("R5C",'Mapa final'!$R$35),"")</f>
        <v/>
      </c>
      <c r="AK40" s="38" t="str">
        <f>IF(AND('Mapa final'!$AB$36="Baja",'Mapa final'!$AD$36="Catastrófico"),CONCATENATE("R5C",'Mapa final'!$R$36),"")</f>
        <v/>
      </c>
      <c r="AL40" s="38" t="str">
        <f>IF(AND('Mapa final'!$AB$37="Baja",'Mapa final'!$AD$37="Catastrófico"),CONCATENATE("R5C",'Mapa final'!$R$37),"")</f>
        <v/>
      </c>
      <c r="AM40" s="39" t="str">
        <f>IF(AND('Mapa final'!$AB$38="Baja",'Mapa final'!$AD$38="Catastrófico"),CONCATENATE("R5C",'Mapa final'!$R$38),"")</f>
        <v/>
      </c>
      <c r="AN40" s="65"/>
      <c r="AO40" s="832"/>
      <c r="AP40" s="833"/>
      <c r="AQ40" s="833"/>
      <c r="AR40" s="833"/>
      <c r="AS40" s="833"/>
      <c r="AT40" s="834"/>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80" ht="15" customHeight="1" x14ac:dyDescent="0.3">
      <c r="A41" s="65"/>
      <c r="B41" s="713"/>
      <c r="C41" s="713"/>
      <c r="D41" s="714"/>
      <c r="E41" s="812"/>
      <c r="F41" s="811"/>
      <c r="G41" s="811"/>
      <c r="H41" s="811"/>
      <c r="I41" s="811"/>
      <c r="J41" s="58" t="str">
        <f>IF(AND('Mapa final'!$AB$39="Baja",'Mapa final'!$AD$39="Leve"),CONCATENATE("R6C",'Mapa final'!$R$39),"")</f>
        <v/>
      </c>
      <c r="K41" s="59" t="str">
        <f>IF(AND('Mapa final'!$AB$40="Baja",'Mapa final'!$AD$40="Leve"),CONCATENATE("R6C",'Mapa final'!$R$40),"")</f>
        <v/>
      </c>
      <c r="L41" s="59" t="str">
        <f>IF(AND('Mapa final'!$AB$41="Baja",'Mapa final'!$AD$41="Leve"),CONCATENATE("R6C",'Mapa final'!$R$41),"")</f>
        <v/>
      </c>
      <c r="M41" s="59" t="str">
        <f>IF(AND('Mapa final'!$AB$42="Baja",'Mapa final'!$AD$42="Leve"),CONCATENATE("R6C",'Mapa final'!$R$42),"")</f>
        <v/>
      </c>
      <c r="N41" s="59" t="str">
        <f>IF(AND('Mapa final'!$AB$43="Baja",'Mapa final'!$AD$43="Leve"),CONCATENATE("R6C",'Mapa final'!$R$43),"")</f>
        <v/>
      </c>
      <c r="O41" s="60" t="str">
        <f>IF(AND('Mapa final'!$AB$44="Baja",'Mapa final'!$AD$44="Leve"),CONCATENATE("R6C",'Mapa final'!$R$44),"")</f>
        <v/>
      </c>
      <c r="P41" s="49" t="str">
        <f>IF(AND('Mapa final'!$AB$39="Baja",'Mapa final'!$AD$39="Menor"),CONCATENATE("R6C",'Mapa final'!$R$39),"")</f>
        <v/>
      </c>
      <c r="Q41" s="50" t="str">
        <f>IF(AND('Mapa final'!$AB$40="Baja",'Mapa final'!$AD$40="Menor"),CONCATENATE("R6C",'Mapa final'!$R$40),"")</f>
        <v/>
      </c>
      <c r="R41" s="50" t="str">
        <f>IF(AND('Mapa final'!$AB$41="Baja",'Mapa final'!$AD$41="Menor"),CONCATENATE("R6C",'Mapa final'!$R$41),"")</f>
        <v/>
      </c>
      <c r="S41" s="50" t="str">
        <f>IF(AND('Mapa final'!$AB$42="Baja",'Mapa final'!$AD$42="Menor"),CONCATENATE("R6C",'Mapa final'!$R$42),"")</f>
        <v/>
      </c>
      <c r="T41" s="50" t="str">
        <f>IF(AND('Mapa final'!$AB$43="Baja",'Mapa final'!$AD$43="Menor"),CONCATENATE("R6C",'Mapa final'!$R$43),"")</f>
        <v/>
      </c>
      <c r="U41" s="51" t="str">
        <f>IF(AND('Mapa final'!$AB$44="Baja",'Mapa final'!$AD$44="Menor"),CONCATENATE("R6C",'Mapa final'!$R$44),"")</f>
        <v/>
      </c>
      <c r="V41" s="49" t="str">
        <f>IF(AND('Mapa final'!$AB$39="Baja",'Mapa final'!$AD$39="Moderado"),CONCATENATE("R6C",'Mapa final'!$R$39),"")</f>
        <v/>
      </c>
      <c r="W41" s="50" t="str">
        <f>IF(AND('Mapa final'!$AB$40="Baja",'Mapa final'!$AD$40="Moderado"),CONCATENATE("R6C",'Mapa final'!$R$40),"")</f>
        <v/>
      </c>
      <c r="X41" s="50" t="str">
        <f>IF(AND('Mapa final'!$AB$41="Baja",'Mapa final'!$AD$41="Moderado"),CONCATENATE("R6C",'Mapa final'!$R$41),"")</f>
        <v/>
      </c>
      <c r="Y41" s="50" t="str">
        <f>IF(AND('Mapa final'!$AB$42="Baja",'Mapa final'!$AD$42="Moderado"),CONCATENATE("R6C",'Mapa final'!$R$42),"")</f>
        <v/>
      </c>
      <c r="Z41" s="50" t="str">
        <f>IF(AND('Mapa final'!$AB$43="Baja",'Mapa final'!$AD$43="Moderado"),CONCATENATE("R6C",'Mapa final'!$R$43),"")</f>
        <v/>
      </c>
      <c r="AA41" s="51" t="str">
        <f>IF(AND('Mapa final'!$AB$44="Baja",'Mapa final'!$AD$44="Moderado"),CONCATENATE("R6C",'Mapa final'!$R$44),"")</f>
        <v/>
      </c>
      <c r="AB41" s="34" t="str">
        <f>IF(AND('Mapa final'!$AB$39="Baja",'Mapa final'!$AD$39="Mayor"),CONCATENATE("R6C",'Mapa final'!$R$39),"")</f>
        <v/>
      </c>
      <c r="AC41" s="35" t="str">
        <f>IF(AND('Mapa final'!$AB$40="Baja",'Mapa final'!$AD$40="Mayor"),CONCATENATE("R6C",'Mapa final'!$R$40),"")</f>
        <v/>
      </c>
      <c r="AD41" s="35" t="str">
        <f>IF(AND('Mapa final'!$AB$41="Baja",'Mapa final'!$AD$41="Mayor"),CONCATENATE("R6C",'Mapa final'!$R$41),"")</f>
        <v/>
      </c>
      <c r="AE41" s="35" t="str">
        <f>IF(AND('Mapa final'!$AB$42="Baja",'Mapa final'!$AD$42="Mayor"),CONCATENATE("R6C",'Mapa final'!$R$42),"")</f>
        <v/>
      </c>
      <c r="AF41" s="35" t="str">
        <f>IF(AND('Mapa final'!$AB$43="Baja",'Mapa final'!$AD$43="Mayor"),CONCATENATE("R6C",'Mapa final'!$R$43),"")</f>
        <v/>
      </c>
      <c r="AG41" s="36" t="str">
        <f>IF(AND('Mapa final'!$AB$44="Baja",'Mapa final'!$AD$44="Mayor"),CONCATENATE("R6C",'Mapa final'!$R$44),"")</f>
        <v/>
      </c>
      <c r="AH41" s="37" t="str">
        <f>IF(AND('Mapa final'!$AB$39="Baja",'Mapa final'!$AD$39="Catastrófico"),CONCATENATE("R6C",'Mapa final'!$R$39),"")</f>
        <v/>
      </c>
      <c r="AI41" s="38" t="str">
        <f>IF(AND('Mapa final'!$AB$40="Baja",'Mapa final'!$AD$40="Catastrófico"),CONCATENATE("R6C",'Mapa final'!$R$40),"")</f>
        <v/>
      </c>
      <c r="AJ41" s="38" t="str">
        <f>IF(AND('Mapa final'!$AB$41="Baja",'Mapa final'!$AD$41="Catastrófico"),CONCATENATE("R6C",'Mapa final'!$R$41),"")</f>
        <v/>
      </c>
      <c r="AK41" s="38" t="str">
        <f>IF(AND('Mapa final'!$AB$42="Baja",'Mapa final'!$AD$42="Catastrófico"),CONCATENATE("R6C",'Mapa final'!$R$42),"")</f>
        <v/>
      </c>
      <c r="AL41" s="38" t="str">
        <f>IF(AND('Mapa final'!$AB$43="Baja",'Mapa final'!$AD$43="Catastrófico"),CONCATENATE("R6C",'Mapa final'!$R$43),"")</f>
        <v/>
      </c>
      <c r="AM41" s="39" t="str">
        <f>IF(AND('Mapa final'!$AB$44="Baja",'Mapa final'!$AD$44="Catastrófico"),CONCATENATE("R6C",'Mapa final'!$R$44),"")</f>
        <v/>
      </c>
      <c r="AN41" s="65"/>
      <c r="AO41" s="832"/>
      <c r="AP41" s="833"/>
      <c r="AQ41" s="833"/>
      <c r="AR41" s="833"/>
      <c r="AS41" s="833"/>
      <c r="AT41" s="834"/>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80" ht="15" customHeight="1" x14ac:dyDescent="0.3">
      <c r="A42" s="65"/>
      <c r="B42" s="713"/>
      <c r="C42" s="713"/>
      <c r="D42" s="714"/>
      <c r="E42" s="812"/>
      <c r="F42" s="811"/>
      <c r="G42" s="811"/>
      <c r="H42" s="811"/>
      <c r="I42" s="811"/>
      <c r="J42" s="58" t="str">
        <f>IF(AND('Mapa final'!$AB$45="Baja",'Mapa final'!$AD$45="Leve"),CONCATENATE("R7C",'Mapa final'!$R$45),"")</f>
        <v/>
      </c>
      <c r="K42" s="59" t="str">
        <f>IF(AND('Mapa final'!$AB$46="Baja",'Mapa final'!$AD$46="Leve"),CONCATENATE("R7C",'Mapa final'!$R$46),"")</f>
        <v/>
      </c>
      <c r="L42" s="59" t="str">
        <f>IF(AND('Mapa final'!$AB$47="Baja",'Mapa final'!$AD$47="Leve"),CONCATENATE("R7C",'Mapa final'!$R$47),"")</f>
        <v/>
      </c>
      <c r="M42" s="59" t="str">
        <f>IF(AND('Mapa final'!$AB$48="Baja",'Mapa final'!$AD$48="Leve"),CONCATENATE("R7C",'Mapa final'!$R$48),"")</f>
        <v/>
      </c>
      <c r="N42" s="59" t="str">
        <f>IF(AND('Mapa final'!$AB$49="Baja",'Mapa final'!$AD$49="Leve"),CONCATENATE("R7C",'Mapa final'!$R$49),"")</f>
        <v/>
      </c>
      <c r="O42" s="60" t="str">
        <f>IF(AND('Mapa final'!$AB$50="Baja",'Mapa final'!$AD$50="Leve"),CONCATENATE("R7C",'Mapa final'!$R$50),"")</f>
        <v/>
      </c>
      <c r="P42" s="49" t="str">
        <f>IF(AND('Mapa final'!$AB$45="Baja",'Mapa final'!$AD$45="Menor"),CONCATENATE("R7C",'Mapa final'!$R$45),"")</f>
        <v/>
      </c>
      <c r="Q42" s="50" t="str">
        <f>IF(AND('Mapa final'!$AB$46="Baja",'Mapa final'!$AD$46="Menor"),CONCATENATE("R7C",'Mapa final'!$R$46),"")</f>
        <v/>
      </c>
      <c r="R42" s="50" t="str">
        <f>IF(AND('Mapa final'!$AB$47="Baja",'Mapa final'!$AD$47="Menor"),CONCATENATE("R7C",'Mapa final'!$R$47),"")</f>
        <v/>
      </c>
      <c r="S42" s="50" t="str">
        <f>IF(AND('Mapa final'!$AB$48="Baja",'Mapa final'!$AD$48="Menor"),CONCATENATE("R7C",'Mapa final'!$R$48),"")</f>
        <v/>
      </c>
      <c r="T42" s="50" t="str">
        <f>IF(AND('Mapa final'!$AB$49="Baja",'Mapa final'!$AD$49="Menor"),CONCATENATE("R7C",'Mapa final'!$R$49),"")</f>
        <v/>
      </c>
      <c r="U42" s="51" t="str">
        <f>IF(AND('Mapa final'!$AB$50="Baja",'Mapa final'!$AD$50="Menor"),CONCATENATE("R7C",'Mapa final'!$R$50),"")</f>
        <v/>
      </c>
      <c r="V42" s="49" t="str">
        <f>IF(AND('Mapa final'!$AB$45="Baja",'Mapa final'!$AD$45="Moderado"),CONCATENATE("R7C",'Mapa final'!$R$45),"")</f>
        <v/>
      </c>
      <c r="W42" s="50" t="str">
        <f>IF(AND('Mapa final'!$AB$46="Baja",'Mapa final'!$AD$46="Moderado"),CONCATENATE("R7C",'Mapa final'!$R$46),"")</f>
        <v/>
      </c>
      <c r="X42" s="50" t="str">
        <f>IF(AND('Mapa final'!$AB$47="Baja",'Mapa final'!$AD$47="Moderado"),CONCATENATE("R7C",'Mapa final'!$R$47),"")</f>
        <v/>
      </c>
      <c r="Y42" s="50" t="str">
        <f>IF(AND('Mapa final'!$AB$48="Baja",'Mapa final'!$AD$48="Moderado"),CONCATENATE("R7C",'Mapa final'!$R$48),"")</f>
        <v/>
      </c>
      <c r="Z42" s="50" t="str">
        <f>IF(AND('Mapa final'!$AB$49="Baja",'Mapa final'!$AD$49="Moderado"),CONCATENATE("R7C",'Mapa final'!$R$49),"")</f>
        <v/>
      </c>
      <c r="AA42" s="51" t="str">
        <f>IF(AND('Mapa final'!$AB$50="Baja",'Mapa final'!$AD$50="Moderado"),CONCATENATE("R7C",'Mapa final'!$R$50),"")</f>
        <v/>
      </c>
      <c r="AB42" s="34" t="str">
        <f>IF(AND('Mapa final'!$AB$45="Baja",'Mapa final'!$AD$45="Mayor"),CONCATENATE("R7C",'Mapa final'!$R$45),"")</f>
        <v/>
      </c>
      <c r="AC42" s="35" t="str">
        <f>IF(AND('Mapa final'!$AB$46="Baja",'Mapa final'!$AD$46="Mayor"),CONCATENATE("R7C",'Mapa final'!$R$46),"")</f>
        <v/>
      </c>
      <c r="AD42" s="35" t="str">
        <f>IF(AND('Mapa final'!$AB$47="Baja",'Mapa final'!$AD$47="Mayor"),CONCATENATE("R7C",'Mapa final'!$R$47),"")</f>
        <v/>
      </c>
      <c r="AE42" s="35" t="str">
        <f>IF(AND('Mapa final'!$AB$48="Baja",'Mapa final'!$AD$48="Mayor"),CONCATENATE("R7C",'Mapa final'!$R$48),"")</f>
        <v/>
      </c>
      <c r="AF42" s="35" t="str">
        <f>IF(AND('Mapa final'!$AB$49="Baja",'Mapa final'!$AD$49="Mayor"),CONCATENATE("R7C",'Mapa final'!$R$49),"")</f>
        <v/>
      </c>
      <c r="AG42" s="36" t="str">
        <f>IF(AND('Mapa final'!$AB$50="Baja",'Mapa final'!$AD$50="Mayor"),CONCATENATE("R7C",'Mapa final'!$R$50),"")</f>
        <v/>
      </c>
      <c r="AH42" s="37" t="str">
        <f>IF(AND('Mapa final'!$AB$45="Baja",'Mapa final'!$AD$45="Catastrófico"),CONCATENATE("R7C",'Mapa final'!$R$45),"")</f>
        <v/>
      </c>
      <c r="AI42" s="38" t="str">
        <f>IF(AND('Mapa final'!$AB$46="Baja",'Mapa final'!$AD$46="Catastrófico"),CONCATENATE("R7C",'Mapa final'!$R$46),"")</f>
        <v/>
      </c>
      <c r="AJ42" s="38" t="str">
        <f>IF(AND('Mapa final'!$AB$47="Baja",'Mapa final'!$AD$47="Catastrófico"),CONCATENATE("R7C",'Mapa final'!$R$47),"")</f>
        <v/>
      </c>
      <c r="AK42" s="38" t="str">
        <f>IF(AND('Mapa final'!$AB$48="Baja",'Mapa final'!$AD$48="Catastrófico"),CONCATENATE("R7C",'Mapa final'!$R$48),"")</f>
        <v/>
      </c>
      <c r="AL42" s="38" t="str">
        <f>IF(AND('Mapa final'!$AB$49="Baja",'Mapa final'!$AD$49="Catastrófico"),CONCATENATE("R7C",'Mapa final'!$R$49),"")</f>
        <v/>
      </c>
      <c r="AM42" s="39" t="str">
        <f>IF(AND('Mapa final'!$AB$50="Baja",'Mapa final'!$AD$50="Catastrófico"),CONCATENATE("R7C",'Mapa final'!$R$50),"")</f>
        <v/>
      </c>
      <c r="AN42" s="65"/>
      <c r="AO42" s="832"/>
      <c r="AP42" s="833"/>
      <c r="AQ42" s="833"/>
      <c r="AR42" s="833"/>
      <c r="AS42" s="833"/>
      <c r="AT42" s="834"/>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80" ht="15" customHeight="1" x14ac:dyDescent="0.3">
      <c r="A43" s="65"/>
      <c r="B43" s="713"/>
      <c r="C43" s="713"/>
      <c r="D43" s="714"/>
      <c r="E43" s="812"/>
      <c r="F43" s="811"/>
      <c r="G43" s="811"/>
      <c r="H43" s="811"/>
      <c r="I43" s="811"/>
      <c r="J43" s="58" t="str">
        <f>IF(AND('Mapa final'!$AB$51="Baja",'Mapa final'!$AD$51="Leve"),CONCATENATE("R8C",'Mapa final'!$R$51),"")</f>
        <v/>
      </c>
      <c r="K43" s="59" t="str">
        <f>IF(AND('Mapa final'!$AB$52="Baja",'Mapa final'!$AD$52="Leve"),CONCATENATE("R8C",'Mapa final'!$R$52),"")</f>
        <v/>
      </c>
      <c r="L43" s="59" t="str">
        <f>IF(AND('Mapa final'!$AB$53="Baja",'Mapa final'!$AD$53="Leve"),CONCATENATE("R8C",'Mapa final'!$R$53),"")</f>
        <v/>
      </c>
      <c r="M43" s="59" t="str">
        <f>IF(AND('Mapa final'!$AB$54="Baja",'Mapa final'!$AD$54="Leve"),CONCATENATE("R8C",'Mapa final'!$R$54),"")</f>
        <v/>
      </c>
      <c r="N43" s="59" t="str">
        <f>IF(AND('Mapa final'!$AB$55="Baja",'Mapa final'!$AD$55="Leve"),CONCATENATE("R8C",'Mapa final'!$R$55),"")</f>
        <v/>
      </c>
      <c r="O43" s="60" t="str">
        <f>IF(AND('Mapa final'!$AB$56="Baja",'Mapa final'!$AD$56="Leve"),CONCATENATE("R8C",'Mapa final'!$R$56),"")</f>
        <v/>
      </c>
      <c r="P43" s="49" t="str">
        <f>IF(AND('Mapa final'!$AB$51="Baja",'Mapa final'!$AD$51="Menor"),CONCATENATE("R8C",'Mapa final'!$R$51),"")</f>
        <v/>
      </c>
      <c r="Q43" s="50" t="str">
        <f>IF(AND('Mapa final'!$AB$52="Baja",'Mapa final'!$AD$52="Menor"),CONCATENATE("R8C",'Mapa final'!$R$52),"")</f>
        <v/>
      </c>
      <c r="R43" s="50" t="str">
        <f>IF(AND('Mapa final'!$AB$53="Baja",'Mapa final'!$AD$53="Menor"),CONCATENATE("R8C",'Mapa final'!$R$53),"")</f>
        <v/>
      </c>
      <c r="S43" s="50" t="str">
        <f>IF(AND('Mapa final'!$AB$54="Baja",'Mapa final'!$AD$54="Menor"),CONCATENATE("R8C",'Mapa final'!$R$54),"")</f>
        <v/>
      </c>
      <c r="T43" s="50" t="str">
        <f>IF(AND('Mapa final'!$AB$55="Baja",'Mapa final'!$AD$55="Menor"),CONCATENATE("R8C",'Mapa final'!$R$55),"")</f>
        <v/>
      </c>
      <c r="U43" s="51" t="str">
        <f>IF(AND('Mapa final'!$AB$56="Baja",'Mapa final'!$AD$56="Menor"),CONCATENATE("R8C",'Mapa final'!$R$56),"")</f>
        <v/>
      </c>
      <c r="V43" s="49" t="str">
        <f>IF(AND('Mapa final'!$AB$51="Baja",'Mapa final'!$AD$51="Moderado"),CONCATENATE("R8C",'Mapa final'!$R$51),"")</f>
        <v/>
      </c>
      <c r="W43" s="50" t="str">
        <f>IF(AND('Mapa final'!$AB$52="Baja",'Mapa final'!$AD$52="Moderado"),CONCATENATE("R8C",'Mapa final'!$R$52),"")</f>
        <v/>
      </c>
      <c r="X43" s="50" t="str">
        <f>IF(AND('Mapa final'!$AB$53="Baja",'Mapa final'!$AD$53="Moderado"),CONCATENATE("R8C",'Mapa final'!$R$53),"")</f>
        <v/>
      </c>
      <c r="Y43" s="50" t="str">
        <f>IF(AND('Mapa final'!$AB$54="Baja",'Mapa final'!$AD$54="Moderado"),CONCATENATE("R8C",'Mapa final'!$R$54),"")</f>
        <v/>
      </c>
      <c r="Z43" s="50" t="str">
        <f>IF(AND('Mapa final'!$AB$55="Baja",'Mapa final'!$AD$55="Moderado"),CONCATENATE("R8C",'Mapa final'!$R$55),"")</f>
        <v/>
      </c>
      <c r="AA43" s="51" t="str">
        <f>IF(AND('Mapa final'!$AB$56="Baja",'Mapa final'!$AD$56="Moderado"),CONCATENATE("R8C",'Mapa final'!$R$56),"")</f>
        <v/>
      </c>
      <c r="AB43" s="34" t="str">
        <f>IF(AND('Mapa final'!$AB$51="Baja",'Mapa final'!$AD$51="Mayor"),CONCATENATE("R8C",'Mapa final'!$R$51),"")</f>
        <v/>
      </c>
      <c r="AC43" s="35" t="str">
        <f>IF(AND('Mapa final'!$AB$52="Baja",'Mapa final'!$AD$52="Mayor"),CONCATENATE("R8C",'Mapa final'!$R$52),"")</f>
        <v/>
      </c>
      <c r="AD43" s="35" t="str">
        <f>IF(AND('Mapa final'!$AB$53="Baja",'Mapa final'!$AD$53="Mayor"),CONCATENATE("R8C",'Mapa final'!$R$53),"")</f>
        <v/>
      </c>
      <c r="AE43" s="35" t="str">
        <f>IF(AND('Mapa final'!$AB$54="Baja",'Mapa final'!$AD$54="Mayor"),CONCATENATE("R8C",'Mapa final'!$R$54),"")</f>
        <v/>
      </c>
      <c r="AF43" s="35" t="str">
        <f>IF(AND('Mapa final'!$AB$55="Baja",'Mapa final'!$AD$55="Mayor"),CONCATENATE("R8C",'Mapa final'!$R$55),"")</f>
        <v/>
      </c>
      <c r="AG43" s="36" t="str">
        <f>IF(AND('Mapa final'!$AB$56="Baja",'Mapa final'!$AD$56="Mayor"),CONCATENATE("R8C",'Mapa final'!$R$56),"")</f>
        <v/>
      </c>
      <c r="AH43" s="37" t="str">
        <f>IF(AND('Mapa final'!$AB$51="Baja",'Mapa final'!$AD$51="Catastrófico"),CONCATENATE("R8C",'Mapa final'!$R$51),"")</f>
        <v/>
      </c>
      <c r="AI43" s="38" t="str">
        <f>IF(AND('Mapa final'!$AB$52="Baja",'Mapa final'!$AD$52="Catastrófico"),CONCATENATE("R8C",'Mapa final'!$R$52),"")</f>
        <v/>
      </c>
      <c r="AJ43" s="38" t="str">
        <f>IF(AND('Mapa final'!$AB$53="Baja",'Mapa final'!$AD$53="Catastrófico"),CONCATENATE("R8C",'Mapa final'!$R$53),"")</f>
        <v/>
      </c>
      <c r="AK43" s="38" t="str">
        <f>IF(AND('Mapa final'!$AB$54="Baja",'Mapa final'!$AD$54="Catastrófico"),CONCATENATE("R8C",'Mapa final'!$R$54),"")</f>
        <v/>
      </c>
      <c r="AL43" s="38" t="str">
        <f>IF(AND('Mapa final'!$AB$55="Baja",'Mapa final'!$AD$55="Catastrófico"),CONCATENATE("R8C",'Mapa final'!$R$55),"")</f>
        <v/>
      </c>
      <c r="AM43" s="39" t="str">
        <f>IF(AND('Mapa final'!$AB$56="Baja",'Mapa final'!$AD$56="Catastrófico"),CONCATENATE("R8C",'Mapa final'!$R$56),"")</f>
        <v/>
      </c>
      <c r="AN43" s="65"/>
      <c r="AO43" s="832"/>
      <c r="AP43" s="833"/>
      <c r="AQ43" s="833"/>
      <c r="AR43" s="833"/>
      <c r="AS43" s="833"/>
      <c r="AT43" s="834"/>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80" ht="15" customHeight="1" x14ac:dyDescent="0.3">
      <c r="A44" s="65"/>
      <c r="B44" s="713"/>
      <c r="C44" s="713"/>
      <c r="D44" s="714"/>
      <c r="E44" s="812"/>
      <c r="F44" s="811"/>
      <c r="G44" s="811"/>
      <c r="H44" s="811"/>
      <c r="I44" s="811"/>
      <c r="J44" s="58" t="str">
        <f>IF(AND('Mapa final'!$AB$57="Baja",'Mapa final'!$AD$57="Leve"),CONCATENATE("R9C",'Mapa final'!$R$57),"")</f>
        <v/>
      </c>
      <c r="K44" s="59" t="str">
        <f>IF(AND('Mapa final'!$AB$58="Baja",'Mapa final'!$AD$58="Leve"),CONCATENATE("R9C",'Mapa final'!$R$58),"")</f>
        <v/>
      </c>
      <c r="L44" s="59" t="str">
        <f>IF(AND('Mapa final'!$AB$59="Baja",'Mapa final'!$AD$59="Leve"),CONCATENATE("R9C",'Mapa final'!$R$59),"")</f>
        <v/>
      </c>
      <c r="M44" s="59" t="str">
        <f>IF(AND('Mapa final'!$AB$60="Baja",'Mapa final'!$AD$60="Leve"),CONCATENATE("R9C",'Mapa final'!$R$60),"")</f>
        <v/>
      </c>
      <c r="N44" s="59" t="str">
        <f>IF(AND('Mapa final'!$AB$61="Baja",'Mapa final'!$AD$61="Leve"),CONCATENATE("R9C",'Mapa final'!$R$61),"")</f>
        <v/>
      </c>
      <c r="O44" s="60" t="str">
        <f>IF(AND('Mapa final'!$AB$62="Baja",'Mapa final'!$AD$62="Leve"),CONCATENATE("R9C",'Mapa final'!$R$62),"")</f>
        <v/>
      </c>
      <c r="P44" s="49" t="str">
        <f>IF(AND('Mapa final'!$AB$57="Baja",'Mapa final'!$AD$57="Menor"),CONCATENATE("R9C",'Mapa final'!$R$57),"")</f>
        <v/>
      </c>
      <c r="Q44" s="50" t="str">
        <f>IF(AND('Mapa final'!$AB$58="Baja",'Mapa final'!$AD$58="Menor"),CONCATENATE("R9C",'Mapa final'!$R$58),"")</f>
        <v/>
      </c>
      <c r="R44" s="50" t="str">
        <f>IF(AND('Mapa final'!$AB$59="Baja",'Mapa final'!$AD$59="Menor"),CONCATENATE("R9C",'Mapa final'!$R$59),"")</f>
        <v/>
      </c>
      <c r="S44" s="50" t="str">
        <f>IF(AND('Mapa final'!$AB$60="Baja",'Mapa final'!$AD$60="Menor"),CONCATENATE("R9C",'Mapa final'!$R$60),"")</f>
        <v/>
      </c>
      <c r="T44" s="50" t="str">
        <f>IF(AND('Mapa final'!$AB$61="Baja",'Mapa final'!$AD$61="Menor"),CONCATENATE("R9C",'Mapa final'!$R$61),"")</f>
        <v/>
      </c>
      <c r="U44" s="51" t="str">
        <f>IF(AND('Mapa final'!$AB$62="Baja",'Mapa final'!$AD$62="Menor"),CONCATENATE("R9C",'Mapa final'!$R$62),"")</f>
        <v/>
      </c>
      <c r="V44" s="49" t="str">
        <f>IF(AND('Mapa final'!$AB$57="Baja",'Mapa final'!$AD$57="Moderado"),CONCATENATE("R9C",'Mapa final'!$R$57),"")</f>
        <v/>
      </c>
      <c r="W44" s="50" t="str">
        <f>IF(AND('Mapa final'!$AB$58="Baja",'Mapa final'!$AD$58="Moderado"),CONCATENATE("R9C",'Mapa final'!$R$58),"")</f>
        <v/>
      </c>
      <c r="X44" s="50" t="str">
        <f>IF(AND('Mapa final'!$AB$59="Baja",'Mapa final'!$AD$59="Moderado"),CONCATENATE("R9C",'Mapa final'!$R$59),"")</f>
        <v/>
      </c>
      <c r="Y44" s="50" t="str">
        <f>IF(AND('Mapa final'!$AB$60="Baja",'Mapa final'!$AD$60="Moderado"),CONCATENATE("R9C",'Mapa final'!$R$60),"")</f>
        <v/>
      </c>
      <c r="Z44" s="50" t="str">
        <f>IF(AND('Mapa final'!$AB$61="Baja",'Mapa final'!$AD$61="Moderado"),CONCATENATE("R9C",'Mapa final'!$R$61),"")</f>
        <v/>
      </c>
      <c r="AA44" s="51" t="str">
        <f>IF(AND('Mapa final'!$AB$62="Baja",'Mapa final'!$AD$62="Moderado"),CONCATENATE("R9C",'Mapa final'!$R$62),"")</f>
        <v/>
      </c>
      <c r="AB44" s="34" t="str">
        <f>IF(AND('Mapa final'!$AB$57="Baja",'Mapa final'!$AD$57="Mayor"),CONCATENATE("R9C",'Mapa final'!$R$57),"")</f>
        <v/>
      </c>
      <c r="AC44" s="35" t="str">
        <f>IF(AND('Mapa final'!$AB$58="Baja",'Mapa final'!$AD$58="Mayor"),CONCATENATE("R9C",'Mapa final'!$R$58),"")</f>
        <v/>
      </c>
      <c r="AD44" s="35" t="str">
        <f>IF(AND('Mapa final'!$AB$59="Baja",'Mapa final'!$AD$59="Mayor"),CONCATENATE("R9C",'Mapa final'!$R$59),"")</f>
        <v/>
      </c>
      <c r="AE44" s="35" t="str">
        <f>IF(AND('Mapa final'!$AB$60="Baja",'Mapa final'!$AD$60="Mayor"),CONCATENATE("R9C",'Mapa final'!$R$60),"")</f>
        <v/>
      </c>
      <c r="AF44" s="35" t="str">
        <f>IF(AND('Mapa final'!$AB$61="Baja",'Mapa final'!$AD$61="Mayor"),CONCATENATE("R9C",'Mapa final'!$R$61),"")</f>
        <v/>
      </c>
      <c r="AG44" s="36" t="str">
        <f>IF(AND('Mapa final'!$AB$62="Baja",'Mapa final'!$AD$62="Mayor"),CONCATENATE("R9C",'Mapa final'!$R$62),"")</f>
        <v/>
      </c>
      <c r="AH44" s="37" t="str">
        <f>IF(AND('Mapa final'!$AB$57="Baja",'Mapa final'!$AD$57="Catastrófico"),CONCATENATE("R9C",'Mapa final'!$R$57),"")</f>
        <v/>
      </c>
      <c r="AI44" s="38" t="str">
        <f>IF(AND('Mapa final'!$AB$58="Baja",'Mapa final'!$AD$58="Catastrófico"),CONCATENATE("R9C",'Mapa final'!$R$58),"")</f>
        <v/>
      </c>
      <c r="AJ44" s="38" t="str">
        <f>IF(AND('Mapa final'!$AB$59="Baja",'Mapa final'!$AD$59="Catastrófico"),CONCATENATE("R9C",'Mapa final'!$R$59),"")</f>
        <v/>
      </c>
      <c r="AK44" s="38" t="str">
        <f>IF(AND('Mapa final'!$AB$60="Baja",'Mapa final'!$AD$60="Catastrófico"),CONCATENATE("R9C",'Mapa final'!$R$60),"")</f>
        <v/>
      </c>
      <c r="AL44" s="38" t="str">
        <f>IF(AND('Mapa final'!$AB$61="Baja",'Mapa final'!$AD$61="Catastrófico"),CONCATENATE("R9C",'Mapa final'!$R$61),"")</f>
        <v/>
      </c>
      <c r="AM44" s="39" t="str">
        <f>IF(AND('Mapa final'!$AB$62="Baja",'Mapa final'!$AD$62="Catastrófico"),CONCATENATE("R9C",'Mapa final'!$R$62),"")</f>
        <v/>
      </c>
      <c r="AN44" s="65"/>
      <c r="AO44" s="832"/>
      <c r="AP44" s="833"/>
      <c r="AQ44" s="833"/>
      <c r="AR44" s="833"/>
      <c r="AS44" s="833"/>
      <c r="AT44" s="834"/>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80" ht="15.75" customHeight="1" thickBot="1" x14ac:dyDescent="0.35">
      <c r="A45" s="65"/>
      <c r="B45" s="713"/>
      <c r="C45" s="713"/>
      <c r="D45" s="714"/>
      <c r="E45" s="813"/>
      <c r="F45" s="814"/>
      <c r="G45" s="814"/>
      <c r="H45" s="814"/>
      <c r="I45" s="814"/>
      <c r="J45" s="61" t="str">
        <f>IF(AND('Mapa final'!$AB$63="Baja",'Mapa final'!$AD$63="Leve"),CONCATENATE("R10C",'Mapa final'!$R$63),"")</f>
        <v/>
      </c>
      <c r="K45" s="62" t="str">
        <f>IF(AND('Mapa final'!$AB$64="Baja",'Mapa final'!$AD$64="Leve"),CONCATENATE("R10C",'Mapa final'!$R$64),"")</f>
        <v/>
      </c>
      <c r="L45" s="62" t="str">
        <f>IF(AND('Mapa final'!$AB$65="Baja",'Mapa final'!$AD$65="Leve"),CONCATENATE("R10C",'Mapa final'!$R$65),"")</f>
        <v/>
      </c>
      <c r="M45" s="62" t="str">
        <f>IF(AND('Mapa final'!$AB$66="Baja",'Mapa final'!$AD$66="Leve"),CONCATENATE("R10C",'Mapa final'!$R$66),"")</f>
        <v/>
      </c>
      <c r="N45" s="62" t="str">
        <f>IF(AND('Mapa final'!$AB$67="Baja",'Mapa final'!$AD$67="Leve"),CONCATENATE("R10C",'Mapa final'!$R$67),"")</f>
        <v/>
      </c>
      <c r="O45" s="63" t="str">
        <f>IF(AND('Mapa final'!$AB$68="Baja",'Mapa final'!$AD$68="Leve"),CONCATENATE("R10C",'Mapa final'!$R$68),"")</f>
        <v/>
      </c>
      <c r="P45" s="49" t="str">
        <f>IF(AND('Mapa final'!$AB$63="Baja",'Mapa final'!$AD$63="Menor"),CONCATENATE("R10C",'Mapa final'!$R$63),"")</f>
        <v/>
      </c>
      <c r="Q45" s="50" t="str">
        <f>IF(AND('Mapa final'!$AB$64="Baja",'Mapa final'!$AD$64="Menor"),CONCATENATE("R10C",'Mapa final'!$R$64),"")</f>
        <v/>
      </c>
      <c r="R45" s="50" t="str">
        <f>IF(AND('Mapa final'!$AB$65="Baja",'Mapa final'!$AD$65="Menor"),CONCATENATE("R10C",'Mapa final'!$R$65),"")</f>
        <v/>
      </c>
      <c r="S45" s="50" t="str">
        <f>IF(AND('Mapa final'!$AB$66="Baja",'Mapa final'!$AD$66="Menor"),CONCATENATE("R10C",'Mapa final'!$R$66),"")</f>
        <v/>
      </c>
      <c r="T45" s="50" t="str">
        <f>IF(AND('Mapa final'!$AB$67="Baja",'Mapa final'!$AD$67="Menor"),CONCATENATE("R10C",'Mapa final'!$R$67),"")</f>
        <v/>
      </c>
      <c r="U45" s="51" t="str">
        <f>IF(AND('Mapa final'!$AB$68="Baja",'Mapa final'!$AD$68="Menor"),CONCATENATE("R10C",'Mapa final'!$R$68),"")</f>
        <v/>
      </c>
      <c r="V45" s="52" t="str">
        <f>IF(AND('Mapa final'!$AB$63="Baja",'Mapa final'!$AD$63="Moderado"),CONCATENATE("R10C",'Mapa final'!$R$63),"")</f>
        <v/>
      </c>
      <c r="W45" s="53" t="str">
        <f>IF(AND('Mapa final'!$AB$64="Baja",'Mapa final'!$AD$64="Moderado"),CONCATENATE("R10C",'Mapa final'!$R$64),"")</f>
        <v/>
      </c>
      <c r="X45" s="53" t="str">
        <f>IF(AND('Mapa final'!$AB$65="Baja",'Mapa final'!$AD$65="Moderado"),CONCATENATE("R10C",'Mapa final'!$R$65),"")</f>
        <v/>
      </c>
      <c r="Y45" s="53" t="str">
        <f>IF(AND('Mapa final'!$AB$66="Baja",'Mapa final'!$AD$66="Moderado"),CONCATENATE("R10C",'Mapa final'!$R$66),"")</f>
        <v/>
      </c>
      <c r="Z45" s="53" t="str">
        <f>IF(AND('Mapa final'!$AB$67="Baja",'Mapa final'!$AD$67="Moderado"),CONCATENATE("R10C",'Mapa final'!$R$67),"")</f>
        <v/>
      </c>
      <c r="AA45" s="54" t="str">
        <f>IF(AND('Mapa final'!$AB$68="Baja",'Mapa final'!$AD$68="Moderado"),CONCATENATE("R10C",'Mapa final'!$R$68),"")</f>
        <v/>
      </c>
      <c r="AB45" s="40" t="str">
        <f>IF(AND('Mapa final'!$AB$63="Baja",'Mapa final'!$AD$63="Mayor"),CONCATENATE("R10C",'Mapa final'!$R$63),"")</f>
        <v/>
      </c>
      <c r="AC45" s="41" t="str">
        <f>IF(AND('Mapa final'!$AB$64="Baja",'Mapa final'!$AD$64="Mayor"),CONCATENATE("R10C",'Mapa final'!$R$64),"")</f>
        <v/>
      </c>
      <c r="AD45" s="41" t="str">
        <f>IF(AND('Mapa final'!$AB$65="Baja",'Mapa final'!$AD$65="Mayor"),CONCATENATE("R10C",'Mapa final'!$R$65),"")</f>
        <v/>
      </c>
      <c r="AE45" s="41" t="str">
        <f>IF(AND('Mapa final'!$AB$66="Baja",'Mapa final'!$AD$66="Mayor"),CONCATENATE("R10C",'Mapa final'!$R$66),"")</f>
        <v/>
      </c>
      <c r="AF45" s="41" t="str">
        <f>IF(AND('Mapa final'!$AB$67="Baja",'Mapa final'!$AD$67="Mayor"),CONCATENATE("R10C",'Mapa final'!$R$67),"")</f>
        <v/>
      </c>
      <c r="AG45" s="42" t="str">
        <f>IF(AND('Mapa final'!$AB$68="Baja",'Mapa final'!$AD$68="Mayor"),CONCATENATE("R10C",'Mapa final'!$R$68),"")</f>
        <v/>
      </c>
      <c r="AH45" s="43" t="str">
        <f>IF(AND('Mapa final'!$AB$63="Baja",'Mapa final'!$AD$63="Catastrófico"),CONCATENATE("R10C",'Mapa final'!$R$63),"")</f>
        <v/>
      </c>
      <c r="AI45" s="44" t="str">
        <f>IF(AND('Mapa final'!$AB$64="Baja",'Mapa final'!$AD$64="Catastrófico"),CONCATENATE("R10C",'Mapa final'!$R$64),"")</f>
        <v/>
      </c>
      <c r="AJ45" s="44" t="str">
        <f>IF(AND('Mapa final'!$AB$65="Baja",'Mapa final'!$AD$65="Catastrófico"),CONCATENATE("R10C",'Mapa final'!$R$65),"")</f>
        <v/>
      </c>
      <c r="AK45" s="44" t="str">
        <f>IF(AND('Mapa final'!$AB$66="Baja",'Mapa final'!$AD$66="Catastrófico"),CONCATENATE("R10C",'Mapa final'!$R$66),"")</f>
        <v/>
      </c>
      <c r="AL45" s="44" t="str">
        <f>IF(AND('Mapa final'!$AB$67="Baja",'Mapa final'!$AD$67="Catastrófico"),CONCATENATE("R10C",'Mapa final'!$R$67),"")</f>
        <v/>
      </c>
      <c r="AM45" s="45" t="str">
        <f>IF(AND('Mapa final'!$AB$68="Baja",'Mapa final'!$AD$68="Catastrófico"),CONCATENATE("R10C",'Mapa final'!$R$68),"")</f>
        <v/>
      </c>
      <c r="AN45" s="65"/>
      <c r="AO45" s="835"/>
      <c r="AP45" s="836"/>
      <c r="AQ45" s="836"/>
      <c r="AR45" s="836"/>
      <c r="AS45" s="836"/>
      <c r="AT45" s="837"/>
    </row>
    <row r="46" spans="1:80" ht="46.5" customHeight="1" x14ac:dyDescent="0.45">
      <c r="A46" s="65"/>
      <c r="B46" s="713"/>
      <c r="C46" s="713"/>
      <c r="D46" s="714"/>
      <c r="E46" s="808" t="s">
        <v>108</v>
      </c>
      <c r="F46" s="809"/>
      <c r="G46" s="809"/>
      <c r="H46" s="809"/>
      <c r="I46" s="826"/>
      <c r="J46" s="55" t="str">
        <f>IF(AND('Mapa final'!$AB$10="Muy Baja",'Mapa final'!$AD$10="Leve"),CONCATENATE("R1C",'Mapa final'!$R$10),"")</f>
        <v/>
      </c>
      <c r="K46" s="56" t="str">
        <f>IF(AND('Mapa final'!$AB$11="Muy Baja",'Mapa final'!$AD$11="Leve"),CONCATENATE("R1C",'Mapa final'!$R$11),"")</f>
        <v/>
      </c>
      <c r="L46" s="56" t="str">
        <f>IF(AND('Mapa final'!$AB$12="Muy Baja",'Mapa final'!$AD$12="Leve"),CONCATENATE("R1C",'Mapa final'!$R$12),"")</f>
        <v/>
      </c>
      <c r="M46" s="56" t="str">
        <f>IF(AND('Mapa final'!$AB$13="Muy Baja",'Mapa final'!$AD$13="Leve"),CONCATENATE("R1C",'Mapa final'!$R$13),"")</f>
        <v/>
      </c>
      <c r="N46" s="56" t="str">
        <f>IF(AND('Mapa final'!$AB$14="Muy Baja",'Mapa final'!$AD$14="Leve"),CONCATENATE("R1C",'Mapa final'!$R$14),"")</f>
        <v/>
      </c>
      <c r="O46" s="57" t="str">
        <f>IF(AND('Mapa final'!$AB$15="Muy Baja",'Mapa final'!$AD$15="Leve"),CONCATENATE("R1C",'Mapa final'!$R$15),"")</f>
        <v/>
      </c>
      <c r="P46" s="55" t="str">
        <f>IF(AND('Mapa final'!$AB$10="Muy Baja",'Mapa final'!$AD$10="Menor"),CONCATENATE("R1C",'Mapa final'!$R$10),"")</f>
        <v/>
      </c>
      <c r="Q46" s="56" t="str">
        <f>IF(AND('Mapa final'!$AB$11="Muy Baja",'Mapa final'!$AD$11="Menor"),CONCATENATE("R1C",'Mapa final'!$R$11),"")</f>
        <v/>
      </c>
      <c r="R46" s="56" t="str">
        <f>IF(AND('Mapa final'!$AB$12="Muy Baja",'Mapa final'!$AD$12="Menor"),CONCATENATE("R1C",'Mapa final'!$R$12),"")</f>
        <v/>
      </c>
      <c r="S46" s="56" t="str">
        <f>IF(AND('Mapa final'!$AB$13="Muy Baja",'Mapa final'!$AD$13="Menor"),CONCATENATE("R1C",'Mapa final'!$R$13),"")</f>
        <v/>
      </c>
      <c r="T46" s="56" t="str">
        <f>IF(AND('Mapa final'!$AB$14="Muy Baja",'Mapa final'!$AD$14="Menor"),CONCATENATE("R1C",'Mapa final'!$R$14),"")</f>
        <v/>
      </c>
      <c r="U46" s="57" t="str">
        <f>IF(AND('Mapa final'!$AB$15="Muy Baja",'Mapa final'!$AD$15="Menor"),CONCATENATE("R1C",'Mapa final'!$R$15),"")</f>
        <v/>
      </c>
      <c r="V46" s="46" t="str">
        <f>IF(AND('Mapa final'!$AB$10="Muy Baja",'Mapa final'!$AD$10="Moderado"),CONCATENATE("R1C",'Mapa final'!$R$10),"")</f>
        <v/>
      </c>
      <c r="W46" s="64" t="str">
        <f>IF(AND('Mapa final'!$AB$11="Muy Baja",'Mapa final'!$AD$11="Moderado"),CONCATENATE("R1C",'Mapa final'!$R$11),"")</f>
        <v/>
      </c>
      <c r="X46" s="47" t="str">
        <f>IF(AND('Mapa final'!$AB$12="Muy Baja",'Mapa final'!$AD$12="Moderado"),CONCATENATE("R1C",'Mapa final'!$R$12),"")</f>
        <v/>
      </c>
      <c r="Y46" s="47" t="str">
        <f>IF(AND('Mapa final'!$AB$13="Muy Baja",'Mapa final'!$AD$13="Moderado"),CONCATENATE("R1C",'Mapa final'!$R$13),"")</f>
        <v/>
      </c>
      <c r="Z46" s="47" t="str">
        <f>IF(AND('Mapa final'!$AB$14="Muy Baja",'Mapa final'!$AD$14="Moderado"),CONCATENATE("R1C",'Mapa final'!$R$14),"")</f>
        <v/>
      </c>
      <c r="AA46" s="48" t="str">
        <f>IF(AND('Mapa final'!$AB$15="Muy Baja",'Mapa final'!$AD$15="Moderado"),CONCATENATE("R1C",'Mapa final'!$R$15),"")</f>
        <v/>
      </c>
      <c r="AB46" s="28" t="str">
        <f>IF(AND('Mapa final'!$AB$10="Muy Baja",'Mapa final'!$AD$10="Mayor"),CONCATENATE("R1C",'Mapa final'!$R$10),"")</f>
        <v/>
      </c>
      <c r="AC46" s="29" t="str">
        <f>IF(AND('Mapa final'!$AB$11="Muy Baja",'Mapa final'!$AD$11="Mayor"),CONCATENATE("R1C",'Mapa final'!$R$11),"")</f>
        <v/>
      </c>
      <c r="AD46" s="29" t="str">
        <f>IF(AND('Mapa final'!$AB$12="Muy Baja",'Mapa final'!$AD$12="Mayor"),CONCATENATE("R1C",'Mapa final'!$R$12),"")</f>
        <v/>
      </c>
      <c r="AE46" s="29" t="str">
        <f>IF(AND('Mapa final'!$AB$13="Muy Baja",'Mapa final'!$AD$13="Mayor"),CONCATENATE("R1C",'Mapa final'!$R$13),"")</f>
        <v/>
      </c>
      <c r="AF46" s="29" t="str">
        <f>IF(AND('Mapa final'!$AB$14="Muy Baja",'Mapa final'!$AD$14="Mayor"),CONCATENATE("R1C",'Mapa final'!$R$14),"")</f>
        <v/>
      </c>
      <c r="AG46" s="30" t="str">
        <f>IF(AND('Mapa final'!$AB$15="Muy Baja",'Mapa final'!$AD$15="Mayor"),CONCATENATE("R1C",'Mapa final'!$R$15),"")</f>
        <v/>
      </c>
      <c r="AH46" s="31" t="str">
        <f>IF(AND('Mapa final'!$AB$10="Muy Baja",'Mapa final'!$AD$10="Catastrófico"),CONCATENATE("R1C",'Mapa final'!$R$10),"")</f>
        <v/>
      </c>
      <c r="AI46" s="32" t="str">
        <f>IF(AND('Mapa final'!$AB$11="Muy Baja",'Mapa final'!$AD$11="Catastrófico"),CONCATENATE("R1C",'Mapa final'!$R$11),"")</f>
        <v/>
      </c>
      <c r="AJ46" s="32" t="str">
        <f>IF(AND('Mapa final'!$AB$12="Muy Baja",'Mapa final'!$AD$12="Catastrófico"),CONCATENATE("R1C",'Mapa final'!$R$12),"")</f>
        <v/>
      </c>
      <c r="AK46" s="32" t="str">
        <f>IF(AND('Mapa final'!$AB$13="Muy Baja",'Mapa final'!$AD$13="Catastrófico"),CONCATENATE("R1C",'Mapa final'!$R$13),"")</f>
        <v/>
      </c>
      <c r="AL46" s="32" t="str">
        <f>IF(AND('Mapa final'!$AB$14="Muy Baja",'Mapa final'!$AD$14="Catastrófico"),CONCATENATE("R1C",'Mapa final'!$R$14),"")</f>
        <v/>
      </c>
      <c r="AM46" s="33" t="str">
        <f>IF(AND('Mapa final'!$AB$15="Muy Baja",'Mapa final'!$AD$15="Catastrófico"),CONCATENATE("R1C",'Mapa final'!$R$15),"")</f>
        <v/>
      </c>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ht="46.5" customHeight="1" x14ac:dyDescent="0.3">
      <c r="A47" s="65"/>
      <c r="B47" s="713"/>
      <c r="C47" s="713"/>
      <c r="D47" s="714"/>
      <c r="E47" s="810"/>
      <c r="F47" s="811"/>
      <c r="G47" s="811"/>
      <c r="H47" s="811"/>
      <c r="I47" s="827"/>
      <c r="J47" s="58" t="str">
        <f>IF(AND('Mapa final'!$AB$16="Muy Baja",'Mapa final'!$AD$16="Leve"),CONCATENATE("R2C",'Mapa final'!$R$16),"")</f>
        <v/>
      </c>
      <c r="K47" s="59" t="str">
        <f>IF(AND('Mapa final'!$AB$17="Muy Baja",'Mapa final'!$AD$17="Leve"),CONCATENATE("R2C",'Mapa final'!$R$17),"")</f>
        <v/>
      </c>
      <c r="L47" s="59" t="str">
        <f>IF(AND('Mapa final'!$AB$18="Muy Baja",'Mapa final'!$AD$18="Leve"),CONCATENATE("R2C",'Mapa final'!$R$18),"")</f>
        <v/>
      </c>
      <c r="M47" s="59" t="str">
        <f>IF(AND('Mapa final'!$AB$19="Muy Baja",'Mapa final'!$AD$19="Leve"),CONCATENATE("R2C",'Mapa final'!$R$19),"")</f>
        <v/>
      </c>
      <c r="N47" s="59" t="str">
        <f>IF(AND('Mapa final'!$AB$20="Muy Baja",'Mapa final'!$AD$20="Leve"),CONCATENATE("R2C",'Mapa final'!$R$20),"")</f>
        <v/>
      </c>
      <c r="O47" s="60" t="str">
        <f>IF(AND('Mapa final'!$AB$21="Muy Baja",'Mapa final'!$AD$21="Leve"),CONCATENATE("R2C",'Mapa final'!$R$21),"")</f>
        <v/>
      </c>
      <c r="P47" s="58" t="str">
        <f>IF(AND('Mapa final'!$AB$16="Muy Baja",'Mapa final'!$AD$16="Menor"),CONCATENATE("R2C",'Mapa final'!$R$16),"")</f>
        <v/>
      </c>
      <c r="Q47" s="59" t="str">
        <f>IF(AND('Mapa final'!$AB$17="Muy Baja",'Mapa final'!$AD$17="Menor"),CONCATENATE("R2C",'Mapa final'!$R$17),"")</f>
        <v/>
      </c>
      <c r="R47" s="59" t="str">
        <f>IF(AND('Mapa final'!$AB$18="Muy Baja",'Mapa final'!$AD$18="Menor"),CONCATENATE("R2C",'Mapa final'!$R$18),"")</f>
        <v/>
      </c>
      <c r="S47" s="59" t="str">
        <f>IF(AND('Mapa final'!$AB$19="Muy Baja",'Mapa final'!$AD$19="Menor"),CONCATENATE("R2C",'Mapa final'!$R$19),"")</f>
        <v/>
      </c>
      <c r="T47" s="59" t="str">
        <f>IF(AND('Mapa final'!$AB$20="Muy Baja",'Mapa final'!$AD$20="Menor"),CONCATENATE("R2C",'Mapa final'!$R$20),"")</f>
        <v/>
      </c>
      <c r="U47" s="60" t="str">
        <f>IF(AND('Mapa final'!$AB$21="Muy Baja",'Mapa final'!$AD$21="Menor"),CONCATENATE("R2C",'Mapa final'!$R$21),"")</f>
        <v/>
      </c>
      <c r="V47" s="49" t="str">
        <f>IF(AND('Mapa final'!$AB$16="Muy Baja",'Mapa final'!$AD$16="Moderado"),CONCATENATE("R2C",'Mapa final'!$R$16),"")</f>
        <v/>
      </c>
      <c r="W47" s="50" t="str">
        <f>IF(AND('Mapa final'!$AB$17="Muy Baja",'Mapa final'!$AD$17="Moderado"),CONCATENATE("R2C",'Mapa final'!$R$17),"")</f>
        <v/>
      </c>
      <c r="X47" s="50" t="str">
        <f>IF(AND('Mapa final'!$AB$18="Muy Baja",'Mapa final'!$AD$18="Moderado"),CONCATENATE("R2C",'Mapa final'!$R$18),"")</f>
        <v/>
      </c>
      <c r="Y47" s="50" t="str">
        <f>IF(AND('Mapa final'!$AB$19="Muy Baja",'Mapa final'!$AD$19="Moderado"),CONCATENATE("R2C",'Mapa final'!$R$19),"")</f>
        <v/>
      </c>
      <c r="Z47" s="50" t="str">
        <f>IF(AND('Mapa final'!$AB$20="Muy Baja",'Mapa final'!$AD$20="Moderado"),CONCATENATE("R2C",'Mapa final'!$R$20),"")</f>
        <v/>
      </c>
      <c r="AA47" s="51" t="str">
        <f>IF(AND('Mapa final'!$AB$21="Muy Baja",'Mapa final'!$AD$21="Moderado"),CONCATENATE("R2C",'Mapa final'!$R$21),"")</f>
        <v/>
      </c>
      <c r="AB47" s="34" t="str">
        <f>IF(AND('Mapa final'!$AB$16="Muy Baja",'Mapa final'!$AD$16="Mayor"),CONCATENATE("R2C",'Mapa final'!$R$16),"")</f>
        <v/>
      </c>
      <c r="AC47" s="35" t="str">
        <f>IF(AND('Mapa final'!$AB$17="Muy Baja",'Mapa final'!$AD$17="Mayor"),CONCATENATE("R2C",'Mapa final'!$R$17),"")</f>
        <v/>
      </c>
      <c r="AD47" s="35" t="str">
        <f>IF(AND('Mapa final'!$AB$18="Muy Baja",'Mapa final'!$AD$18="Mayor"),CONCATENATE("R2C",'Mapa final'!$R$18),"")</f>
        <v/>
      </c>
      <c r="AE47" s="35" t="str">
        <f>IF(AND('Mapa final'!$AB$19="Muy Baja",'Mapa final'!$AD$19="Mayor"),CONCATENATE("R2C",'Mapa final'!$R$19),"")</f>
        <v/>
      </c>
      <c r="AF47" s="35" t="str">
        <f>IF(AND('Mapa final'!$AB$20="Muy Baja",'Mapa final'!$AD$20="Mayor"),CONCATENATE("R2C",'Mapa final'!$R$20),"")</f>
        <v/>
      </c>
      <c r="AG47" s="36" t="str">
        <f>IF(AND('Mapa final'!$AB$21="Muy Baja",'Mapa final'!$AD$21="Mayor"),CONCATENATE("R2C",'Mapa final'!$R$21),"")</f>
        <v/>
      </c>
      <c r="AH47" s="37" t="str">
        <f>IF(AND('Mapa final'!$AB$16="Muy Baja",'Mapa final'!$AD$16="Catastrófico"),CONCATENATE("R2C",'Mapa final'!$R$16),"")</f>
        <v/>
      </c>
      <c r="AI47" s="38" t="str">
        <f>IF(AND('Mapa final'!$AB$17="Muy Baja",'Mapa final'!$AD$17="Catastrófico"),CONCATENATE("R2C",'Mapa final'!$R$17),"")</f>
        <v/>
      </c>
      <c r="AJ47" s="38" t="str">
        <f>IF(AND('Mapa final'!$AB$18="Muy Baja",'Mapa final'!$AD$18="Catastrófico"),CONCATENATE("R2C",'Mapa final'!$R$18),"")</f>
        <v/>
      </c>
      <c r="AK47" s="38" t="str">
        <f>IF(AND('Mapa final'!$AB$19="Muy Baja",'Mapa final'!$AD$19="Catastrófico"),CONCATENATE("R2C",'Mapa final'!$R$19),"")</f>
        <v/>
      </c>
      <c r="AL47" s="38" t="str">
        <f>IF(AND('Mapa final'!$AB$20="Muy Baja",'Mapa final'!$AD$20="Catastrófico"),CONCATENATE("R2C",'Mapa final'!$R$20),"")</f>
        <v/>
      </c>
      <c r="AM47" s="39" t="str">
        <f>IF(AND('Mapa final'!$AB$21="Muy Baja",'Mapa final'!$AD$21="Catastrófico"),CONCATENATE("R2C",'Mapa final'!$R$21),"")</f>
        <v/>
      </c>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ht="15" customHeight="1" x14ac:dyDescent="0.3">
      <c r="A48" s="65"/>
      <c r="B48" s="713"/>
      <c r="C48" s="713"/>
      <c r="D48" s="714"/>
      <c r="E48" s="810"/>
      <c r="F48" s="811"/>
      <c r="G48" s="811"/>
      <c r="H48" s="811"/>
      <c r="I48" s="827"/>
      <c r="J48" s="58" t="str">
        <f>IF(AND('Mapa final'!$AB$22="Muy Baja",'Mapa final'!$AD$22="Leve"),CONCATENATE("R3C",'Mapa final'!$R$22),"")</f>
        <v/>
      </c>
      <c r="K48" s="59" t="str">
        <f>IF(AND('Mapa final'!$AB$23="Muy Baja",'Mapa final'!$AD$23="Leve"),CONCATENATE("R3C",'Mapa final'!$R$23),"")</f>
        <v/>
      </c>
      <c r="L48" s="59" t="str">
        <f>IF(AND('Mapa final'!$AB$24="Muy Baja",'Mapa final'!$AD$24="Leve"),CONCATENATE("R3C",'Mapa final'!$R$24),"")</f>
        <v/>
      </c>
      <c r="M48" s="59" t="str">
        <f>IF(AND('Mapa final'!$AB$25="Muy Baja",'Mapa final'!$AD$25="Leve"),CONCATENATE("R3C",'Mapa final'!$R$25),"")</f>
        <v/>
      </c>
      <c r="N48" s="59" t="str">
        <f>IF(AND('Mapa final'!$AB$26="Muy Baja",'Mapa final'!$AD$26="Leve"),CONCATENATE("R3C",'Mapa final'!$R$26),"")</f>
        <v/>
      </c>
      <c r="O48" s="60" t="str">
        <f>IF(AND('Mapa final'!$AB$27="Muy Baja",'Mapa final'!$AD$27="Leve"),CONCATENATE("R3C",'Mapa final'!$R$27),"")</f>
        <v/>
      </c>
      <c r="P48" s="58" t="str">
        <f>IF(AND('Mapa final'!$AB$22="Muy Baja",'Mapa final'!$AD$22="Menor"),CONCATENATE("R3C",'Mapa final'!$R$22),"")</f>
        <v/>
      </c>
      <c r="Q48" s="59" t="str">
        <f>IF(AND('Mapa final'!$AB$23="Muy Baja",'Mapa final'!$AD$23="Menor"),CONCATENATE("R3C",'Mapa final'!$R$23),"")</f>
        <v/>
      </c>
      <c r="R48" s="59" t="str">
        <f>IF(AND('Mapa final'!$AB$24="Muy Baja",'Mapa final'!$AD$24="Menor"),CONCATENATE("R3C",'Mapa final'!$R$24),"")</f>
        <v/>
      </c>
      <c r="S48" s="59" t="str">
        <f>IF(AND('Mapa final'!$AB$25="Muy Baja",'Mapa final'!$AD$25="Menor"),CONCATENATE("R3C",'Mapa final'!$R$25),"")</f>
        <v/>
      </c>
      <c r="T48" s="59" t="str">
        <f>IF(AND('Mapa final'!$AB$26="Muy Baja",'Mapa final'!$AD$26="Menor"),CONCATENATE("R3C",'Mapa final'!$R$26),"")</f>
        <v/>
      </c>
      <c r="U48" s="60" t="str">
        <f>IF(AND('Mapa final'!$AB$27="Muy Baja",'Mapa final'!$AD$27="Menor"),CONCATENATE("R3C",'Mapa final'!$R$27),"")</f>
        <v/>
      </c>
      <c r="V48" s="49" t="str">
        <f>IF(AND('Mapa final'!$AB$22="Muy Baja",'Mapa final'!$AD$22="Moderado"),CONCATENATE("R3C",'Mapa final'!$R$22),"")</f>
        <v/>
      </c>
      <c r="W48" s="50" t="str">
        <f>IF(AND('Mapa final'!$AB$23="Muy Baja",'Mapa final'!$AD$23="Moderado"),CONCATENATE("R3C",'Mapa final'!$R$23),"")</f>
        <v/>
      </c>
      <c r="X48" s="50" t="str">
        <f>IF(AND('Mapa final'!$AB$24="Muy Baja",'Mapa final'!$AD$24="Moderado"),CONCATENATE("R3C",'Mapa final'!$R$24),"")</f>
        <v/>
      </c>
      <c r="Y48" s="50" t="str">
        <f>IF(AND('Mapa final'!$AB$25="Muy Baja",'Mapa final'!$AD$25="Moderado"),CONCATENATE("R3C",'Mapa final'!$R$25),"")</f>
        <v/>
      </c>
      <c r="Z48" s="50" t="str">
        <f>IF(AND('Mapa final'!$AB$26="Muy Baja",'Mapa final'!$AD$26="Moderado"),CONCATENATE("R3C",'Mapa final'!$R$26),"")</f>
        <v/>
      </c>
      <c r="AA48" s="51" t="str">
        <f>IF(AND('Mapa final'!$AB$27="Muy Baja",'Mapa final'!$AD$27="Moderado"),CONCATENATE("R3C",'Mapa final'!$R$27),"")</f>
        <v/>
      </c>
      <c r="AB48" s="34" t="str">
        <f>IF(AND('Mapa final'!$AB$22="Muy Baja",'Mapa final'!$AD$22="Mayor"),CONCATENATE("R3C",'Mapa final'!$R$22),"")</f>
        <v/>
      </c>
      <c r="AC48" s="35" t="str">
        <f>IF(AND('Mapa final'!$AB$23="Muy Baja",'Mapa final'!$AD$23="Mayor"),CONCATENATE("R3C",'Mapa final'!$R$23),"")</f>
        <v/>
      </c>
      <c r="AD48" s="35" t="str">
        <f>IF(AND('Mapa final'!$AB$24="Muy Baja",'Mapa final'!$AD$24="Mayor"),CONCATENATE("R3C",'Mapa final'!$R$24),"")</f>
        <v/>
      </c>
      <c r="AE48" s="35" t="str">
        <f>IF(AND('Mapa final'!$AB$25="Muy Baja",'Mapa final'!$AD$25="Mayor"),CONCATENATE("R3C",'Mapa final'!$R$25),"")</f>
        <v/>
      </c>
      <c r="AF48" s="35" t="str">
        <f>IF(AND('Mapa final'!$AB$26="Muy Baja",'Mapa final'!$AD$26="Mayor"),CONCATENATE("R3C",'Mapa final'!$R$26),"")</f>
        <v/>
      </c>
      <c r="AG48" s="36" t="str">
        <f>IF(AND('Mapa final'!$AB$27="Muy Baja",'Mapa final'!$AD$27="Mayor"),CONCATENATE("R3C",'Mapa final'!$R$27),"")</f>
        <v/>
      </c>
      <c r="AH48" s="37" t="str">
        <f>IF(AND('Mapa final'!$AB$22="Muy Baja",'Mapa final'!$AD$22="Catastrófico"),CONCATENATE("R3C",'Mapa final'!$R$22),"")</f>
        <v/>
      </c>
      <c r="AI48" s="38" t="str">
        <f>IF(AND('Mapa final'!$AB$23="Muy Baja",'Mapa final'!$AD$23="Catastrófico"),CONCATENATE("R3C",'Mapa final'!$R$23),"")</f>
        <v/>
      </c>
      <c r="AJ48" s="38" t="str">
        <f>IF(AND('Mapa final'!$AB$24="Muy Baja",'Mapa final'!$AD$24="Catastrófico"),CONCATENATE("R3C",'Mapa final'!$R$24),"")</f>
        <v/>
      </c>
      <c r="AK48" s="38" t="str">
        <f>IF(AND('Mapa final'!$AB$25="Muy Baja",'Mapa final'!$AD$25="Catastrófico"),CONCATENATE("R3C",'Mapa final'!$R$25),"")</f>
        <v/>
      </c>
      <c r="AL48" s="38" t="str">
        <f>IF(AND('Mapa final'!$AB$26="Muy Baja",'Mapa final'!$AD$26="Catastrófico"),CONCATENATE("R3C",'Mapa final'!$R$26),"")</f>
        <v/>
      </c>
      <c r="AM48" s="39" t="str">
        <f>IF(AND('Mapa final'!$AB$27="Muy Baja",'Mapa final'!$AD$27="Catastrófico"),CONCATENATE("R3C",'Mapa final'!$R$27),"")</f>
        <v/>
      </c>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ht="15" customHeight="1" x14ac:dyDescent="0.3">
      <c r="A49" s="65"/>
      <c r="B49" s="713"/>
      <c r="C49" s="713"/>
      <c r="D49" s="714"/>
      <c r="E49" s="812"/>
      <c r="F49" s="811"/>
      <c r="G49" s="811"/>
      <c r="H49" s="811"/>
      <c r="I49" s="827"/>
      <c r="J49" s="58" t="str">
        <f>IF(AND('Mapa final'!$AB$28="Muy Baja",'Mapa final'!$AD$28="Leve"),CONCATENATE("R4C",'Mapa final'!$R$28),"")</f>
        <v>R4C1</v>
      </c>
      <c r="K49" s="59" t="e">
        <f>IF(AND('Mapa final'!#REF!="Muy Baja",'Mapa final'!#REF!="Leve"),CONCATENATE("R4C",'Mapa final'!#REF!),"")</f>
        <v>#REF!</v>
      </c>
      <c r="L49" s="59" t="str">
        <f>IF(AND('Mapa final'!$AB$29="Muy Baja",'Mapa final'!$AD$29="Leve"),CONCATENATE("R4C",'Mapa final'!$R$29),"")</f>
        <v/>
      </c>
      <c r="M49" s="59" t="str">
        <f>IF(AND('Mapa final'!$AB$30="Muy Baja",'Mapa final'!$AD$30="Leve"),CONCATENATE("R4C",'Mapa final'!$R$30),"")</f>
        <v/>
      </c>
      <c r="N49" s="59" t="str">
        <f>IF(AND('Mapa final'!$AB$31="Muy Baja",'Mapa final'!$AD$31="Leve"),CONCATENATE("R4C",'Mapa final'!$R$31),"")</f>
        <v/>
      </c>
      <c r="O49" s="60" t="str">
        <f>IF(AND('Mapa final'!$AB$32="Muy Baja",'Mapa final'!$AD$32="Leve"),CONCATENATE("R4C",'Mapa final'!$R$32),"")</f>
        <v/>
      </c>
      <c r="P49" s="58" t="str">
        <f>IF(AND('Mapa final'!$AB$28="Muy Baja",'Mapa final'!$AD$28="Menor"),CONCATENATE("R4C",'Mapa final'!$R$28),"")</f>
        <v/>
      </c>
      <c r="Q49" s="59" t="e">
        <f>IF(AND('Mapa final'!#REF!="Muy Baja",'Mapa final'!#REF!="Menor"),CONCATENATE("R4C",'Mapa final'!#REF!),"")</f>
        <v>#REF!</v>
      </c>
      <c r="R49" s="59" t="str">
        <f>IF(AND('Mapa final'!$AB$29="Muy Baja",'Mapa final'!$AD$29="Menor"),CONCATENATE("R4C",'Mapa final'!$R$29),"")</f>
        <v/>
      </c>
      <c r="S49" s="59" t="str">
        <f>IF(AND('Mapa final'!$AB$30="Muy Baja",'Mapa final'!$AD$30="Menor"),CONCATENATE("R4C",'Mapa final'!$R$30),"")</f>
        <v/>
      </c>
      <c r="T49" s="59" t="str">
        <f>IF(AND('Mapa final'!$AB$31="Muy Baja",'Mapa final'!$AD$31="Menor"),CONCATENATE("R4C",'Mapa final'!$R$31),"")</f>
        <v/>
      </c>
      <c r="U49" s="60" t="str">
        <f>IF(AND('Mapa final'!$AB$32="Muy Baja",'Mapa final'!$AD$32="Menor"),CONCATENATE("R4C",'Mapa final'!$R$32),"")</f>
        <v/>
      </c>
      <c r="V49" s="49" t="str">
        <f>IF(AND('Mapa final'!$AB$28="Muy Baja",'Mapa final'!$AD$28="Moderado"),CONCATENATE("R4C",'Mapa final'!$R$28),"")</f>
        <v/>
      </c>
      <c r="W49" s="50" t="e">
        <f>IF(AND('Mapa final'!#REF!="Muy Baja",'Mapa final'!#REF!="Moderado"),CONCATENATE("R4C",'Mapa final'!#REF!),"")</f>
        <v>#REF!</v>
      </c>
      <c r="X49" s="50" t="str">
        <f>IF(AND('Mapa final'!$AB$29="Muy Baja",'Mapa final'!$AD$29="Moderado"),CONCATENATE("R4C",'Mapa final'!$R$29),"")</f>
        <v/>
      </c>
      <c r="Y49" s="50" t="str">
        <f>IF(AND('Mapa final'!$AB$30="Muy Baja",'Mapa final'!$AD$30="Moderado"),CONCATENATE("R4C",'Mapa final'!$R$30),"")</f>
        <v/>
      </c>
      <c r="Z49" s="50" t="str">
        <f>IF(AND('Mapa final'!$AB$31="Muy Baja",'Mapa final'!$AD$31="Moderado"),CONCATENATE("R4C",'Mapa final'!$R$31),"")</f>
        <v/>
      </c>
      <c r="AA49" s="51" t="str">
        <f>IF(AND('Mapa final'!$AB$32="Muy Baja",'Mapa final'!$AD$32="Moderado"),CONCATENATE("R4C",'Mapa final'!$R$32),"")</f>
        <v/>
      </c>
      <c r="AB49" s="34" t="str">
        <f>IF(AND('Mapa final'!$AB$28="Muy Baja",'Mapa final'!$AD$28="Mayor"),CONCATENATE("R4C",'Mapa final'!$R$28),"")</f>
        <v/>
      </c>
      <c r="AC49" s="35" t="e">
        <f>IF(AND('Mapa final'!#REF!="Muy Baja",'Mapa final'!#REF!="Mayor"),CONCATENATE("R4C",'Mapa final'!#REF!),"")</f>
        <v>#REF!</v>
      </c>
      <c r="AD49" s="35" t="str">
        <f>IF(AND('Mapa final'!$AB$29="Muy Baja",'Mapa final'!$AD$29="Mayor"),CONCATENATE("R4C",'Mapa final'!$R$29),"")</f>
        <v/>
      </c>
      <c r="AE49" s="35" t="str">
        <f>IF(AND('Mapa final'!$AB$30="Muy Baja",'Mapa final'!$AD$30="Mayor"),CONCATENATE("R4C",'Mapa final'!$R$30),"")</f>
        <v/>
      </c>
      <c r="AF49" s="35" t="str">
        <f>IF(AND('Mapa final'!$AB$31="Muy Baja",'Mapa final'!$AD$31="Mayor"),CONCATENATE("R4C",'Mapa final'!$R$31),"")</f>
        <v/>
      </c>
      <c r="AG49" s="36" t="str">
        <f>IF(AND('Mapa final'!$AB$32="Muy Baja",'Mapa final'!$AD$32="Mayor"),CONCATENATE("R4C",'Mapa final'!$R$32),"")</f>
        <v/>
      </c>
      <c r="AH49" s="37" t="str">
        <f>IF(AND('Mapa final'!$AB$28="Muy Baja",'Mapa final'!$AD$28="Catastrófico"),CONCATENATE("R4C",'Mapa final'!$R$28),"")</f>
        <v/>
      </c>
      <c r="AI49" s="38" t="e">
        <f>IF(AND('Mapa final'!#REF!="Muy Baja",'Mapa final'!#REF!="Catastrófico"),CONCATENATE("R4C",'Mapa final'!#REF!),"")</f>
        <v>#REF!</v>
      </c>
      <c r="AJ49" s="38" t="str">
        <f>IF(AND('Mapa final'!$AB$29="Muy Baja",'Mapa final'!$AD$29="Catastrófico"),CONCATENATE("R4C",'Mapa final'!$R$29),"")</f>
        <v/>
      </c>
      <c r="AK49" s="38" t="str">
        <f>IF(AND('Mapa final'!$AB$30="Muy Baja",'Mapa final'!$AD$30="Catastrófico"),CONCATENATE("R4C",'Mapa final'!$R$30),"")</f>
        <v/>
      </c>
      <c r="AL49" s="38" t="str">
        <f>IF(AND('Mapa final'!$AB$31="Muy Baja",'Mapa final'!$AD$31="Catastrófico"),CONCATENATE("R4C",'Mapa final'!$R$31),"")</f>
        <v/>
      </c>
      <c r="AM49" s="39" t="str">
        <f>IF(AND('Mapa final'!$AB$32="Muy Baja",'Mapa final'!$AD$32="Catastrófico"),CONCATENATE("R4C",'Mapa final'!$R$32),"")</f>
        <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ht="15" customHeight="1" x14ac:dyDescent="0.3">
      <c r="A50" s="65"/>
      <c r="B50" s="713"/>
      <c r="C50" s="713"/>
      <c r="D50" s="714"/>
      <c r="E50" s="812"/>
      <c r="F50" s="811"/>
      <c r="G50" s="811"/>
      <c r="H50" s="811"/>
      <c r="I50" s="827"/>
      <c r="J50" s="58" t="str">
        <f>IF(AND('Mapa final'!$AB$33="Muy Baja",'Mapa final'!$AD$33="Leve"),CONCATENATE("R5C",'Mapa final'!$R$33),"")</f>
        <v/>
      </c>
      <c r="K50" s="59" t="str">
        <f>IF(AND('Mapa final'!$AB$34="Muy Baja",'Mapa final'!$AD$34="Leve"),CONCATENATE("R5C",'Mapa final'!$R$34),"")</f>
        <v/>
      </c>
      <c r="L50" s="59" t="str">
        <f>IF(AND('Mapa final'!$AB$35="Muy Baja",'Mapa final'!$AD$35="Leve"),CONCATENATE("R5C",'Mapa final'!$R$35),"")</f>
        <v/>
      </c>
      <c r="M50" s="59" t="str">
        <f>IF(AND('Mapa final'!$AB$36="Muy Baja",'Mapa final'!$AD$36="Leve"),CONCATENATE("R5C",'Mapa final'!$R$36),"")</f>
        <v/>
      </c>
      <c r="N50" s="59" t="str">
        <f>IF(AND('Mapa final'!$AB$37="Muy Baja",'Mapa final'!$AD$37="Leve"),CONCATENATE("R5C",'Mapa final'!$R$37),"")</f>
        <v/>
      </c>
      <c r="O50" s="60" t="str">
        <f>IF(AND('Mapa final'!$AB$38="Muy Baja",'Mapa final'!$AD$38="Leve"),CONCATENATE("R5C",'Mapa final'!$R$38),"")</f>
        <v/>
      </c>
      <c r="P50" s="58" t="str">
        <f>IF(AND('Mapa final'!$AB$33="Muy Baja",'Mapa final'!$AD$33="Menor"),CONCATENATE("R5C",'Mapa final'!$R$33),"")</f>
        <v/>
      </c>
      <c r="Q50" s="59" t="str">
        <f>IF(AND('Mapa final'!$AB$34="Muy Baja",'Mapa final'!$AD$34="Menor"),CONCATENATE("R5C",'Mapa final'!$R$34),"")</f>
        <v/>
      </c>
      <c r="R50" s="59" t="str">
        <f>IF(AND('Mapa final'!$AB$35="Muy Baja",'Mapa final'!$AD$35="Menor"),CONCATENATE("R5C",'Mapa final'!$R$35),"")</f>
        <v/>
      </c>
      <c r="S50" s="59" t="str">
        <f>IF(AND('Mapa final'!$AB$36="Muy Baja",'Mapa final'!$AD$36="Menor"),CONCATENATE("R5C",'Mapa final'!$R$36),"")</f>
        <v/>
      </c>
      <c r="T50" s="59" t="str">
        <f>IF(AND('Mapa final'!$AB$37="Muy Baja",'Mapa final'!$AD$37="Menor"),CONCATENATE("R5C",'Mapa final'!$R$37),"")</f>
        <v/>
      </c>
      <c r="U50" s="60" t="str">
        <f>IF(AND('Mapa final'!$AB$38="Muy Baja",'Mapa final'!$AD$38="Menor"),CONCATENATE("R5C",'Mapa final'!$R$38),"")</f>
        <v/>
      </c>
      <c r="V50" s="49" t="str">
        <f>IF(AND('Mapa final'!$AB$33="Muy Baja",'Mapa final'!$AD$33="Moderado"),CONCATENATE("R5C",'Mapa final'!$R$33),"")</f>
        <v/>
      </c>
      <c r="W50" s="50" t="str">
        <f>IF(AND('Mapa final'!$AB$34="Muy Baja",'Mapa final'!$AD$34="Moderado"),CONCATENATE("R5C",'Mapa final'!$R$34),"")</f>
        <v/>
      </c>
      <c r="X50" s="50" t="str">
        <f>IF(AND('Mapa final'!$AB$35="Muy Baja",'Mapa final'!$AD$35="Moderado"),CONCATENATE("R5C",'Mapa final'!$R$35),"")</f>
        <v/>
      </c>
      <c r="Y50" s="50" t="str">
        <f>IF(AND('Mapa final'!$AB$36="Muy Baja",'Mapa final'!$AD$36="Moderado"),CONCATENATE("R5C",'Mapa final'!$R$36),"")</f>
        <v/>
      </c>
      <c r="Z50" s="50" t="str">
        <f>IF(AND('Mapa final'!$AB$37="Muy Baja",'Mapa final'!$AD$37="Moderado"),CONCATENATE("R5C",'Mapa final'!$R$37),"")</f>
        <v/>
      </c>
      <c r="AA50" s="51" t="str">
        <f>IF(AND('Mapa final'!$AB$38="Muy Baja",'Mapa final'!$AD$38="Moderado"),CONCATENATE("R5C",'Mapa final'!$R$38),"")</f>
        <v/>
      </c>
      <c r="AB50" s="34" t="str">
        <f>IF(AND('Mapa final'!$AB$33="Muy Baja",'Mapa final'!$AD$33="Mayor"),CONCATENATE("R5C",'Mapa final'!$R$33),"")</f>
        <v/>
      </c>
      <c r="AC50" s="35" t="str">
        <f>IF(AND('Mapa final'!$AB$34="Muy Baja",'Mapa final'!$AD$34="Mayor"),CONCATENATE("R5C",'Mapa final'!$R$34),"")</f>
        <v/>
      </c>
      <c r="AD50" s="35" t="str">
        <f>IF(AND('Mapa final'!$AB$35="Muy Baja",'Mapa final'!$AD$35="Mayor"),CONCATENATE("R5C",'Mapa final'!$R$35),"")</f>
        <v/>
      </c>
      <c r="AE50" s="35" t="str">
        <f>IF(AND('Mapa final'!$AB$36="Muy Baja",'Mapa final'!$AD$36="Mayor"),CONCATENATE("R5C",'Mapa final'!$R$36),"")</f>
        <v/>
      </c>
      <c r="AF50" s="35" t="str">
        <f>IF(AND('Mapa final'!$AB$37="Muy Baja",'Mapa final'!$AD$37="Mayor"),CONCATENATE("R5C",'Mapa final'!$R$37),"")</f>
        <v/>
      </c>
      <c r="AG50" s="36" t="str">
        <f>IF(AND('Mapa final'!$AB$38="Muy Baja",'Mapa final'!$AD$38="Mayor"),CONCATENATE("R5C",'Mapa final'!$R$38),"")</f>
        <v/>
      </c>
      <c r="AH50" s="37" t="str">
        <f>IF(AND('Mapa final'!$AB$33="Muy Baja",'Mapa final'!$AD$33="Catastrófico"),CONCATENATE("R5C",'Mapa final'!$R$33),"")</f>
        <v/>
      </c>
      <c r="AI50" s="38" t="str">
        <f>IF(AND('Mapa final'!$AB$34="Muy Baja",'Mapa final'!$AD$34="Catastrófico"),CONCATENATE("R5C",'Mapa final'!$R$34),"")</f>
        <v/>
      </c>
      <c r="AJ50" s="38" t="str">
        <f>IF(AND('Mapa final'!$AB$35="Muy Baja",'Mapa final'!$AD$35="Catastrófico"),CONCATENATE("R5C",'Mapa final'!$R$35),"")</f>
        <v/>
      </c>
      <c r="AK50" s="38" t="str">
        <f>IF(AND('Mapa final'!$AB$36="Muy Baja",'Mapa final'!$AD$36="Catastrófico"),CONCATENATE("R5C",'Mapa final'!$R$36),"")</f>
        <v/>
      </c>
      <c r="AL50" s="38" t="str">
        <f>IF(AND('Mapa final'!$AB$37="Muy Baja",'Mapa final'!$AD$37="Catastrófico"),CONCATENATE("R5C",'Mapa final'!$R$37),"")</f>
        <v/>
      </c>
      <c r="AM50" s="39" t="str">
        <f>IF(AND('Mapa final'!$AB$38="Muy Baja",'Mapa final'!$AD$38="Catastrófico"),CONCATENATE("R5C",'Mapa final'!$R$38),"")</f>
        <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customHeight="1" x14ac:dyDescent="0.3">
      <c r="A51" s="65"/>
      <c r="B51" s="713"/>
      <c r="C51" s="713"/>
      <c r="D51" s="714"/>
      <c r="E51" s="812"/>
      <c r="F51" s="811"/>
      <c r="G51" s="811"/>
      <c r="H51" s="811"/>
      <c r="I51" s="827"/>
      <c r="J51" s="58" t="str">
        <f>IF(AND('Mapa final'!$AB$39="Muy Baja",'Mapa final'!$AD$39="Leve"),CONCATENATE("R6C",'Mapa final'!$R$39),"")</f>
        <v/>
      </c>
      <c r="K51" s="59" t="str">
        <f>IF(AND('Mapa final'!$AB$40="Muy Baja",'Mapa final'!$AD$40="Leve"),CONCATENATE("R6C",'Mapa final'!$R$40),"")</f>
        <v/>
      </c>
      <c r="L51" s="59" t="str">
        <f>IF(AND('Mapa final'!$AB$41="Muy Baja",'Mapa final'!$AD$41="Leve"),CONCATENATE("R6C",'Mapa final'!$R$41),"")</f>
        <v/>
      </c>
      <c r="M51" s="59" t="str">
        <f>IF(AND('Mapa final'!$AB$42="Muy Baja",'Mapa final'!$AD$42="Leve"),CONCATENATE("R6C",'Mapa final'!$R$42),"")</f>
        <v/>
      </c>
      <c r="N51" s="59" t="str">
        <f>IF(AND('Mapa final'!$AB$43="Muy Baja",'Mapa final'!$AD$43="Leve"),CONCATENATE("R6C",'Mapa final'!$R$43),"")</f>
        <v/>
      </c>
      <c r="O51" s="60" t="str">
        <f>IF(AND('Mapa final'!$AB$44="Muy Baja",'Mapa final'!$AD$44="Leve"),CONCATENATE("R6C",'Mapa final'!$R$44),"")</f>
        <v/>
      </c>
      <c r="P51" s="58" t="str">
        <f>IF(AND('Mapa final'!$AB$39="Muy Baja",'Mapa final'!$AD$39="Menor"),CONCATENATE("R6C",'Mapa final'!$R$39),"")</f>
        <v/>
      </c>
      <c r="Q51" s="59" t="str">
        <f>IF(AND('Mapa final'!$AB$40="Muy Baja",'Mapa final'!$AD$40="Menor"),CONCATENATE("R6C",'Mapa final'!$R$40),"")</f>
        <v/>
      </c>
      <c r="R51" s="59" t="str">
        <f>IF(AND('Mapa final'!$AB$41="Muy Baja",'Mapa final'!$AD$41="Menor"),CONCATENATE("R6C",'Mapa final'!$R$41),"")</f>
        <v/>
      </c>
      <c r="S51" s="59" t="str">
        <f>IF(AND('Mapa final'!$AB$42="Muy Baja",'Mapa final'!$AD$42="Menor"),CONCATENATE("R6C",'Mapa final'!$R$42),"")</f>
        <v/>
      </c>
      <c r="T51" s="59" t="str">
        <f>IF(AND('Mapa final'!$AB$43="Muy Baja",'Mapa final'!$AD$43="Menor"),CONCATENATE("R6C",'Mapa final'!$R$43),"")</f>
        <v/>
      </c>
      <c r="U51" s="60" t="str">
        <f>IF(AND('Mapa final'!$AB$44="Muy Baja",'Mapa final'!$AD$44="Menor"),CONCATENATE("R6C",'Mapa final'!$R$44),"")</f>
        <v/>
      </c>
      <c r="V51" s="49" t="str">
        <f>IF(AND('Mapa final'!$AB$39="Muy Baja",'Mapa final'!$AD$39="Moderado"),CONCATENATE("R6C",'Mapa final'!$R$39),"")</f>
        <v/>
      </c>
      <c r="W51" s="50" t="str">
        <f>IF(AND('Mapa final'!$AB$40="Muy Baja",'Mapa final'!$AD$40="Moderado"),CONCATENATE("R6C",'Mapa final'!$R$40),"")</f>
        <v/>
      </c>
      <c r="X51" s="50" t="str">
        <f>IF(AND('Mapa final'!$AB$41="Muy Baja",'Mapa final'!$AD$41="Moderado"),CONCATENATE("R6C",'Mapa final'!$R$41),"")</f>
        <v/>
      </c>
      <c r="Y51" s="50" t="str">
        <f>IF(AND('Mapa final'!$AB$42="Muy Baja",'Mapa final'!$AD$42="Moderado"),CONCATENATE("R6C",'Mapa final'!$R$42),"")</f>
        <v/>
      </c>
      <c r="Z51" s="50" t="str">
        <f>IF(AND('Mapa final'!$AB$43="Muy Baja",'Mapa final'!$AD$43="Moderado"),CONCATENATE("R6C",'Mapa final'!$R$43),"")</f>
        <v/>
      </c>
      <c r="AA51" s="51" t="str">
        <f>IF(AND('Mapa final'!$AB$44="Muy Baja",'Mapa final'!$AD$44="Moderado"),CONCATENATE("R6C",'Mapa final'!$R$44),"")</f>
        <v/>
      </c>
      <c r="AB51" s="34" t="str">
        <f>IF(AND('Mapa final'!$AB$39="Muy Baja",'Mapa final'!$AD$39="Mayor"),CONCATENATE("R6C",'Mapa final'!$R$39),"")</f>
        <v/>
      </c>
      <c r="AC51" s="35" t="str">
        <f>IF(AND('Mapa final'!$AB$40="Muy Baja",'Mapa final'!$AD$40="Mayor"),CONCATENATE("R6C",'Mapa final'!$R$40),"")</f>
        <v/>
      </c>
      <c r="AD51" s="35" t="str">
        <f>IF(AND('Mapa final'!$AB$41="Muy Baja",'Mapa final'!$AD$41="Mayor"),CONCATENATE("R6C",'Mapa final'!$R$41),"")</f>
        <v/>
      </c>
      <c r="AE51" s="35" t="str">
        <f>IF(AND('Mapa final'!$AB$42="Muy Baja",'Mapa final'!$AD$42="Mayor"),CONCATENATE("R6C",'Mapa final'!$R$42),"")</f>
        <v/>
      </c>
      <c r="AF51" s="35" t="str">
        <f>IF(AND('Mapa final'!$AB$43="Muy Baja",'Mapa final'!$AD$43="Mayor"),CONCATENATE("R6C",'Mapa final'!$R$43),"")</f>
        <v/>
      </c>
      <c r="AG51" s="36" t="str">
        <f>IF(AND('Mapa final'!$AB$44="Muy Baja",'Mapa final'!$AD$44="Mayor"),CONCATENATE("R6C",'Mapa final'!$R$44),"")</f>
        <v/>
      </c>
      <c r="AH51" s="37" t="str">
        <f>IF(AND('Mapa final'!$AB$39="Muy Baja",'Mapa final'!$AD$39="Catastrófico"),CONCATENATE("R6C",'Mapa final'!$R$39),"")</f>
        <v/>
      </c>
      <c r="AI51" s="38" t="str">
        <f>IF(AND('Mapa final'!$AB$40="Muy Baja",'Mapa final'!$AD$40="Catastrófico"),CONCATENATE("R6C",'Mapa final'!$R$40),"")</f>
        <v/>
      </c>
      <c r="AJ51" s="38" t="str">
        <f>IF(AND('Mapa final'!$AB$41="Muy Baja",'Mapa final'!$AD$41="Catastrófico"),CONCATENATE("R6C",'Mapa final'!$R$41),"")</f>
        <v/>
      </c>
      <c r="AK51" s="38" t="str">
        <f>IF(AND('Mapa final'!$AB$42="Muy Baja",'Mapa final'!$AD$42="Catastrófico"),CONCATENATE("R6C",'Mapa final'!$R$42),"")</f>
        <v/>
      </c>
      <c r="AL51" s="38" t="str">
        <f>IF(AND('Mapa final'!$AB$43="Muy Baja",'Mapa final'!$AD$43="Catastrófico"),CONCATENATE("R6C",'Mapa final'!$R$43),"")</f>
        <v/>
      </c>
      <c r="AM51" s="39" t="str">
        <f>IF(AND('Mapa final'!$AB$44="Muy Baja",'Mapa final'!$AD$44="Catastrófico"),CONCATENATE("R6C",'Mapa final'!$R$44),"")</f>
        <v/>
      </c>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ht="15" customHeight="1" x14ac:dyDescent="0.3">
      <c r="A52" s="65"/>
      <c r="B52" s="713"/>
      <c r="C52" s="713"/>
      <c r="D52" s="714"/>
      <c r="E52" s="812"/>
      <c r="F52" s="811"/>
      <c r="G52" s="811"/>
      <c r="H52" s="811"/>
      <c r="I52" s="827"/>
      <c r="J52" s="58" t="str">
        <f>IF(AND('Mapa final'!$AB$45="Muy Baja",'Mapa final'!$AD$45="Leve"),CONCATENATE("R7C",'Mapa final'!$R$45),"")</f>
        <v/>
      </c>
      <c r="K52" s="59" t="str">
        <f>IF(AND('Mapa final'!$AB$46="Muy Baja",'Mapa final'!$AD$46="Leve"),CONCATENATE("R7C",'Mapa final'!$R$46),"")</f>
        <v/>
      </c>
      <c r="L52" s="59" t="str">
        <f>IF(AND('Mapa final'!$AB$47="Muy Baja",'Mapa final'!$AD$47="Leve"),CONCATENATE("R7C",'Mapa final'!$R$47),"")</f>
        <v/>
      </c>
      <c r="M52" s="59" t="str">
        <f>IF(AND('Mapa final'!$AB$48="Muy Baja",'Mapa final'!$AD$48="Leve"),CONCATENATE("R7C",'Mapa final'!$R$48),"")</f>
        <v/>
      </c>
      <c r="N52" s="59" t="str">
        <f>IF(AND('Mapa final'!$AB$49="Muy Baja",'Mapa final'!$AD$49="Leve"),CONCATENATE("R7C",'Mapa final'!$R$49),"")</f>
        <v/>
      </c>
      <c r="O52" s="60" t="str">
        <f>IF(AND('Mapa final'!$AB$50="Muy Baja",'Mapa final'!$AD$50="Leve"),CONCATENATE("R7C",'Mapa final'!$R$50),"")</f>
        <v/>
      </c>
      <c r="P52" s="58" t="str">
        <f>IF(AND('Mapa final'!$AB$45="Muy Baja",'Mapa final'!$AD$45="Menor"),CONCATENATE("R7C",'Mapa final'!$R$45),"")</f>
        <v/>
      </c>
      <c r="Q52" s="59" t="str">
        <f>IF(AND('Mapa final'!$AB$46="Muy Baja",'Mapa final'!$AD$46="Menor"),CONCATENATE("R7C",'Mapa final'!$R$46),"")</f>
        <v/>
      </c>
      <c r="R52" s="59" t="str">
        <f>IF(AND('Mapa final'!$AB$47="Muy Baja",'Mapa final'!$AD$47="Menor"),CONCATENATE("R7C",'Mapa final'!$R$47),"")</f>
        <v/>
      </c>
      <c r="S52" s="59" t="str">
        <f>IF(AND('Mapa final'!$AB$48="Muy Baja",'Mapa final'!$AD$48="Menor"),CONCATENATE("R7C",'Mapa final'!$R$48),"")</f>
        <v/>
      </c>
      <c r="T52" s="59" t="str">
        <f>IF(AND('Mapa final'!$AB$49="Muy Baja",'Mapa final'!$AD$49="Menor"),CONCATENATE("R7C",'Mapa final'!$R$49),"")</f>
        <v/>
      </c>
      <c r="U52" s="60" t="str">
        <f>IF(AND('Mapa final'!$AB$50="Muy Baja",'Mapa final'!$AD$50="Menor"),CONCATENATE("R7C",'Mapa final'!$R$50),"")</f>
        <v/>
      </c>
      <c r="V52" s="49" t="str">
        <f>IF(AND('Mapa final'!$AB$45="Muy Baja",'Mapa final'!$AD$45="Moderado"),CONCATENATE("R7C",'Mapa final'!$R$45),"")</f>
        <v/>
      </c>
      <c r="W52" s="50" t="str">
        <f>IF(AND('Mapa final'!$AB$46="Muy Baja",'Mapa final'!$AD$46="Moderado"),CONCATENATE("R7C",'Mapa final'!$R$46),"")</f>
        <v/>
      </c>
      <c r="X52" s="50" t="str">
        <f>IF(AND('Mapa final'!$AB$47="Muy Baja",'Mapa final'!$AD$47="Moderado"),CONCATENATE("R7C",'Mapa final'!$R$47),"")</f>
        <v/>
      </c>
      <c r="Y52" s="50" t="str">
        <f>IF(AND('Mapa final'!$AB$48="Muy Baja",'Mapa final'!$AD$48="Moderado"),CONCATENATE("R7C",'Mapa final'!$R$48),"")</f>
        <v/>
      </c>
      <c r="Z52" s="50" t="str">
        <f>IF(AND('Mapa final'!$AB$49="Muy Baja",'Mapa final'!$AD$49="Moderado"),CONCATENATE("R7C",'Mapa final'!$R$49),"")</f>
        <v/>
      </c>
      <c r="AA52" s="51" t="str">
        <f>IF(AND('Mapa final'!$AB$50="Muy Baja",'Mapa final'!$AD$50="Moderado"),CONCATENATE("R7C",'Mapa final'!$R$50),"")</f>
        <v/>
      </c>
      <c r="AB52" s="34" t="str">
        <f>IF(AND('Mapa final'!$AB$45="Muy Baja",'Mapa final'!$AD$45="Mayor"),CONCATENATE("R7C",'Mapa final'!$R$45),"")</f>
        <v/>
      </c>
      <c r="AC52" s="35" t="str">
        <f>IF(AND('Mapa final'!$AB$46="Muy Baja",'Mapa final'!$AD$46="Mayor"),CONCATENATE("R7C",'Mapa final'!$R$46),"")</f>
        <v/>
      </c>
      <c r="AD52" s="35" t="str">
        <f>IF(AND('Mapa final'!$AB$47="Muy Baja",'Mapa final'!$AD$47="Mayor"),CONCATENATE("R7C",'Mapa final'!$R$47),"")</f>
        <v/>
      </c>
      <c r="AE52" s="35" t="str">
        <f>IF(AND('Mapa final'!$AB$48="Muy Baja",'Mapa final'!$AD$48="Mayor"),CONCATENATE("R7C",'Mapa final'!$R$48),"")</f>
        <v/>
      </c>
      <c r="AF52" s="35" t="str">
        <f>IF(AND('Mapa final'!$AB$49="Muy Baja",'Mapa final'!$AD$49="Mayor"),CONCATENATE("R7C",'Mapa final'!$R$49),"")</f>
        <v/>
      </c>
      <c r="AG52" s="36" t="str">
        <f>IF(AND('Mapa final'!$AB$50="Muy Baja",'Mapa final'!$AD$50="Mayor"),CONCATENATE("R7C",'Mapa final'!$R$50),"")</f>
        <v/>
      </c>
      <c r="AH52" s="37" t="str">
        <f>IF(AND('Mapa final'!$AB$45="Muy Baja",'Mapa final'!$AD$45="Catastrófico"),CONCATENATE("R7C",'Mapa final'!$R$45),"")</f>
        <v/>
      </c>
      <c r="AI52" s="38" t="str">
        <f>IF(AND('Mapa final'!$AB$46="Muy Baja",'Mapa final'!$AD$46="Catastrófico"),CONCATENATE("R7C",'Mapa final'!$R$46),"")</f>
        <v/>
      </c>
      <c r="AJ52" s="38" t="str">
        <f>IF(AND('Mapa final'!$AB$47="Muy Baja",'Mapa final'!$AD$47="Catastrófico"),CONCATENATE("R7C",'Mapa final'!$R$47),"")</f>
        <v/>
      </c>
      <c r="AK52" s="38" t="str">
        <f>IF(AND('Mapa final'!$AB$48="Muy Baja",'Mapa final'!$AD$48="Catastrófico"),CONCATENATE("R7C",'Mapa final'!$R$48),"")</f>
        <v/>
      </c>
      <c r="AL52" s="38" t="str">
        <f>IF(AND('Mapa final'!$AB$49="Muy Baja",'Mapa final'!$AD$49="Catastrófico"),CONCATENATE("R7C",'Mapa final'!$R$49),"")</f>
        <v/>
      </c>
      <c r="AM52" s="39" t="str">
        <f>IF(AND('Mapa final'!$AB$50="Muy Baja",'Mapa final'!$AD$50="Catastrófico"),CONCATENATE("R7C",'Mapa final'!$R$50),"")</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713"/>
      <c r="C53" s="713"/>
      <c r="D53" s="714"/>
      <c r="E53" s="812"/>
      <c r="F53" s="811"/>
      <c r="G53" s="811"/>
      <c r="H53" s="811"/>
      <c r="I53" s="827"/>
      <c r="J53" s="58" t="str">
        <f>IF(AND('Mapa final'!$AB$51="Muy Baja",'Mapa final'!$AD$51="Leve"),CONCATENATE("R8C",'Mapa final'!$R$51),"")</f>
        <v/>
      </c>
      <c r="K53" s="59" t="str">
        <f>IF(AND('Mapa final'!$AB$52="Muy Baja",'Mapa final'!$AD$52="Leve"),CONCATENATE("R8C",'Mapa final'!$R$52),"")</f>
        <v/>
      </c>
      <c r="L53" s="59" t="str">
        <f>IF(AND('Mapa final'!$AB$53="Muy Baja",'Mapa final'!$AD$53="Leve"),CONCATENATE("R8C",'Mapa final'!$R$53),"")</f>
        <v/>
      </c>
      <c r="M53" s="59" t="str">
        <f>IF(AND('Mapa final'!$AB$54="Muy Baja",'Mapa final'!$AD$54="Leve"),CONCATENATE("R8C",'Mapa final'!$R$54),"")</f>
        <v/>
      </c>
      <c r="N53" s="59" t="str">
        <f>IF(AND('Mapa final'!$AB$55="Muy Baja",'Mapa final'!$AD$55="Leve"),CONCATENATE("R8C",'Mapa final'!$R$55),"")</f>
        <v/>
      </c>
      <c r="O53" s="60" t="str">
        <f>IF(AND('Mapa final'!$AB$56="Muy Baja",'Mapa final'!$AD$56="Leve"),CONCATENATE("R8C",'Mapa final'!$R$56),"")</f>
        <v/>
      </c>
      <c r="P53" s="58" t="str">
        <f>IF(AND('Mapa final'!$AB$51="Muy Baja",'Mapa final'!$AD$51="Menor"),CONCATENATE("R8C",'Mapa final'!$R$51),"")</f>
        <v/>
      </c>
      <c r="Q53" s="59" t="str">
        <f>IF(AND('Mapa final'!$AB$52="Muy Baja",'Mapa final'!$AD$52="Menor"),CONCATENATE("R8C",'Mapa final'!$R$52),"")</f>
        <v/>
      </c>
      <c r="R53" s="59" t="str">
        <f>IF(AND('Mapa final'!$AB$53="Muy Baja",'Mapa final'!$AD$53="Menor"),CONCATENATE("R8C",'Mapa final'!$R$53),"")</f>
        <v/>
      </c>
      <c r="S53" s="59" t="str">
        <f>IF(AND('Mapa final'!$AB$54="Muy Baja",'Mapa final'!$AD$54="Menor"),CONCATENATE("R8C",'Mapa final'!$R$54),"")</f>
        <v/>
      </c>
      <c r="T53" s="59" t="str">
        <f>IF(AND('Mapa final'!$AB$55="Muy Baja",'Mapa final'!$AD$55="Menor"),CONCATENATE("R8C",'Mapa final'!$R$55),"")</f>
        <v/>
      </c>
      <c r="U53" s="60" t="str">
        <f>IF(AND('Mapa final'!$AB$56="Muy Baja",'Mapa final'!$AD$56="Menor"),CONCATENATE("R8C",'Mapa final'!$R$56),"")</f>
        <v/>
      </c>
      <c r="V53" s="49" t="str">
        <f>IF(AND('Mapa final'!$AB$51="Muy Baja",'Mapa final'!$AD$51="Moderado"),CONCATENATE("R8C",'Mapa final'!$R$51),"")</f>
        <v/>
      </c>
      <c r="W53" s="50" t="str">
        <f>IF(AND('Mapa final'!$AB$52="Muy Baja",'Mapa final'!$AD$52="Moderado"),CONCATENATE("R8C",'Mapa final'!$R$52),"")</f>
        <v/>
      </c>
      <c r="X53" s="50" t="str">
        <f>IF(AND('Mapa final'!$AB$53="Muy Baja",'Mapa final'!$AD$53="Moderado"),CONCATENATE("R8C",'Mapa final'!$R$53),"")</f>
        <v/>
      </c>
      <c r="Y53" s="50" t="str">
        <f>IF(AND('Mapa final'!$AB$54="Muy Baja",'Mapa final'!$AD$54="Moderado"),CONCATENATE("R8C",'Mapa final'!$R$54),"")</f>
        <v/>
      </c>
      <c r="Z53" s="50" t="str">
        <f>IF(AND('Mapa final'!$AB$55="Muy Baja",'Mapa final'!$AD$55="Moderado"),CONCATENATE("R8C",'Mapa final'!$R$55),"")</f>
        <v/>
      </c>
      <c r="AA53" s="51" t="str">
        <f>IF(AND('Mapa final'!$AB$56="Muy Baja",'Mapa final'!$AD$56="Moderado"),CONCATENATE("R8C",'Mapa final'!$R$56),"")</f>
        <v/>
      </c>
      <c r="AB53" s="34" t="str">
        <f>IF(AND('Mapa final'!$AB$51="Muy Baja",'Mapa final'!$AD$51="Mayor"),CONCATENATE("R8C",'Mapa final'!$R$51),"")</f>
        <v/>
      </c>
      <c r="AC53" s="35" t="str">
        <f>IF(AND('Mapa final'!$AB$52="Muy Baja",'Mapa final'!$AD$52="Mayor"),CONCATENATE("R8C",'Mapa final'!$R$52),"")</f>
        <v/>
      </c>
      <c r="AD53" s="35" t="str">
        <f>IF(AND('Mapa final'!$AB$53="Muy Baja",'Mapa final'!$AD$53="Mayor"),CONCATENATE("R8C",'Mapa final'!$R$53),"")</f>
        <v/>
      </c>
      <c r="AE53" s="35" t="str">
        <f>IF(AND('Mapa final'!$AB$54="Muy Baja",'Mapa final'!$AD$54="Mayor"),CONCATENATE("R8C",'Mapa final'!$R$54),"")</f>
        <v/>
      </c>
      <c r="AF53" s="35" t="str">
        <f>IF(AND('Mapa final'!$AB$55="Muy Baja",'Mapa final'!$AD$55="Mayor"),CONCATENATE("R8C",'Mapa final'!$R$55),"")</f>
        <v/>
      </c>
      <c r="AG53" s="36" t="str">
        <f>IF(AND('Mapa final'!$AB$56="Muy Baja",'Mapa final'!$AD$56="Mayor"),CONCATENATE("R8C",'Mapa final'!$R$56),"")</f>
        <v/>
      </c>
      <c r="AH53" s="37" t="str">
        <f>IF(AND('Mapa final'!$AB$51="Muy Baja",'Mapa final'!$AD$51="Catastrófico"),CONCATENATE("R8C",'Mapa final'!$R$51),"")</f>
        <v/>
      </c>
      <c r="AI53" s="38" t="str">
        <f>IF(AND('Mapa final'!$AB$52="Muy Baja",'Mapa final'!$AD$52="Catastrófico"),CONCATENATE("R8C",'Mapa final'!$R$52),"")</f>
        <v/>
      </c>
      <c r="AJ53" s="38" t="str">
        <f>IF(AND('Mapa final'!$AB$53="Muy Baja",'Mapa final'!$AD$53="Catastrófico"),CONCATENATE("R8C",'Mapa final'!$R$53),"")</f>
        <v/>
      </c>
      <c r="AK53" s="38" t="str">
        <f>IF(AND('Mapa final'!$AB$54="Muy Baja",'Mapa final'!$AD$54="Catastrófico"),CONCATENATE("R8C",'Mapa final'!$R$54),"")</f>
        <v/>
      </c>
      <c r="AL53" s="38" t="str">
        <f>IF(AND('Mapa final'!$AB$55="Muy Baja",'Mapa final'!$AD$55="Catastrófico"),CONCATENATE("R8C",'Mapa final'!$R$55),"")</f>
        <v/>
      </c>
      <c r="AM53" s="39" t="str">
        <f>IF(AND('Mapa final'!$AB$56="Muy Baja",'Mapa final'!$AD$56="Catastrófico"),CONCATENATE("R8C",'Mapa final'!$R$56),"")</f>
        <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713"/>
      <c r="C54" s="713"/>
      <c r="D54" s="714"/>
      <c r="E54" s="812"/>
      <c r="F54" s="811"/>
      <c r="G54" s="811"/>
      <c r="H54" s="811"/>
      <c r="I54" s="827"/>
      <c r="J54" s="58" t="str">
        <f>IF(AND('Mapa final'!$AB$57="Muy Baja",'Mapa final'!$AD$57="Leve"),CONCATENATE("R9C",'Mapa final'!$R$57),"")</f>
        <v/>
      </c>
      <c r="K54" s="59" t="str">
        <f>IF(AND('Mapa final'!$AB$58="Muy Baja",'Mapa final'!$AD$58="Leve"),CONCATENATE("R9C",'Mapa final'!$R$58),"")</f>
        <v/>
      </c>
      <c r="L54" s="59" t="str">
        <f>IF(AND('Mapa final'!$AB$59="Muy Baja",'Mapa final'!$AD$59="Leve"),CONCATENATE("R9C",'Mapa final'!$R$59),"")</f>
        <v/>
      </c>
      <c r="M54" s="59" t="str">
        <f>IF(AND('Mapa final'!$AB$60="Muy Baja",'Mapa final'!$AD$60="Leve"),CONCATENATE("R9C",'Mapa final'!$R$60),"")</f>
        <v/>
      </c>
      <c r="N54" s="59" t="str">
        <f>IF(AND('Mapa final'!$AB$61="Muy Baja",'Mapa final'!$AD$61="Leve"),CONCATENATE("R9C",'Mapa final'!$R$61),"")</f>
        <v/>
      </c>
      <c r="O54" s="60" t="str">
        <f>IF(AND('Mapa final'!$AB$62="Muy Baja",'Mapa final'!$AD$62="Leve"),CONCATENATE("R9C",'Mapa final'!$R$62),"")</f>
        <v/>
      </c>
      <c r="P54" s="58" t="str">
        <f>IF(AND('Mapa final'!$AB$57="Muy Baja",'Mapa final'!$AD$57="Menor"),CONCATENATE("R9C",'Mapa final'!$R$57),"")</f>
        <v/>
      </c>
      <c r="Q54" s="59" t="str">
        <f>IF(AND('Mapa final'!$AB$58="Muy Baja",'Mapa final'!$AD$58="Menor"),CONCATENATE("R9C",'Mapa final'!$R$58),"")</f>
        <v/>
      </c>
      <c r="R54" s="59" t="str">
        <f>IF(AND('Mapa final'!$AB$59="Muy Baja",'Mapa final'!$AD$59="Menor"),CONCATENATE("R9C",'Mapa final'!$R$59),"")</f>
        <v/>
      </c>
      <c r="S54" s="59" t="str">
        <f>IF(AND('Mapa final'!$AB$60="Muy Baja",'Mapa final'!$AD$60="Menor"),CONCATENATE("R9C",'Mapa final'!$R$60),"")</f>
        <v/>
      </c>
      <c r="T54" s="59" t="str">
        <f>IF(AND('Mapa final'!$AB$61="Muy Baja",'Mapa final'!$AD$61="Menor"),CONCATENATE("R9C",'Mapa final'!$R$61),"")</f>
        <v/>
      </c>
      <c r="U54" s="60" t="str">
        <f>IF(AND('Mapa final'!$AB$62="Muy Baja",'Mapa final'!$AD$62="Menor"),CONCATENATE("R9C",'Mapa final'!$R$62),"")</f>
        <v/>
      </c>
      <c r="V54" s="49" t="str">
        <f>IF(AND('Mapa final'!$AB$57="Muy Baja",'Mapa final'!$AD$57="Moderado"),CONCATENATE("R9C",'Mapa final'!$R$57),"")</f>
        <v/>
      </c>
      <c r="W54" s="50" t="str">
        <f>IF(AND('Mapa final'!$AB$58="Muy Baja",'Mapa final'!$AD$58="Moderado"),CONCATENATE("R9C",'Mapa final'!$R$58),"")</f>
        <v/>
      </c>
      <c r="X54" s="50" t="str">
        <f>IF(AND('Mapa final'!$AB$59="Muy Baja",'Mapa final'!$AD$59="Moderado"),CONCATENATE("R9C",'Mapa final'!$R$59),"")</f>
        <v/>
      </c>
      <c r="Y54" s="50" t="str">
        <f>IF(AND('Mapa final'!$AB$60="Muy Baja",'Mapa final'!$AD$60="Moderado"),CONCATENATE("R9C",'Mapa final'!$R$60),"")</f>
        <v/>
      </c>
      <c r="Z54" s="50" t="str">
        <f>IF(AND('Mapa final'!$AB$61="Muy Baja",'Mapa final'!$AD$61="Moderado"),CONCATENATE("R9C",'Mapa final'!$R$61),"")</f>
        <v/>
      </c>
      <c r="AA54" s="51" t="str">
        <f>IF(AND('Mapa final'!$AB$62="Muy Baja",'Mapa final'!$AD$62="Moderado"),CONCATENATE("R9C",'Mapa final'!$R$62),"")</f>
        <v/>
      </c>
      <c r="AB54" s="34" t="str">
        <f>IF(AND('Mapa final'!$AB$57="Muy Baja",'Mapa final'!$AD$57="Mayor"),CONCATENATE("R9C",'Mapa final'!$R$57),"")</f>
        <v/>
      </c>
      <c r="AC54" s="35" t="str">
        <f>IF(AND('Mapa final'!$AB$58="Muy Baja",'Mapa final'!$AD$58="Mayor"),CONCATENATE("R9C",'Mapa final'!$R$58),"")</f>
        <v/>
      </c>
      <c r="AD54" s="35" t="str">
        <f>IF(AND('Mapa final'!$AB$59="Muy Baja",'Mapa final'!$AD$59="Mayor"),CONCATENATE("R9C",'Mapa final'!$R$59),"")</f>
        <v/>
      </c>
      <c r="AE54" s="35" t="str">
        <f>IF(AND('Mapa final'!$AB$60="Muy Baja",'Mapa final'!$AD$60="Mayor"),CONCATENATE("R9C",'Mapa final'!$R$60),"")</f>
        <v/>
      </c>
      <c r="AF54" s="35" t="str">
        <f>IF(AND('Mapa final'!$AB$61="Muy Baja",'Mapa final'!$AD$61="Mayor"),CONCATENATE("R9C",'Mapa final'!$R$61),"")</f>
        <v/>
      </c>
      <c r="AG54" s="36" t="str">
        <f>IF(AND('Mapa final'!$AB$62="Muy Baja",'Mapa final'!$AD$62="Mayor"),CONCATENATE("R9C",'Mapa final'!$R$62),"")</f>
        <v/>
      </c>
      <c r="AH54" s="37" t="str">
        <f>IF(AND('Mapa final'!$AB$57="Muy Baja",'Mapa final'!$AD$57="Catastrófico"),CONCATENATE("R9C",'Mapa final'!$R$57),"")</f>
        <v/>
      </c>
      <c r="AI54" s="38" t="str">
        <f>IF(AND('Mapa final'!$AB$58="Muy Baja",'Mapa final'!$AD$58="Catastrófico"),CONCATENATE("R9C",'Mapa final'!$R$58),"")</f>
        <v/>
      </c>
      <c r="AJ54" s="38" t="str">
        <f>IF(AND('Mapa final'!$AB$59="Muy Baja",'Mapa final'!$AD$59="Catastrófico"),CONCATENATE("R9C",'Mapa final'!$R$59),"")</f>
        <v/>
      </c>
      <c r="AK54" s="38" t="str">
        <f>IF(AND('Mapa final'!$AB$60="Muy Baja",'Mapa final'!$AD$60="Catastrófico"),CONCATENATE("R9C",'Mapa final'!$R$60),"")</f>
        <v/>
      </c>
      <c r="AL54" s="38" t="str">
        <f>IF(AND('Mapa final'!$AB$61="Muy Baja",'Mapa final'!$AD$61="Catastrófico"),CONCATENATE("R9C",'Mapa final'!$R$61),"")</f>
        <v/>
      </c>
      <c r="AM54" s="39" t="str">
        <f>IF(AND('Mapa final'!$AB$62="Muy Baja",'Mapa final'!$AD$62="Catastrófico"),CONCATENATE("R9C",'Mapa final'!$R$62),"")</f>
        <v/>
      </c>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ht="15.75" customHeight="1" thickBot="1" x14ac:dyDescent="0.35">
      <c r="A55" s="65"/>
      <c r="B55" s="713"/>
      <c r="C55" s="713"/>
      <c r="D55" s="714"/>
      <c r="E55" s="813"/>
      <c r="F55" s="814"/>
      <c r="G55" s="814"/>
      <c r="H55" s="814"/>
      <c r="I55" s="828"/>
      <c r="J55" s="61" t="str">
        <f>IF(AND('Mapa final'!$AB$63="Muy Baja",'Mapa final'!$AD$63="Leve"),CONCATENATE("R10C",'Mapa final'!$R$63),"")</f>
        <v/>
      </c>
      <c r="K55" s="62" t="str">
        <f>IF(AND('Mapa final'!$AB$64="Muy Baja",'Mapa final'!$AD$64="Leve"),CONCATENATE("R10C",'Mapa final'!$R$64),"")</f>
        <v/>
      </c>
      <c r="L55" s="62" t="str">
        <f>IF(AND('Mapa final'!$AB$65="Muy Baja",'Mapa final'!$AD$65="Leve"),CONCATENATE("R10C",'Mapa final'!$R$65),"")</f>
        <v/>
      </c>
      <c r="M55" s="62" t="str">
        <f>IF(AND('Mapa final'!$AB$66="Muy Baja",'Mapa final'!$AD$66="Leve"),CONCATENATE("R10C",'Mapa final'!$R$66),"")</f>
        <v/>
      </c>
      <c r="N55" s="62" t="str">
        <f>IF(AND('Mapa final'!$AB$67="Muy Baja",'Mapa final'!$AD$67="Leve"),CONCATENATE("R10C",'Mapa final'!$R$67),"")</f>
        <v/>
      </c>
      <c r="O55" s="63" t="str">
        <f>IF(AND('Mapa final'!$AB$68="Muy Baja",'Mapa final'!$AD$68="Leve"),CONCATENATE("R10C",'Mapa final'!$R$68),"")</f>
        <v/>
      </c>
      <c r="P55" s="61" t="str">
        <f>IF(AND('Mapa final'!$AB$63="Muy Baja",'Mapa final'!$AD$63="Menor"),CONCATENATE("R10C",'Mapa final'!$R$63),"")</f>
        <v/>
      </c>
      <c r="Q55" s="62" t="str">
        <f>IF(AND('Mapa final'!$AB$64="Muy Baja",'Mapa final'!$AD$64="Menor"),CONCATENATE("R10C",'Mapa final'!$R$64),"")</f>
        <v/>
      </c>
      <c r="R55" s="62" t="str">
        <f>IF(AND('Mapa final'!$AB$65="Muy Baja",'Mapa final'!$AD$65="Menor"),CONCATENATE("R10C",'Mapa final'!$R$65),"")</f>
        <v/>
      </c>
      <c r="S55" s="62" t="str">
        <f>IF(AND('Mapa final'!$AB$66="Muy Baja",'Mapa final'!$AD$66="Menor"),CONCATENATE("R10C",'Mapa final'!$R$66),"")</f>
        <v/>
      </c>
      <c r="T55" s="62" t="str">
        <f>IF(AND('Mapa final'!$AB$67="Muy Baja",'Mapa final'!$AD$67="Menor"),CONCATENATE("R10C",'Mapa final'!$R$67),"")</f>
        <v/>
      </c>
      <c r="U55" s="63" t="str">
        <f>IF(AND('Mapa final'!$AB$68="Muy Baja",'Mapa final'!$AD$68="Menor"),CONCATENATE("R10C",'Mapa final'!$R$68),"")</f>
        <v/>
      </c>
      <c r="V55" s="52" t="str">
        <f>IF(AND('Mapa final'!$AB$63="Muy Baja",'Mapa final'!$AD$63="Moderado"),CONCATENATE("R10C",'Mapa final'!$R$63),"")</f>
        <v/>
      </c>
      <c r="W55" s="53" t="str">
        <f>IF(AND('Mapa final'!$AB$64="Muy Baja",'Mapa final'!$AD$64="Moderado"),CONCATENATE("R10C",'Mapa final'!$R$64),"")</f>
        <v/>
      </c>
      <c r="X55" s="53" t="str">
        <f>IF(AND('Mapa final'!$AB$65="Muy Baja",'Mapa final'!$AD$65="Moderado"),CONCATENATE("R10C",'Mapa final'!$R$65),"")</f>
        <v/>
      </c>
      <c r="Y55" s="53" t="str">
        <f>IF(AND('Mapa final'!$AB$66="Muy Baja",'Mapa final'!$AD$66="Moderado"),CONCATENATE("R10C",'Mapa final'!$R$66),"")</f>
        <v/>
      </c>
      <c r="Z55" s="53" t="str">
        <f>IF(AND('Mapa final'!$AB$67="Muy Baja",'Mapa final'!$AD$67="Moderado"),CONCATENATE("R10C",'Mapa final'!$R$67),"")</f>
        <v/>
      </c>
      <c r="AA55" s="54" t="str">
        <f>IF(AND('Mapa final'!$AB$68="Muy Baja",'Mapa final'!$AD$68="Moderado"),CONCATENATE("R10C",'Mapa final'!$R$68),"")</f>
        <v/>
      </c>
      <c r="AB55" s="40" t="str">
        <f>IF(AND('Mapa final'!$AB$63="Muy Baja",'Mapa final'!$AD$63="Mayor"),CONCATENATE("R10C",'Mapa final'!$R$63),"")</f>
        <v/>
      </c>
      <c r="AC55" s="41" t="str">
        <f>IF(AND('Mapa final'!$AB$64="Muy Baja",'Mapa final'!$AD$64="Mayor"),CONCATENATE("R10C",'Mapa final'!$R$64),"")</f>
        <v/>
      </c>
      <c r="AD55" s="41" t="str">
        <f>IF(AND('Mapa final'!$AB$65="Muy Baja",'Mapa final'!$AD$65="Mayor"),CONCATENATE("R10C",'Mapa final'!$R$65),"")</f>
        <v/>
      </c>
      <c r="AE55" s="41" t="str">
        <f>IF(AND('Mapa final'!$AB$66="Muy Baja",'Mapa final'!$AD$66="Mayor"),CONCATENATE("R10C",'Mapa final'!$R$66),"")</f>
        <v/>
      </c>
      <c r="AF55" s="41" t="str">
        <f>IF(AND('Mapa final'!$AB$67="Muy Baja",'Mapa final'!$AD$67="Mayor"),CONCATENATE("R10C",'Mapa final'!$R$67),"")</f>
        <v/>
      </c>
      <c r="AG55" s="42" t="str">
        <f>IF(AND('Mapa final'!$AB$68="Muy Baja",'Mapa final'!$AD$68="Mayor"),CONCATENATE("R10C",'Mapa final'!$R$68),"")</f>
        <v/>
      </c>
      <c r="AH55" s="43" t="str">
        <f>IF(AND('Mapa final'!$AB$63="Muy Baja",'Mapa final'!$AD$63="Catastrófico"),CONCATENATE("R10C",'Mapa final'!$R$63),"")</f>
        <v/>
      </c>
      <c r="AI55" s="44" t="str">
        <f>IF(AND('Mapa final'!$AB$64="Muy Baja",'Mapa final'!$AD$64="Catastrófico"),CONCATENATE("R10C",'Mapa final'!$R$64),"")</f>
        <v/>
      </c>
      <c r="AJ55" s="44" t="str">
        <f>IF(AND('Mapa final'!$AB$65="Muy Baja",'Mapa final'!$AD$65="Catastrófico"),CONCATENATE("R10C",'Mapa final'!$R$65),"")</f>
        <v/>
      </c>
      <c r="AK55" s="44" t="str">
        <f>IF(AND('Mapa final'!$AB$66="Muy Baja",'Mapa final'!$AD$66="Catastrófico"),CONCATENATE("R10C",'Mapa final'!$R$66),"")</f>
        <v/>
      </c>
      <c r="AL55" s="44" t="str">
        <f>IF(AND('Mapa final'!$AB$67="Muy Baja",'Mapa final'!$AD$67="Catastrófico"),CONCATENATE("R10C",'Mapa final'!$R$67),"")</f>
        <v/>
      </c>
      <c r="AM55" s="45" t="str">
        <f>IF(AND('Mapa final'!$AB$68="Muy Baja",'Mapa final'!$AD$68="Catastrófico"),CONCATENATE("R10C",'Mapa final'!$R$68),"")</f>
        <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808" t="s">
        <v>107</v>
      </c>
      <c r="K56" s="809"/>
      <c r="L56" s="809"/>
      <c r="M56" s="809"/>
      <c r="N56" s="809"/>
      <c r="O56" s="826"/>
      <c r="P56" s="808" t="s">
        <v>106</v>
      </c>
      <c r="Q56" s="809"/>
      <c r="R56" s="809"/>
      <c r="S56" s="809"/>
      <c r="T56" s="809"/>
      <c r="U56" s="826"/>
      <c r="V56" s="808" t="s">
        <v>105</v>
      </c>
      <c r="W56" s="809"/>
      <c r="X56" s="809"/>
      <c r="Y56" s="809"/>
      <c r="Z56" s="809"/>
      <c r="AA56" s="826"/>
      <c r="AB56" s="808" t="s">
        <v>104</v>
      </c>
      <c r="AC56" s="847"/>
      <c r="AD56" s="809"/>
      <c r="AE56" s="809"/>
      <c r="AF56" s="809"/>
      <c r="AG56" s="826"/>
      <c r="AH56" s="808" t="s">
        <v>103</v>
      </c>
      <c r="AI56" s="809"/>
      <c r="AJ56" s="809"/>
      <c r="AK56" s="809"/>
      <c r="AL56" s="809"/>
      <c r="AM56" s="826"/>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812"/>
      <c r="K57" s="811"/>
      <c r="L57" s="811"/>
      <c r="M57" s="811"/>
      <c r="N57" s="811"/>
      <c r="O57" s="827"/>
      <c r="P57" s="812"/>
      <c r="Q57" s="811"/>
      <c r="R57" s="811"/>
      <c r="S57" s="811"/>
      <c r="T57" s="811"/>
      <c r="U57" s="827"/>
      <c r="V57" s="812"/>
      <c r="W57" s="811"/>
      <c r="X57" s="811"/>
      <c r="Y57" s="811"/>
      <c r="Z57" s="811"/>
      <c r="AA57" s="827"/>
      <c r="AB57" s="812"/>
      <c r="AC57" s="811"/>
      <c r="AD57" s="811"/>
      <c r="AE57" s="811"/>
      <c r="AF57" s="811"/>
      <c r="AG57" s="827"/>
      <c r="AH57" s="812"/>
      <c r="AI57" s="811"/>
      <c r="AJ57" s="811"/>
      <c r="AK57" s="811"/>
      <c r="AL57" s="811"/>
      <c r="AM57" s="827"/>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812"/>
      <c r="K58" s="811"/>
      <c r="L58" s="811"/>
      <c r="M58" s="811"/>
      <c r="N58" s="811"/>
      <c r="O58" s="827"/>
      <c r="P58" s="812"/>
      <c r="Q58" s="811"/>
      <c r="R58" s="811"/>
      <c r="S58" s="811"/>
      <c r="T58" s="811"/>
      <c r="U58" s="827"/>
      <c r="V58" s="812"/>
      <c r="W58" s="811"/>
      <c r="X58" s="811"/>
      <c r="Y58" s="811"/>
      <c r="Z58" s="811"/>
      <c r="AA58" s="827"/>
      <c r="AB58" s="812"/>
      <c r="AC58" s="811"/>
      <c r="AD58" s="811"/>
      <c r="AE58" s="811"/>
      <c r="AF58" s="811"/>
      <c r="AG58" s="827"/>
      <c r="AH58" s="812"/>
      <c r="AI58" s="811"/>
      <c r="AJ58" s="811"/>
      <c r="AK58" s="811"/>
      <c r="AL58" s="811"/>
      <c r="AM58" s="827"/>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812"/>
      <c r="K59" s="811"/>
      <c r="L59" s="811"/>
      <c r="M59" s="811"/>
      <c r="N59" s="811"/>
      <c r="O59" s="827"/>
      <c r="P59" s="812"/>
      <c r="Q59" s="811"/>
      <c r="R59" s="811"/>
      <c r="S59" s="811"/>
      <c r="T59" s="811"/>
      <c r="U59" s="827"/>
      <c r="V59" s="812"/>
      <c r="W59" s="811"/>
      <c r="X59" s="811"/>
      <c r="Y59" s="811"/>
      <c r="Z59" s="811"/>
      <c r="AA59" s="827"/>
      <c r="AB59" s="812"/>
      <c r="AC59" s="811"/>
      <c r="AD59" s="811"/>
      <c r="AE59" s="811"/>
      <c r="AF59" s="811"/>
      <c r="AG59" s="827"/>
      <c r="AH59" s="812"/>
      <c r="AI59" s="811"/>
      <c r="AJ59" s="811"/>
      <c r="AK59" s="811"/>
      <c r="AL59" s="811"/>
      <c r="AM59" s="827"/>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812"/>
      <c r="K60" s="811"/>
      <c r="L60" s="811"/>
      <c r="M60" s="811"/>
      <c r="N60" s="811"/>
      <c r="O60" s="827"/>
      <c r="P60" s="812"/>
      <c r="Q60" s="811"/>
      <c r="R60" s="811"/>
      <c r="S60" s="811"/>
      <c r="T60" s="811"/>
      <c r="U60" s="827"/>
      <c r="V60" s="812"/>
      <c r="W60" s="811"/>
      <c r="X60" s="811"/>
      <c r="Y60" s="811"/>
      <c r="Z60" s="811"/>
      <c r="AA60" s="827"/>
      <c r="AB60" s="812"/>
      <c r="AC60" s="811"/>
      <c r="AD60" s="811"/>
      <c r="AE60" s="811"/>
      <c r="AF60" s="811"/>
      <c r="AG60" s="827"/>
      <c r="AH60" s="812"/>
      <c r="AI60" s="811"/>
      <c r="AJ60" s="811"/>
      <c r="AK60" s="811"/>
      <c r="AL60" s="811"/>
      <c r="AM60" s="827"/>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ht="15" thickBot="1" x14ac:dyDescent="0.35">
      <c r="A61" s="65"/>
      <c r="B61" s="65"/>
      <c r="C61" s="65"/>
      <c r="D61" s="65"/>
      <c r="E61" s="65"/>
      <c r="F61" s="65"/>
      <c r="G61" s="65"/>
      <c r="H61" s="65"/>
      <c r="I61" s="65"/>
      <c r="J61" s="813"/>
      <c r="K61" s="814"/>
      <c r="L61" s="814"/>
      <c r="M61" s="814"/>
      <c r="N61" s="814"/>
      <c r="O61" s="828"/>
      <c r="P61" s="813"/>
      <c r="Q61" s="814"/>
      <c r="R61" s="814"/>
      <c r="S61" s="814"/>
      <c r="T61" s="814"/>
      <c r="U61" s="828"/>
      <c r="V61" s="813"/>
      <c r="W61" s="814"/>
      <c r="X61" s="814"/>
      <c r="Y61" s="814"/>
      <c r="Z61" s="814"/>
      <c r="AA61" s="828"/>
      <c r="AB61" s="813"/>
      <c r="AC61" s="814"/>
      <c r="AD61" s="814"/>
      <c r="AE61" s="814"/>
      <c r="AF61" s="814"/>
      <c r="AG61" s="828"/>
      <c r="AH61" s="813"/>
      <c r="AI61" s="814"/>
      <c r="AJ61" s="814"/>
      <c r="AK61" s="814"/>
      <c r="AL61" s="814"/>
      <c r="AM61" s="828"/>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row>
    <row r="63" spans="1:80" ht="15" customHeight="1" x14ac:dyDescent="0.3">
      <c r="A63" s="6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5"/>
      <c r="AV63" s="65"/>
      <c r="AW63" s="65"/>
      <c r="AX63" s="65"/>
      <c r="AY63" s="65"/>
      <c r="AZ63" s="65"/>
      <c r="BA63" s="65"/>
      <c r="BB63" s="65"/>
      <c r="BC63" s="65"/>
      <c r="BD63" s="65"/>
      <c r="BE63" s="65"/>
      <c r="BF63" s="65"/>
      <c r="BG63" s="65"/>
      <c r="BH63" s="65"/>
    </row>
    <row r="64" spans="1:80" ht="15" customHeight="1" x14ac:dyDescent="0.3">
      <c r="A64" s="6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5"/>
      <c r="AV64" s="65"/>
      <c r="AW64" s="65"/>
      <c r="AX64" s="65"/>
      <c r="AY64" s="65"/>
      <c r="AZ64" s="65"/>
      <c r="BA64" s="65"/>
      <c r="BB64" s="65"/>
      <c r="BC64" s="65"/>
      <c r="BD64" s="65"/>
      <c r="BE64" s="65"/>
      <c r="BF64" s="65"/>
      <c r="BG64" s="65"/>
      <c r="BH64" s="65"/>
    </row>
    <row r="65" spans="1:6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6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6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6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6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6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6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6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6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6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6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6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6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6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x14ac:dyDescent="0.3">
      <c r="A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x14ac:dyDescent="0.3">
      <c r="A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x14ac:dyDescent="0.3">
      <c r="A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x14ac:dyDescent="0.3">
      <c r="A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x14ac:dyDescent="0.3">
      <c r="A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x14ac:dyDescent="0.3">
      <c r="A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x14ac:dyDescent="0.3">
      <c r="A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x14ac:dyDescent="0.3">
      <c r="A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x14ac:dyDescent="0.3">
      <c r="A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x14ac:dyDescent="0.3">
      <c r="A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x14ac:dyDescent="0.3">
      <c r="A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x14ac:dyDescent="0.3">
      <c r="A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x14ac:dyDescent="0.3">
      <c r="A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x14ac:dyDescent="0.3">
      <c r="A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x14ac:dyDescent="0.3">
      <c r="A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x14ac:dyDescent="0.3">
      <c r="A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x14ac:dyDescent="0.3">
      <c r="A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x14ac:dyDescent="0.3">
      <c r="A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x14ac:dyDescent="0.3">
      <c r="A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x14ac:dyDescent="0.3">
      <c r="A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x14ac:dyDescent="0.3">
      <c r="A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x14ac:dyDescent="0.3">
      <c r="A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x14ac:dyDescent="0.3">
      <c r="A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x14ac:dyDescent="0.3">
      <c r="A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x14ac:dyDescent="0.3">
      <c r="A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x14ac:dyDescent="0.3">
      <c r="A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x14ac:dyDescent="0.3">
      <c r="A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x14ac:dyDescent="0.3">
      <c r="A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x14ac:dyDescent="0.3">
      <c r="A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x14ac:dyDescent="0.3">
      <c r="A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x14ac:dyDescent="0.3">
      <c r="A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x14ac:dyDescent="0.3">
      <c r="A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x14ac:dyDescent="0.3">
      <c r="A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x14ac:dyDescent="0.3">
      <c r="A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x14ac:dyDescent="0.3">
      <c r="A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x14ac:dyDescent="0.3">
      <c r="A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x14ac:dyDescent="0.3">
      <c r="A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x14ac:dyDescent="0.3">
      <c r="A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x14ac:dyDescent="0.3">
      <c r="A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x14ac:dyDescent="0.3">
      <c r="A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x14ac:dyDescent="0.3">
      <c r="A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x14ac:dyDescent="0.3">
      <c r="A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x14ac:dyDescent="0.3">
      <c r="A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x14ac:dyDescent="0.3">
      <c r="A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x14ac:dyDescent="0.3">
      <c r="A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x14ac:dyDescent="0.3">
      <c r="A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x14ac:dyDescent="0.3">
      <c r="A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x14ac:dyDescent="0.3">
      <c r="A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x14ac:dyDescent="0.3">
      <c r="A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x14ac:dyDescent="0.3">
      <c r="A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x14ac:dyDescent="0.3">
      <c r="A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x14ac:dyDescent="0.3">
      <c r="A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x14ac:dyDescent="0.3">
      <c r="A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x14ac:dyDescent="0.3">
      <c r="A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x14ac:dyDescent="0.3">
      <c r="A245" s="65"/>
    </row>
    <row r="246" spans="1:60" x14ac:dyDescent="0.3">
      <c r="A246" s="65"/>
    </row>
    <row r="247" spans="1:60" x14ac:dyDescent="0.3">
      <c r="A247" s="65"/>
    </row>
    <row r="248" spans="1:60" x14ac:dyDescent="0.3">
      <c r="A248" s="65"/>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sheetPr>
  <dimension ref="A1:AK55"/>
  <sheetViews>
    <sheetView zoomScale="46" zoomScaleNormal="46" workbookViewId="0">
      <selection activeCell="H8" sqref="H8"/>
    </sheetView>
  </sheetViews>
  <sheetFormatPr baseColWidth="10" defaultRowHeight="14.4" x14ac:dyDescent="0.3"/>
  <cols>
    <col min="2" max="2" width="24.21875" customWidth="1"/>
    <col min="3" max="3" width="70.21875" customWidth="1"/>
    <col min="4" max="4" width="29.77734375" customWidth="1"/>
  </cols>
  <sheetData>
    <row r="1" spans="1:37" ht="23.4" x14ac:dyDescent="0.3">
      <c r="A1" s="65"/>
      <c r="B1" s="848" t="s">
        <v>55</v>
      </c>
      <c r="C1" s="848"/>
      <c r="D1" s="848"/>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7" x14ac:dyDescent="0.3">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7" ht="25.2" x14ac:dyDescent="0.3">
      <c r="A3" s="65"/>
      <c r="B3" s="10"/>
      <c r="C3" s="11" t="s">
        <v>52</v>
      </c>
      <c r="D3" s="11"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7" ht="50.4" x14ac:dyDescent="0.3">
      <c r="A4" s="65"/>
      <c r="B4" s="12" t="s">
        <v>51</v>
      </c>
      <c r="C4" s="13" t="s">
        <v>97</v>
      </c>
      <c r="D4" s="14">
        <v>0.2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7" ht="50.4" x14ac:dyDescent="0.3">
      <c r="A5" s="65"/>
      <c r="B5" s="15" t="s">
        <v>53</v>
      </c>
      <c r="C5" s="16" t="s">
        <v>98</v>
      </c>
      <c r="D5" s="17">
        <v>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7" ht="50.4" x14ac:dyDescent="0.3">
      <c r="A6" s="65"/>
      <c r="B6" s="18" t="s">
        <v>102</v>
      </c>
      <c r="C6" s="16" t="s">
        <v>99</v>
      </c>
      <c r="D6" s="17">
        <v>0.6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7" ht="75.599999999999994" x14ac:dyDescent="0.3">
      <c r="A7" s="65"/>
      <c r="B7" s="19" t="s">
        <v>6</v>
      </c>
      <c r="C7" s="16" t="s">
        <v>100</v>
      </c>
      <c r="D7" s="17">
        <v>0.8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7" ht="50.4" x14ac:dyDescent="0.3">
      <c r="A8" s="65"/>
      <c r="B8" s="20" t="s">
        <v>54</v>
      </c>
      <c r="C8" s="16" t="s">
        <v>101</v>
      </c>
      <c r="D8" s="17">
        <v>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7" x14ac:dyDescent="0.3">
      <c r="A9" s="65"/>
      <c r="B9" s="87"/>
      <c r="C9" s="87"/>
      <c r="D9" s="8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x14ac:dyDescent="0.3">
      <c r="A10" s="65"/>
      <c r="B10" s="88"/>
      <c r="C10" s="87"/>
      <c r="D10" s="87"/>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7" x14ac:dyDescent="0.3">
      <c r="A11" s="65"/>
      <c r="B11" s="87"/>
      <c r="C11" s="87"/>
      <c r="D11" s="8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x14ac:dyDescent="0.3">
      <c r="A12" s="65"/>
      <c r="B12" s="87"/>
      <c r="C12" s="87"/>
      <c r="D12" s="8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1:37" x14ac:dyDescent="0.3">
      <c r="A13" s="65"/>
      <c r="B13" s="87"/>
      <c r="C13" s="87"/>
      <c r="D13" s="8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1:37" x14ac:dyDescent="0.3">
      <c r="A14" s="65"/>
      <c r="B14" s="87"/>
      <c r="C14" s="87"/>
      <c r="D14" s="8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1:37" x14ac:dyDescent="0.3">
      <c r="A15" s="65"/>
      <c r="B15" s="87"/>
      <c r="C15" s="87"/>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7" x14ac:dyDescent="0.3">
      <c r="A16" s="65"/>
      <c r="B16" s="87"/>
      <c r="C16" s="87"/>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x14ac:dyDescent="0.3">
      <c r="A17" s="65"/>
      <c r="B17" s="87"/>
      <c r="C17" s="87"/>
      <c r="D17" s="8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7" x14ac:dyDescent="0.3">
      <c r="A18" s="65"/>
      <c r="B18" s="87"/>
      <c r="C18" s="87"/>
      <c r="D18" s="8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1:37"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7"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7"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7"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7"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7"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37"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31" x14ac:dyDescent="0.3">
      <c r="A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x14ac:dyDescent="0.3">
      <c r="A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x14ac:dyDescent="0.3">
      <c r="A35" s="65"/>
    </row>
    <row r="36" spans="1:31" x14ac:dyDescent="0.3">
      <c r="A36" s="65"/>
    </row>
    <row r="37" spans="1:31" x14ac:dyDescent="0.3">
      <c r="A37" s="65"/>
    </row>
    <row r="38" spans="1:31" x14ac:dyDescent="0.3">
      <c r="A38" s="65"/>
    </row>
    <row r="39" spans="1:31" x14ac:dyDescent="0.3">
      <c r="A39" s="65"/>
    </row>
    <row r="40" spans="1:31" x14ac:dyDescent="0.3">
      <c r="A40" s="65"/>
    </row>
    <row r="41" spans="1:31" x14ac:dyDescent="0.3">
      <c r="A41" s="65"/>
    </row>
    <row r="42" spans="1:31" x14ac:dyDescent="0.3">
      <c r="A42" s="65"/>
    </row>
    <row r="43" spans="1:31" x14ac:dyDescent="0.3">
      <c r="A43" s="65"/>
    </row>
    <row r="44" spans="1:31" x14ac:dyDescent="0.3">
      <c r="A44" s="65"/>
    </row>
    <row r="45" spans="1:31" x14ac:dyDescent="0.3">
      <c r="A45" s="65"/>
    </row>
    <row r="46" spans="1:31" x14ac:dyDescent="0.3">
      <c r="A46" s="65"/>
    </row>
    <row r="47" spans="1:31" x14ac:dyDescent="0.3">
      <c r="A47" s="65"/>
    </row>
    <row r="48" spans="1:31" x14ac:dyDescent="0.3">
      <c r="A48" s="65"/>
    </row>
    <row r="49" spans="1:1" x14ac:dyDescent="0.3">
      <c r="A49" s="65"/>
    </row>
    <row r="50" spans="1:1" x14ac:dyDescent="0.3">
      <c r="A50" s="65"/>
    </row>
    <row r="51" spans="1:1" x14ac:dyDescent="0.3">
      <c r="A51" s="65"/>
    </row>
    <row r="52" spans="1:1" x14ac:dyDescent="0.3">
      <c r="A52" s="65"/>
    </row>
    <row r="53" spans="1:1" x14ac:dyDescent="0.3">
      <c r="A53" s="65"/>
    </row>
    <row r="54" spans="1:1" x14ac:dyDescent="0.3">
      <c r="A54" s="65"/>
    </row>
    <row r="55" spans="1:1" x14ac:dyDescent="0.3">
      <c r="A55" s="6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6" tint="-0.249977111117893"/>
  </sheetPr>
  <dimension ref="A1:U224"/>
  <sheetViews>
    <sheetView topLeftCell="B1" zoomScale="44" zoomScaleNormal="44" workbookViewId="0">
      <selection activeCell="D7" sqref="D7"/>
    </sheetView>
  </sheetViews>
  <sheetFormatPr baseColWidth="10" defaultColWidth="11.44140625" defaultRowHeight="14.4" x14ac:dyDescent="0.3"/>
  <cols>
    <col min="1" max="1" width="11.44140625" style="21"/>
    <col min="2" max="2" width="40.44140625" style="21" customWidth="1"/>
    <col min="3" max="3" width="74.77734375" style="21" customWidth="1"/>
    <col min="4" max="4" width="135" style="21" bestFit="1" customWidth="1"/>
    <col min="5" max="5" width="137.77734375" style="21" customWidth="1"/>
    <col min="6" max="16384" width="11.44140625" style="21"/>
  </cols>
  <sheetData>
    <row r="1" spans="1:21" ht="32.4" x14ac:dyDescent="0.3">
      <c r="A1" s="87"/>
      <c r="B1" s="849" t="s">
        <v>62</v>
      </c>
      <c r="C1" s="849"/>
      <c r="D1" s="849"/>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30" x14ac:dyDescent="0.3">
      <c r="A3" s="87"/>
      <c r="B3" s="86"/>
      <c r="C3" s="120" t="s">
        <v>56</v>
      </c>
      <c r="D3" s="120" t="s">
        <v>57</v>
      </c>
      <c r="E3" s="87"/>
      <c r="F3" s="87"/>
      <c r="G3" s="87"/>
      <c r="H3" s="87"/>
      <c r="I3" s="87"/>
      <c r="J3" s="87"/>
      <c r="K3" s="87"/>
      <c r="L3" s="87"/>
      <c r="M3" s="87"/>
      <c r="N3" s="87"/>
      <c r="O3" s="87"/>
      <c r="P3" s="87"/>
      <c r="Q3" s="87"/>
      <c r="R3" s="87"/>
      <c r="S3" s="87"/>
      <c r="T3" s="87"/>
      <c r="U3" s="87"/>
    </row>
    <row r="4" spans="1:21" ht="32.4" x14ac:dyDescent="0.3">
      <c r="A4" s="87" t="s">
        <v>82</v>
      </c>
      <c r="B4" s="121" t="s">
        <v>96</v>
      </c>
      <c r="C4" s="122" t="s">
        <v>205</v>
      </c>
      <c r="D4" s="123" t="s">
        <v>92</v>
      </c>
      <c r="E4" s="87"/>
      <c r="F4" s="87"/>
      <c r="G4" s="87"/>
      <c r="H4" s="87"/>
      <c r="I4" s="87"/>
      <c r="J4" s="87"/>
      <c r="K4" s="87"/>
      <c r="L4" s="87"/>
      <c r="M4" s="87"/>
      <c r="N4" s="87"/>
      <c r="O4" s="87"/>
      <c r="P4" s="87"/>
      <c r="Q4" s="87"/>
      <c r="R4" s="87"/>
      <c r="S4" s="87"/>
      <c r="T4" s="87"/>
      <c r="U4" s="87"/>
    </row>
    <row r="5" spans="1:21" ht="64.8" x14ac:dyDescent="0.3">
      <c r="A5" s="87" t="s">
        <v>83</v>
      </c>
      <c r="B5" s="124" t="s">
        <v>58</v>
      </c>
      <c r="C5" s="125" t="s">
        <v>206</v>
      </c>
      <c r="D5" s="126" t="s">
        <v>93</v>
      </c>
      <c r="E5" s="87"/>
      <c r="F5" s="87"/>
      <c r="G5" s="87"/>
      <c r="H5" s="87"/>
      <c r="I5" s="87"/>
      <c r="J5" s="87"/>
      <c r="K5" s="87"/>
      <c r="L5" s="87"/>
      <c r="M5" s="87"/>
      <c r="N5" s="87"/>
      <c r="O5" s="87"/>
      <c r="P5" s="87"/>
      <c r="Q5" s="87"/>
      <c r="R5" s="87"/>
      <c r="S5" s="87"/>
      <c r="T5" s="87"/>
      <c r="U5" s="87"/>
    </row>
    <row r="6" spans="1:21" ht="64.8" x14ac:dyDescent="0.3">
      <c r="A6" s="87" t="s">
        <v>80</v>
      </c>
      <c r="B6" s="127" t="s">
        <v>59</v>
      </c>
      <c r="C6" s="125" t="s">
        <v>210</v>
      </c>
      <c r="D6" s="126" t="s">
        <v>95</v>
      </c>
      <c r="E6" s="87"/>
      <c r="F6" s="87"/>
      <c r="G6" s="87"/>
      <c r="H6" s="87"/>
      <c r="I6" s="87"/>
      <c r="J6" s="87"/>
      <c r="K6" s="87"/>
      <c r="L6" s="87"/>
      <c r="M6" s="87"/>
      <c r="N6" s="87"/>
      <c r="O6" s="87"/>
      <c r="P6" s="87"/>
      <c r="Q6" s="87"/>
      <c r="R6" s="87"/>
      <c r="S6" s="87"/>
      <c r="T6" s="87"/>
      <c r="U6" s="87"/>
    </row>
    <row r="7" spans="1:21" ht="97.2" x14ac:dyDescent="0.3">
      <c r="A7" s="87" t="s">
        <v>7</v>
      </c>
      <c r="B7" s="128" t="s">
        <v>60</v>
      </c>
      <c r="C7" s="125" t="s">
        <v>211</v>
      </c>
      <c r="D7" s="126" t="s">
        <v>94</v>
      </c>
      <c r="E7" s="87"/>
      <c r="F7" s="87"/>
      <c r="G7" s="87"/>
      <c r="H7" s="87"/>
      <c r="I7" s="87"/>
      <c r="J7" s="87"/>
      <c r="K7" s="87"/>
      <c r="L7" s="87"/>
      <c r="M7" s="87"/>
      <c r="N7" s="87"/>
      <c r="O7" s="87"/>
      <c r="P7" s="87"/>
      <c r="Q7" s="87"/>
      <c r="R7" s="87"/>
      <c r="S7" s="87"/>
      <c r="T7" s="87"/>
      <c r="U7" s="87"/>
    </row>
    <row r="8" spans="1:21" ht="64.8" x14ac:dyDescent="0.3">
      <c r="A8" s="87" t="s">
        <v>84</v>
      </c>
      <c r="B8" s="129" t="s">
        <v>61</v>
      </c>
      <c r="C8" s="125" t="s">
        <v>207</v>
      </c>
      <c r="D8" s="126" t="s">
        <v>113</v>
      </c>
      <c r="E8" s="87"/>
      <c r="F8" s="87"/>
      <c r="G8" s="87"/>
      <c r="H8" s="87"/>
      <c r="I8" s="87"/>
      <c r="J8" s="87"/>
      <c r="K8" s="87"/>
      <c r="L8" s="87"/>
      <c r="M8" s="87"/>
      <c r="N8" s="87"/>
      <c r="O8" s="87"/>
      <c r="P8" s="87"/>
      <c r="Q8" s="87"/>
      <c r="R8" s="87"/>
      <c r="S8" s="87"/>
      <c r="T8" s="87"/>
      <c r="U8" s="87"/>
    </row>
    <row r="9" spans="1:21" s="22" customFormat="1" ht="20.399999999999999" x14ac:dyDescent="0.3">
      <c r="A9" s="85"/>
      <c r="B9" s="85"/>
      <c r="C9" s="132"/>
      <c r="D9" s="132"/>
      <c r="E9" s="85"/>
      <c r="F9" s="85"/>
      <c r="G9" s="85"/>
      <c r="H9" s="85"/>
      <c r="I9" s="85"/>
      <c r="J9" s="85"/>
      <c r="K9" s="85"/>
      <c r="L9" s="85"/>
      <c r="M9" s="85"/>
      <c r="N9" s="85"/>
      <c r="O9" s="85"/>
      <c r="P9" s="85"/>
      <c r="Q9" s="85"/>
      <c r="R9" s="85"/>
      <c r="S9" s="85"/>
      <c r="T9" s="85"/>
      <c r="U9" s="85"/>
    </row>
    <row r="10" spans="1:21" s="22" customFormat="1" x14ac:dyDescent="0.3">
      <c r="A10" s="85"/>
      <c r="B10" s="133"/>
      <c r="C10" s="133"/>
      <c r="D10" s="133"/>
      <c r="E10" s="85"/>
      <c r="F10" s="85"/>
      <c r="G10" s="85"/>
      <c r="H10" s="85"/>
      <c r="I10" s="85"/>
      <c r="J10" s="85"/>
      <c r="K10" s="85"/>
      <c r="L10" s="85"/>
      <c r="M10" s="85"/>
      <c r="N10" s="85"/>
      <c r="O10" s="85"/>
      <c r="P10" s="85"/>
      <c r="Q10" s="85"/>
      <c r="R10" s="85"/>
      <c r="S10" s="85"/>
      <c r="T10" s="85"/>
      <c r="U10" s="85"/>
    </row>
    <row r="11" spans="1:21" s="22" customFormat="1" x14ac:dyDescent="0.3">
      <c r="A11" s="85"/>
      <c r="B11" s="85" t="s">
        <v>90</v>
      </c>
      <c r="C11" s="85" t="s">
        <v>209</v>
      </c>
      <c r="D11" s="85" t="s">
        <v>143</v>
      </c>
      <c r="E11" s="85"/>
      <c r="F11" s="85"/>
      <c r="G11" s="85"/>
      <c r="H11" s="85"/>
      <c r="I11" s="85"/>
      <c r="J11" s="85"/>
      <c r="K11" s="85"/>
      <c r="L11" s="85"/>
      <c r="M11" s="85"/>
      <c r="N11" s="85"/>
      <c r="O11" s="85"/>
      <c r="P11" s="85"/>
      <c r="Q11" s="85"/>
      <c r="R11" s="85"/>
      <c r="S11" s="85"/>
      <c r="T11" s="85"/>
      <c r="U11" s="85"/>
    </row>
    <row r="12" spans="1:21" s="22" customFormat="1" x14ac:dyDescent="0.3">
      <c r="A12" s="85"/>
      <c r="B12" s="85" t="s">
        <v>88</v>
      </c>
      <c r="C12" s="85" t="s">
        <v>208</v>
      </c>
      <c r="D12" s="85" t="s">
        <v>144</v>
      </c>
      <c r="E12" s="85"/>
      <c r="F12" s="85"/>
      <c r="G12" s="85"/>
      <c r="H12" s="85"/>
      <c r="I12" s="85"/>
      <c r="J12" s="85"/>
      <c r="K12" s="85"/>
      <c r="L12" s="85"/>
      <c r="M12" s="85"/>
      <c r="N12" s="85"/>
      <c r="O12" s="85"/>
      <c r="P12" s="85"/>
      <c r="Q12" s="85"/>
      <c r="R12" s="85"/>
      <c r="S12" s="85"/>
      <c r="T12" s="85"/>
      <c r="U12" s="85"/>
    </row>
    <row r="13" spans="1:21" s="22" customFormat="1" x14ac:dyDescent="0.3">
      <c r="A13" s="85"/>
      <c r="B13" s="85"/>
      <c r="C13" s="85" t="s">
        <v>212</v>
      </c>
      <c r="D13" s="85" t="s">
        <v>145</v>
      </c>
      <c r="E13" s="85"/>
      <c r="F13" s="85"/>
      <c r="G13" s="85"/>
      <c r="H13" s="85"/>
      <c r="I13" s="85"/>
      <c r="J13" s="85"/>
      <c r="K13" s="85"/>
      <c r="L13" s="85"/>
      <c r="M13" s="85"/>
      <c r="N13" s="85"/>
      <c r="O13" s="85"/>
      <c r="P13" s="85"/>
      <c r="Q13" s="85"/>
      <c r="R13" s="85"/>
      <c r="S13" s="85"/>
      <c r="T13" s="85"/>
      <c r="U13" s="85"/>
    </row>
    <row r="14" spans="1:21" s="22" customFormat="1" x14ac:dyDescent="0.3">
      <c r="A14" s="85"/>
      <c r="B14" s="85"/>
      <c r="C14" s="85" t="s">
        <v>214</v>
      </c>
      <c r="D14" s="85" t="s">
        <v>146</v>
      </c>
      <c r="E14" s="85"/>
      <c r="F14" s="85"/>
      <c r="G14" s="85"/>
      <c r="H14" s="85"/>
      <c r="I14" s="85"/>
      <c r="J14" s="85"/>
      <c r="K14" s="85"/>
      <c r="L14" s="85"/>
      <c r="M14" s="85"/>
      <c r="N14" s="85"/>
      <c r="O14" s="85"/>
      <c r="P14" s="85"/>
      <c r="Q14" s="85"/>
      <c r="R14" s="85"/>
      <c r="S14" s="85"/>
      <c r="T14" s="85"/>
      <c r="U14" s="85"/>
    </row>
    <row r="15" spans="1:21" s="22" customFormat="1" x14ac:dyDescent="0.3">
      <c r="A15" s="85"/>
      <c r="B15" s="85"/>
      <c r="C15" s="85" t="s">
        <v>213</v>
      </c>
      <c r="D15" s="85" t="s">
        <v>147</v>
      </c>
      <c r="E15" s="85"/>
      <c r="F15" s="85"/>
      <c r="G15" s="85"/>
      <c r="H15" s="85"/>
      <c r="I15" s="85"/>
      <c r="J15" s="85"/>
      <c r="K15" s="85"/>
      <c r="L15" s="85"/>
      <c r="M15" s="85"/>
      <c r="N15" s="85"/>
      <c r="O15" s="85"/>
      <c r="P15" s="85"/>
      <c r="Q15" s="85"/>
      <c r="R15" s="85"/>
      <c r="S15" s="85"/>
      <c r="T15" s="85"/>
      <c r="U15" s="85"/>
    </row>
    <row r="16" spans="1:21" s="22" customFormat="1" x14ac:dyDescent="0.3">
      <c r="A16" s="85"/>
      <c r="B16" s="85"/>
      <c r="C16" s="85"/>
      <c r="D16" s="85"/>
      <c r="E16" s="85"/>
      <c r="F16" s="85"/>
      <c r="G16" s="85"/>
      <c r="H16" s="85"/>
      <c r="I16" s="85"/>
      <c r="J16" s="85"/>
      <c r="K16" s="85"/>
      <c r="L16" s="85"/>
      <c r="M16" s="85"/>
      <c r="N16" s="85"/>
      <c r="O16" s="85"/>
    </row>
    <row r="17" spans="1:15" s="22" customFormat="1" x14ac:dyDescent="0.3">
      <c r="A17" s="85"/>
      <c r="B17" s="85"/>
      <c r="C17" s="85"/>
      <c r="D17" s="85"/>
      <c r="E17" s="85"/>
      <c r="F17" s="85"/>
      <c r="G17" s="85"/>
      <c r="H17" s="85"/>
      <c r="I17" s="85"/>
      <c r="J17" s="85"/>
      <c r="K17" s="85"/>
      <c r="L17" s="85"/>
      <c r="M17" s="85"/>
      <c r="N17" s="85"/>
      <c r="O17" s="85"/>
    </row>
    <row r="18" spans="1:15" s="22" customFormat="1" x14ac:dyDescent="0.3">
      <c r="A18" s="85"/>
      <c r="B18" s="85"/>
      <c r="C18" s="85"/>
      <c r="D18" s="85"/>
      <c r="E18" s="85"/>
      <c r="F18" s="85"/>
      <c r="G18" s="85"/>
      <c r="H18" s="85"/>
      <c r="I18" s="85"/>
      <c r="J18" s="85"/>
      <c r="K18" s="85"/>
      <c r="L18" s="85"/>
      <c r="M18" s="85"/>
      <c r="N18" s="85"/>
      <c r="O18" s="85"/>
    </row>
    <row r="19" spans="1:15" s="22" customFormat="1" x14ac:dyDescent="0.3">
      <c r="A19" s="85"/>
      <c r="B19" s="85"/>
      <c r="C19" s="85"/>
      <c r="D19" s="85"/>
      <c r="E19" s="85"/>
      <c r="F19" s="85"/>
      <c r="G19" s="85"/>
      <c r="H19" s="85"/>
      <c r="I19" s="85"/>
      <c r="J19" s="85"/>
      <c r="K19" s="85"/>
      <c r="L19" s="85"/>
      <c r="M19" s="85"/>
      <c r="N19" s="85"/>
      <c r="O19" s="85"/>
    </row>
    <row r="20" spans="1:15" s="22" customFormat="1" x14ac:dyDescent="0.3">
      <c r="A20" s="85"/>
      <c r="B20" s="85"/>
      <c r="C20" s="85"/>
      <c r="D20" s="85"/>
      <c r="E20" s="85"/>
      <c r="F20" s="85"/>
      <c r="G20" s="85"/>
      <c r="H20" s="85"/>
      <c r="I20" s="85"/>
      <c r="J20" s="85"/>
      <c r="K20" s="85"/>
      <c r="L20" s="85"/>
      <c r="M20" s="85"/>
      <c r="N20" s="85"/>
      <c r="O20" s="85"/>
    </row>
    <row r="21" spans="1:15" s="22" customFormat="1" x14ac:dyDescent="0.3">
      <c r="A21" s="85"/>
      <c r="B21" s="85"/>
      <c r="C21" s="85"/>
      <c r="D21" s="85"/>
      <c r="E21" s="85"/>
      <c r="F21" s="85"/>
      <c r="G21" s="85"/>
      <c r="H21" s="85"/>
      <c r="I21" s="85"/>
      <c r="J21" s="85"/>
      <c r="K21" s="85"/>
      <c r="L21" s="85"/>
      <c r="M21" s="85"/>
      <c r="N21" s="85"/>
      <c r="O21" s="85"/>
    </row>
    <row r="22" spans="1:15" s="22" customFormat="1" ht="20.399999999999999" x14ac:dyDescent="0.3">
      <c r="A22" s="85"/>
      <c r="B22" s="85"/>
      <c r="C22" s="132"/>
      <c r="D22" s="132"/>
      <c r="E22" s="85"/>
      <c r="F22" s="85"/>
      <c r="G22" s="85"/>
      <c r="H22" s="85"/>
      <c r="I22" s="85"/>
      <c r="J22" s="85"/>
      <c r="K22" s="85"/>
      <c r="L22" s="85"/>
      <c r="M22" s="85"/>
      <c r="N22" s="85"/>
      <c r="O22" s="85"/>
    </row>
    <row r="23" spans="1:15" s="22" customFormat="1" ht="20.399999999999999" x14ac:dyDescent="0.3">
      <c r="A23" s="85"/>
      <c r="B23" s="85"/>
      <c r="C23" s="132"/>
      <c r="D23" s="132"/>
      <c r="E23" s="85"/>
      <c r="F23" s="85"/>
      <c r="G23" s="85"/>
      <c r="H23" s="85"/>
      <c r="I23" s="85"/>
      <c r="J23" s="85"/>
      <c r="K23" s="85"/>
      <c r="L23" s="85"/>
      <c r="M23" s="85"/>
      <c r="N23" s="85"/>
      <c r="O23" s="85"/>
    </row>
    <row r="24" spans="1:15" s="22" customFormat="1" ht="20.399999999999999" x14ac:dyDescent="0.3">
      <c r="A24" s="85"/>
      <c r="B24" s="85"/>
      <c r="C24" s="132"/>
      <c r="D24" s="132"/>
      <c r="E24" s="85"/>
      <c r="F24" s="85"/>
      <c r="G24" s="85"/>
      <c r="H24" s="85"/>
      <c r="I24" s="85"/>
      <c r="J24" s="85"/>
      <c r="K24" s="85"/>
      <c r="L24" s="85"/>
      <c r="M24" s="85"/>
      <c r="N24" s="85"/>
      <c r="O24" s="85"/>
    </row>
    <row r="25" spans="1:15" s="22" customFormat="1" ht="20.399999999999999" x14ac:dyDescent="0.3">
      <c r="A25" s="85"/>
      <c r="B25" s="85"/>
      <c r="C25" s="132"/>
      <c r="D25" s="132"/>
      <c r="E25" s="85"/>
      <c r="F25" s="85"/>
      <c r="G25" s="85"/>
      <c r="H25" s="85"/>
      <c r="I25" s="85"/>
      <c r="J25" s="85"/>
      <c r="K25" s="85"/>
      <c r="L25" s="85"/>
      <c r="M25" s="85"/>
      <c r="N25" s="85"/>
      <c r="O25" s="85"/>
    </row>
    <row r="26" spans="1:15" s="22" customFormat="1" ht="20.399999999999999" x14ac:dyDescent="0.3">
      <c r="A26" s="85"/>
      <c r="B26" s="85"/>
      <c r="C26" s="132"/>
      <c r="D26" s="132"/>
      <c r="E26" s="85"/>
      <c r="F26" s="85"/>
      <c r="G26" s="85"/>
      <c r="H26" s="85"/>
      <c r="I26" s="85"/>
      <c r="J26" s="85"/>
      <c r="K26" s="85"/>
      <c r="L26" s="85"/>
      <c r="M26" s="85"/>
      <c r="N26" s="85"/>
      <c r="O26" s="85"/>
    </row>
    <row r="27" spans="1:15" s="22" customFormat="1" ht="20.399999999999999" x14ac:dyDescent="0.3">
      <c r="A27" s="85"/>
      <c r="B27" s="85"/>
      <c r="C27" s="132"/>
      <c r="D27" s="132"/>
      <c r="E27" s="85"/>
      <c r="F27" s="85"/>
      <c r="G27" s="85"/>
      <c r="H27" s="85"/>
      <c r="I27" s="85"/>
      <c r="J27" s="85"/>
      <c r="K27" s="85"/>
      <c r="L27" s="85"/>
      <c r="M27" s="85"/>
      <c r="N27" s="85"/>
      <c r="O27" s="85"/>
    </row>
    <row r="28" spans="1:15" s="22" customFormat="1" ht="20.399999999999999" x14ac:dyDescent="0.3">
      <c r="A28" s="85"/>
      <c r="B28" s="85"/>
      <c r="C28" s="132"/>
      <c r="D28" s="132"/>
      <c r="E28" s="85"/>
      <c r="F28" s="85"/>
      <c r="G28" s="85"/>
      <c r="H28" s="85"/>
      <c r="I28" s="85"/>
      <c r="J28" s="85"/>
      <c r="K28" s="85"/>
      <c r="L28" s="85"/>
      <c r="M28" s="85"/>
      <c r="N28" s="85"/>
      <c r="O28" s="85"/>
    </row>
    <row r="29" spans="1:15" s="22" customFormat="1" ht="20.399999999999999" x14ac:dyDescent="0.3">
      <c r="A29" s="85"/>
      <c r="B29" s="85"/>
      <c r="C29" s="132"/>
      <c r="D29" s="132"/>
      <c r="E29" s="85"/>
      <c r="F29" s="85"/>
      <c r="G29" s="85"/>
      <c r="H29" s="85"/>
      <c r="I29" s="85"/>
      <c r="J29" s="85"/>
      <c r="K29" s="85"/>
      <c r="L29" s="85"/>
      <c r="M29" s="85"/>
      <c r="N29" s="85"/>
      <c r="O29" s="85"/>
    </row>
    <row r="30" spans="1:15" s="22" customFormat="1" ht="20.399999999999999" x14ac:dyDescent="0.3">
      <c r="A30" s="85"/>
      <c r="B30" s="85"/>
      <c r="C30" s="132"/>
      <c r="D30" s="132"/>
      <c r="E30" s="85"/>
      <c r="F30" s="85"/>
      <c r="G30" s="85"/>
      <c r="H30" s="85"/>
      <c r="I30" s="85"/>
      <c r="J30" s="85"/>
      <c r="K30" s="85"/>
      <c r="L30" s="85"/>
      <c r="M30" s="85"/>
      <c r="N30" s="85"/>
      <c r="O30" s="85"/>
    </row>
    <row r="31" spans="1:15" s="22" customFormat="1" ht="20.399999999999999" x14ac:dyDescent="0.3">
      <c r="A31" s="85"/>
      <c r="B31" s="85"/>
      <c r="C31" s="132"/>
      <c r="D31" s="132"/>
      <c r="E31" s="85"/>
      <c r="F31" s="85"/>
      <c r="G31" s="85"/>
      <c r="H31" s="85"/>
      <c r="I31" s="85"/>
      <c r="J31" s="85"/>
      <c r="K31" s="85"/>
      <c r="L31" s="85"/>
      <c r="M31" s="85"/>
      <c r="N31" s="85"/>
      <c r="O31" s="85"/>
    </row>
    <row r="32" spans="1:15" s="22" customFormat="1" ht="20.399999999999999" x14ac:dyDescent="0.3">
      <c r="A32" s="85"/>
      <c r="B32" s="85"/>
      <c r="C32" s="132"/>
      <c r="D32" s="132"/>
      <c r="E32" s="85"/>
      <c r="F32" s="85"/>
      <c r="G32" s="85"/>
      <c r="H32" s="85"/>
      <c r="I32" s="85"/>
      <c r="J32" s="85"/>
      <c r="K32" s="85"/>
      <c r="L32" s="85"/>
      <c r="M32" s="85"/>
      <c r="N32" s="85"/>
      <c r="O32" s="85"/>
    </row>
    <row r="33" spans="1:15" s="22" customFormat="1" ht="20.399999999999999" x14ac:dyDescent="0.3">
      <c r="A33" s="85"/>
      <c r="B33" s="85"/>
      <c r="C33" s="132"/>
      <c r="D33" s="132"/>
      <c r="E33" s="85"/>
      <c r="F33" s="85"/>
      <c r="G33" s="85"/>
      <c r="H33" s="85"/>
      <c r="I33" s="85"/>
      <c r="J33" s="85"/>
      <c r="K33" s="85"/>
      <c r="L33" s="85"/>
      <c r="M33" s="85"/>
      <c r="N33" s="85"/>
      <c r="O33" s="85"/>
    </row>
    <row r="34" spans="1:15" s="22" customFormat="1" ht="20.399999999999999" x14ac:dyDescent="0.3">
      <c r="A34" s="85"/>
      <c r="B34" s="85"/>
      <c r="C34" s="132"/>
      <c r="D34" s="132"/>
      <c r="E34" s="85"/>
      <c r="F34" s="85"/>
      <c r="G34" s="85"/>
      <c r="H34" s="85"/>
      <c r="I34" s="85"/>
      <c r="J34" s="85"/>
      <c r="K34" s="85"/>
      <c r="L34" s="85"/>
      <c r="M34" s="85"/>
      <c r="N34" s="85"/>
      <c r="O34" s="85"/>
    </row>
    <row r="35" spans="1:15" s="22" customFormat="1" ht="20.399999999999999" x14ac:dyDescent="0.3">
      <c r="A35" s="85"/>
      <c r="B35" s="85"/>
      <c r="C35" s="132"/>
      <c r="D35" s="132"/>
      <c r="E35" s="85"/>
      <c r="F35" s="85"/>
      <c r="G35" s="85"/>
      <c r="H35" s="85"/>
      <c r="I35" s="85"/>
      <c r="J35" s="85"/>
      <c r="K35" s="85"/>
      <c r="L35" s="85"/>
      <c r="M35" s="85"/>
      <c r="N35" s="85"/>
      <c r="O35" s="85"/>
    </row>
    <row r="36" spans="1:15" s="22" customFormat="1" ht="20.399999999999999" x14ac:dyDescent="0.3">
      <c r="A36" s="85"/>
      <c r="B36" s="85"/>
      <c r="C36" s="132"/>
      <c r="D36" s="132"/>
      <c r="E36" s="85"/>
      <c r="F36" s="85"/>
      <c r="G36" s="85"/>
      <c r="H36" s="85"/>
      <c r="I36" s="85"/>
      <c r="J36" s="85"/>
      <c r="K36" s="85"/>
      <c r="L36" s="85"/>
      <c r="M36" s="85"/>
      <c r="N36" s="85"/>
      <c r="O36" s="85"/>
    </row>
    <row r="37" spans="1:15" s="22" customFormat="1" ht="20.399999999999999" x14ac:dyDescent="0.3">
      <c r="A37" s="85"/>
      <c r="B37" s="85"/>
      <c r="C37" s="132"/>
      <c r="D37" s="132"/>
      <c r="E37" s="85"/>
      <c r="F37" s="85"/>
      <c r="G37" s="85"/>
      <c r="H37" s="85"/>
      <c r="I37" s="85"/>
      <c r="J37" s="85"/>
      <c r="K37" s="85"/>
      <c r="L37" s="85"/>
      <c r="M37" s="85"/>
      <c r="N37" s="85"/>
      <c r="O37" s="85"/>
    </row>
    <row r="38" spans="1:15" s="22" customFormat="1" ht="20.399999999999999" x14ac:dyDescent="0.3">
      <c r="A38" s="85"/>
      <c r="B38" s="85"/>
      <c r="C38" s="132"/>
      <c r="D38" s="132"/>
      <c r="E38" s="85"/>
      <c r="F38" s="85"/>
      <c r="G38" s="85"/>
      <c r="H38" s="85"/>
      <c r="I38" s="85"/>
      <c r="J38" s="85"/>
      <c r="K38" s="85"/>
      <c r="L38" s="85"/>
      <c r="M38" s="85"/>
      <c r="N38" s="85"/>
      <c r="O38" s="85"/>
    </row>
    <row r="39" spans="1:15" s="22" customFormat="1" ht="20.399999999999999" x14ac:dyDescent="0.3">
      <c r="A39" s="85"/>
      <c r="B39" s="85"/>
      <c r="C39" s="132"/>
      <c r="D39" s="132"/>
      <c r="E39" s="85"/>
      <c r="F39" s="85"/>
      <c r="G39" s="85"/>
      <c r="H39" s="85"/>
      <c r="I39" s="85"/>
      <c r="J39" s="85"/>
      <c r="K39" s="85"/>
      <c r="L39" s="85"/>
      <c r="M39" s="85"/>
      <c r="N39" s="85"/>
      <c r="O39" s="85"/>
    </row>
    <row r="40" spans="1:15" s="22" customFormat="1" ht="20.399999999999999" x14ac:dyDescent="0.3">
      <c r="A40" s="85"/>
      <c r="B40" s="85"/>
      <c r="C40" s="132"/>
      <c r="D40" s="132"/>
      <c r="E40" s="85"/>
      <c r="F40" s="85"/>
      <c r="G40" s="85"/>
      <c r="H40" s="85"/>
      <c r="I40" s="85"/>
      <c r="J40" s="85"/>
      <c r="K40" s="85"/>
      <c r="L40" s="85"/>
      <c r="M40" s="85"/>
      <c r="N40" s="85"/>
      <c r="O40" s="85"/>
    </row>
    <row r="41" spans="1:15" s="22" customFormat="1" ht="20.399999999999999" x14ac:dyDescent="0.3">
      <c r="A41" s="85"/>
      <c r="B41" s="85"/>
      <c r="C41" s="132"/>
      <c r="D41" s="132"/>
      <c r="E41" s="85"/>
      <c r="F41" s="85"/>
      <c r="G41" s="85"/>
      <c r="H41" s="85"/>
      <c r="I41" s="85"/>
      <c r="J41" s="85"/>
      <c r="K41" s="85"/>
      <c r="L41" s="85"/>
      <c r="M41" s="85"/>
      <c r="N41" s="85"/>
      <c r="O41" s="85"/>
    </row>
    <row r="42" spans="1:15" s="22" customFormat="1" ht="20.399999999999999" x14ac:dyDescent="0.3">
      <c r="A42" s="85"/>
      <c r="B42" s="85"/>
      <c r="C42" s="132"/>
      <c r="D42" s="132"/>
      <c r="E42" s="85"/>
      <c r="F42" s="85"/>
      <c r="G42" s="85"/>
      <c r="H42" s="85"/>
      <c r="I42" s="85"/>
      <c r="J42" s="85"/>
      <c r="K42" s="85"/>
      <c r="L42" s="85"/>
      <c r="M42" s="85"/>
      <c r="N42" s="85"/>
      <c r="O42" s="85"/>
    </row>
    <row r="43" spans="1:15" s="22" customFormat="1" ht="20.399999999999999" x14ac:dyDescent="0.3">
      <c r="A43" s="85"/>
      <c r="B43" s="85"/>
      <c r="C43" s="132"/>
      <c r="D43" s="132"/>
      <c r="E43" s="85"/>
      <c r="F43" s="85"/>
      <c r="G43" s="85"/>
      <c r="H43" s="85"/>
      <c r="I43" s="85"/>
      <c r="J43" s="85"/>
      <c r="K43" s="85"/>
      <c r="L43" s="85"/>
      <c r="M43" s="85"/>
      <c r="N43" s="85"/>
      <c r="O43" s="85"/>
    </row>
    <row r="44" spans="1:15" s="22" customFormat="1" ht="20.399999999999999" x14ac:dyDescent="0.3">
      <c r="A44" s="85"/>
      <c r="B44" s="85"/>
      <c r="C44" s="132"/>
      <c r="D44" s="132"/>
      <c r="E44" s="85"/>
      <c r="F44" s="85"/>
      <c r="G44" s="85"/>
      <c r="H44" s="85"/>
      <c r="I44" s="85"/>
      <c r="J44" s="85"/>
      <c r="K44" s="85"/>
      <c r="L44" s="85"/>
      <c r="M44" s="85"/>
      <c r="N44" s="85"/>
      <c r="O44" s="85"/>
    </row>
    <row r="45" spans="1:15" s="22" customFormat="1" ht="20.399999999999999" x14ac:dyDescent="0.3">
      <c r="A45" s="85"/>
      <c r="B45" s="85"/>
      <c r="C45" s="132"/>
      <c r="D45" s="132"/>
      <c r="E45" s="85"/>
      <c r="F45" s="85"/>
      <c r="G45" s="85"/>
      <c r="H45" s="85"/>
      <c r="I45" s="85"/>
      <c r="J45" s="85"/>
      <c r="K45" s="85"/>
      <c r="L45" s="85"/>
      <c r="M45" s="85"/>
      <c r="N45" s="85"/>
      <c r="O45" s="85"/>
    </row>
    <row r="46" spans="1:15" s="22" customFormat="1" ht="20.399999999999999" x14ac:dyDescent="0.3">
      <c r="A46" s="85"/>
      <c r="B46" s="85"/>
      <c r="C46" s="132"/>
      <c r="D46" s="132"/>
      <c r="E46" s="85"/>
      <c r="F46" s="85"/>
      <c r="G46" s="85"/>
      <c r="H46" s="85"/>
      <c r="I46" s="85"/>
      <c r="J46" s="85"/>
      <c r="K46" s="85"/>
      <c r="L46" s="85"/>
      <c r="M46" s="85"/>
      <c r="N46" s="85"/>
      <c r="O46" s="85"/>
    </row>
    <row r="47" spans="1:15" s="22" customFormat="1" ht="20.399999999999999" x14ac:dyDescent="0.3">
      <c r="A47" s="85"/>
      <c r="B47" s="85"/>
      <c r="C47" s="132"/>
      <c r="D47" s="132"/>
      <c r="E47" s="85"/>
      <c r="F47" s="85"/>
      <c r="G47" s="85"/>
      <c r="H47" s="85"/>
      <c r="I47" s="85"/>
      <c r="J47" s="85"/>
      <c r="K47" s="85"/>
      <c r="L47" s="85"/>
      <c r="M47" s="85"/>
      <c r="N47" s="85"/>
      <c r="O47" s="85"/>
    </row>
    <row r="48" spans="1:15" s="22" customFormat="1" ht="20.399999999999999" x14ac:dyDescent="0.3">
      <c r="A48" s="85"/>
      <c r="B48" s="85"/>
      <c r="C48" s="132"/>
      <c r="D48" s="132"/>
      <c r="E48" s="85"/>
      <c r="F48" s="85"/>
      <c r="G48" s="85"/>
      <c r="H48" s="85"/>
      <c r="I48" s="85"/>
      <c r="J48" s="85"/>
      <c r="K48" s="85"/>
      <c r="L48" s="85"/>
      <c r="M48" s="85"/>
      <c r="N48" s="85"/>
      <c r="O48" s="85"/>
    </row>
    <row r="49" spans="1:15" s="22" customFormat="1" ht="20.399999999999999" x14ac:dyDescent="0.3">
      <c r="A49" s="85"/>
      <c r="B49" s="85"/>
      <c r="C49" s="132"/>
      <c r="D49" s="132"/>
      <c r="E49" s="85"/>
      <c r="F49" s="85"/>
      <c r="G49" s="85"/>
      <c r="H49" s="85"/>
      <c r="I49" s="85"/>
      <c r="J49" s="85"/>
      <c r="K49" s="85"/>
      <c r="L49" s="85"/>
      <c r="M49" s="85"/>
      <c r="N49" s="85"/>
      <c r="O49" s="85"/>
    </row>
    <row r="50" spans="1:15" s="22" customFormat="1" ht="20.399999999999999" x14ac:dyDescent="0.3">
      <c r="A50" s="85"/>
      <c r="B50" s="85"/>
      <c r="C50" s="132"/>
      <c r="D50" s="132"/>
      <c r="E50" s="85"/>
      <c r="F50" s="85"/>
      <c r="G50" s="85"/>
      <c r="H50" s="85"/>
      <c r="I50" s="85"/>
      <c r="J50" s="85"/>
      <c r="K50" s="85"/>
      <c r="L50" s="85"/>
      <c r="M50" s="85"/>
      <c r="N50" s="85"/>
      <c r="O50" s="85"/>
    </row>
    <row r="51" spans="1:15" s="22" customFormat="1" ht="20.399999999999999" x14ac:dyDescent="0.3">
      <c r="A51" s="85"/>
      <c r="B51" s="85"/>
      <c r="C51" s="132"/>
      <c r="D51" s="132"/>
      <c r="E51" s="85"/>
      <c r="F51" s="85"/>
      <c r="G51" s="85"/>
      <c r="H51" s="85"/>
      <c r="I51" s="85"/>
      <c r="J51" s="85"/>
      <c r="K51" s="85"/>
      <c r="L51" s="85"/>
      <c r="M51" s="85"/>
      <c r="N51" s="85"/>
      <c r="O51" s="85"/>
    </row>
    <row r="52" spans="1:15" s="22" customFormat="1" ht="20.399999999999999" x14ac:dyDescent="0.3">
      <c r="A52" s="85"/>
      <c r="C52" s="134"/>
      <c r="D52" s="134"/>
    </row>
    <row r="53" spans="1:15" s="22" customFormat="1" ht="20.399999999999999" x14ac:dyDescent="0.3">
      <c r="A53" s="85"/>
      <c r="C53" s="134"/>
      <c r="D53" s="134"/>
    </row>
    <row r="54" spans="1:15" s="22" customFormat="1" ht="20.399999999999999" x14ac:dyDescent="0.3">
      <c r="A54" s="85"/>
      <c r="C54" s="134"/>
      <c r="D54" s="134"/>
    </row>
    <row r="55" spans="1:15" s="22" customFormat="1" ht="20.399999999999999" x14ac:dyDescent="0.3">
      <c r="A55" s="85"/>
      <c r="C55" s="134"/>
      <c r="D55" s="134"/>
    </row>
    <row r="56" spans="1:15" s="22" customFormat="1" ht="20.399999999999999" x14ac:dyDescent="0.3">
      <c r="A56" s="85"/>
      <c r="C56" s="134"/>
      <c r="D56" s="134"/>
    </row>
    <row r="57" spans="1:15" s="22" customFormat="1" ht="20.399999999999999" x14ac:dyDescent="0.3">
      <c r="A57" s="85"/>
      <c r="C57" s="134"/>
      <c r="D57" s="134"/>
    </row>
    <row r="58" spans="1:15" s="22" customFormat="1" ht="20.399999999999999" x14ac:dyDescent="0.3">
      <c r="A58" s="85"/>
      <c r="C58" s="134"/>
      <c r="D58" s="134"/>
    </row>
    <row r="59" spans="1:15" s="22" customFormat="1" ht="20.399999999999999" x14ac:dyDescent="0.3">
      <c r="A59" s="85"/>
      <c r="C59" s="134"/>
      <c r="D59" s="134"/>
    </row>
    <row r="60" spans="1:15" s="22" customFormat="1" ht="20.399999999999999" x14ac:dyDescent="0.3">
      <c r="A60" s="85"/>
      <c r="C60" s="134"/>
      <c r="D60" s="134"/>
    </row>
    <row r="61" spans="1:15" s="22" customFormat="1" ht="20.399999999999999" x14ac:dyDescent="0.3">
      <c r="A61" s="85"/>
      <c r="C61" s="134"/>
      <c r="D61" s="134"/>
    </row>
    <row r="62" spans="1:15" s="22" customFormat="1" ht="20.399999999999999" x14ac:dyDescent="0.3">
      <c r="A62" s="85"/>
      <c r="C62" s="134"/>
      <c r="D62" s="134"/>
    </row>
    <row r="63" spans="1:15" s="22" customFormat="1" ht="20.399999999999999" x14ac:dyDescent="0.3">
      <c r="A63" s="85"/>
      <c r="C63" s="134"/>
      <c r="D63" s="134"/>
    </row>
    <row r="64" spans="1:15" s="22" customFormat="1" ht="20.399999999999999" x14ac:dyDescent="0.3">
      <c r="A64" s="85"/>
      <c r="C64" s="134"/>
      <c r="D64" s="134"/>
    </row>
    <row r="65" spans="1:4" s="22" customFormat="1" ht="20.399999999999999" x14ac:dyDescent="0.3">
      <c r="A65" s="85"/>
      <c r="C65" s="134"/>
      <c r="D65" s="134"/>
    </row>
    <row r="66" spans="1:4" s="22" customFormat="1" ht="20.399999999999999" x14ac:dyDescent="0.3">
      <c r="A66" s="85"/>
      <c r="C66" s="134"/>
      <c r="D66" s="134"/>
    </row>
    <row r="67" spans="1:4" s="22" customFormat="1" ht="20.399999999999999" x14ac:dyDescent="0.3">
      <c r="A67" s="85"/>
      <c r="C67" s="134"/>
      <c r="D67" s="134"/>
    </row>
    <row r="68" spans="1:4" s="22" customFormat="1" ht="20.399999999999999" x14ac:dyDescent="0.3">
      <c r="A68" s="85"/>
      <c r="C68" s="134"/>
      <c r="D68" s="134"/>
    </row>
    <row r="69" spans="1:4" s="22" customFormat="1" ht="20.399999999999999" x14ac:dyDescent="0.3">
      <c r="A69" s="85"/>
      <c r="C69" s="134"/>
      <c r="D69" s="134"/>
    </row>
    <row r="70" spans="1:4" s="22" customFormat="1" ht="20.399999999999999" x14ac:dyDescent="0.3">
      <c r="A70" s="85"/>
      <c r="C70" s="134"/>
      <c r="D70" s="134"/>
    </row>
    <row r="71" spans="1:4" s="22" customFormat="1" ht="20.399999999999999" x14ac:dyDescent="0.3">
      <c r="A71" s="85"/>
      <c r="C71" s="134"/>
      <c r="D71" s="134"/>
    </row>
    <row r="72" spans="1:4" s="22" customFormat="1" ht="20.399999999999999" x14ac:dyDescent="0.3">
      <c r="A72" s="85"/>
      <c r="C72" s="134"/>
      <c r="D72" s="134"/>
    </row>
    <row r="73" spans="1:4" s="22" customFormat="1" ht="20.399999999999999" x14ac:dyDescent="0.3">
      <c r="A73" s="85"/>
      <c r="C73" s="134"/>
      <c r="D73" s="134"/>
    </row>
    <row r="74" spans="1:4" s="22" customFormat="1" ht="20.399999999999999" x14ac:dyDescent="0.3">
      <c r="A74" s="85"/>
      <c r="C74" s="134"/>
      <c r="D74" s="134"/>
    </row>
    <row r="75" spans="1:4" s="22" customFormat="1" ht="20.399999999999999" x14ac:dyDescent="0.3">
      <c r="A75" s="85"/>
      <c r="C75" s="134"/>
      <c r="D75" s="134"/>
    </row>
    <row r="76" spans="1:4" s="22" customFormat="1" ht="20.399999999999999" x14ac:dyDescent="0.3">
      <c r="A76" s="85"/>
      <c r="C76" s="134"/>
      <c r="D76" s="134"/>
    </row>
    <row r="77" spans="1:4" s="22" customFormat="1" ht="20.399999999999999" x14ac:dyDescent="0.3">
      <c r="A77" s="85"/>
      <c r="C77" s="134"/>
      <c r="D77" s="134"/>
    </row>
    <row r="78" spans="1:4" s="22" customFormat="1" ht="20.399999999999999" x14ac:dyDescent="0.3">
      <c r="A78" s="85"/>
      <c r="C78" s="134"/>
      <c r="D78" s="134"/>
    </row>
    <row r="79" spans="1:4" s="22" customFormat="1" ht="20.399999999999999" x14ac:dyDescent="0.3">
      <c r="A79" s="85"/>
      <c r="C79" s="134"/>
      <c r="D79" s="134"/>
    </row>
    <row r="80" spans="1:4" s="22" customFormat="1" ht="20.399999999999999" x14ac:dyDescent="0.3">
      <c r="A80" s="85"/>
      <c r="C80" s="134"/>
      <c r="D80" s="134"/>
    </row>
    <row r="81" spans="1:4" s="22" customFormat="1" ht="20.399999999999999" x14ac:dyDescent="0.3">
      <c r="A81" s="85"/>
      <c r="C81" s="134"/>
      <c r="D81" s="134"/>
    </row>
    <row r="82" spans="1:4" s="22" customFormat="1" ht="20.399999999999999" x14ac:dyDescent="0.3">
      <c r="A82" s="85"/>
      <c r="C82" s="134"/>
      <c r="D82" s="134"/>
    </row>
    <row r="83" spans="1:4" s="22" customFormat="1" ht="20.399999999999999" x14ac:dyDescent="0.3">
      <c r="A83" s="85"/>
      <c r="C83" s="134"/>
      <c r="D83" s="134"/>
    </row>
    <row r="84" spans="1:4" s="22" customFormat="1" ht="20.399999999999999" x14ac:dyDescent="0.3">
      <c r="A84" s="85"/>
      <c r="C84" s="134"/>
      <c r="D84" s="134"/>
    </row>
    <row r="85" spans="1:4" s="22" customFormat="1" ht="20.399999999999999" x14ac:dyDescent="0.3">
      <c r="A85" s="85"/>
      <c r="C85" s="134"/>
      <c r="D85" s="134"/>
    </row>
    <row r="86" spans="1:4" s="22" customFormat="1" ht="20.399999999999999" x14ac:dyDescent="0.3">
      <c r="A86" s="85"/>
      <c r="C86" s="134"/>
      <c r="D86" s="134"/>
    </row>
    <row r="87" spans="1:4" s="22" customFormat="1" ht="20.399999999999999" x14ac:dyDescent="0.3">
      <c r="A87" s="85"/>
      <c r="C87" s="134"/>
      <c r="D87" s="134"/>
    </row>
    <row r="88" spans="1:4" s="22" customFormat="1" ht="20.399999999999999" x14ac:dyDescent="0.3">
      <c r="A88" s="85"/>
      <c r="C88" s="134"/>
      <c r="D88" s="134"/>
    </row>
    <row r="89" spans="1:4" s="22" customFormat="1" ht="20.399999999999999" x14ac:dyDescent="0.3">
      <c r="A89" s="85"/>
      <c r="C89" s="134"/>
      <c r="D89" s="134"/>
    </row>
    <row r="90" spans="1:4" s="22" customFormat="1" ht="20.399999999999999" x14ac:dyDescent="0.3">
      <c r="A90" s="85"/>
      <c r="C90" s="134"/>
      <c r="D90" s="134"/>
    </row>
    <row r="91" spans="1:4" s="22" customFormat="1" ht="20.399999999999999" x14ac:dyDescent="0.3">
      <c r="A91" s="85"/>
      <c r="C91" s="134"/>
      <c r="D91" s="134"/>
    </row>
    <row r="92" spans="1:4" s="22" customFormat="1" ht="20.399999999999999" x14ac:dyDescent="0.3">
      <c r="A92" s="85"/>
      <c r="C92" s="134"/>
      <c r="D92" s="134"/>
    </row>
    <row r="93" spans="1:4" s="22" customFormat="1" ht="20.399999999999999" x14ac:dyDescent="0.3">
      <c r="A93" s="85"/>
      <c r="C93" s="134"/>
      <c r="D93" s="134"/>
    </row>
    <row r="94" spans="1:4" s="22" customFormat="1" ht="20.399999999999999" x14ac:dyDescent="0.3">
      <c r="A94" s="85"/>
      <c r="C94" s="134"/>
      <c r="D94" s="134"/>
    </row>
    <row r="95" spans="1:4" s="22" customFormat="1" ht="20.399999999999999" x14ac:dyDescent="0.3">
      <c r="A95" s="85"/>
      <c r="C95" s="134"/>
      <c r="D95" s="134"/>
    </row>
    <row r="96" spans="1:4" s="22" customFormat="1" ht="20.399999999999999" x14ac:dyDescent="0.3">
      <c r="A96" s="85"/>
      <c r="C96" s="134"/>
      <c r="D96" s="134"/>
    </row>
    <row r="97" spans="1:4" s="22" customFormat="1" ht="20.399999999999999" x14ac:dyDescent="0.3">
      <c r="A97" s="85"/>
      <c r="C97" s="134"/>
      <c r="D97" s="134"/>
    </row>
    <row r="98" spans="1:4" s="22" customFormat="1" ht="20.399999999999999" x14ac:dyDescent="0.3">
      <c r="A98" s="85"/>
      <c r="C98" s="134"/>
      <c r="D98" s="134"/>
    </row>
    <row r="99" spans="1:4" s="22" customFormat="1" ht="20.399999999999999" x14ac:dyDescent="0.3">
      <c r="A99" s="85"/>
      <c r="C99" s="134"/>
      <c r="D99" s="134"/>
    </row>
    <row r="100" spans="1:4" s="22" customFormat="1" ht="20.399999999999999" x14ac:dyDescent="0.3">
      <c r="A100" s="85"/>
      <c r="C100" s="134"/>
      <c r="D100" s="134"/>
    </row>
    <row r="101" spans="1:4" s="22" customFormat="1" ht="20.399999999999999" x14ac:dyDescent="0.3">
      <c r="A101" s="85"/>
      <c r="C101" s="134"/>
      <c r="D101" s="134"/>
    </row>
    <row r="102" spans="1:4" s="22" customFormat="1" ht="20.399999999999999" x14ac:dyDescent="0.3">
      <c r="A102" s="85"/>
      <c r="C102" s="134"/>
      <c r="D102" s="134"/>
    </row>
    <row r="103" spans="1:4" s="22" customFormat="1" ht="20.399999999999999" x14ac:dyDescent="0.3">
      <c r="A103" s="85"/>
      <c r="C103" s="134"/>
      <c r="D103" s="134"/>
    </row>
    <row r="104" spans="1:4" s="22" customFormat="1" ht="20.399999999999999" x14ac:dyDescent="0.3">
      <c r="A104" s="85"/>
      <c r="C104" s="134"/>
      <c r="D104" s="134"/>
    </row>
    <row r="105" spans="1:4" s="22" customFormat="1" ht="20.399999999999999" x14ac:dyDescent="0.3">
      <c r="A105" s="85"/>
      <c r="C105" s="134"/>
      <c r="D105" s="134"/>
    </row>
    <row r="106" spans="1:4" s="22" customFormat="1" ht="20.399999999999999" x14ac:dyDescent="0.3">
      <c r="A106" s="85"/>
      <c r="C106" s="134"/>
      <c r="D106" s="134"/>
    </row>
    <row r="107" spans="1:4" s="22" customFormat="1" ht="20.399999999999999" x14ac:dyDescent="0.3">
      <c r="A107" s="85"/>
      <c r="C107" s="134"/>
      <c r="D107" s="134"/>
    </row>
    <row r="108" spans="1:4" s="22" customFormat="1" ht="20.399999999999999" x14ac:dyDescent="0.3">
      <c r="A108" s="85"/>
      <c r="C108" s="134"/>
      <c r="D108" s="134"/>
    </row>
    <row r="109" spans="1:4" s="22" customFormat="1" ht="20.399999999999999" x14ac:dyDescent="0.3">
      <c r="A109" s="85"/>
      <c r="C109" s="134"/>
      <c r="D109" s="134"/>
    </row>
    <row r="110" spans="1:4" s="22" customFormat="1" ht="20.399999999999999" x14ac:dyDescent="0.3">
      <c r="A110" s="85"/>
      <c r="C110" s="134"/>
      <c r="D110" s="134"/>
    </row>
    <row r="111" spans="1:4" s="22" customFormat="1" ht="20.399999999999999" x14ac:dyDescent="0.3">
      <c r="A111" s="85"/>
      <c r="C111" s="134"/>
      <c r="D111" s="134"/>
    </row>
    <row r="112" spans="1:4" s="22" customFormat="1" ht="20.399999999999999" x14ac:dyDescent="0.3">
      <c r="A112" s="85"/>
      <c r="C112" s="134"/>
      <c r="D112" s="134"/>
    </row>
    <row r="113" spans="1:4" s="22" customFormat="1" ht="20.399999999999999" x14ac:dyDescent="0.3">
      <c r="A113" s="85"/>
      <c r="C113" s="134"/>
      <c r="D113" s="134"/>
    </row>
    <row r="114" spans="1:4" s="22" customFormat="1" ht="20.399999999999999" x14ac:dyDescent="0.3">
      <c r="A114" s="85"/>
      <c r="C114" s="134"/>
      <c r="D114" s="134"/>
    </row>
    <row r="115" spans="1:4" s="22" customFormat="1" ht="20.399999999999999" x14ac:dyDescent="0.3">
      <c r="A115" s="85"/>
      <c r="C115" s="134"/>
      <c r="D115" s="134"/>
    </row>
    <row r="116" spans="1:4" s="22" customFormat="1" ht="20.399999999999999" x14ac:dyDescent="0.3">
      <c r="A116" s="85"/>
      <c r="C116" s="134"/>
      <c r="D116" s="134"/>
    </row>
    <row r="117" spans="1:4" s="22" customFormat="1" ht="20.399999999999999" x14ac:dyDescent="0.3">
      <c r="A117" s="85"/>
      <c r="C117" s="134"/>
      <c r="D117" s="134"/>
    </row>
    <row r="118" spans="1:4" s="22" customFormat="1" ht="20.399999999999999" x14ac:dyDescent="0.3">
      <c r="A118" s="85"/>
      <c r="C118" s="134"/>
      <c r="D118" s="134"/>
    </row>
    <row r="119" spans="1:4" s="22" customFormat="1" ht="20.399999999999999" x14ac:dyDescent="0.3">
      <c r="A119" s="85"/>
      <c r="C119" s="134"/>
      <c r="D119" s="134"/>
    </row>
    <row r="120" spans="1:4" s="22" customFormat="1" ht="20.399999999999999" x14ac:dyDescent="0.3">
      <c r="A120" s="85"/>
      <c r="C120" s="134"/>
      <c r="D120" s="134"/>
    </row>
    <row r="121" spans="1:4" s="22" customFormat="1" ht="20.399999999999999" x14ac:dyDescent="0.3">
      <c r="A121" s="85"/>
      <c r="C121" s="134"/>
      <c r="D121" s="134"/>
    </row>
    <row r="122" spans="1:4" s="22" customFormat="1" ht="20.399999999999999" x14ac:dyDescent="0.3">
      <c r="A122" s="85"/>
      <c r="C122" s="134"/>
      <c r="D122" s="134"/>
    </row>
    <row r="123" spans="1:4" s="22" customFormat="1" ht="20.399999999999999" x14ac:dyDescent="0.3">
      <c r="A123" s="85"/>
      <c r="C123" s="134"/>
      <c r="D123" s="134"/>
    </row>
    <row r="124" spans="1:4" s="22" customFormat="1" ht="20.399999999999999" x14ac:dyDescent="0.3">
      <c r="A124" s="85"/>
      <c r="C124" s="134"/>
      <c r="D124" s="134"/>
    </row>
    <row r="125" spans="1:4" s="22" customFormat="1" ht="20.399999999999999" x14ac:dyDescent="0.3">
      <c r="A125" s="85"/>
      <c r="C125" s="134"/>
      <c r="D125" s="134"/>
    </row>
    <row r="126" spans="1:4" s="22" customFormat="1" ht="20.399999999999999" x14ac:dyDescent="0.3">
      <c r="A126" s="85"/>
      <c r="C126" s="134"/>
      <c r="D126" s="134"/>
    </row>
    <row r="127" spans="1:4" s="22" customFormat="1" ht="20.399999999999999" x14ac:dyDescent="0.3">
      <c r="A127" s="85"/>
      <c r="C127" s="134"/>
      <c r="D127" s="134"/>
    </row>
    <row r="128" spans="1:4" s="22" customFormat="1" ht="20.399999999999999" x14ac:dyDescent="0.3">
      <c r="A128" s="85"/>
      <c r="C128" s="134"/>
      <c r="D128" s="134"/>
    </row>
    <row r="129" spans="1:4" s="22" customFormat="1" ht="20.399999999999999" x14ac:dyDescent="0.3">
      <c r="A129" s="85"/>
      <c r="C129" s="134"/>
      <c r="D129" s="134"/>
    </row>
    <row r="130" spans="1:4" s="22" customFormat="1" ht="20.399999999999999" x14ac:dyDescent="0.3">
      <c r="A130" s="85"/>
      <c r="C130" s="134"/>
      <c r="D130" s="134"/>
    </row>
    <row r="131" spans="1:4" s="22" customFormat="1" ht="20.399999999999999" x14ac:dyDescent="0.3">
      <c r="A131" s="85"/>
      <c r="C131" s="134"/>
      <c r="D131" s="134"/>
    </row>
    <row r="132" spans="1:4" s="22" customFormat="1" ht="20.399999999999999" x14ac:dyDescent="0.3">
      <c r="A132" s="85"/>
      <c r="C132" s="134"/>
      <c r="D132" s="134"/>
    </row>
    <row r="133" spans="1:4" s="22" customFormat="1" ht="20.399999999999999" x14ac:dyDescent="0.3">
      <c r="A133" s="85"/>
      <c r="C133" s="134"/>
      <c r="D133" s="134"/>
    </row>
    <row r="134" spans="1:4" s="22" customFormat="1" ht="20.399999999999999" x14ac:dyDescent="0.3">
      <c r="A134" s="85"/>
      <c r="C134" s="134"/>
      <c r="D134" s="134"/>
    </row>
    <row r="135" spans="1:4" s="22" customFormat="1" ht="20.399999999999999" x14ac:dyDescent="0.3">
      <c r="A135" s="85"/>
      <c r="C135" s="134"/>
      <c r="D135" s="134"/>
    </row>
    <row r="136" spans="1:4" s="22" customFormat="1" ht="20.399999999999999" x14ac:dyDescent="0.3">
      <c r="A136" s="85"/>
      <c r="C136" s="134"/>
      <c r="D136" s="134"/>
    </row>
    <row r="137" spans="1:4" s="22" customFormat="1" ht="20.399999999999999" x14ac:dyDescent="0.3">
      <c r="A137" s="85"/>
      <c r="C137" s="134"/>
      <c r="D137" s="134"/>
    </row>
    <row r="138" spans="1:4" s="22" customFormat="1" ht="20.399999999999999" x14ac:dyDescent="0.3">
      <c r="A138" s="85"/>
      <c r="C138" s="134"/>
      <c r="D138" s="134"/>
    </row>
    <row r="139" spans="1:4" s="22" customFormat="1" ht="20.399999999999999" x14ac:dyDescent="0.3">
      <c r="A139" s="85"/>
      <c r="C139" s="134"/>
      <c r="D139" s="134"/>
    </row>
    <row r="140" spans="1:4" s="22" customFormat="1" ht="20.399999999999999" x14ac:dyDescent="0.3">
      <c r="A140" s="85"/>
      <c r="C140" s="134"/>
      <c r="D140" s="134"/>
    </row>
    <row r="141" spans="1:4" s="22" customFormat="1" ht="20.399999999999999" x14ac:dyDescent="0.3">
      <c r="A141" s="85"/>
      <c r="C141" s="134"/>
      <c r="D141" s="134"/>
    </row>
    <row r="142" spans="1:4" s="22" customFormat="1" ht="20.399999999999999" x14ac:dyDescent="0.3">
      <c r="A142" s="85"/>
      <c r="C142" s="134"/>
      <c r="D142" s="134"/>
    </row>
    <row r="143" spans="1:4" s="22" customFormat="1" ht="20.399999999999999" x14ac:dyDescent="0.3">
      <c r="A143" s="85"/>
      <c r="C143" s="134"/>
      <c r="D143" s="134"/>
    </row>
    <row r="144" spans="1:4" s="22" customFormat="1" ht="20.399999999999999" x14ac:dyDescent="0.3">
      <c r="A144" s="85"/>
      <c r="C144" s="134"/>
      <c r="D144" s="134"/>
    </row>
    <row r="145" spans="1:4" s="22" customFormat="1" ht="20.399999999999999" x14ac:dyDescent="0.3">
      <c r="A145" s="85"/>
      <c r="C145" s="134"/>
      <c r="D145" s="134"/>
    </row>
    <row r="146" spans="1:4" s="22" customFormat="1" ht="20.399999999999999" x14ac:dyDescent="0.3">
      <c r="A146" s="85"/>
      <c r="C146" s="134"/>
      <c r="D146" s="134"/>
    </row>
    <row r="147" spans="1:4" s="22" customFormat="1" ht="20.399999999999999" x14ac:dyDescent="0.3">
      <c r="A147" s="85"/>
      <c r="C147" s="134"/>
      <c r="D147" s="134"/>
    </row>
    <row r="148" spans="1:4" s="22" customFormat="1" ht="20.399999999999999" x14ac:dyDescent="0.3">
      <c r="A148" s="85"/>
      <c r="C148" s="134"/>
      <c r="D148" s="134"/>
    </row>
    <row r="149" spans="1:4" s="22" customFormat="1" ht="20.399999999999999" x14ac:dyDescent="0.3">
      <c r="A149" s="85"/>
      <c r="C149" s="134"/>
      <c r="D149" s="134"/>
    </row>
    <row r="150" spans="1:4" s="22" customFormat="1" ht="20.399999999999999" x14ac:dyDescent="0.3">
      <c r="A150" s="85"/>
      <c r="C150" s="134"/>
      <c r="D150" s="134"/>
    </row>
    <row r="151" spans="1:4" s="22" customFormat="1" ht="20.399999999999999" x14ac:dyDescent="0.3">
      <c r="A151" s="85"/>
      <c r="C151" s="134"/>
      <c r="D151" s="134"/>
    </row>
    <row r="152" spans="1:4" s="22" customFormat="1" ht="20.399999999999999" x14ac:dyDescent="0.3">
      <c r="A152" s="85"/>
      <c r="C152" s="134"/>
      <c r="D152" s="134"/>
    </row>
    <row r="153" spans="1:4" s="22" customFormat="1" ht="20.399999999999999" x14ac:dyDescent="0.3">
      <c r="A153" s="85"/>
      <c r="C153" s="134"/>
      <c r="D153" s="134"/>
    </row>
    <row r="154" spans="1:4" s="22" customFormat="1" ht="20.399999999999999" x14ac:dyDescent="0.3">
      <c r="A154" s="85"/>
      <c r="C154" s="134"/>
      <c r="D154" s="134"/>
    </row>
    <row r="155" spans="1:4" s="22" customFormat="1" ht="20.399999999999999" x14ac:dyDescent="0.3">
      <c r="A155" s="85"/>
      <c r="C155" s="134"/>
      <c r="D155" s="134"/>
    </row>
    <row r="156" spans="1:4" s="22" customFormat="1" ht="20.399999999999999" x14ac:dyDescent="0.3">
      <c r="A156" s="85"/>
      <c r="C156" s="134"/>
      <c r="D156" s="134"/>
    </row>
    <row r="157" spans="1:4" s="22" customFormat="1" ht="20.399999999999999" x14ac:dyDescent="0.3">
      <c r="A157" s="85"/>
      <c r="C157" s="134"/>
      <c r="D157" s="134"/>
    </row>
    <row r="158" spans="1:4" s="22" customFormat="1" ht="20.399999999999999" x14ac:dyDescent="0.3">
      <c r="A158" s="85"/>
      <c r="C158" s="134"/>
      <c r="D158" s="134"/>
    </row>
    <row r="159" spans="1:4" s="22" customFormat="1" ht="20.399999999999999" x14ac:dyDescent="0.3">
      <c r="A159" s="85"/>
      <c r="C159" s="134"/>
      <c r="D159" s="134"/>
    </row>
    <row r="160" spans="1:4" s="22" customFormat="1" ht="20.399999999999999" x14ac:dyDescent="0.3">
      <c r="A160" s="85"/>
      <c r="C160" s="134"/>
      <c r="D160" s="134"/>
    </row>
    <row r="161" spans="1:4" s="22" customFormat="1" ht="20.399999999999999" x14ac:dyDescent="0.3">
      <c r="A161" s="85"/>
      <c r="C161" s="134"/>
      <c r="D161" s="134"/>
    </row>
    <row r="162" spans="1:4" s="22" customFormat="1" ht="20.399999999999999" x14ac:dyDescent="0.3">
      <c r="A162" s="85"/>
      <c r="C162" s="134"/>
      <c r="D162" s="134"/>
    </row>
    <row r="163" spans="1:4" s="22" customFormat="1" ht="20.399999999999999" x14ac:dyDescent="0.3">
      <c r="A163" s="85"/>
      <c r="C163" s="134"/>
      <c r="D163" s="134"/>
    </row>
    <row r="164" spans="1:4" s="22" customFormat="1" ht="20.399999999999999" x14ac:dyDescent="0.3">
      <c r="A164" s="85"/>
      <c r="C164" s="134"/>
      <c r="D164" s="134"/>
    </row>
    <row r="165" spans="1:4" s="22" customFormat="1" ht="20.399999999999999" x14ac:dyDescent="0.3">
      <c r="A165" s="85"/>
      <c r="C165" s="134"/>
      <c r="D165" s="134"/>
    </row>
    <row r="166" spans="1:4" s="22" customFormat="1" ht="20.399999999999999" x14ac:dyDescent="0.3">
      <c r="A166" s="85"/>
      <c r="C166" s="134"/>
      <c r="D166" s="134"/>
    </row>
    <row r="167" spans="1:4" s="22" customFormat="1" ht="20.399999999999999" x14ac:dyDescent="0.3">
      <c r="A167" s="85"/>
      <c r="C167" s="134"/>
      <c r="D167" s="134"/>
    </row>
    <row r="168" spans="1:4" s="22" customFormat="1" ht="20.399999999999999" x14ac:dyDescent="0.3">
      <c r="A168" s="85"/>
      <c r="C168" s="134"/>
      <c r="D168" s="134"/>
    </row>
    <row r="169" spans="1:4" s="22" customFormat="1" ht="20.399999999999999" x14ac:dyDescent="0.3">
      <c r="A169" s="85"/>
      <c r="C169" s="134"/>
      <c r="D169" s="134"/>
    </row>
    <row r="170" spans="1:4" s="22" customFormat="1" ht="20.399999999999999" x14ac:dyDescent="0.3">
      <c r="A170" s="85"/>
      <c r="C170" s="134"/>
      <c r="D170" s="134"/>
    </row>
    <row r="171" spans="1:4" s="22" customFormat="1" ht="20.399999999999999" x14ac:dyDescent="0.3">
      <c r="A171" s="85"/>
      <c r="C171" s="134"/>
      <c r="D171" s="134"/>
    </row>
    <row r="172" spans="1:4" s="22" customFormat="1" ht="20.399999999999999" x14ac:dyDescent="0.3">
      <c r="A172" s="85"/>
      <c r="C172" s="134"/>
      <c r="D172" s="134"/>
    </row>
    <row r="173" spans="1:4" s="22" customFormat="1" ht="20.399999999999999" x14ac:dyDescent="0.3">
      <c r="A173" s="85"/>
      <c r="C173" s="134"/>
      <c r="D173" s="134"/>
    </row>
    <row r="174" spans="1:4" s="22" customFormat="1" ht="20.399999999999999" x14ac:dyDescent="0.3">
      <c r="A174" s="85"/>
      <c r="C174" s="134"/>
      <c r="D174" s="134"/>
    </row>
    <row r="175" spans="1:4" s="22" customFormat="1" ht="20.399999999999999" x14ac:dyDescent="0.3">
      <c r="A175" s="85"/>
      <c r="C175" s="134"/>
      <c r="D175" s="134"/>
    </row>
    <row r="176" spans="1:4" s="22" customFormat="1" ht="20.399999999999999" x14ac:dyDescent="0.3">
      <c r="A176" s="85"/>
      <c r="C176" s="134"/>
      <c r="D176" s="134"/>
    </row>
    <row r="177" spans="1:4" s="22" customFormat="1" ht="20.399999999999999" x14ac:dyDescent="0.3">
      <c r="A177" s="85"/>
      <c r="C177" s="134"/>
      <c r="D177" s="134"/>
    </row>
    <row r="178" spans="1:4" s="22" customFormat="1" ht="20.399999999999999" x14ac:dyDescent="0.3">
      <c r="A178" s="85"/>
      <c r="C178" s="134"/>
      <c r="D178" s="134"/>
    </row>
    <row r="179" spans="1:4" s="22" customFormat="1" ht="20.399999999999999" x14ac:dyDescent="0.3">
      <c r="A179" s="85"/>
      <c r="C179" s="134"/>
      <c r="D179" s="134"/>
    </row>
    <row r="180" spans="1:4" s="22" customFormat="1" ht="20.399999999999999" x14ac:dyDescent="0.3">
      <c r="A180" s="85"/>
      <c r="C180" s="134"/>
      <c r="D180" s="134"/>
    </row>
    <row r="181" spans="1:4" s="22" customFormat="1" ht="20.399999999999999" x14ac:dyDescent="0.3">
      <c r="A181" s="85"/>
      <c r="C181" s="134"/>
      <c r="D181" s="134"/>
    </row>
    <row r="182" spans="1:4" s="22" customFormat="1" ht="20.399999999999999" x14ac:dyDescent="0.3">
      <c r="A182" s="85"/>
      <c r="C182" s="134"/>
      <c r="D182" s="134"/>
    </row>
    <row r="183" spans="1:4" s="22" customFormat="1" ht="20.399999999999999" x14ac:dyDescent="0.3">
      <c r="A183" s="85"/>
      <c r="C183" s="134"/>
      <c r="D183" s="134"/>
    </row>
    <row r="184" spans="1:4" s="22" customFormat="1" ht="20.399999999999999" x14ac:dyDescent="0.3">
      <c r="A184" s="85"/>
      <c r="C184" s="134"/>
      <c r="D184" s="134"/>
    </row>
    <row r="185" spans="1:4" s="22" customFormat="1" ht="20.399999999999999" x14ac:dyDescent="0.3">
      <c r="A185" s="85"/>
      <c r="C185" s="134"/>
      <c r="D185" s="134"/>
    </row>
    <row r="186" spans="1:4" s="22" customFormat="1" ht="20.399999999999999" x14ac:dyDescent="0.3">
      <c r="A186" s="85"/>
      <c r="C186" s="134"/>
      <c r="D186" s="134"/>
    </row>
    <row r="187" spans="1:4" s="22" customFormat="1" ht="20.399999999999999" x14ac:dyDescent="0.3">
      <c r="A187" s="85"/>
      <c r="C187" s="134"/>
      <c r="D187" s="134"/>
    </row>
    <row r="188" spans="1:4" s="22" customFormat="1" ht="20.399999999999999" x14ac:dyDescent="0.3">
      <c r="A188" s="85"/>
      <c r="C188" s="134"/>
      <c r="D188" s="134"/>
    </row>
    <row r="189" spans="1:4" s="22" customFormat="1" ht="20.399999999999999" x14ac:dyDescent="0.3">
      <c r="A189" s="85"/>
      <c r="C189" s="134"/>
      <c r="D189" s="134"/>
    </row>
    <row r="190" spans="1:4" s="22" customFormat="1" ht="20.399999999999999" x14ac:dyDescent="0.3">
      <c r="A190" s="85"/>
      <c r="C190" s="134"/>
      <c r="D190" s="134"/>
    </row>
    <row r="191" spans="1:4" s="22" customFormat="1" ht="20.399999999999999" x14ac:dyDescent="0.3">
      <c r="A191" s="85"/>
      <c r="C191" s="134"/>
      <c r="D191" s="134"/>
    </row>
    <row r="192" spans="1:4" s="22" customFormat="1" ht="20.399999999999999" x14ac:dyDescent="0.3">
      <c r="A192" s="85"/>
      <c r="C192" s="134"/>
      <c r="D192" s="134"/>
    </row>
    <row r="193" spans="1:4" s="22" customFormat="1" ht="20.399999999999999" x14ac:dyDescent="0.3">
      <c r="A193" s="85"/>
      <c r="C193" s="134"/>
      <c r="D193" s="134"/>
    </row>
    <row r="194" spans="1:4" s="22" customFormat="1" ht="20.399999999999999" x14ac:dyDescent="0.3">
      <c r="A194" s="85"/>
      <c r="C194" s="134"/>
      <c r="D194" s="134"/>
    </row>
    <row r="195" spans="1:4" s="22" customFormat="1" ht="20.399999999999999" x14ac:dyDescent="0.3">
      <c r="A195" s="85"/>
      <c r="C195" s="134"/>
      <c r="D195" s="134"/>
    </row>
    <row r="196" spans="1:4" s="22" customFormat="1" ht="20.399999999999999" x14ac:dyDescent="0.3">
      <c r="A196" s="85"/>
      <c r="C196" s="134"/>
      <c r="D196" s="134"/>
    </row>
    <row r="197" spans="1:4" s="22" customFormat="1" ht="20.399999999999999" x14ac:dyDescent="0.3">
      <c r="A197" s="85"/>
      <c r="C197" s="134"/>
      <c r="D197" s="134"/>
    </row>
    <row r="198" spans="1:4" s="22" customFormat="1" ht="20.399999999999999" x14ac:dyDescent="0.3">
      <c r="A198" s="85"/>
      <c r="C198" s="134"/>
      <c r="D198" s="134"/>
    </row>
    <row r="199" spans="1:4" s="22" customFormat="1" ht="20.399999999999999" x14ac:dyDescent="0.3">
      <c r="A199" s="85"/>
      <c r="C199" s="134"/>
      <c r="D199" s="134"/>
    </row>
    <row r="200" spans="1:4" s="22" customFormat="1" ht="20.399999999999999" x14ac:dyDescent="0.3">
      <c r="A200" s="85"/>
      <c r="C200" s="134"/>
      <c r="D200" s="134"/>
    </row>
    <row r="201" spans="1:4" s="22" customFormat="1" ht="20.399999999999999" x14ac:dyDescent="0.3">
      <c r="A201" s="85"/>
      <c r="C201" s="134"/>
      <c r="D201" s="134"/>
    </row>
    <row r="202" spans="1:4" s="22" customFormat="1" ht="20.399999999999999" x14ac:dyDescent="0.3">
      <c r="A202" s="85"/>
      <c r="C202" s="134"/>
      <c r="D202" s="134"/>
    </row>
    <row r="203" spans="1:4" s="22" customFormat="1" ht="20.399999999999999" x14ac:dyDescent="0.3">
      <c r="A203" s="85"/>
      <c r="C203" s="134"/>
      <c r="D203" s="134"/>
    </row>
    <row r="204" spans="1:4" s="22" customFormat="1" ht="20.399999999999999" x14ac:dyDescent="0.3">
      <c r="A204" s="85"/>
      <c r="C204" s="134"/>
      <c r="D204" s="134"/>
    </row>
    <row r="205" spans="1:4" s="22" customFormat="1" ht="20.399999999999999" x14ac:dyDescent="0.3">
      <c r="A205" s="85"/>
      <c r="C205" s="134"/>
      <c r="D205" s="134"/>
    </row>
    <row r="206" spans="1:4" s="22" customFormat="1" ht="20.399999999999999" x14ac:dyDescent="0.3">
      <c r="A206" s="85"/>
      <c r="C206" s="134"/>
      <c r="D206" s="134"/>
    </row>
    <row r="207" spans="1:4" s="22" customFormat="1" ht="20.399999999999999" x14ac:dyDescent="0.3">
      <c r="A207" s="85"/>
      <c r="C207" s="134"/>
      <c r="D207" s="134"/>
    </row>
    <row r="208" spans="1:4" s="22" customFormat="1" x14ac:dyDescent="0.3">
      <c r="A208" s="85"/>
    </row>
    <row r="209" spans="1:8" s="22" customFormat="1" ht="20.399999999999999" x14ac:dyDescent="0.3">
      <c r="A209" s="85"/>
      <c r="B209" s="135" t="s">
        <v>87</v>
      </c>
      <c r="C209" s="135" t="s">
        <v>140</v>
      </c>
      <c r="D209" s="136" t="s">
        <v>87</v>
      </c>
      <c r="E209" s="136" t="s">
        <v>140</v>
      </c>
    </row>
    <row r="210" spans="1:8" s="22" customFormat="1" ht="42" x14ac:dyDescent="0.4">
      <c r="A210" s="85"/>
      <c r="B210" s="137" t="s">
        <v>89</v>
      </c>
      <c r="C210" s="137" t="s">
        <v>205</v>
      </c>
      <c r="D210" s="22" t="s">
        <v>89</v>
      </c>
      <c r="F210" s="22" t="str">
        <f>IF(NOT(ISBLANK(D210)),D210,IF(NOT(ISBLANK(E210)),"     "&amp;E210,FALSE))</f>
        <v>Afectación Económica o presupuestal</v>
      </c>
      <c r="G210" s="22" t="s">
        <v>89</v>
      </c>
      <c r="H210" s="22" t="str">
        <f>IF(NOT(ISERROR(MATCH(G210,_xlfn.ANCHORARRAY(B221),0))),F223&amp;"Por favor no seleccionar los criterios de impacto",G210)</f>
        <v>❌Por favor no seleccionar los criterios de impacto</v>
      </c>
    </row>
    <row r="211" spans="1:8" s="22" customFormat="1" ht="42" x14ac:dyDescent="0.4">
      <c r="A211" s="85"/>
      <c r="B211" s="137" t="s">
        <v>89</v>
      </c>
      <c r="C211" s="137" t="s">
        <v>206</v>
      </c>
      <c r="E211" s="22" t="s">
        <v>205</v>
      </c>
      <c r="F211" s="22" t="str">
        <f t="shared" ref="F211:F221" si="0">IF(NOT(ISBLANK(D211)),D211,IF(NOT(ISBLANK(E211)),"     "&amp;E211,FALSE))</f>
        <v xml:space="preserve">     Afectación menor a 200 SMLMV</v>
      </c>
    </row>
    <row r="212" spans="1:8" s="22" customFormat="1" ht="42" x14ac:dyDescent="0.4">
      <c r="A212" s="85"/>
      <c r="B212" s="137" t="s">
        <v>89</v>
      </c>
      <c r="C212" s="137" t="s">
        <v>210</v>
      </c>
      <c r="E212" s="22" t="s">
        <v>206</v>
      </c>
      <c r="F212" s="22" t="str">
        <f t="shared" si="0"/>
        <v xml:space="preserve">     Entre 200 y 1000 SMLMV</v>
      </c>
    </row>
    <row r="213" spans="1:8" s="22" customFormat="1" ht="42" x14ac:dyDescent="0.4">
      <c r="A213" s="85"/>
      <c r="B213" s="137" t="s">
        <v>89</v>
      </c>
      <c r="C213" s="137" t="s">
        <v>211</v>
      </c>
      <c r="E213" s="22" t="s">
        <v>210</v>
      </c>
      <c r="F213" s="22" t="str">
        <f t="shared" si="0"/>
        <v xml:space="preserve">     Entre 1000 y 5000 SMLMV </v>
      </c>
    </row>
    <row r="214" spans="1:8" s="22" customFormat="1" ht="42" x14ac:dyDescent="0.4">
      <c r="A214" s="85"/>
      <c r="B214" s="137" t="s">
        <v>89</v>
      </c>
      <c r="C214" s="137" t="s">
        <v>207</v>
      </c>
      <c r="E214" s="22" t="s">
        <v>211</v>
      </c>
      <c r="F214" s="22" t="str">
        <f t="shared" si="0"/>
        <v xml:space="preserve">     Entre 5000 y 10000 SMLMV</v>
      </c>
    </row>
    <row r="215" spans="1:8" s="22" customFormat="1" ht="42" x14ac:dyDescent="0.4">
      <c r="A215" s="85"/>
      <c r="B215" s="137" t="s">
        <v>57</v>
      </c>
      <c r="C215" s="137" t="s">
        <v>92</v>
      </c>
      <c r="E215" s="22" t="s">
        <v>207</v>
      </c>
      <c r="F215" s="22" t="str">
        <f t="shared" si="0"/>
        <v xml:space="preserve">     Mayor a 10000 SMLMV</v>
      </c>
    </row>
    <row r="216" spans="1:8" s="22" customFormat="1" ht="63" x14ac:dyDescent="0.4">
      <c r="A216" s="85"/>
      <c r="B216" s="137" t="s">
        <v>57</v>
      </c>
      <c r="C216" s="137" t="s">
        <v>93</v>
      </c>
      <c r="D216" s="22" t="s">
        <v>57</v>
      </c>
      <c r="F216" s="22" t="str">
        <f t="shared" si="0"/>
        <v>Pérdida Reputacional</v>
      </c>
    </row>
    <row r="217" spans="1:8" s="22" customFormat="1" ht="42" x14ac:dyDescent="0.4">
      <c r="A217" s="85"/>
      <c r="B217" s="137" t="s">
        <v>57</v>
      </c>
      <c r="C217" s="137" t="s">
        <v>95</v>
      </c>
      <c r="E217" s="22" t="s">
        <v>92</v>
      </c>
      <c r="F217" s="22" t="str">
        <f>IF(NOT(ISBLANK(D217)),D217,IF(NOT(ISBLANK(E217)),"     "&amp;E217,FALSE))</f>
        <v xml:space="preserve">     El riesgo afecta la imagen de alguna área de la organización</v>
      </c>
    </row>
    <row r="218" spans="1:8" s="22" customFormat="1" ht="63" x14ac:dyDescent="0.4">
      <c r="A218" s="85"/>
      <c r="B218" s="137" t="s">
        <v>57</v>
      </c>
      <c r="C218" s="137"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4">
      <c r="A219" s="85"/>
      <c r="B219" s="137" t="s">
        <v>57</v>
      </c>
      <c r="C219" s="137" t="s">
        <v>113</v>
      </c>
      <c r="E219" s="22" t="s">
        <v>95</v>
      </c>
      <c r="F219" s="22" t="str">
        <f t="shared" si="0"/>
        <v xml:space="preserve">     El riesgo afecta la imagen de la entidad con algunos usuarios de relevancia frente al logro de los objetivos</v>
      </c>
    </row>
    <row r="220" spans="1:8" s="22" customFormat="1" x14ac:dyDescent="0.3">
      <c r="A220" s="85"/>
      <c r="E220" s="22" t="s">
        <v>94</v>
      </c>
      <c r="F220" s="22" t="str">
        <f t="shared" si="0"/>
        <v xml:space="preserve">     El riesgo afecta la imagen de de la entidad con efecto publicitario sostenido a nivel de sector administrativo, nivel departamental o municipal</v>
      </c>
    </row>
    <row r="221" spans="1:8" s="22" customFormat="1" x14ac:dyDescent="0.3">
      <c r="A221" s="85"/>
      <c r="B221" s="22" t="str">
        <f t="array" ref="B221:B223">_xlfn.UNIQUE(Tabla1[[#All],[Criterios]])</f>
        <v>Criterios</v>
      </c>
      <c r="E221" s="22" t="s">
        <v>113</v>
      </c>
      <c r="F221" s="22" t="str">
        <f t="shared" si="0"/>
        <v xml:space="preserve">     El riesgo afecta la imagen de la entidad a nivel nacional, con efecto publicitarios sostenible a nivel país</v>
      </c>
    </row>
    <row r="222" spans="1:8" s="22" customFormat="1" x14ac:dyDescent="0.3">
      <c r="A222" s="85"/>
      <c r="B222" s="22" t="str">
        <v>Afectación Económica o presupuestal</v>
      </c>
    </row>
    <row r="223" spans="1:8" s="22" customFormat="1" x14ac:dyDescent="0.3">
      <c r="B223" s="22" t="str">
        <v>Pérdida Reputacional</v>
      </c>
      <c r="F223" s="138" t="s">
        <v>141</v>
      </c>
    </row>
    <row r="224" spans="1:8" s="22" customFormat="1" x14ac:dyDescent="0.3">
      <c r="F224" s="138"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7" tint="-0.249977111117893"/>
  </sheetPr>
  <dimension ref="B1:F16"/>
  <sheetViews>
    <sheetView zoomScale="50" zoomScaleNormal="50" workbookViewId="0">
      <selection activeCell="F13" sqref="F13"/>
    </sheetView>
  </sheetViews>
  <sheetFormatPr baseColWidth="10" defaultColWidth="14.21875" defaultRowHeight="13.8" x14ac:dyDescent="0.3"/>
  <cols>
    <col min="1" max="2" width="14.21875" style="70"/>
    <col min="3" max="3" width="17" style="70" customWidth="1"/>
    <col min="4" max="4" width="14.21875" style="70"/>
    <col min="5" max="5" width="46" style="70" customWidth="1"/>
    <col min="6" max="16384" width="14.21875" style="70"/>
  </cols>
  <sheetData>
    <row r="1" spans="2:6" ht="24" customHeight="1" thickBot="1" x14ac:dyDescent="0.35">
      <c r="B1" s="850" t="s">
        <v>77</v>
      </c>
      <c r="C1" s="851"/>
      <c r="D1" s="851"/>
      <c r="E1" s="851"/>
      <c r="F1" s="852"/>
    </row>
    <row r="2" spans="2:6" ht="16.2" thickBot="1" x14ac:dyDescent="0.35">
      <c r="B2" s="71"/>
      <c r="C2" s="71"/>
      <c r="D2" s="71"/>
      <c r="E2" s="71"/>
      <c r="F2" s="71"/>
    </row>
    <row r="3" spans="2:6" ht="16.2" thickBot="1" x14ac:dyDescent="0.35">
      <c r="B3" s="854" t="s">
        <v>63</v>
      </c>
      <c r="C3" s="855"/>
      <c r="D3" s="855"/>
      <c r="E3" s="83" t="s">
        <v>64</v>
      </c>
      <c r="F3" s="84" t="s">
        <v>65</v>
      </c>
    </row>
    <row r="4" spans="2:6" ht="31.2" x14ac:dyDescent="0.3">
      <c r="B4" s="856" t="s">
        <v>66</v>
      </c>
      <c r="C4" s="858" t="s">
        <v>13</v>
      </c>
      <c r="D4" s="72" t="s">
        <v>14</v>
      </c>
      <c r="E4" s="73" t="s">
        <v>67</v>
      </c>
      <c r="F4" s="74">
        <v>0.25</v>
      </c>
    </row>
    <row r="5" spans="2:6" ht="46.8" x14ac:dyDescent="0.3">
      <c r="B5" s="857"/>
      <c r="C5" s="859"/>
      <c r="D5" s="75" t="s">
        <v>15</v>
      </c>
      <c r="E5" s="76" t="s">
        <v>68</v>
      </c>
      <c r="F5" s="77">
        <v>0.15</v>
      </c>
    </row>
    <row r="6" spans="2:6" ht="46.8" x14ac:dyDescent="0.3">
      <c r="B6" s="857"/>
      <c r="C6" s="859"/>
      <c r="D6" s="75" t="s">
        <v>16</v>
      </c>
      <c r="E6" s="76" t="s">
        <v>69</v>
      </c>
      <c r="F6" s="77">
        <v>0.1</v>
      </c>
    </row>
    <row r="7" spans="2:6" ht="62.4" x14ac:dyDescent="0.3">
      <c r="B7" s="857"/>
      <c r="C7" s="859" t="s">
        <v>17</v>
      </c>
      <c r="D7" s="75" t="s">
        <v>10</v>
      </c>
      <c r="E7" s="76" t="s">
        <v>70</v>
      </c>
      <c r="F7" s="77">
        <v>0.25</v>
      </c>
    </row>
    <row r="8" spans="2:6" ht="31.2" x14ac:dyDescent="0.3">
      <c r="B8" s="857"/>
      <c r="C8" s="859"/>
      <c r="D8" s="75" t="s">
        <v>9</v>
      </c>
      <c r="E8" s="76" t="s">
        <v>71</v>
      </c>
      <c r="F8" s="77">
        <v>0.15</v>
      </c>
    </row>
    <row r="9" spans="2:6" ht="46.8" x14ac:dyDescent="0.3">
      <c r="B9" s="857" t="s">
        <v>151</v>
      </c>
      <c r="C9" s="859" t="s">
        <v>18</v>
      </c>
      <c r="D9" s="75" t="s">
        <v>19</v>
      </c>
      <c r="E9" s="76" t="s">
        <v>72</v>
      </c>
      <c r="F9" s="78" t="s">
        <v>73</v>
      </c>
    </row>
    <row r="10" spans="2:6" ht="46.8" x14ac:dyDescent="0.3">
      <c r="B10" s="857"/>
      <c r="C10" s="859"/>
      <c r="D10" s="75" t="s">
        <v>20</v>
      </c>
      <c r="E10" s="76" t="s">
        <v>74</v>
      </c>
      <c r="F10" s="78" t="s">
        <v>73</v>
      </c>
    </row>
    <row r="11" spans="2:6" ht="46.8" x14ac:dyDescent="0.3">
      <c r="B11" s="857"/>
      <c r="C11" s="859" t="s">
        <v>21</v>
      </c>
      <c r="D11" s="75" t="s">
        <v>22</v>
      </c>
      <c r="E11" s="76" t="s">
        <v>75</v>
      </c>
      <c r="F11" s="78" t="s">
        <v>73</v>
      </c>
    </row>
    <row r="12" spans="2:6" ht="46.8" x14ac:dyDescent="0.3">
      <c r="B12" s="857"/>
      <c r="C12" s="859"/>
      <c r="D12" s="75" t="s">
        <v>23</v>
      </c>
      <c r="E12" s="76" t="s">
        <v>76</v>
      </c>
      <c r="F12" s="78" t="s">
        <v>73</v>
      </c>
    </row>
    <row r="13" spans="2:6" ht="31.2" x14ac:dyDescent="0.3">
      <c r="B13" s="857"/>
      <c r="C13" s="859" t="s">
        <v>24</v>
      </c>
      <c r="D13" s="75" t="s">
        <v>114</v>
      </c>
      <c r="E13" s="76" t="s">
        <v>117</v>
      </c>
      <c r="F13" s="78" t="s">
        <v>73</v>
      </c>
    </row>
    <row r="14" spans="2:6" ht="16.2" thickBot="1" x14ac:dyDescent="0.35">
      <c r="B14" s="860"/>
      <c r="C14" s="861"/>
      <c r="D14" s="79" t="s">
        <v>115</v>
      </c>
      <c r="E14" s="80" t="s">
        <v>116</v>
      </c>
      <c r="F14" s="81" t="s">
        <v>73</v>
      </c>
    </row>
    <row r="15" spans="2:6" ht="49.5" customHeight="1" x14ac:dyDescent="0.3">
      <c r="B15" s="853" t="s">
        <v>148</v>
      </c>
      <c r="C15" s="853"/>
      <c r="D15" s="853"/>
      <c r="E15" s="853"/>
      <c r="F15" s="853"/>
    </row>
    <row r="16" spans="2:6" ht="27" customHeight="1" x14ac:dyDescent="0.3">
      <c r="B16" s="8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21"/>
  <sheetViews>
    <sheetView workbookViewId="0"/>
  </sheetViews>
  <sheetFormatPr baseColWidth="10" defaultColWidth="11.44140625" defaultRowHeight="13.8" x14ac:dyDescent="0.3"/>
  <cols>
    <col min="1" max="1" width="32.777343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Intructivo</vt:lpstr>
      <vt:lpstr>Contexto</vt:lpstr>
      <vt:lpstr>Priorizacion de Causas</vt:lpstr>
      <vt:lpstr>Mapa final</vt:lpstr>
      <vt:lpstr>DOFA</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lpstr>'Mapa final'!Títulos_a_imprimir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2025-03-03T17:55:07Z</cp:lastPrinted>
  <dcterms:created xsi:type="dcterms:W3CDTF">2020-03-24T23:12:47Z</dcterms:created>
  <dcterms:modified xsi:type="dcterms:W3CDTF">2025-05-09T04:27:31Z</dcterms:modified>
</cp:coreProperties>
</file>