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5\4. MAPA DE RIESGOS\1. MONITOREO RIESGO GEST-CORRUPCION\1. BIM (EN-FEB-25)\3. GEST JURIDICA\"/>
    </mc:Choice>
  </mc:AlternateContent>
  <xr:revisionPtr revIDLastSave="0" documentId="13_ncr:1_{9620DC87-0F66-46EF-AA60-F5335159D399}" xr6:coauthVersionLast="47" xr6:coauthVersionMax="47" xr10:uidLastSave="{00000000-0000-0000-0000-000000000000}"/>
  <bookViews>
    <workbookView xWindow="-96" yWindow="-96" windowWidth="23232" windowHeight="12432" activeTab="4" xr2:uid="{00000000-000D-0000-FFFF-FFFF00000000}"/>
  </bookViews>
  <sheets>
    <sheet name="In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s>
  <calcPr calcId="191029"/>
  <pivotCaches>
    <pivotCache cacheId="6"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2" i="22" l="1"/>
  <c r="A7" i="22"/>
  <c r="A6" i="22"/>
  <c r="T18" i="1"/>
  <c r="T14" i="1" l="1"/>
  <c r="S10" i="1"/>
  <c r="S34" i="22"/>
  <c r="R34" i="22"/>
  <c r="S33" i="22"/>
  <c r="R33" i="22"/>
  <c r="S32" i="22"/>
  <c r="R32" i="22"/>
  <c r="S31" i="22"/>
  <c r="R31" i="22"/>
  <c r="S30" i="22"/>
  <c r="R30" i="22"/>
  <c r="S29" i="22"/>
  <c r="R29" i="22"/>
  <c r="S28" i="22"/>
  <c r="R28" i="22"/>
  <c r="S27" i="22"/>
  <c r="R27" i="22"/>
  <c r="S26" i="22"/>
  <c r="R26" i="22"/>
  <c r="S25" i="22"/>
  <c r="R25" i="22"/>
  <c r="S24" i="22"/>
  <c r="R24" i="22"/>
  <c r="S23" i="22"/>
  <c r="R23" i="22"/>
  <c r="S22" i="22"/>
  <c r="R22" i="22"/>
  <c r="S21" i="22"/>
  <c r="R21" i="22"/>
  <c r="S20" i="22"/>
  <c r="R20" i="22"/>
  <c r="S19" i="22"/>
  <c r="R19" i="22"/>
  <c r="S18" i="22"/>
  <c r="R18" i="22"/>
  <c r="S17" i="22"/>
  <c r="R17" i="22"/>
  <c r="S16" i="22"/>
  <c r="R16" i="22"/>
  <c r="S15" i="22"/>
  <c r="R15" i="22"/>
  <c r="S14" i="22"/>
  <c r="R14" i="22"/>
  <c r="S13" i="22"/>
  <c r="R13" i="22"/>
  <c r="S12" i="22"/>
  <c r="R12" i="22"/>
  <c r="S11" i="22"/>
  <c r="R11" i="22"/>
  <c r="A6" i="23"/>
  <c r="T10" i="1"/>
  <c r="S40" i="22" l="1"/>
  <c r="R40" i="22"/>
  <c r="S39" i="22"/>
  <c r="R39" i="22"/>
  <c r="S38" i="22"/>
  <c r="R38" i="22"/>
  <c r="S37" i="22"/>
  <c r="R37" i="22"/>
  <c r="S36" i="22"/>
  <c r="R36" i="22"/>
  <c r="S35" i="22"/>
  <c r="R35" i="22"/>
  <c r="S41" i="22" l="1"/>
  <c r="W59" i="1"/>
  <c r="T59" i="1"/>
  <c r="W58" i="1"/>
  <c r="T58" i="1"/>
  <c r="W57" i="1"/>
  <c r="T57" i="1"/>
  <c r="W56" i="1"/>
  <c r="T56" i="1"/>
  <c r="W55" i="1"/>
  <c r="T55" i="1"/>
  <c r="W54" i="1"/>
  <c r="T54" i="1"/>
  <c r="W53" i="1"/>
  <c r="T53" i="1"/>
  <c r="W52" i="1"/>
  <c r="T52" i="1"/>
  <c r="W51" i="1"/>
  <c r="T51" i="1"/>
  <c r="W50" i="1"/>
  <c r="T50" i="1"/>
  <c r="W49" i="1"/>
  <c r="T49" i="1"/>
  <c r="W48" i="1"/>
  <c r="T48" i="1"/>
  <c r="W47" i="1"/>
  <c r="T47" i="1"/>
  <c r="W46" i="1"/>
  <c r="T46" i="1"/>
  <c r="W45" i="1"/>
  <c r="T45" i="1"/>
  <c r="W44" i="1"/>
  <c r="T44" i="1"/>
  <c r="W43" i="1"/>
  <c r="T43" i="1"/>
  <c r="W42" i="1"/>
  <c r="T42" i="1"/>
  <c r="W41" i="1"/>
  <c r="T41" i="1"/>
  <c r="W40" i="1"/>
  <c r="T40" i="1"/>
  <c r="W39" i="1"/>
  <c r="T39" i="1"/>
  <c r="W38" i="1"/>
  <c r="T38" i="1"/>
  <c r="W37" i="1"/>
  <c r="T37" i="1"/>
  <c r="W36" i="1"/>
  <c r="T36" i="1"/>
  <c r="W35" i="1"/>
  <c r="T35" i="1"/>
  <c r="W34" i="1"/>
  <c r="T34" i="1"/>
  <c r="W33" i="1"/>
  <c r="T33" i="1"/>
  <c r="W32" i="1"/>
  <c r="T32" i="1"/>
  <c r="W31" i="1"/>
  <c r="T31" i="1"/>
  <c r="W30" i="1"/>
  <c r="T30" i="1"/>
  <c r="W29" i="1"/>
  <c r="T29" i="1"/>
  <c r="W28" i="1"/>
  <c r="T28" i="1"/>
  <c r="W27" i="1"/>
  <c r="T27" i="1"/>
  <c r="W26" i="1"/>
  <c r="T26" i="1"/>
  <c r="W25" i="1"/>
  <c r="T25" i="1"/>
  <c r="W24" i="1"/>
  <c r="T24" i="1"/>
  <c r="W23" i="1"/>
  <c r="T23" i="1"/>
  <c r="W22" i="1"/>
  <c r="T22" i="1"/>
  <c r="W21" i="1"/>
  <c r="T21" i="1"/>
  <c r="W20" i="1"/>
  <c r="T20" i="1"/>
  <c r="W19" i="1"/>
  <c r="T19" i="1"/>
  <c r="W18" i="1"/>
  <c r="W17" i="1"/>
  <c r="T17" i="1"/>
  <c r="W16" i="1"/>
  <c r="T16" i="1"/>
  <c r="W15" i="1"/>
  <c r="T15" i="1"/>
  <c r="W14" i="1"/>
  <c r="AE26" i="1" l="1"/>
  <c r="AD26" i="1" s="1"/>
  <c r="AE34" i="1"/>
  <c r="AD34" i="1" s="1"/>
  <c r="AE38" i="1"/>
  <c r="AD38" i="1" s="1"/>
  <c r="AE17" i="1"/>
  <c r="AD17" i="1" s="1"/>
  <c r="AE19" i="1"/>
  <c r="AD19" i="1" s="1"/>
  <c r="AE20" i="1"/>
  <c r="AD20" i="1" s="1"/>
  <c r="AE25" i="1"/>
  <c r="AD25" i="1" s="1"/>
  <c r="AE29" i="1"/>
  <c r="AD29" i="1" s="1"/>
  <c r="AE33" i="1"/>
  <c r="AD33" i="1" s="1"/>
  <c r="AE37" i="1"/>
  <c r="AD37" i="1" s="1"/>
  <c r="AE41" i="1"/>
  <c r="AD41" i="1" s="1"/>
  <c r="AE45" i="1"/>
  <c r="AD45" i="1" s="1"/>
  <c r="AE49" i="1"/>
  <c r="AD49" i="1" s="1"/>
  <c r="AE57" i="1"/>
  <c r="AD57" i="1" s="1"/>
  <c r="AE16" i="1"/>
  <c r="AD16" i="1" s="1"/>
  <c r="AE23" i="1"/>
  <c r="AD23" i="1" s="1"/>
  <c r="AE28" i="1"/>
  <c r="AD28" i="1" s="1"/>
  <c r="AE32" i="1"/>
  <c r="AD32" i="1" s="1"/>
  <c r="AE40" i="1"/>
  <c r="AD40" i="1" s="1"/>
  <c r="AE44" i="1"/>
  <c r="AD44" i="1" s="1"/>
  <c r="AE52" i="1"/>
  <c r="AD52" i="1" s="1"/>
  <c r="AE56" i="1"/>
  <c r="AD56" i="1" s="1"/>
  <c r="AE53" i="1"/>
  <c r="AD53" i="1" s="1"/>
  <c r="AE46" i="1"/>
  <c r="AD46" i="1" s="1"/>
  <c r="AE50" i="1"/>
  <c r="AD50" i="1" s="1"/>
  <c r="AE58" i="1"/>
  <c r="AD58" i="1" s="1"/>
  <c r="AE22" i="1"/>
  <c r="AD22" i="1" s="1"/>
  <c r="AE27" i="1"/>
  <c r="AD27" i="1" s="1"/>
  <c r="AE31" i="1"/>
  <c r="AD31" i="1" s="1"/>
  <c r="AE35" i="1"/>
  <c r="AD35" i="1" s="1"/>
  <c r="AE39" i="1"/>
  <c r="AD39" i="1" s="1"/>
  <c r="AE43" i="1"/>
  <c r="AD43" i="1" s="1"/>
  <c r="AE47" i="1"/>
  <c r="AD47" i="1" s="1"/>
  <c r="AE51" i="1"/>
  <c r="AD51" i="1" s="1"/>
  <c r="AE55" i="1"/>
  <c r="AD55" i="1" s="1"/>
  <c r="AE59" i="1"/>
  <c r="AD59" i="1" s="1"/>
  <c r="AA54" i="1"/>
  <c r="AA56" i="1"/>
  <c r="AA58" i="1"/>
  <c r="AE54" i="1"/>
  <c r="AD54" i="1" s="1"/>
  <c r="AA55" i="1"/>
  <c r="AA57" i="1"/>
  <c r="AA59" i="1"/>
  <c r="AA48" i="1"/>
  <c r="AA50" i="1"/>
  <c r="AA52" i="1"/>
  <c r="AE48" i="1"/>
  <c r="AD48" i="1" s="1"/>
  <c r="AA49" i="1"/>
  <c r="AA51" i="1"/>
  <c r="AA53" i="1"/>
  <c r="AA42" i="1"/>
  <c r="AA44" i="1"/>
  <c r="AA46" i="1"/>
  <c r="AE42" i="1"/>
  <c r="AD42" i="1" s="1"/>
  <c r="AA43" i="1"/>
  <c r="AA45" i="1"/>
  <c r="AA47" i="1"/>
  <c r="AA36" i="1"/>
  <c r="AA38" i="1"/>
  <c r="AA40" i="1"/>
  <c r="AE36" i="1"/>
  <c r="AD36" i="1" s="1"/>
  <c r="AA37" i="1"/>
  <c r="AA39" i="1"/>
  <c r="AA41" i="1"/>
  <c r="AA30" i="1"/>
  <c r="AA32" i="1"/>
  <c r="AA34" i="1"/>
  <c r="AE30" i="1"/>
  <c r="AD30" i="1" s="1"/>
  <c r="AA31" i="1"/>
  <c r="AA33" i="1"/>
  <c r="AA35" i="1"/>
  <c r="AA24" i="1"/>
  <c r="AA26" i="1"/>
  <c r="AA28" i="1"/>
  <c r="AE24" i="1"/>
  <c r="AD24" i="1" s="1"/>
  <c r="AA25" i="1"/>
  <c r="AA27" i="1"/>
  <c r="AA29" i="1"/>
  <c r="AA23" i="1"/>
  <c r="AA22" i="1"/>
  <c r="AA19" i="1"/>
  <c r="AA20" i="1"/>
  <c r="AA16" i="1"/>
  <c r="AA17" i="1"/>
  <c r="AC59" i="1" l="1"/>
  <c r="AB59" i="1"/>
  <c r="AF59" i="1" s="1"/>
  <c r="AC57" i="1"/>
  <c r="AB57" i="1"/>
  <c r="AF57" i="1" s="1"/>
  <c r="AC55" i="1"/>
  <c r="AB55" i="1"/>
  <c r="AF55" i="1" s="1"/>
  <c r="AC58" i="1"/>
  <c r="AB58" i="1"/>
  <c r="AF58" i="1" s="1"/>
  <c r="AC56" i="1"/>
  <c r="AB56" i="1"/>
  <c r="AF56" i="1" s="1"/>
  <c r="AC54" i="1"/>
  <c r="AB54" i="1"/>
  <c r="AF54" i="1" s="1"/>
  <c r="AC53" i="1"/>
  <c r="AB53" i="1"/>
  <c r="AF53" i="1" s="1"/>
  <c r="AC51" i="1"/>
  <c r="AB51" i="1"/>
  <c r="AF51" i="1" s="1"/>
  <c r="AC49" i="1"/>
  <c r="AB49" i="1"/>
  <c r="AF49" i="1" s="1"/>
  <c r="AC52" i="1"/>
  <c r="AB52" i="1"/>
  <c r="AF52" i="1" s="1"/>
  <c r="AC50" i="1"/>
  <c r="AB50" i="1"/>
  <c r="AF50" i="1" s="1"/>
  <c r="AC48" i="1"/>
  <c r="AB48" i="1"/>
  <c r="AF48" i="1" s="1"/>
  <c r="AC47" i="1"/>
  <c r="AB47" i="1"/>
  <c r="AF47" i="1" s="1"/>
  <c r="AC45" i="1"/>
  <c r="AB45" i="1"/>
  <c r="AF45" i="1" s="1"/>
  <c r="AC43" i="1"/>
  <c r="AB43" i="1"/>
  <c r="AF43" i="1" s="1"/>
  <c r="AC46" i="1"/>
  <c r="AB46" i="1"/>
  <c r="AF46" i="1" s="1"/>
  <c r="AC44" i="1"/>
  <c r="AB44" i="1"/>
  <c r="AF44" i="1" s="1"/>
  <c r="AC42" i="1"/>
  <c r="AB42" i="1"/>
  <c r="AF42" i="1" s="1"/>
  <c r="AC41" i="1"/>
  <c r="AB41" i="1"/>
  <c r="AF41" i="1" s="1"/>
  <c r="AC39" i="1"/>
  <c r="AB39" i="1"/>
  <c r="AF39" i="1" s="1"/>
  <c r="AC37" i="1"/>
  <c r="AB37" i="1"/>
  <c r="AF37" i="1" s="1"/>
  <c r="AC40" i="1"/>
  <c r="AB40" i="1"/>
  <c r="AF40" i="1" s="1"/>
  <c r="AC38" i="1"/>
  <c r="AB38" i="1"/>
  <c r="AF38" i="1" s="1"/>
  <c r="AC36" i="1"/>
  <c r="AB36" i="1"/>
  <c r="AF36" i="1" s="1"/>
  <c r="AC35" i="1"/>
  <c r="AB35" i="1"/>
  <c r="AF35" i="1" s="1"/>
  <c r="AC33" i="1"/>
  <c r="AB33" i="1"/>
  <c r="AF33" i="1" s="1"/>
  <c r="AC31" i="1"/>
  <c r="AB31" i="1"/>
  <c r="AF31" i="1" s="1"/>
  <c r="AC34" i="1"/>
  <c r="AB34" i="1"/>
  <c r="AF34" i="1" s="1"/>
  <c r="AC32" i="1"/>
  <c r="AB32" i="1"/>
  <c r="AF32" i="1" s="1"/>
  <c r="AC30" i="1"/>
  <c r="AB30" i="1"/>
  <c r="AF30" i="1" s="1"/>
  <c r="AC29" i="1"/>
  <c r="AB29" i="1"/>
  <c r="AF29" i="1" s="1"/>
  <c r="AC27" i="1"/>
  <c r="AB27" i="1"/>
  <c r="AF27" i="1" s="1"/>
  <c r="AC25" i="1"/>
  <c r="AB25" i="1"/>
  <c r="AF25" i="1" s="1"/>
  <c r="AB28" i="1"/>
  <c r="AF28" i="1" s="1"/>
  <c r="AC28" i="1"/>
  <c r="AB26" i="1"/>
  <c r="AF26" i="1" s="1"/>
  <c r="AC26" i="1"/>
  <c r="AC24" i="1"/>
  <c r="AB24" i="1"/>
  <c r="AF24" i="1" s="1"/>
  <c r="AC22" i="1"/>
  <c r="AB22" i="1"/>
  <c r="AF22" i="1" s="1"/>
  <c r="AC23" i="1"/>
  <c r="AB23" i="1"/>
  <c r="AF23" i="1" s="1"/>
  <c r="AC19" i="1"/>
  <c r="AB19" i="1"/>
  <c r="AF19" i="1" s="1"/>
  <c r="AC20" i="1"/>
  <c r="AB20" i="1"/>
  <c r="AF20" i="1" s="1"/>
  <c r="AC17" i="1"/>
  <c r="AB17" i="1"/>
  <c r="AF17" i="1" s="1"/>
  <c r="AC16" i="1"/>
  <c r="AB16" i="1"/>
  <c r="AF16" i="1" s="1"/>
  <c r="K10" i="1" l="1"/>
  <c r="K18" i="1"/>
  <c r="L18" i="1" s="1"/>
  <c r="AA18" i="1" s="1"/>
  <c r="K21" i="1"/>
  <c r="K24" i="1"/>
  <c r="L24" i="1" s="1"/>
  <c r="K30" i="1"/>
  <c r="L30" i="1" s="1"/>
  <c r="K36" i="1"/>
  <c r="L36" i="1" s="1"/>
  <c r="K42" i="1"/>
  <c r="L42" i="1" s="1"/>
  <c r="K48" i="1"/>
  <c r="L48" i="1" s="1"/>
  <c r="K54" i="1"/>
  <c r="L54" i="1" s="1"/>
  <c r="W12" i="1"/>
  <c r="W13" i="1"/>
  <c r="W11" i="1"/>
  <c r="N47" i="1"/>
  <c r="N59" i="1"/>
  <c r="N55" i="1"/>
  <c r="N43" i="1"/>
  <c r="N44" i="1"/>
  <c r="N19" i="1"/>
  <c r="N35" i="1"/>
  <c r="N25" i="1"/>
  <c r="N37" i="1"/>
  <c r="N22" i="1"/>
  <c r="N56" i="1"/>
  <c r="N32" i="1"/>
  <c r="N40" i="1"/>
  <c r="N38" i="1"/>
  <c r="N53" i="1"/>
  <c r="N45" i="1"/>
  <c r="N41" i="1"/>
  <c r="N49" i="1"/>
  <c r="N58" i="1"/>
  <c r="N26" i="1"/>
  <c r="N39" i="1"/>
  <c r="N20" i="1"/>
  <c r="N27" i="1"/>
  <c r="N57" i="1"/>
  <c r="N29" i="1"/>
  <c r="N31" i="1"/>
  <c r="N52" i="1"/>
  <c r="N33" i="1"/>
  <c r="N23" i="1"/>
  <c r="N50" i="1"/>
  <c r="N46" i="1"/>
  <c r="N34" i="1"/>
  <c r="N51" i="1"/>
  <c r="N28" i="1"/>
  <c r="AC18" i="1" l="1"/>
  <c r="AB18" i="1"/>
  <c r="L21" i="1"/>
  <c r="AA21" i="1" s="1"/>
  <c r="AB21" i="1" l="1"/>
  <c r="AC21" i="1"/>
  <c r="T11" i="1"/>
  <c r="F217" i="13"/>
  <c r="T12" i="1"/>
  <c r="T13" i="1"/>
  <c r="W10" i="1" l="1"/>
  <c r="AA11" i="1"/>
  <c r="AC11" i="1" s="1"/>
  <c r="L10" i="1" l="1"/>
  <c r="N17" i="1"/>
  <c r="N15" i="1"/>
  <c r="N16" i="1"/>
  <c r="AB11" i="1" l="1"/>
  <c r="AA12" i="1"/>
  <c r="F221" i="13"/>
  <c r="F211" i="13"/>
  <c r="F212" i="13"/>
  <c r="F213" i="13"/>
  <c r="F214" i="13"/>
  <c r="F215" i="13"/>
  <c r="F216" i="13"/>
  <c r="F218" i="13"/>
  <c r="F219" i="13"/>
  <c r="F220" i="13"/>
  <c r="F210" i="13"/>
  <c r="N13" i="1"/>
  <c r="B221" i="13" a="1"/>
  <c r="N11" i="1"/>
  <c r="N12" i="1"/>
  <c r="AB12" i="1" l="1"/>
  <c r="AC12" i="1"/>
  <c r="AA13" i="1" s="1"/>
  <c r="B221" i="13"/>
  <c r="AB13" i="1" l="1"/>
  <c r="AC13"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4" i="1" l="1"/>
  <c r="L14" i="1" l="1"/>
  <c r="AA14" i="1" s="1"/>
  <c r="AC14" i="1" l="1"/>
  <c r="AA15" i="1" s="1"/>
  <c r="AB1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15" i="1" l="1"/>
  <c r="AB15" i="1"/>
  <c r="AA10" i="1"/>
  <c r="AB10" i="1" s="1"/>
  <c r="AC10" i="1" l="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18" i="1" l="1"/>
  <c r="O18" i="1" s="1"/>
  <c r="N21" i="1"/>
  <c r="O21" i="1" s="1"/>
  <c r="N24" i="1"/>
  <c r="O24" i="1" s="1"/>
  <c r="N30" i="1"/>
  <c r="O30" i="1" s="1"/>
  <c r="N36" i="1"/>
  <c r="O36" i="1" s="1"/>
  <c r="N42" i="1"/>
  <c r="O42" i="1" s="1"/>
  <c r="N48" i="1"/>
  <c r="O48" i="1" s="1"/>
  <c r="N54" i="1"/>
  <c r="O54" i="1" s="1"/>
  <c r="N14" i="1"/>
  <c r="O14" i="1" s="1"/>
  <c r="N10" i="1"/>
  <c r="O10" i="1" s="1"/>
  <c r="P38" i="18" l="1"/>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4" i="1"/>
  <c r="R30" i="18"/>
  <c r="AD38" i="18"/>
  <c r="AD22" i="18"/>
  <c r="P14" i="1"/>
  <c r="AE14" i="1" s="1"/>
  <c r="L30" i="18"/>
  <c r="AJ14" i="18"/>
  <c r="L14" i="18"/>
  <c r="X38" i="18"/>
  <c r="L22" i="18"/>
  <c r="AD30" i="18"/>
  <c r="AJ22" i="18"/>
  <c r="X14" i="18"/>
  <c r="X6" i="18"/>
  <c r="R22" i="18"/>
  <c r="L6" i="18"/>
  <c r="X22" i="18"/>
  <c r="P54" i="1"/>
  <c r="Q54"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48" i="1"/>
  <c r="Q48"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42" i="1"/>
  <c r="P42"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36" i="1"/>
  <c r="Q36"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30" i="1"/>
  <c r="P30"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24" i="1"/>
  <c r="P24"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1" i="1"/>
  <c r="AE21" i="1" s="1"/>
  <c r="AD21" i="1" s="1"/>
  <c r="Q21"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18" i="1"/>
  <c r="AE18" i="1" s="1"/>
  <c r="AD18" i="1" s="1"/>
  <c r="Q18"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F21" i="1" l="1"/>
  <c r="V9" i="19"/>
  <c r="AB19" i="19"/>
  <c r="J9" i="19"/>
  <c r="P49" i="19"/>
  <c r="J39" i="19"/>
  <c r="AH9" i="19"/>
  <c r="AB39" i="19"/>
  <c r="J29" i="19"/>
  <c r="P19" i="19"/>
  <c r="J19" i="19"/>
  <c r="V49" i="19"/>
  <c r="AH49" i="19"/>
  <c r="J49" i="19"/>
  <c r="P39" i="19"/>
  <c r="V29" i="19"/>
  <c r="AH39" i="19"/>
  <c r="P9" i="19"/>
  <c r="P29" i="19"/>
  <c r="V19" i="19"/>
  <c r="AB9" i="19"/>
  <c r="AB49" i="19"/>
  <c r="AH19" i="19"/>
  <c r="V39" i="19"/>
  <c r="AB29" i="19"/>
  <c r="AH29" i="19"/>
  <c r="AD14" i="1"/>
  <c r="AF14" i="1" s="1"/>
  <c r="AE15" i="1"/>
  <c r="AD15" i="1" s="1"/>
  <c r="AF15" i="1" s="1"/>
  <c r="AF18" i="1"/>
  <c r="P38" i="19"/>
  <c r="P48" i="19"/>
  <c r="J8" i="19"/>
  <c r="J18" i="19"/>
  <c r="AB48" i="19"/>
  <c r="AH48" i="19"/>
  <c r="V18" i="19"/>
  <c r="AH8" i="19"/>
  <c r="J28" i="19"/>
  <c r="V28" i="19"/>
  <c r="P28" i="19"/>
  <c r="V38" i="19"/>
  <c r="AB38" i="19"/>
  <c r="P8" i="19"/>
  <c r="V8" i="19"/>
  <c r="P18" i="19"/>
  <c r="J48" i="19"/>
  <c r="AB8" i="19"/>
  <c r="AH38" i="19"/>
  <c r="AH18" i="19"/>
  <c r="AB28" i="19"/>
  <c r="AH28" i="19"/>
  <c r="V48" i="19"/>
  <c r="AB18" i="19"/>
  <c r="J38" i="19"/>
  <c r="AD10" i="1"/>
  <c r="P36" i="19" s="1"/>
  <c r="J37" i="19" l="1"/>
  <c r="AH7" i="19"/>
  <c r="P7" i="19"/>
  <c r="AB17" i="19"/>
  <c r="AB47" i="19"/>
  <c r="AH37" i="19"/>
  <c r="J47" i="19"/>
  <c r="AH17" i="19"/>
  <c r="P37" i="19"/>
  <c r="AB7" i="19"/>
  <c r="J17" i="19"/>
  <c r="V27" i="19"/>
  <c r="P27" i="19"/>
  <c r="V37" i="19"/>
  <c r="V47" i="19"/>
  <c r="J27" i="19"/>
  <c r="AB27" i="19"/>
  <c r="AH47" i="19"/>
  <c r="V7" i="19"/>
  <c r="AB37" i="19"/>
  <c r="J7" i="19"/>
  <c r="AH27" i="19"/>
  <c r="P47" i="19"/>
  <c r="V17" i="19"/>
  <c r="P17" i="19"/>
  <c r="P26" i="19"/>
  <c r="J36" i="19"/>
  <c r="AB16" i="19"/>
  <c r="V46" i="19"/>
  <c r="AH6" i="19"/>
  <c r="J26" i="19"/>
  <c r="V16" i="19"/>
  <c r="AH26" i="19"/>
  <c r="AH46" i="19"/>
  <c r="AB36" i="19"/>
  <c r="P46" i="19"/>
  <c r="V26" i="19"/>
  <c r="P16" i="19"/>
  <c r="J46" i="19"/>
  <c r="J16" i="19"/>
  <c r="AH16" i="19"/>
  <c r="P6" i="19"/>
  <c r="AB26" i="19"/>
  <c r="AB6" i="19"/>
  <c r="J6" i="19"/>
  <c r="V36" i="19"/>
  <c r="AF10" i="1"/>
  <c r="AB46" i="19"/>
  <c r="AH36" i="19"/>
  <c r="V6" i="19"/>
  <c r="AD11" i="1"/>
  <c r="AE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D12" i="1"/>
  <c r="AE13" i="1"/>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D13" i="1"/>
  <c r="AF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F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<sst xmlns="http://schemas.openxmlformats.org/spreadsheetml/2006/main" count="591" uniqueCount="419">
  <si>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</si>
  <si>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</si>
  <si>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</si>
  <si>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</si>
  <si>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</si>
  <si>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</si>
  <si>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</si>
  <si>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</si>
  <si>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</si>
  <si>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</si>
  <si>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</si>
  <si>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</si>
  <si>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</si>
  <si>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</si>
  <si>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</si>
  <si>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</si>
  <si>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</si>
  <si>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</si>
  <si>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</si>
  <si>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</si>
  <si>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</si>
  <si>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</si>
  <si>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</si>
  <si>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</si>
  <si>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</si>
  <si>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</si>
  <si>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</si>
  <si>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</si>
  <si>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</si>
  <si>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</si>
  <si>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</si>
  <si>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</si>
  <si>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</si>
  <si>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</si>
  <si>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</si>
  <si>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</si>
  <si>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</si>
  <si>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</si>
  <si>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</si>
  <si>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</si>
  <si>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</si>
  <si>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</si>
  <si>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</si>
  <si>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</si>
  <si>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</si>
  <si>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</si>
  <si>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</si>
  <si>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</si>
  <si>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</si>
  <si>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</si>
  <si>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</si>
  <si>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</si>
  <si>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</si>
  <si>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</si>
  <si>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</si>
  <si>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</si>
  <si>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</si>
  <si>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</si>
  <si>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</si>
  <si>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</si>
  <si>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</si>
  <si>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</si>
  <si>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</si>
  <si>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</si>
  <si>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</si>
  <si>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</si>
  <si>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</si>
  <si>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</si>
  <si>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</si>
  <si>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</si>
  <si>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</si>
  <si>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</si>
  <si>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</si>
  <si>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</si>
  <si>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</si>
  <si>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</si>
  <si>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</si>
  <si>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</si>
  <si>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</si>
  <si>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</si>
  <si>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</si>
  <si>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</si>
  <si>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</si>
  <si>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</si>
  <si>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</si>
  <si>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</si>
  <si>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</si>
  <si>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</si>
  <si>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</si>
  <si>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</si>
  <si>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</si>
  <si>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</si>
  <si>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</si>
  <si>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</si>
  <si>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</si>
  <si>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</si>
  <si>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</si>
  <si>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</si>
  <si>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</si>
  <si>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</si>
  <si>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</si>
  <si>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</si>
  <si>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</si>
  <si>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</si>
  <si>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</si>
  <si>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</si>
  <si>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</si>
  <si>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</si>
  <si>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</si>
  <si>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</si>
  <si>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</si>
  <si>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</si>
  <si>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</si>
  <si>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</si>
  <si>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</si>
  <si>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</si>
  <si>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</si>
  <si>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</si>
  <si>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</si>
  <si>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</si>
  <si>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</si>
  <si>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</si>
  <si>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</si>
  <si>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</si>
  <si>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</si>
  <si>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</si>
  <si>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</si>
  <si>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</si>
  <si>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</si>
  <si>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</si>
  <si>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</si>
  <si>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</si>
  <si>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</si>
  <si>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</si>
  <si>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</si>
  <si>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</si>
  <si>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</si>
  <si>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</si>
  <si>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</si>
  <si>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</si>
  <si>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</si>
  <si>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</si>
  <si>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</si>
  <si>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</si>
  <si>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</si>
  <si>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</si>
  <si>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</si>
  <si>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</si>
  <si>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</si>
  <si>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</si>
  <si>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</si>
  <si>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</si>
  <si>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</si>
  <si>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</si>
  <si>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</si>
  <si>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</si>
  <si>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</si>
  <si>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</si>
  <si>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</si>
  <si>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</si>
  <si>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</si>
  <si>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</si>
  <si>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</si>
  <si>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</si>
  <si>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</si>
  <si>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</si>
  <si>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</si>
  <si>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</si>
  <si>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</si>
  <si>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</si>
  <si>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</si>
  <si>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</si>
  <si>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</si>
  <si>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</si>
  <si>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</si>
  <si>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</si>
  <si>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</si>
  <si>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</si>
  <si>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</si>
  <si>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</si>
  <si>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</si>
  <si>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</si>
  <si>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</si>
  <si>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</si>
  <si>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</si>
  <si>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</si>
  <si>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</si>
  <si>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</si>
  <si>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</si>
  <si>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</si>
  <si>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</si>
  <si>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</si>
  <si>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</si>
  <si>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</si>
  <si>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</si>
  <si>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</si>
  <si>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</si>
  <si>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</si>
  <si>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</si>
  <si>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</si>
  <si>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</si>
  <si>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</si>
  <si>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</si>
  <si>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</si>
  <si>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</si>
  <si>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</si>
  <si>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</si>
  <si>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</si>
  <si>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</si>
  <si>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</si>
  <si>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</si>
  <si>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</si>
  <si>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</si>
  <si>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</si>
  <si>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</si>
  <si>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</si>
  <si>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</si>
  <si>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</si>
  <si>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</si>
  <si>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</si>
  <si>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</si>
  <si>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POLÍTICOS</t>
  </si>
  <si>
    <t>TECNOLÓGICOS</t>
  </si>
  <si>
    <t>AMBIENTALES</t>
  </si>
  <si>
    <t>OTROS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</si>
  <si>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</si>
  <si>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</si>
  <si>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</si>
  <si>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</si>
  <si>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</si>
  <si>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</si>
  <si>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</si>
  <si>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</si>
  <si>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</si>
  <si>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</si>
  <si>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</si>
  <si>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</si>
  <si>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</si>
  <si>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</si>
  <si>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</si>
  <si>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</si>
  <si>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</si>
  <si>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</si>
  <si>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</si>
  <si>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</si>
  <si>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</si>
  <si>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</si>
  <si>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</si>
  <si>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</si>
  <si>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</si>
  <si>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</si>
  <si>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</si>
  <si>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</si>
  <si>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</si>
  <si>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</si>
  <si>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</si>
  <si>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</si>
  <si>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</si>
  <si>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</si>
  <si>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</si>
  <si>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Codigo:FOR-029-PRO-SIG-01</t>
  </si>
  <si>
    <t>Versión: 01</t>
  </si>
  <si>
    <t>Fecha: 21/02/2024</t>
  </si>
  <si>
    <t>Pagina:  1 de 1</t>
  </si>
  <si>
    <t>Fecha:21/02/2024</t>
  </si>
  <si>
    <t>GESTION JURIDICA Y MEJORA NORMATIVA</t>
  </si>
  <si>
    <t>ASUMIR Y EJERCER LA TOTALIDAD DE LA DEFENSA JURÍDICA DEL MUNICIPIO DE IBAGUÉ, A PARTIR DE LA REPRESENTACIÓN JUDICIAL, EXTRAJUDICIAL O ADMINISTRATIVA Y LA ASESORÍA SISTEMÁTICA Y PERMANENTE DE LAS ACTUACIONES DE LA ADMINISTRACIÓN CENTRAL, EN ARAS DE LA PROTECCIÓN DEL PATRIMONIO PÚBLICO Y SALVAGUARDA DEL ORDENAMIENTO JURÍDICO.</t>
  </si>
  <si>
    <t>INICIA CON LA PLANEACIÓN DEL PROCESO, CONTINUA CON EL ACOMPAÑAMIENTO Y EL SOPORTE LEGAL EN TODAS LAS ACTUACIONES Y DECISIONES QUE SE TOMEN A NIVEL DE LA ADMINISTRACIÓN CENTRAL MUNICIPAL, LA REPRESENTACIÓN JUDICIAL, EXTRAJUDICIAL O ADMINISTRATIVA, LA NOTIFICACIÓN DE ACCIONES JUDICIALES QUE INVOLUCREN A LA ENTIDAD O LA INTERPOSICION DE ACCIONES JUDICIALES EN DEFENSA DE LOS INTERESES DE LA ENTIDAD, Y LA SENTENCIA DEBIDAMENTE EJECUTORIADA HASTA LA ADOPCIÓN DE LA DECISIÓN PROFERIDA POR LA AUTORIDAD COMPETENTE, EL SEGUIMIENTO A SU CUMPLIMIENTO Y EL PAGO DE LAS SUMAS DE DINERO PRODUCTO DE CONDENAS. FINALIZA CON EL SEGUIMIENTO Y EVALUACIÓN DEL PROCESO.</t>
  </si>
  <si>
    <t>Sanciones Disciplinarias, penales y administrativas -  incidentes de desacato</t>
  </si>
  <si>
    <t>No cumplimiento de las decisiones impartidas por los  despachos judiciales</t>
  </si>
  <si>
    <t>Gestión inoportuna para dar cumplimiento a las providencias  por parte de los Secretarios de Despacho</t>
  </si>
  <si>
    <t>Insuficiencia o inoportunidad en la entrega de informes y/o elementos materiales probatorios que se deban presentar en la actuaciones procesales por parte de las dependencias ejecutoras</t>
  </si>
  <si>
    <t xml:space="preserve">posibilidad de perdida economica y reputacional, por sanciones disciplinarias e incidente de desacato, debido a la Gestión inoportuna para dar cumplimiento a las providencias  por parte de los Secretarios de Despacho </t>
  </si>
  <si>
    <t>Gestión</t>
  </si>
  <si>
    <t xml:space="preserve">EFECTUAR SEGUIMIENTO AL CUMPLIMIENTO DEL FALLO CONDENATORIO  PRO-GJ-001 
EJERCER LA REPRESENTACIÓN DEL MUNICIPIO EN EL PROCESO JUDICIAL  PRO-GJ-001 
REALIZAR ASESORÍA Y ACOMPAÑAMIENTO JURÍDICO PRO-GJ-003
                          </t>
  </si>
  <si>
    <t>Intereses moratorios por pago tardío de sentencias y conciliaciones</t>
  </si>
  <si>
    <t>multas y/o sanciones de despachos judiciales y/o de entes de control</t>
  </si>
  <si>
    <t>posibilidad de riesgo economico debido a las multas y/o sanciones de despachos judiciales y/o de entes de control, por Intereses moratorios por pago tardío de sentencias y conciliaciones</t>
  </si>
  <si>
    <t>FISCAL</t>
  </si>
  <si>
    <t xml:space="preserve">EFECTUAR SEGUIMIENTO AL CUMPLIMIENTO DEL FALLO CONDENATORIO  PRO-GJ-001 </t>
  </si>
  <si>
    <t>Caducidad de la acción de repetición o falencias en el ejercicio de esta acción, generando la imposibilidad de recuperar los recursos pagados por el Estado</t>
  </si>
  <si>
    <t xml:space="preserve">perdida de recursos financieros </t>
  </si>
  <si>
    <t xml:space="preserve"> </t>
  </si>
  <si>
    <t xml:space="preserve">1) Inexistencia de unificación de criterios normativos aplicables a la administración municipal </t>
  </si>
  <si>
    <t>1) La Administración cuenta con acto administrativo, donde se delega a los Secretarios de Despacho la representación legal del Municipio de Ibagué para el cumplimiento de las ordenes impartidas en las providencias de la Administración de Justicia conforme sus competencias</t>
  </si>
  <si>
    <t>2 ) Insuficiente personal de planta para el cumplimiento de las funciones del proceso Gestión Jurídica</t>
  </si>
  <si>
    <t>2) La Administración Central Municipal cuenta con un Comité de Conciliación, conformado por funcionarios de nivel directivo, sesiona como mínimo dos (2) veces al mes o cada vez que se requiere y un reglamento con normatividad concreta que regula el comportamiento de los miembros. Además, se constituye en una instancia administrativa que deberá actuar como sede de estudio, análisis y formulación de políticas sobre defensa de los intereses litigiosos de la entidad</t>
  </si>
  <si>
    <t>3) Insuficiencia o inoportunidad en la entrega de informes y/o elementos materiales probatorios que se deban presentar en la actuaciones procesales por parte de las dependencias ejecutoras</t>
  </si>
  <si>
    <t>3) La entidad territorial cuenta con una Política de Prevención del Daño Antijurídico y el Reglamento Interno del Comité de Conciliación</t>
  </si>
  <si>
    <t xml:space="preserve">4) Poca renovación de equipos tecnológicos obsoletos y  mantenimiento preventivo a los mismos </t>
  </si>
  <si>
    <t>4) La Oficina Jurídica cuenta con alarmas en el sistema de información litigiosa propio de la Administración Municipal -Sistema de Control de Procesos Judiciales -SOFTCON, donde son registradas todas demandas y solicitudes de conciliaciones prejudiciales en contra de la entidad.</t>
  </si>
  <si>
    <t>5) Demora en la adición de recursos presupuestales para el pago de sentencias, conciliaciones y laudos arbitrales</t>
  </si>
  <si>
    <t xml:space="preserve">5) Se cuenta con fichas técnicas creadas para estudio en los Comités de conciliación </t>
  </si>
  <si>
    <t xml:space="preserve">6) 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t>
  </si>
  <si>
    <t xml:space="preserve">6) La Administración Municipal cuenta con alertas en la Plataforma Integrada de Sistemas de Alcaldía Municipal con alertas -módulo de Gestión Documental y módulo de Presupuesto -PISAMI </t>
  </si>
  <si>
    <t>7) Gestión inoportuna para dar cumplimiento a las providencias  por parte de los Secretarios de Despacho</t>
  </si>
  <si>
    <t xml:space="preserve">7)  La Oficina Jurídica cuenta con participación en  Comité de Coordinación de Control Interno, Comité Interinstitucional de Gestión y Desempeño, Consejos Directivos
</t>
  </si>
  <si>
    <t>8) Incumplimiento a providencias por parte de los Secretarios de Despacho y Directores según sus competencias</t>
  </si>
  <si>
    <t xml:space="preserve">8) La oficina jurídica cuenta con un formato de evaluación de la Gestión Procesal de los profesionales, abogados, adscritos a la dependencia, ya sea por relación legal y reglamentaria o por contrato, que ejercen la representación Judicial del Municipio adscritos a la oficina jurídica </t>
  </si>
  <si>
    <t xml:space="preserve">9) Incumplimiento de los actos administrativos (resoluciones, memorandos, oficios, circulares entre otros) establecidos por la oficina juridica, por parte de las dependencias adscritas  la Administración Central Municipal </t>
  </si>
  <si>
    <t>9)  La Oficina Jurídica realiza con los apoderados Comités Jurídicos de estudio y Mesas de Trabajo con dependencias ejecutoras</t>
  </si>
  <si>
    <t>10) Falta de aplicación por parte de las Secretarías ejecutoras de las directrices y políticas del proceso de Gestión jurídica</t>
  </si>
  <si>
    <t xml:space="preserve">10) Manual de funciones actualizado -autonomía para  desarrollar las funcionesy competencias asignadas a la Oficina Jurídica </t>
  </si>
  <si>
    <t xml:space="preserve">11) Incumplimiento a los criterios definidos para la selección de los abogados externos que garantice su idoneidad y experiencia para la defensa de los interes públicos </t>
  </si>
  <si>
    <t>11) Contamos con la Matriz de Programa de Capacitación Institucional -PIC, actualización en oralidad, normatividad y en temas transversales, dirigidas a los servidores públicos que permiten el mejoramiento del desempeño laboral  e institucional</t>
  </si>
  <si>
    <t>12) Conocimiento de la entidad, caracterizaciones de los procesos, procedimientos, mapas de riesgos, caracterización del ciudadano, indicadores</t>
  </si>
  <si>
    <t>13) Soporte técnico y de desarrolladores de programación de softwares por parte de la Dirección del Grupo de Informática</t>
  </si>
  <si>
    <t xml:space="preserve">14) Reorganización administrativa y de funciones de la administración central </t>
  </si>
  <si>
    <t>15) La oficina jurídica cuenta con criterios para la selección de los abogados externos que garanticen su idoneidad y experiencia para la defensa de los intereses públicos</t>
  </si>
  <si>
    <t xml:space="preserve">1) Cambios de Gobierno (Estilos de Dirección) </t>
  </si>
  <si>
    <r>
      <t xml:space="preserve">D9 O1,4,5 </t>
    </r>
    <r>
      <rPr>
        <sz val="10"/>
        <rFont val="Arial"/>
        <family val="2"/>
      </rPr>
      <t>Aplicar los lineamientos de la Política de Prevención del Daño Antijurídico, de actos administrativos, directrices, procedimientos, circulares  establecidas y de la normatividad vigente al interior de la Administración Central Municipal</t>
    </r>
  </si>
  <si>
    <r>
      <rPr>
        <b/>
        <sz val="11"/>
        <color theme="1"/>
        <rFont val="Arial"/>
        <family val="2"/>
      </rPr>
      <t xml:space="preserve">F1 O3,4,10 </t>
    </r>
    <r>
      <rPr>
        <sz val="11"/>
        <color theme="1"/>
        <rFont val="Arial"/>
        <family val="2"/>
      </rPr>
      <t>Fijar directrices institucionales para la aplicación de los mecanismos de arreglo directo, tales como la transacción y la conciliación, sin perjuicio de su estudio y decisión en cada caso concreto</t>
    </r>
  </si>
  <si>
    <t xml:space="preserve">2) Acceso de consulta al Sistema de información de la Rama Judicial -Siglo XXI, facilitando la consulta a procesos judiciales </t>
  </si>
  <si>
    <r>
      <t>D1 O 1,3</t>
    </r>
    <r>
      <rPr>
        <sz val="10"/>
        <rFont val="Arial"/>
        <family val="2"/>
      </rPr>
      <t xml:space="preserve"> La oficina jurídica por medio de su jefe de ofina realiza comites, reuniónes, talleres con el proposito de establecer unos lineamientos que unifiquen los críterios para los diferentes procesos.</t>
    </r>
  </si>
  <si>
    <r>
      <rPr>
        <b/>
        <sz val="11"/>
        <color theme="1"/>
        <rFont val="Arial"/>
        <family val="2"/>
      </rPr>
      <t>F2</t>
    </r>
    <r>
      <rPr>
        <b/>
        <sz val="9"/>
        <color theme="1"/>
        <rFont val="Arial"/>
        <family val="2"/>
      </rPr>
      <t xml:space="preserve"> </t>
    </r>
    <r>
      <rPr>
        <b/>
        <sz val="11"/>
        <color theme="1"/>
        <rFont val="Arial"/>
        <family val="2"/>
      </rPr>
      <t>O1,6</t>
    </r>
    <r>
      <rPr>
        <sz val="11"/>
        <color theme="1"/>
        <rFont val="Arial"/>
        <family val="2"/>
      </rPr>
      <t xml:space="preserve"> Asesorar y acompañar al nivel directivo desde el Comité de Conciliación, Comités Jurídicos y Mesas de Trabajo.</t>
    </r>
  </si>
  <si>
    <t>3) Acceso a páginas web de entidades reguladoras ANDJE, DAFP, normas y disposiciones que regulan el Código de Procedimiento Administrativo y de lo Contencioso Administrativo, Procedimiento Civil, líneas jurisprudenciales, entre otras</t>
  </si>
  <si>
    <r>
      <t xml:space="preserve">D 6,7,3,9 O 1,3,4,6 </t>
    </r>
    <r>
      <rPr>
        <sz val="11"/>
        <color theme="1"/>
        <rFont val="Arial"/>
        <family val="2"/>
      </rPr>
      <t>Solicitar mediante memorandos la gestión oportuna a la asistencia a las audienciasde los Secretarios de Despachos con el fin de coadyuvar a los apoderados en la defensa judicial</t>
    </r>
  </si>
  <si>
    <r>
      <rPr>
        <b/>
        <sz val="11"/>
        <color theme="1"/>
        <rFont val="Arial"/>
        <family val="2"/>
      </rPr>
      <t xml:space="preserve">F3,4  O3,4,6 </t>
    </r>
    <r>
      <rPr>
        <sz val="11"/>
        <color theme="1"/>
        <rFont val="Arial"/>
        <family val="2"/>
      </rPr>
      <t>Formular y ejecutar estrategias para la prevención del daño antijurídico</t>
    </r>
  </si>
  <si>
    <t xml:space="preserve">4) Constante normatividad vigente aplicada a nivel nacional, departamental y territorial </t>
  </si>
  <si>
    <r>
      <t xml:space="preserve">D 8, 9,10 O3,4,5 </t>
    </r>
    <r>
      <rPr>
        <sz val="11"/>
        <color theme="1"/>
        <rFont val="Arial"/>
        <family val="2"/>
      </rPr>
      <t>Aplicar el autodiagóstico Defensa Jurídica al interior de la Oficina Jurídica para evaluar el desempeño de la Oficina Jurídica -MIPG -Modelo Integrado de Planeación y Gestión y el FURAG</t>
    </r>
  </si>
  <si>
    <r>
      <rPr>
        <b/>
        <sz val="11"/>
        <color theme="1"/>
        <rFont val="Arial"/>
        <family val="2"/>
      </rPr>
      <t xml:space="preserve">F2,3 O3,4,6,10 </t>
    </r>
    <r>
      <rPr>
        <sz val="11"/>
        <color theme="1"/>
        <rFont val="Arial"/>
        <family val="2"/>
      </rPr>
      <t>Revisa por lo menos una vez al año el reglamento del Comité de Conciliación y la Polìtica de Prevención del Daño Antijurídico</t>
    </r>
  </si>
  <si>
    <t xml:space="preserve">5) El Departamento Administrativo de la Función Pública -DAFP genero una herramienta para la Gestión sistemática y transparente que nos permite dirigir y evaluar el desempeño institucional - Autodiagnóstico Defensa Jurídica, en términos de calidad y satisfacción social en la prestación de servicios -MIPG y de rendición FURAG </t>
  </si>
  <si>
    <t>D7 O4.6 Que el Jefe  de la Oficina Juridica, medainte memorando,  exhorte a el cumplimiento a los servidores publicos, que tengan a su cargo  las actividades especificas de cumplimiento de fallos en contra y en los cuales se genere compromisos para contribuir al cumplimiento del fallo</t>
  </si>
  <si>
    <r>
      <rPr>
        <b/>
        <sz val="11"/>
        <color theme="1"/>
        <rFont val="Arial"/>
        <family val="2"/>
      </rPr>
      <t>F2 O6</t>
    </r>
    <r>
      <rPr>
        <sz val="11"/>
        <color theme="1"/>
        <rFont val="Arial"/>
        <family val="2"/>
      </rPr>
      <t xml:space="preserve"> El Comite de Conciliación definió los criterios para la selección de abogados externos para la defensa judicial que garanticen su idoneidad para la defender los intereses públicos y realizar seguimiento sobre los procesos a ellos encomendados</t>
    </r>
  </si>
  <si>
    <t xml:space="preserve">6) Oferta de profesionales especializados con experiencia para suplir las necesidades de la repesentación judicial  </t>
  </si>
  <si>
    <t xml:space="preserve">D3  O4,6 EL JEFE DE OFICINA JURIDICA REQUIERA mediante memorando Cuando se evidencie la no entrega de informes requerida  para el cumplimiento a las providencias condenatorias de procesos judiciales por  parte de  los Secretarios de Despacho, Directores de Grupo o dependencias ejecutoras,    </t>
  </si>
  <si>
    <r>
      <rPr>
        <b/>
        <sz val="11"/>
        <color theme="1"/>
        <rFont val="Arial"/>
        <family val="2"/>
      </rPr>
      <t>F12 O6,8</t>
    </r>
    <r>
      <rPr>
        <sz val="11"/>
        <color theme="1"/>
        <rFont val="Arial"/>
        <family val="2"/>
      </rPr>
      <t xml:space="preserve">  El Comité de Conciliación efectuará a traves de los supervisores seguimientos permanente a la gestión del apoderado externo sobre los procesos que se le hayan asignado</t>
    </r>
  </si>
  <si>
    <t xml:space="preserve">7) Constante innovación tecnológica </t>
  </si>
  <si>
    <t>D1 O4,6 el Jefe de Oficina Juridica una vez cada tres meses convoca a comités jurídicos y/o mesas de trabajo de los  temas que involucren las actuaciones e la Oficina Juridica.</t>
  </si>
  <si>
    <r>
      <rPr>
        <b/>
        <sz val="11"/>
        <color theme="1"/>
        <rFont val="Arial"/>
        <family val="2"/>
      </rPr>
      <t>F11 O6,9,10</t>
    </r>
    <r>
      <rPr>
        <sz val="11"/>
        <color theme="1"/>
        <rFont val="Arial"/>
        <family val="2"/>
      </rPr>
      <t xml:space="preserve"> Solicitar al Grupo de Gestión de Talento Humano capacitar a los abogados, especialmente en lo que se refiere a las competencias de actuación en los procesos orales y en los nuevos cambios normativos y otras temáticas requeridas   </t>
    </r>
  </si>
  <si>
    <t>8) Se cuenta con la definición de los criterios para la selección de los abogados externos que garanticen su idoneidad y experiencia para la defensa de los intereses públicos</t>
  </si>
  <si>
    <t>D11 O6,8 el Jefe de oficina juridica  emita cada vez que se requiera certificacion de idoneidad, en la que se acredite la experiencia profesional para desempeñar las labores propias del cargo</t>
  </si>
  <si>
    <r>
      <t xml:space="preserve">F5,8, 14,15 O6,9 </t>
    </r>
    <r>
      <rPr>
        <sz val="11"/>
        <color theme="1"/>
        <rFont val="Arial"/>
        <family val="2"/>
      </rPr>
      <t xml:space="preserve">Aplicar los criterios de evaluación de la Gestión Procesal de los Abogados que ejercen la representación Judicial del Municipio adscritos a la oficina jurídica </t>
    </r>
  </si>
  <si>
    <t>10) Oferta de jornadas de actualización, seminarios, diplomados de normatividad vigente a nivel nacional, departamental y territorial</t>
  </si>
  <si>
    <t>D2 O6  el Jefe de oficina juridica, solicita mediante memorando a la Scretaria Administrativa - Direccion de Talento Humano, de acuerdo a la necesidad del servicio la contratacion de personal idoneo para la defensa del Municipio</t>
  </si>
  <si>
    <r>
      <rPr>
        <b/>
        <sz val="11"/>
        <color theme="1"/>
        <rFont val="Arial"/>
        <family val="2"/>
      </rPr>
      <t xml:space="preserve">F2,3 O5 </t>
    </r>
    <r>
      <rPr>
        <sz val="11"/>
        <color theme="1"/>
        <rFont val="Arial"/>
        <family val="2"/>
      </rPr>
      <t>El comité de conciliación mida la eficiencia de la gestión en materia de implementación de la conciliación, la eficacia de la conciliación, el ahorro patrimonial y la efectividad de las decisiones del comité de conciliación</t>
    </r>
  </si>
  <si>
    <r>
      <rPr>
        <b/>
        <sz val="11"/>
        <color theme="1"/>
        <rFont val="Arial"/>
        <family val="2"/>
      </rPr>
      <t>F4,6,11,13,14 O7</t>
    </r>
    <r>
      <rPr>
        <sz val="11"/>
        <color theme="1"/>
        <rFont val="Arial"/>
        <family val="2"/>
      </rPr>
      <t xml:space="preserve"> Mantener actualizado el sistema de control de procesos judiciales -Softcon y Pisami, utilizar y generar las alertas tempranasy alarmas para contestación de demandas, audiencias, alegatos, entre otras</t>
    </r>
  </si>
  <si>
    <r>
      <rPr>
        <b/>
        <sz val="11"/>
        <color theme="1"/>
        <rFont val="Arial"/>
        <family val="2"/>
      </rPr>
      <t xml:space="preserve">F3,10 O3,4 </t>
    </r>
    <r>
      <rPr>
        <sz val="11"/>
        <color theme="1"/>
        <rFont val="Arial"/>
        <family val="2"/>
      </rPr>
      <t>Implementar el plan de acción de su política de prevención del daño antijurídico dentro del año calendario para el cual fue diseñado</t>
    </r>
  </si>
  <si>
    <r>
      <rPr>
        <b/>
        <sz val="11"/>
        <color theme="1"/>
        <rFont val="Arial"/>
        <family val="2"/>
      </rPr>
      <t xml:space="preserve">F4,6 O7 </t>
    </r>
    <r>
      <rPr>
        <sz val="11"/>
        <color theme="1"/>
        <rFont val="Arial"/>
        <family val="2"/>
      </rPr>
      <t>Solicitar soporte técnico a la Dirección de Informática para el manejo de los aplicativos desarrollados por la entidad.</t>
    </r>
  </si>
  <si>
    <r>
      <t xml:space="preserve">F8,11 O6,10 </t>
    </r>
    <r>
      <rPr>
        <sz val="11"/>
        <color theme="1"/>
        <rFont val="Arial"/>
        <family val="2"/>
      </rPr>
      <t xml:space="preserve">Aplicación de la auto evaluación de gestión procesal de los profesionales, abogados, adscritos a la dependencia, ya sea por relación legal y reglamentaria o por contrato, con base a esta calificación solicitar los proyectos de aprendizaje que se requieren en normatividad vigente aplicada a nivel nacional, departamental y territorial. </t>
    </r>
  </si>
  <si>
    <r>
      <t xml:space="preserve">F15 O6 </t>
    </r>
    <r>
      <rPr>
        <sz val="11"/>
        <color theme="1"/>
        <rFont val="Arial"/>
        <family val="2"/>
      </rPr>
      <t xml:space="preserve"> - La Jefe Oficina Jurídica y la Jefe de Contratación cumplan con los criterios de selección de abogados externos para la defensa judicial que garanticen su idoneidad y experiencia para la defender los intereses públicos y realizar seguimiento sobre los procesos a ellos encomendados.       </t>
    </r>
  </si>
  <si>
    <r>
      <t xml:space="preserve">F7,14,15 O9  </t>
    </r>
    <r>
      <rPr>
        <sz val="11"/>
        <color theme="1"/>
        <rFont val="Arial"/>
        <family val="2"/>
      </rPr>
      <t>La alta dirección nombre, reemplace o sustituya de manera inmediata el personal de planta por provisión de nuevos cargos de la oficina jurídica</t>
    </r>
  </si>
  <si>
    <r>
      <t xml:space="preserve">F8,15 O6,8  - </t>
    </r>
    <r>
      <rPr>
        <sz val="11"/>
        <color theme="1"/>
        <rFont val="Arial"/>
        <family val="2"/>
      </rPr>
      <t>El Comité de Conciliación efectuará a traves de los supervisores seguimientos permanente a la gestión del apoderado externo sobre los procesos que se le hayan asignado</t>
    </r>
  </si>
  <si>
    <t>1) Desconocimiento y/o no aplicabilidad de la normatividad vigente a nivel nacional, departamental y territorial</t>
  </si>
  <si>
    <r>
      <rPr>
        <b/>
        <sz val="10"/>
        <rFont val="Arial"/>
        <family val="2"/>
      </rPr>
      <t>D 6,7 A1,2</t>
    </r>
    <r>
      <rPr>
        <sz val="10"/>
        <rFont val="Arial"/>
        <family val="2"/>
      </rPr>
      <t xml:space="preserve"> Solicitar a las administración de turno y al personal de contrato con especialización, con conocimientos y experiencia que aporten al cumplimiento de las actividades de la defensa judicial propias de la Oficina Jurídica</t>
    </r>
  </si>
  <si>
    <r>
      <rPr>
        <b/>
        <sz val="10"/>
        <rFont val="Arial"/>
        <family val="2"/>
      </rPr>
      <t>F11, 12</t>
    </r>
    <r>
      <rPr>
        <sz val="10"/>
        <rFont val="Arial"/>
        <family val="2"/>
      </rPr>
      <t xml:space="preserve"> </t>
    </r>
    <r>
      <rPr>
        <b/>
        <sz val="10"/>
        <rFont val="Arial"/>
        <family val="2"/>
      </rPr>
      <t xml:space="preserve">A1 </t>
    </r>
    <r>
      <rPr>
        <sz val="10"/>
        <rFont val="Arial"/>
        <family val="2"/>
      </rPr>
      <t>Solicitar capacitación en modificaciones normativas y procedimental vigentes y realizar jornadas internas de actualización.</t>
    </r>
  </si>
  <si>
    <t>2) Cambios de gobierno</t>
  </si>
  <si>
    <r>
      <t xml:space="preserve">D3 A2  </t>
    </r>
    <r>
      <rPr>
        <sz val="11"/>
        <rFont val="Arial"/>
        <family val="2"/>
      </rPr>
      <t>Solicitar mediante circular o memorando la oportunidad en la entrega de informes y/o elementos materiales probatorios que se deban presentar en la actuaciones procesales por parte de las dependencias ejecutoras</t>
    </r>
  </si>
  <si>
    <r>
      <rPr>
        <b/>
        <sz val="11"/>
        <rFont val="Arial"/>
        <family val="2"/>
      </rPr>
      <t>F1,4,6,7 A1</t>
    </r>
    <r>
      <rPr>
        <sz val="11"/>
        <rFont val="Arial"/>
        <family val="2"/>
      </rPr>
      <t xml:space="preserve"> Solicitar a los Secretarios de Despacho y Directores de Grupo, la información requerida a las dependencias con suficiente antelación a la fecha de vencimiento </t>
    </r>
  </si>
  <si>
    <r>
      <rPr>
        <b/>
        <sz val="10"/>
        <rFont val="Arial"/>
        <family val="2"/>
      </rPr>
      <t>D8 A1</t>
    </r>
    <r>
      <rPr>
        <sz val="10"/>
        <rFont val="Arial"/>
        <family val="2"/>
      </rPr>
      <t xml:space="preserve"> Reportar a la Oficina de Control Disciplinario cuando se materialicen sanciones por incumplimiento a las ordenes judiciales</t>
    </r>
  </si>
  <si>
    <t xml:space="preserve">F1,3,10,15 A1,2 Que el Jefe  de la Oficina Juridica, medainte memorando con copia a control interno, proyectado por los asesores de la Oficina,  exhorte a el cumplimiento a los servidores publicos, que tengan a su cargo  las actividades especificas de cumplimiento de fallos en contra y en los cuales se genere compromisos para contribuir al cumplimiento del fallo. </t>
  </si>
  <si>
    <t xml:space="preserve">D9 A1 Convocar en forma extraordinaria Comité Jurídico de estudio para analizar y aplicar medidas inmediatas que dentro de la legalidad, permitan la unificación de criteros normativos aplicables a la Administración Municipal.  </t>
  </si>
  <si>
    <r>
      <rPr>
        <b/>
        <sz val="11"/>
        <rFont val="Arial"/>
        <family val="2"/>
      </rPr>
      <t xml:space="preserve">F5 A1,2 </t>
    </r>
    <r>
      <rPr>
        <sz val="11"/>
        <rFont val="Arial"/>
        <family val="2"/>
      </rPr>
      <t>Los apoderados presenten las fichas técnicas de estudio al Comité de Conciliación para que este pueda determinar la procedencia del llamamiento en garantía, para fines de repetición en los procesos judiciales de responsabilidad patrimonial</t>
    </r>
  </si>
  <si>
    <r>
      <t>F15 A1</t>
    </r>
    <r>
      <rPr>
        <sz val="11"/>
        <rFont val="Arial"/>
        <family val="2"/>
      </rPr>
      <t xml:space="preserve"> Inducción y reinducción del manual de funciones y competencias laborales para los servidores públicos de la administración central</t>
    </r>
  </si>
  <si>
    <r>
      <rPr>
        <b/>
        <sz val="11"/>
        <color theme="1"/>
        <rFont val="Arial"/>
        <family val="2"/>
      </rPr>
      <t>F1,10 A1,2</t>
    </r>
    <r>
      <rPr>
        <sz val="11"/>
        <color theme="1"/>
        <rFont val="Arial"/>
        <family val="2"/>
      </rPr>
      <t xml:space="preserve">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t>
    </r>
  </si>
  <si>
    <t xml:space="preserve">F1,3,10,15 A1,2 Que el Jefe de la Oficina Juridica, mediante memorando, requiere de la asistencia de los asesores de la oficina juridica, a las audiencias de los procesos judiciales  y asi mismo,  solicite la  asistencia  de los secretarios de despacho a las audiencias de los procesos judiciale. </t>
  </si>
  <si>
    <t xml:space="preserve">D7 O4.6 Que el Jefe  de la Oficina Juridica, medainte memorando,  exhorte a el cumplimiento a los servidores publicos, que tengan a su cargo  las actividades especificas de cumplimiento de fallos en contra y en los cuales se genere compromisos para contribuir al cumplimiento del fallo                                                                                      </t>
  </si>
  <si>
    <t xml:space="preserve">El JEFE DE OFICINA JURIDICA REQUIERA mediante memorando Cuando se evidencie la no entrega de informes requerida  para el cumplimiento a las providencias condenatorias de procesos judiciales por  parte de  los Secretarios de Despacho, Directores de Grupo o dependencias ejecutoras. </t>
  </si>
  <si>
    <t>F1,7 A1 La jefe de la Oficina Jurídica lleva al Comité de Coordinación de Control Interno los fallos vencidos, con el propósito que sea conocido por la alta Dirección y por el Señor Alcalde y así tomar las decisiones necesarias</t>
  </si>
  <si>
    <t>PROCESO: GESTIÓN JURÍDICA</t>
  </si>
  <si>
    <t xml:space="preserve">OBJETIVO: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</si>
  <si>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LEGALES Y REGLAMENTARIOS</t>
  </si>
  <si>
    <t>Desconocimiento y/o no aplicabilidad de la normatividad vigente a nivel nacional, departamental y territorial</t>
  </si>
  <si>
    <t xml:space="preserve">Inexistencia de unificación de criterios normativos aplicables a la administración municipal </t>
  </si>
  <si>
    <t>PROCEDIMIENTOS DEL PROCESO</t>
  </si>
  <si>
    <t xml:space="preserve">Indebida defensa y/o desprovistas de pruebas para el litigio judicial    </t>
  </si>
  <si>
    <t>Constantes cambios constitucionales y legales, que generan confusiones en la interpretacion</t>
  </si>
  <si>
    <t>PERSONAL DE LA ENTIDAD (Capacidad del personal, políticas de manejo del talento humano, idoneidad)</t>
  </si>
  <si>
    <t xml:space="preserve">Incumplimiento a los criterios definidos para la selección de los abogados externos que garantice su idoneidad y experiencia para la defensa de los interes públicos </t>
  </si>
  <si>
    <t>No proyectar la adopción de las providencias por parte de los apoderados que ejercen la representación judicial y legal del municipio</t>
  </si>
  <si>
    <t>Cambios de gobierno</t>
  </si>
  <si>
    <t>Insuficiente personal de planta para el cumplimiento de las funciones del proceso Gestión Jurídica</t>
  </si>
  <si>
    <t xml:space="preserve">No someter de manera oportuna los procesos judiciales y extrajudiciales para estudio del comite de conciliación. </t>
  </si>
  <si>
    <t>Fallas en aplicativos de la Rama Judicial para la verificación de la información</t>
  </si>
  <si>
    <t>COMMUNICACIÓN INTERNA</t>
  </si>
  <si>
    <t>INTERACCIÓN CON LOS PROCESOS</t>
  </si>
  <si>
    <t>Incumplimiento a providencias por parte de los Secretarios de Despacho y Directores según sus competencias</t>
  </si>
  <si>
    <t>Constante innovación tecnológica.</t>
  </si>
  <si>
    <t>TECNOLOGÍA (integridad de datos, disponibilidad de datos y sistemas, desarrollo, producción, mantenimiento de sistemas de información)</t>
  </si>
  <si>
    <t xml:space="preserve">Sistemas de Información no integrados -Softcon- que puede generar la pérdida o inconsistencia de la información registrada en la plataforma. </t>
  </si>
  <si>
    <t>COMUNICACIÓN ENTRE LOS PROCESOS</t>
  </si>
  <si>
    <t>No comunicar las providencias condenatorias a las dependencias ejecutoras responsables del cumplimiento</t>
  </si>
  <si>
    <t>Emergencias sanitarias</t>
  </si>
  <si>
    <t xml:space="preserve">Poca renovación de equipos tecnológicos obsoletos y  mantenimiento preventivo a los mismos </t>
  </si>
  <si>
    <t xml:space="preserve">Incumplimiento de los actos administrativos (resoluciones, memeorandos, oficios, circulares entre otros) establecidos por la oficina juridica, por parte de las dependencias adscritas  la Administración Central Municipal </t>
  </si>
  <si>
    <t>Catástrofes naturales</t>
  </si>
  <si>
    <t>FINANCIEROS</t>
  </si>
  <si>
    <t>Demora en la adición de recursos presupuestales para el pago de sentencias, conciliaciones y laudos arbitrales</t>
  </si>
  <si>
    <t>TRANSVERSALIDAD</t>
  </si>
  <si>
    <t>Falta de aplicación por parte de las Secretarías ejecutoras de las directrices y políticas del proceso de Gestión jurídica</t>
  </si>
  <si>
    <t>Declaración de urgencia manifiesta</t>
  </si>
  <si>
    <t>ESTRATÉGICOS</t>
  </si>
  <si>
    <t xml:space="preserve">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t>
  </si>
  <si>
    <t xml:space="preserve">D2 O6 }la jefe de oficina juridica junto con los asesores y contratistas que ejercen Representacion Judicial, constatan el cumplimiento de las sentencias judiciales por parte de los secretarios de despacho y directores, mediante remision de memorandos solicitando el informe de cumplimiento de la decision judicial a la secretaria competente, cada vez que lo requiera el despacho judicial, previo control semanal de los procesos asignados a cada apoderado judicial, quedando como evidencia en PISAMI el memorando remisorio. </t>
  </si>
  <si>
    <t xml:space="preserve">fallos desfavorables en los procesos judiciales </t>
  </si>
  <si>
    <t xml:space="preserve">inadecuada defensa juridica </t>
  </si>
  <si>
    <t xml:space="preserve">Ausencia de propuestas de defensa  al interor de cada caso en concreto </t>
  </si>
  <si>
    <t>falta de actualizacion de las normas y jurisprudencia aplicable a cada caso concreto.</t>
  </si>
  <si>
    <t>Posibilidad de perdida econocmica y reputacional, por los fallos desfavorables en los procesos judiciales debido a la Ausencia de propuestas de defensa  al interor de cada caso en concreto y/o por falta de actualizacion de las normas y jurisprudencia aplicable a cada caso concreto.</t>
  </si>
  <si>
    <t xml:space="preserve">EFECTUAR SEGUIMIENTO AL CUMPLIMIENTO DEL FALLO CONDENATORIO  PRO-GJ-001 
</t>
  </si>
  <si>
    <t xml:space="preserve">
EJERCER LA REPRESENTACIÓN DEL MUNICIPIO EN EL PROCESO JUDICIAL  PRO-GJ-001 </t>
  </si>
  <si>
    <t>la jefe de oficina junto con los asesores y contratistas que ejercen Representacion Judicial, verifican la aplicacion de la adecuada normatividad en el caso concreto, en un comite juridico cada dos meses, en el que se estudien los procesos mas relavantes y la normatividad aplicable a los procesos que cursen en la dependencia, dejando acta de lo socializado en el comite.</t>
  </si>
  <si>
    <t>La Jefe de oficina juridica, junto con su equipo de tecnicos operativos  verifica en el sistema de control de procesos judiciales, disciplinarios y contratos de la alcaldia de Ibauge SOFTCON  si los apoderados judiciales  han realizado la valoracion de probabilidad de condena de los procesos que tienen a cargo., dejando como evidencia la actuacion registrada en SOFTCON.</t>
  </si>
  <si>
    <t xml:space="preserve">que el apoderado judicial, no informe a tiempo sobre el pago de las condenas y/o acuerdos conciliatorios </t>
  </si>
  <si>
    <t xml:space="preserve">que el apoderado judicial, no inice frente al comité de conciliacion el estudio pertinente para determinar la procedencia de iniciar acción de repetición </t>
  </si>
  <si>
    <t xml:space="preserve">SEGUIMIENTO ENERO - FEBRRO </t>
  </si>
  <si>
    <t xml:space="preserve">Posibilidad de riesgo económico por perdida de recursos financieros debido  a la Caducidad de la acción de repetición o falencias en el ejercicio de esta acción, generando la imposibilidad de recuperar los recursos pagados por la Administración Municipal. </t>
  </si>
  <si>
    <t>La jefe de oficina jurídica mediante  un técnico operativo, validara en la plataforma PISAMI, una vez al mes, las solicitudes de pago por concepto de condenas y/o acuerdos conciliatorios, verificando que la documentación radicada por parte del demandante o apoderado, cumpla con lo establecido en el Decreto 607 de 2013, de igual manera se verificara en la plataforma PISAMI,  la radicación de sentencias ejecutoriadas, en la que se ordene el pago por condenas o acuerdos conciliatorios, por parte del juzgado de conocimiento.</t>
  </si>
  <si>
    <t>3) Constantes cambios constitucionales y legales, que generan confusiones en la interpretacion</t>
  </si>
  <si>
    <t>El jefe de oficina juridica mediante  el secretario del comite de conciliacion validara  que una vez, se hayan realizado   pagos por concepto de sentencias judiciales y/o conciliaciones judiciales o extrajudiciales y que sean consecuencia de conductas dolososas o culposas,  mediante memorando, requerira a los abogados que deberan inciar el estudio pertinente para determinar la procedencia de accion de repeticion, cada vez que  la admisnistracion realice un pago total por concepto de condena y/o acuerdo conciliatorio.</t>
  </si>
  <si>
    <r>
      <t xml:space="preserve">Frente a la presente Actividad, y De acuerdo a lo previsto durante el monitoreo y revisión del Mapa de riesgos de gestion  de la Oficina Jurídica, se realizo la  siguiente AUTOEVALUCION: para esta actividad de control, y durante el mes de </t>
    </r>
    <r>
      <rPr>
        <b/>
        <sz val="10"/>
        <color theme="1"/>
        <rFont val="Arial"/>
        <family val="2"/>
      </rPr>
      <t>ENERO:</t>
    </r>
    <r>
      <rPr>
        <sz val="10"/>
        <color theme="1"/>
        <rFont val="Arial"/>
        <family val="2"/>
      </rPr>
      <t xml:space="preserve"> la Oficina Juridica emitio 2 memorandos, solicitando el cumplimiento  a sentencias judiciales:
- MEMORANDO  No. 2025-003111 del 24/01/2025 Solicitando de manera urgente informe sobre el cumplimiento a fallo judicial dentro de la acción popular promovida por GUILLERMO PARRA OSORIO RAD 00257-2015, el cual fue contestado por parte de la secretaria de agricultura mediante el memorando No. 2200-003842
</t>
    </r>
    <r>
      <rPr>
        <b/>
        <sz val="10"/>
        <color theme="1"/>
        <rFont val="Arial"/>
        <family val="2"/>
      </rPr>
      <t xml:space="preserve">
</t>
    </r>
    <r>
      <rPr>
        <sz val="10"/>
        <color theme="1"/>
        <rFont val="Arial"/>
        <family val="2"/>
      </rPr>
      <t xml:space="preserve">- MEMORANDO  No. 2025-003073 del 23/01/2025 - Solicitud de manera urgente informe de actividades en cumplimiento a fallo judicial dentro de la acción popular promovida por GLORIA PATRICIA PIMIENTO GUZMAN Y OTROS RAD 00064-2011, .el cual fue contstado por la secretaria de infraestructura meiante el memorando No. 2300 - 03642 del 28 de enero de 2025. 
- MEMORANDO No. 2025-001994 del 17/01/2024- Solicitud de manera urgente informe de actividades en cumplimiento al fallo judicial dentro de la acción popular promovida por la DEFENSORIA DEL PUEBLO RAD 00015-2018..
- MEMOERANDO No. 2025-001278 del 15/01/2025 -Solicitud informe de gestiones adelantadas en cumplimiento del fallo judicial dentro de la acción popular promovida por WILSON LEAL ECHEVERRY RAD 02180-2004 Estación De Bomberos., memorando que fue contestado por la secretria de eudycacion, secretaria de ambiente y gestion e riesgo y la direccion de recurso fisicos. 
</t>
    </r>
    <r>
      <rPr>
        <b/>
        <sz val="10"/>
        <color theme="1"/>
        <rFont val="Arial"/>
        <family val="2"/>
      </rPr>
      <t>FEBRERO:</t>
    </r>
    <r>
      <rPr>
        <sz val="10"/>
        <color theme="1"/>
        <rFont val="Arial"/>
        <family val="2"/>
      </rPr>
      <t xml:space="preserve">   la oficina juridica  emitio 
- MEMORANDO No. 2025-007289 del 17/02/2025 - Solicitud de informacion requerida por el despacho judicial dentro de la accion popular promovida por GUILLERMO PARRA OSORIO RAD 00257-2015..
- MEMORANDO No. 2025-008631 del 24/02/2025 - solicitud avances de cumplimiento a fallo judicial dentro de la acción popular promovida por HERIBERTO BARRERA MENDOZA RAD 00181-2017, el cual fue contestado por la dirección y aplicación de la norma urbanística, mediante el memorando No. 11041 del 07/03/2025.. </t>
    </r>
  </si>
  <si>
    <t xml:space="preserve">Frente a la presente Actividad y De acuerdo a lo previsto durante el monitoreo y revisión del Mapa de riesgos de gestion  de la Oficina Jurídica, el jefe de oficina mediante   MEMORANDO No. 2025-005588 del 06/02/2024 - solicito a los asesores de la oficina jurídica realizar la valoración de probabilidad de perdida de los procesos que tienen cada uno a su cargo y actualizacion a la plataforma softcon. </t>
  </si>
  <si>
    <t xml:space="preserve">De acuerdo a lo previsto durante el monitoreo y revisión del Mapa de riesgos de gestion  de la Oficina Jurídica,: para esta actividad de control, durante los meses de ENERO - FEBRERO, no se evidencia memorando, en el que se requiera a los abogados determinar la procedencia de acción de repetición. </t>
  </si>
  <si>
    <r>
      <t xml:space="preserve">De acuerdo a lo previsto durante el monitoreo y revisión del Mapa de riesgos de gestion  de la Oficina Jurídica:
- </t>
    </r>
    <r>
      <rPr>
        <b/>
        <u/>
        <sz val="10"/>
        <color theme="1"/>
        <rFont val="Arial"/>
        <family val="2"/>
      </rPr>
      <t xml:space="preserve">ENERO
</t>
    </r>
    <r>
      <rPr>
        <b/>
        <sz val="10"/>
        <color theme="1"/>
        <rFont val="Arial"/>
        <family val="2"/>
      </rPr>
      <t xml:space="preserve">1. </t>
    </r>
    <r>
      <rPr>
        <sz val="10"/>
        <color theme="1"/>
        <rFont val="Arial"/>
        <family val="2"/>
      </rPr>
      <t xml:space="preserve">se evidencia petición bajo el radicado No.  2025-002506 del 13/01/2025, en la que se solicito el pago y cumplimiento de providencia judicial. dentro del medio de control nulidad y restablecimiento del derecho. radicacion  73001333300420180027700 demandante CORPORACIÓN COLOMBIA demandado MUNICIPIO DE IBAGUÉ, a el cual se le dio respuesta mediante el oficio No. 15421 del 28 de febrero de 2025. 
2. Peticion bajo el radicado No. 2025-005492 del 17/01/2025, la señora LUZ ANGELA ROMERO, solicito el pago y desembolso de costas, dentro del proceso ordinario laboral de COASINTOL demandante: JUAN CARLOS DUARTE APONTE radicacion: 73001310500520040055000, se da respuesta mediante el oficio No. 17873 del 08/03/2025.
</t>
    </r>
    <r>
      <rPr>
        <b/>
        <u/>
        <sz val="10"/>
        <color theme="1"/>
        <rFont val="Arial"/>
        <family val="2"/>
      </rPr>
      <t>- FEBRERO</t>
    </r>
    <r>
      <rPr>
        <sz val="10"/>
        <color theme="1"/>
        <rFont val="Arial"/>
        <family val="2"/>
      </rPr>
      <t xml:space="preserve">
1. Mediantte el radicado Pisami 2025-022520 del 27/02/2025, se da respuesta al Oficio No. 1030-14473 del 16 de febrero de 2025, radicacion de documentos para el pago de la sentencia judicial, dentro del medio de control de nulidad y restablecimiento del derecho adelantado por el señor CAMPO ELIAS OLARTE SACHICA 73001333301120210005000. </t>
    </r>
  </si>
  <si>
    <t>De acuerdo a lo previsto durante el monitoreo y revisión del Mapa de riesgos de gestión de la Oficina Jurídica, durante el periodo de ENERO Y FEBRERO, se evidencia Comité Jurídico, realzado el 18 de febrero de 2025, convocado mediante memorando No. 1030-07094 del 17/02/2025, a todo el personal adscrito a la oficina, para llevar a cabo la socialización de los lineamientos del funcionamiento de la oficina.</t>
  </si>
  <si>
    <t>PROCESO: SISTEMA INTEGRADO DE GESTIÓN Y MIPG</t>
  </si>
  <si>
    <t xml:space="preserve">PROCESO: </t>
  </si>
  <si>
    <t>Versión:  01</t>
  </si>
  <si>
    <t>Pagina:  1 de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</si>
</sst>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b/>
      <sz val="11"/>
      <name val="Arial"/>
      <family val="2"/>
    </font>
    <font>
      <sz val="10"/>
      <color rgb="FFFF0000"/>
      <name val="Arial"/>
      <family val="2"/>
    </font>
    <font>
      <sz val="11"/>
      <color rgb="FFFF0000"/>
      <name val="Arial"/>
      <family val="2"/>
    </font>
    <font>
      <sz val="8"/>
      <color theme="1"/>
      <name val="Arial Narrow"/>
      <family val="2"/>
    </font>
    <font>
      <b/>
      <u/>
      <sz val="10"/>
      <color theme="1"/>
      <name val="Arial"/>
      <family val="2"/>
    </font>
  </fonts>
  <fills count="2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rgb="FF99FFCC"/>
        <bgColor indexed="64"/>
      </patternFill>
    </fill>
    <fill>
      <patternFill patternType="solid">
        <fgColor rgb="FFCCFF66"/>
        <bgColor indexed="64"/>
      </patternFill>
    </fill>
    <fill>
      <patternFill patternType="solid">
        <fgColor rgb="FFCCCC00"/>
        <bgColor indexed="64"/>
      </patternFill>
    </fill>
    <fill>
      <patternFill patternType="solid">
        <fgColor rgb="FF2FC9FF"/>
        <bgColor indexed="64"/>
      </patternFill>
    </fill>
    <fill>
      <patternFill patternType="solid">
        <fgColor rgb="FFFFD253"/>
        <bgColor indexed="64"/>
      </patternFill>
    </fill>
    <fill>
      <patternFill patternType="solid">
        <fgColor rgb="FFA568D2"/>
        <bgColor indexed="64"/>
      </patternFill>
    </fill>
  </fills>
  <borders count="10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4659260841701"/>
      </left>
      <right style="dashed">
        <color theme="9" tint="-0.24994659260841701"/>
      </right>
      <top/>
      <bottom style="dashed">
        <color theme="9" tint="-0.249977111117893"/>
      </bottom>
      <diagonal/>
    </border>
    <border>
      <left style="dashed">
        <color theme="9" tint="-0.24994659260841701"/>
      </left>
      <right style="dashed">
        <color theme="9" tint="-0.249977111117893"/>
      </right>
      <top style="dashed">
        <color theme="9" tint="-0.24994659260841701"/>
      </top>
      <bottom/>
      <diagonal/>
    </border>
    <border>
      <left style="dashed">
        <color theme="9" tint="-0.24994659260841701"/>
      </left>
      <right style="dashed">
        <color theme="9" tint="-0.249977111117893"/>
      </right>
      <top/>
      <bottom/>
      <diagonal/>
    </border>
    <border>
      <left style="dashed">
        <color theme="9" tint="-0.24994659260841701"/>
      </left>
      <right style="dashed">
        <color theme="9" tint="-0.249977111117893"/>
      </right>
      <top/>
      <bottom style="dashed">
        <color theme="9" tint="-0.24994659260841701"/>
      </bottom>
      <diagonal/>
    </border>
    <border>
      <left style="thin">
        <color auto="1"/>
      </left>
      <right style="thin">
        <color auto="1"/>
      </right>
      <top/>
      <bottom/>
      <diagonal/>
    </border>
    <border>
      <left style="medium">
        <color auto="1"/>
      </left>
      <right style="thin">
        <color auto="1"/>
      </right>
      <top style="thin">
        <color auto="1"/>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70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37" xfId="0" applyFont="1" applyFill="1" applyBorder="1" applyAlignment="1">
      <alignmen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0" fontId="0" fillId="0" borderId="93" xfId="0" applyBorder="1" applyAlignment="1" applyProtection="1">
      <alignment horizontal="center" vertical="top"/>
      <protection locked="0"/>
    </xf>
    <xf numFmtId="0" fontId="0" fillId="0" borderId="94" xfId="0" applyBorder="1" applyAlignment="1" applyProtection="1">
      <alignment vertical="top"/>
      <protection locked="0"/>
    </xf>
    <xf numFmtId="0" fontId="0" fillId="0" borderId="94" xfId="0" applyBorder="1"/>
    <xf numFmtId="165" fontId="61" fillId="0" borderId="92" xfId="0" applyNumberFormat="1" applyFont="1" applyBorder="1" applyAlignment="1">
      <alignment horizontal="center" vertical="center"/>
    </xf>
    <xf numFmtId="0" fontId="61" fillId="0" borderId="95" xfId="0" applyFont="1" applyBorder="1" applyAlignment="1">
      <alignment horizontal="center" vertical="center"/>
    </xf>
    <xf numFmtId="0" fontId="61" fillId="0" borderId="95" xfId="0" applyFont="1" applyBorder="1" applyAlignment="1">
      <alignment horizontal="left" vertical="center" wrapText="1"/>
    </xf>
    <xf numFmtId="0" fontId="61" fillId="0" borderId="95" xfId="0" applyFont="1" applyBorder="1" applyAlignment="1" applyProtection="1">
      <alignment horizontal="center" vertical="center"/>
      <protection locked="0"/>
    </xf>
    <xf numFmtId="165" fontId="61" fillId="0" borderId="96" xfId="0" applyNumberFormat="1" applyFont="1" applyBorder="1" applyAlignment="1">
      <alignment horizontal="center" vertical="center"/>
    </xf>
    <xf numFmtId="0" fontId="0" fillId="0" borderId="97" xfId="0" applyBorder="1"/>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61" fillId="0" borderId="38" xfId="0" applyFont="1" applyBorder="1" applyAlignment="1">
      <alignment horizontal="left" vertical="center" wrapText="1"/>
    </xf>
    <xf numFmtId="0" fontId="38" fillId="3" borderId="99" xfId="0" applyFont="1" applyFill="1" applyBorder="1" applyAlignment="1" applyProtection="1">
      <alignment horizontal="left" vertical="center"/>
      <protection locked="0"/>
    </xf>
    <xf numFmtId="0" fontId="38" fillId="3" borderId="92" xfId="0" applyFont="1" applyFill="1" applyBorder="1" applyAlignment="1" applyProtection="1">
      <alignment horizontal="left" vertical="center"/>
      <protection locked="0"/>
    </xf>
    <xf numFmtId="0" fontId="6" fillId="0" borderId="4"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14" fontId="27" fillId="0" borderId="2" xfId="0" applyNumberFormat="1" applyFont="1" applyBorder="1" applyAlignment="1" applyProtection="1">
      <alignment horizontal="center" vertical="top" wrapText="1"/>
      <protection locked="0"/>
    </xf>
    <xf numFmtId="0" fontId="65" fillId="0" borderId="92" xfId="0" applyFont="1" applyBorder="1" applyAlignment="1">
      <alignment horizontal="left" vertical="center" wrapText="1"/>
    </xf>
    <xf numFmtId="0" fontId="65" fillId="0" borderId="99" xfId="0" applyFont="1" applyBorder="1" applyAlignment="1">
      <alignment horizontal="left" vertical="center" wrapText="1"/>
    </xf>
    <xf numFmtId="0" fontId="63" fillId="17" borderId="84" xfId="0" applyFont="1" applyFill="1" applyBorder="1" applyAlignment="1">
      <alignment horizontal="center" vertical="center" wrapText="1"/>
    </xf>
    <xf numFmtId="0" fontId="61" fillId="0" borderId="78" xfId="0" applyFont="1" applyBorder="1" applyAlignment="1">
      <alignment horizontal="center" vertical="center" wrapText="1"/>
    </xf>
    <xf numFmtId="0" fontId="61" fillId="18" borderId="78" xfId="0" applyFont="1" applyFill="1" applyBorder="1" applyAlignment="1">
      <alignment horizontal="center" vertical="center" wrapText="1"/>
    </xf>
    <xf numFmtId="0" fontId="61" fillId="3" borderId="33" xfId="0" applyFont="1" applyFill="1" applyBorder="1" applyAlignment="1">
      <alignment horizontal="center" vertical="center" wrapText="1"/>
    </xf>
    <xf numFmtId="0" fontId="61" fillId="0" borderId="33" xfId="0" applyFont="1" applyBorder="1" applyAlignment="1">
      <alignment horizontal="center" vertical="center" wrapText="1"/>
    </xf>
    <xf numFmtId="0" fontId="61" fillId="0" borderId="38" xfId="0" applyFont="1" applyBorder="1" applyAlignment="1">
      <alignment horizontal="center" vertical="center" wrapText="1"/>
    </xf>
    <xf numFmtId="0" fontId="61" fillId="18" borderId="37" xfId="0" applyFont="1" applyFill="1" applyBorder="1" applyAlignment="1">
      <alignment horizontal="center" vertical="center" wrapText="1"/>
    </xf>
    <xf numFmtId="0" fontId="61" fillId="18" borderId="33" xfId="0" applyFont="1" applyFill="1" applyBorder="1" applyAlignment="1">
      <alignment horizontal="center" vertical="center" wrapText="1"/>
    </xf>
    <xf numFmtId="0" fontId="65" fillId="0" borderId="33" xfId="0" applyFont="1" applyBorder="1" applyAlignment="1">
      <alignment horizontal="center" vertical="center" wrapText="1"/>
    </xf>
    <xf numFmtId="0" fontId="61" fillId="0" borderId="79" xfId="0" applyFont="1" applyBorder="1" applyAlignment="1">
      <alignment horizontal="center" vertical="center" wrapText="1"/>
    </xf>
    <xf numFmtId="0" fontId="61" fillId="0" borderId="0" xfId="0" applyFont="1" applyAlignment="1">
      <alignment wrapText="1"/>
    </xf>
    <xf numFmtId="0" fontId="61" fillId="25" borderId="78" xfId="0" applyFont="1" applyFill="1" applyBorder="1" applyAlignment="1">
      <alignment horizontal="center" vertical="center" wrapText="1"/>
    </xf>
    <xf numFmtId="166" fontId="61" fillId="0" borderId="92" xfId="0" applyNumberFormat="1" applyFont="1" applyBorder="1" applyAlignment="1">
      <alignment horizontal="center" vertical="center"/>
    </xf>
    <xf numFmtId="0" fontId="61" fillId="25" borderId="33" xfId="0" applyFont="1" applyFill="1" applyBorder="1" applyAlignment="1">
      <alignment horizontal="center" vertical="center" wrapText="1"/>
    </xf>
    <xf numFmtId="166" fontId="65" fillId="0" borderId="92" xfId="0" applyNumberFormat="1" applyFont="1" applyBorder="1" applyAlignment="1">
      <alignment horizontal="center" vertical="center"/>
    </xf>
    <xf numFmtId="0" fontId="61" fillId="26" borderId="78" xfId="0" applyFont="1" applyFill="1" applyBorder="1" applyAlignment="1">
      <alignment horizontal="center" vertical="center" wrapText="1"/>
    </xf>
    <xf numFmtId="0" fontId="61" fillId="26" borderId="33" xfId="0" applyFont="1" applyFill="1" applyBorder="1" applyAlignment="1">
      <alignment horizontal="center" vertical="center" wrapText="1"/>
    </xf>
    <xf numFmtId="0" fontId="76" fillId="26" borderId="33" xfId="0" applyFont="1" applyFill="1" applyBorder="1" applyAlignment="1">
      <alignment horizontal="center" vertical="center" wrapText="1"/>
    </xf>
    <xf numFmtId="0" fontId="65" fillId="26" borderId="33" xfId="0" applyFont="1" applyFill="1" applyBorder="1" applyAlignment="1">
      <alignment horizontal="center" vertical="center" wrapText="1"/>
    </xf>
    <xf numFmtId="0" fontId="61" fillId="27" borderId="38" xfId="0" applyFont="1" applyFill="1" applyBorder="1" applyAlignment="1">
      <alignment horizontal="left" vertical="center" wrapText="1"/>
    </xf>
    <xf numFmtId="0" fontId="61" fillId="27" borderId="38" xfId="0" applyFont="1" applyFill="1" applyBorder="1" applyAlignment="1">
      <alignment horizontal="center" vertical="center" wrapText="1"/>
    </xf>
    <xf numFmtId="0" fontId="61" fillId="27" borderId="79" xfId="0" applyFont="1" applyFill="1" applyBorder="1" applyAlignment="1">
      <alignment horizontal="center" vertical="center" wrapText="1"/>
    </xf>
    <xf numFmtId="0" fontId="46" fillId="0" borderId="75" xfId="0" applyFont="1" applyBorder="1" applyAlignment="1" applyProtection="1">
      <alignment horizontal="center" vertical="top" wrapText="1"/>
      <protection locked="0"/>
    </xf>
    <xf numFmtId="0" fontId="1" fillId="0" borderId="5" xfId="0" applyFont="1" applyBorder="1" applyAlignment="1" applyProtection="1">
      <alignment horizontal="center" vertical="top"/>
      <protection locked="0"/>
    </xf>
    <xf numFmtId="0" fontId="6" fillId="0" borderId="2" xfId="0" applyFont="1" applyBorder="1" applyAlignment="1" applyProtection="1">
      <alignment horizontal="center" vertical="top" wrapText="1"/>
      <protection locked="0"/>
    </xf>
    <xf numFmtId="0" fontId="6" fillId="0" borderId="75"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27" fillId="0" borderId="6" xfId="0" applyFont="1" applyBorder="1" applyAlignment="1" applyProtection="1">
      <alignment horizontal="center" vertical="top"/>
      <protection locked="0"/>
    </xf>
    <xf numFmtId="0" fontId="1" fillId="0" borderId="6" xfId="0" applyFont="1" applyBorder="1" applyAlignment="1" applyProtection="1">
      <alignment horizontal="center" vertical="top"/>
      <protection locked="0"/>
    </xf>
    <xf numFmtId="0" fontId="1" fillId="0" borderId="3" xfId="0" applyFont="1" applyBorder="1" applyAlignment="1" applyProtection="1">
      <alignment horizontal="center" vertical="top"/>
      <protection locked="0"/>
    </xf>
    <xf numFmtId="0" fontId="1" fillId="3" borderId="33" xfId="0" applyFont="1" applyFill="1" applyBorder="1"/>
    <xf numFmtId="0" fontId="1" fillId="0" borderId="33" xfId="0" applyFont="1" applyBorder="1"/>
    <xf numFmtId="0" fontId="66" fillId="3" borderId="33" xfId="0" applyFont="1" applyFill="1" applyBorder="1" applyAlignment="1">
      <alignment vertical="center" wrapText="1"/>
    </xf>
    <xf numFmtId="0" fontId="66" fillId="3" borderId="33" xfId="0" applyFont="1" applyFill="1" applyBorder="1"/>
    <xf numFmtId="0" fontId="66" fillId="3" borderId="33" xfId="0" applyFont="1" applyFill="1" applyBorder="1" applyAlignment="1">
      <alignment wrapText="1"/>
    </xf>
    <xf numFmtId="0" fontId="27" fillId="0" borderId="6" xfId="0" applyFont="1" applyBorder="1" applyAlignment="1" applyProtection="1">
      <alignment horizontal="center" vertical="top" textRotation="90"/>
      <protection locked="0"/>
    </xf>
    <xf numFmtId="164" fontId="1" fillId="0" borderId="4" xfId="1" applyNumberFormat="1" applyFont="1" applyBorder="1" applyAlignment="1">
      <alignment horizontal="center" vertical="top"/>
    </xf>
    <xf numFmtId="0" fontId="49" fillId="0" borderId="4" xfId="0" applyFont="1" applyBorder="1" applyAlignment="1" applyProtection="1">
      <alignment horizontal="center" vertical="top" textRotation="90" wrapText="1"/>
      <protection hidden="1"/>
    </xf>
    <xf numFmtId="0" fontId="49" fillId="0" borderId="4" xfId="0" applyFont="1" applyBorder="1" applyAlignment="1" applyProtection="1">
      <alignment horizontal="center" vertical="top" textRotation="90"/>
      <protection hidden="1"/>
    </xf>
    <xf numFmtId="164" fontId="1" fillId="0" borderId="5" xfId="1" applyNumberFormat="1" applyFont="1" applyBorder="1" applyAlignment="1">
      <alignment horizontal="center" vertical="top"/>
    </xf>
    <xf numFmtId="0" fontId="49" fillId="0" borderId="5" xfId="0" applyFont="1" applyBorder="1" applyAlignment="1" applyProtection="1">
      <alignment horizontal="center" vertical="top" textRotation="90" wrapText="1"/>
      <protection hidden="1"/>
    </xf>
    <xf numFmtId="9" fontId="27" fillId="0" borderId="8" xfId="0" applyNumberFormat="1" applyFont="1" applyBorder="1" applyAlignment="1" applyProtection="1">
      <alignment horizontal="center" vertical="top"/>
      <protection hidden="1"/>
    </xf>
    <xf numFmtId="0" fontId="49" fillId="0" borderId="5" xfId="0" applyFont="1" applyBorder="1" applyAlignment="1" applyProtection="1">
      <alignment horizontal="center" vertical="top" textRotation="90"/>
      <protection hidden="1"/>
    </xf>
    <xf numFmtId="0" fontId="27" fillId="0" borderId="8" xfId="0" applyFont="1" applyBorder="1" applyAlignment="1" applyProtection="1">
      <alignment horizontal="center" vertical="top" textRotation="90"/>
      <protection locked="0"/>
    </xf>
    <xf numFmtId="14" fontId="1" fillId="0" borderId="5" xfId="0" applyNumberFormat="1" applyFont="1" applyBorder="1" applyAlignment="1" applyProtection="1">
      <alignment horizontal="center" vertical="top"/>
      <protection locked="0"/>
    </xf>
    <xf numFmtId="0" fontId="1" fillId="3" borderId="34" xfId="0" applyFont="1" applyFill="1" applyBorder="1"/>
    <xf numFmtId="164" fontId="1" fillId="0" borderId="33" xfId="1" applyNumberFormat="1" applyFont="1" applyBorder="1" applyAlignment="1">
      <alignment horizontal="center" vertical="top"/>
    </xf>
    <xf numFmtId="0" fontId="49" fillId="0" borderId="33" xfId="0" applyFont="1" applyBorder="1" applyAlignment="1" applyProtection="1">
      <alignment horizontal="center" vertical="top" textRotation="90" wrapText="1"/>
      <protection hidden="1"/>
    </xf>
    <xf numFmtId="9" fontId="27" fillId="0" borderId="33" xfId="0" applyNumberFormat="1" applyFont="1" applyBorder="1" applyAlignment="1" applyProtection="1">
      <alignment horizontal="center" vertical="top"/>
      <protection hidden="1"/>
    </xf>
    <xf numFmtId="0" fontId="49" fillId="0" borderId="33" xfId="0" applyFont="1" applyBorder="1" applyAlignment="1" applyProtection="1">
      <alignment horizontal="center" vertical="top" textRotation="90"/>
      <protection hidden="1"/>
    </xf>
    <xf numFmtId="0" fontId="27" fillId="0" borderId="33" xfId="0" applyFont="1" applyBorder="1" applyAlignment="1" applyProtection="1">
      <alignment horizontal="center" vertical="top" textRotation="90"/>
      <protection locked="0"/>
    </xf>
    <xf numFmtId="0" fontId="6" fillId="0" borderId="33" xfId="0" applyFont="1" applyBorder="1" applyAlignment="1" applyProtection="1">
      <alignment vertical="top" wrapText="1"/>
      <protection locked="0"/>
    </xf>
    <xf numFmtId="0" fontId="1" fillId="0" borderId="33" xfId="0" applyFont="1" applyBorder="1" applyAlignment="1" applyProtection="1">
      <alignment vertical="center" wrapText="1"/>
      <protection locked="0"/>
    </xf>
    <xf numFmtId="14" fontId="1" fillId="0" borderId="33" xfId="0" applyNumberFormat="1" applyFont="1" applyBorder="1" applyAlignment="1" applyProtection="1">
      <alignment vertical="center" wrapText="1"/>
      <protection locked="0"/>
    </xf>
    <xf numFmtId="0" fontId="1" fillId="0" borderId="33" xfId="0" applyFont="1" applyBorder="1" applyAlignment="1" applyProtection="1">
      <alignment vertical="top"/>
      <protection locked="0"/>
    </xf>
    <xf numFmtId="0" fontId="6" fillId="0" borderId="33" xfId="0" applyFont="1" applyBorder="1" applyAlignment="1" applyProtection="1">
      <alignment horizontal="center" vertical="top" wrapText="1"/>
      <protection locked="0"/>
    </xf>
    <xf numFmtId="0" fontId="1" fillId="0" borderId="33" xfId="0" applyFont="1" applyBorder="1" applyAlignment="1" applyProtection="1">
      <alignment horizontal="center" vertical="top"/>
      <protection locked="0"/>
    </xf>
    <xf numFmtId="14" fontId="1" fillId="0" borderId="33" xfId="0" applyNumberFormat="1" applyFont="1" applyBorder="1" applyAlignment="1" applyProtection="1">
      <alignment horizontal="center" vertical="top"/>
      <protection locked="0"/>
    </xf>
    <xf numFmtId="0" fontId="1" fillId="0" borderId="33" xfId="0" applyFont="1" applyBorder="1" applyAlignment="1" applyProtection="1">
      <alignment horizontal="center" vertical="top" wrapText="1"/>
      <protection locked="0"/>
    </xf>
    <xf numFmtId="0" fontId="77" fillId="0" borderId="28" xfId="0" applyFont="1" applyBorder="1" applyAlignment="1" applyProtection="1">
      <alignment vertical="center" wrapText="1"/>
      <protection locked="0"/>
    </xf>
    <xf numFmtId="0" fontId="77" fillId="0" borderId="9" xfId="0" applyFont="1" applyBorder="1" applyAlignment="1" applyProtection="1">
      <alignment vertical="center" wrapText="1"/>
      <protection locked="0"/>
    </xf>
    <xf numFmtId="0" fontId="1" fillId="0" borderId="33" xfId="0" applyFont="1" applyBorder="1" applyAlignment="1" applyProtection="1">
      <alignment vertical="top" wrapText="1"/>
      <protection locked="0"/>
    </xf>
    <xf numFmtId="0" fontId="66" fillId="3" borderId="33" xfId="0" applyFont="1" applyFill="1" applyBorder="1" applyAlignment="1">
      <alignment horizontal="left" vertical="center" wrapText="1"/>
    </xf>
    <xf numFmtId="0" fontId="6" fillId="0" borderId="33" xfId="0" applyFont="1" applyBorder="1" applyAlignment="1" applyProtection="1">
      <alignment vertical="center" wrapText="1"/>
      <protection locked="0"/>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wrapText="1"/>
    </xf>
    <xf numFmtId="0" fontId="64" fillId="16" borderId="41" xfId="0" applyFont="1" applyFill="1" applyBorder="1" applyAlignment="1">
      <alignment horizontal="left" vertical="top" wrapText="1"/>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1" fillId="18" borderId="95" xfId="0" applyFont="1" applyFill="1" applyBorder="1" applyAlignment="1">
      <alignment horizontal="center" vertical="center" wrapText="1"/>
    </xf>
    <xf numFmtId="0" fontId="61" fillId="18" borderId="34" xfId="0" applyFont="1" applyFill="1" applyBorder="1" applyAlignment="1">
      <alignment horizontal="center" vertical="center" wrapText="1"/>
    </xf>
    <xf numFmtId="0" fontId="61" fillId="18" borderId="83" xfId="0" applyFont="1" applyFill="1" applyBorder="1" applyAlignment="1">
      <alignment horizontal="center" vertical="center" wrapText="1"/>
    </xf>
    <xf numFmtId="0" fontId="61" fillId="18" borderId="42" xfId="0" applyFont="1" applyFill="1" applyBorder="1" applyAlignment="1">
      <alignment horizontal="center" vertical="center" wrapText="1"/>
    </xf>
    <xf numFmtId="0" fontId="61" fillId="18" borderId="84" xfId="0" applyFont="1" applyFill="1" applyBorder="1" applyAlignment="1">
      <alignment horizontal="center" vertical="center" wrapText="1"/>
    </xf>
    <xf numFmtId="0" fontId="61" fillId="18" borderId="107" xfId="0" applyFont="1" applyFill="1" applyBorder="1" applyAlignment="1">
      <alignment horizontal="center" vertical="center" wrapText="1"/>
    </xf>
    <xf numFmtId="0" fontId="61" fillId="18" borderId="108" xfId="0" applyFont="1" applyFill="1" applyBorder="1" applyAlignment="1">
      <alignment horizontal="center" vertical="center" wrapText="1"/>
    </xf>
    <xf numFmtId="0" fontId="60" fillId="0" borderId="19" xfId="0" applyFont="1" applyBorder="1" applyAlignment="1">
      <alignment horizontal="center" vertical="center" wrapText="1"/>
    </xf>
    <xf numFmtId="0" fontId="60" fillId="0" borderId="0" xfId="0" applyFont="1" applyAlignment="1">
      <alignment horizontal="center" vertical="center" wrapText="1"/>
    </xf>
    <xf numFmtId="0" fontId="60" fillId="0" borderId="69" xfId="0" applyFont="1" applyBorder="1" applyAlignment="1">
      <alignment horizontal="center" vertical="center" wrapText="1"/>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0" fillId="0" borderId="69" xfId="0" applyBorder="1" applyAlignment="1">
      <alignment horizontal="center"/>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0" fillId="0" borderId="86" xfId="0" applyFont="1" applyBorder="1" applyAlignment="1">
      <alignment horizontal="center" vertical="center" wrapText="1"/>
    </xf>
    <xf numFmtId="0" fontId="60" fillId="0" borderId="87" xfId="0" applyFont="1" applyBorder="1" applyAlignment="1">
      <alignment horizontal="center" vertical="center" wrapText="1"/>
    </xf>
    <xf numFmtId="0" fontId="60" fillId="0" borderId="88" xfId="0" applyFont="1" applyBorder="1" applyAlignment="1">
      <alignment horizontal="center" vertical="center" wrapText="1"/>
    </xf>
    <xf numFmtId="0" fontId="61" fillId="0" borderId="0" xfId="0" applyFont="1" applyAlignment="1">
      <alignment horizontal="center"/>
    </xf>
    <xf numFmtId="0" fontId="38" fillId="3" borderId="92" xfId="0" applyFont="1" applyFill="1" applyBorder="1" applyAlignment="1" applyProtection="1">
      <alignment horizontal="left" vertical="center" wrapText="1"/>
      <protection locked="0"/>
    </xf>
    <xf numFmtId="0" fontId="38" fillId="3" borderId="99"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center" vertical="center" wrapText="1"/>
      <protection locked="0"/>
    </xf>
    <xf numFmtId="0" fontId="38" fillId="3" borderId="81" xfId="0" applyFont="1" applyFill="1" applyBorder="1" applyAlignment="1" applyProtection="1">
      <alignment horizontal="center" vertical="center" wrapText="1"/>
      <protection locked="0"/>
    </xf>
    <xf numFmtId="0" fontId="38" fillId="3" borderId="99" xfId="0" applyFont="1" applyFill="1" applyBorder="1" applyAlignment="1" applyProtection="1">
      <alignment horizontal="center" vertical="center" wrapText="1"/>
      <protection locked="0"/>
    </xf>
    <xf numFmtId="0" fontId="38" fillId="3" borderId="92" xfId="0" applyFont="1" applyFill="1" applyBorder="1" applyAlignment="1" applyProtection="1">
      <alignment horizontal="left" vertical="center"/>
      <protection locked="0"/>
    </xf>
    <xf numFmtId="0" fontId="38" fillId="3" borderId="99"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33" xfId="0" applyFont="1" applyFill="1" applyBorder="1" applyAlignment="1" applyProtection="1">
      <alignment horizontal="left" vertical="center"/>
      <protection locked="0"/>
    </xf>
    <xf numFmtId="0" fontId="75" fillId="3" borderId="92" xfId="0" applyFont="1" applyFill="1" applyBorder="1" applyAlignment="1" applyProtection="1">
      <alignment horizontal="left" vertical="center" wrapText="1"/>
      <protection locked="0"/>
    </xf>
    <xf numFmtId="0" fontId="75" fillId="3" borderId="81" xfId="0" applyFont="1" applyFill="1" applyBorder="1" applyAlignment="1" applyProtection="1">
      <alignment horizontal="left" vertical="center" wrapText="1"/>
      <protection locked="0"/>
    </xf>
    <xf numFmtId="0" fontId="75" fillId="3" borderId="99"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center" vertical="center"/>
      <protection locked="0"/>
    </xf>
    <xf numFmtId="0" fontId="38" fillId="3" borderId="99"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38" fillId="3" borderId="81" xfId="0" applyFont="1" applyFill="1" applyBorder="1" applyAlignment="1" applyProtection="1">
      <alignment horizontal="left" vertical="center" wrapText="1"/>
      <protection locked="0"/>
    </xf>
    <xf numFmtId="0" fontId="38" fillId="3" borderId="92" xfId="0" applyFont="1" applyFill="1" applyBorder="1" applyAlignment="1" applyProtection="1">
      <alignment vertical="center" wrapText="1"/>
      <protection locked="0"/>
    </xf>
    <xf numFmtId="0" fontId="38" fillId="3" borderId="99" xfId="0" applyFont="1" applyFill="1" applyBorder="1" applyAlignment="1" applyProtection="1">
      <alignment vertical="center" wrapText="1"/>
      <protection locked="0"/>
    </xf>
    <xf numFmtId="0" fontId="61" fillId="24" borderId="33" xfId="0" applyFont="1" applyFill="1" applyBorder="1" applyAlignment="1">
      <alignment horizontal="left" vertical="center" wrapText="1"/>
    </xf>
    <xf numFmtId="0" fontId="38" fillId="3" borderId="33" xfId="0" applyFont="1" applyFill="1" applyBorder="1" applyAlignment="1" applyProtection="1">
      <alignment horizontal="left" vertical="center" wrapText="1"/>
      <protection locked="0"/>
    </xf>
    <xf numFmtId="0" fontId="65" fillId="0" borderId="92" xfId="0" applyFont="1" applyBorder="1" applyAlignment="1">
      <alignment horizontal="left" vertical="center" wrapText="1"/>
    </xf>
    <xf numFmtId="0" fontId="65" fillId="0" borderId="81" xfId="0" applyFont="1" applyBorder="1" applyAlignment="1">
      <alignment horizontal="left" vertical="center" wrapText="1"/>
    </xf>
    <xf numFmtId="0" fontId="65" fillId="0" borderId="99" xfId="0" applyFont="1" applyBorder="1" applyAlignment="1">
      <alignment horizontal="left" vertical="center" wrapText="1"/>
    </xf>
    <xf numFmtId="0" fontId="74" fillId="0" borderId="92" xfId="0" applyFont="1" applyBorder="1" applyAlignment="1">
      <alignment horizontal="left" vertical="center" wrapText="1"/>
    </xf>
    <xf numFmtId="0" fontId="74" fillId="21" borderId="92" xfId="0" applyFont="1" applyFill="1" applyBorder="1" applyAlignment="1">
      <alignment horizontal="left" vertical="center" wrapText="1"/>
    </xf>
    <xf numFmtId="0" fontId="65" fillId="21" borderId="81" xfId="0" applyFont="1" applyFill="1" applyBorder="1" applyAlignment="1">
      <alignment horizontal="left" vertical="center" wrapText="1"/>
    </xf>
    <xf numFmtId="0" fontId="65" fillId="21" borderId="99" xfId="0" applyFont="1" applyFill="1" applyBorder="1" applyAlignment="1">
      <alignment horizontal="left" vertical="center" wrapText="1"/>
    </xf>
    <xf numFmtId="0" fontId="72" fillId="19" borderId="33" xfId="0" applyFont="1" applyFill="1" applyBorder="1" applyAlignment="1">
      <alignment horizontal="center" vertical="center"/>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2" xfId="0" applyFont="1" applyFill="1" applyBorder="1" applyAlignment="1">
      <alignment horizontal="center" vertical="top" wrapText="1"/>
    </xf>
    <xf numFmtId="0" fontId="72" fillId="19" borderId="81" xfId="0" applyFont="1" applyFill="1" applyBorder="1" applyAlignment="1">
      <alignment horizontal="center" vertical="top" wrapText="1"/>
    </xf>
    <xf numFmtId="0" fontId="72" fillId="19" borderId="99" xfId="0" applyFont="1" applyFill="1" applyBorder="1" applyAlignment="1">
      <alignment horizontal="center" vertical="top" wrapText="1"/>
    </xf>
    <xf numFmtId="0" fontId="67" fillId="0" borderId="92" xfId="0" applyFont="1" applyBorder="1" applyAlignment="1">
      <alignment horizontal="left" vertical="center" wrapText="1"/>
    </xf>
    <xf numFmtId="0" fontId="67" fillId="0" borderId="81" xfId="0" applyFont="1" applyBorder="1" applyAlignment="1">
      <alignment horizontal="left" vertical="center" wrapText="1"/>
    </xf>
    <xf numFmtId="0" fontId="67" fillId="0" borderId="99" xfId="0" applyFont="1" applyBorder="1" applyAlignment="1">
      <alignment horizontal="left" vertical="center" wrapText="1"/>
    </xf>
    <xf numFmtId="0" fontId="67" fillId="3" borderId="92" xfId="0" applyFont="1" applyFill="1" applyBorder="1" applyAlignment="1">
      <alignment horizontal="left" vertical="center" wrapText="1"/>
    </xf>
    <xf numFmtId="0" fontId="67" fillId="3" borderId="81" xfId="0" applyFont="1" applyFill="1" applyBorder="1" applyAlignment="1">
      <alignment horizontal="left" vertical="center" wrapText="1"/>
    </xf>
    <xf numFmtId="0" fontId="67" fillId="3" borderId="99" xfId="0" applyFont="1" applyFill="1" applyBorder="1" applyAlignment="1">
      <alignment horizontal="left" vertical="center" wrapText="1"/>
    </xf>
    <xf numFmtId="0" fontId="61" fillId="0" borderId="92" xfId="0" applyFont="1" applyBorder="1" applyAlignment="1">
      <alignment horizontal="left" vertical="center" wrapText="1"/>
    </xf>
    <xf numFmtId="0" fontId="61" fillId="0" borderId="81" xfId="0" applyFont="1" applyBorder="1" applyAlignment="1">
      <alignment horizontal="left" vertical="center" wrapText="1"/>
    </xf>
    <xf numFmtId="0" fontId="61" fillId="0" borderId="99" xfId="0" applyFont="1" applyBorder="1" applyAlignment="1">
      <alignment horizontal="left" vertical="center" wrapText="1"/>
    </xf>
    <xf numFmtId="0" fontId="38" fillId="0" borderId="92" xfId="0" applyFont="1" applyBorder="1" applyAlignment="1" applyProtection="1">
      <alignment horizontal="left" vertical="center" wrapText="1"/>
      <protection locked="0"/>
    </xf>
    <xf numFmtId="0" fontId="38" fillId="0" borderId="99" xfId="0" applyFont="1" applyBorder="1" applyAlignment="1" applyProtection="1">
      <alignment horizontal="left" vertical="center" wrapText="1"/>
      <protection locked="0"/>
    </xf>
    <xf numFmtId="0" fontId="74" fillId="0" borderId="99" xfId="0" applyFont="1" applyBorder="1" applyAlignment="1">
      <alignment horizontal="left" vertical="center" wrapText="1"/>
    </xf>
    <xf numFmtId="0" fontId="65" fillId="23" borderId="92" xfId="0" applyFont="1" applyFill="1" applyBorder="1" applyAlignment="1">
      <alignment horizontal="left" vertical="center" wrapText="1"/>
    </xf>
    <xf numFmtId="0" fontId="65" fillId="23" borderId="81" xfId="0" applyFont="1" applyFill="1" applyBorder="1" applyAlignment="1">
      <alignment horizontal="left" vertical="center" wrapText="1"/>
    </xf>
    <xf numFmtId="0" fontId="65" fillId="23" borderId="99" xfId="0" applyFont="1" applyFill="1" applyBorder="1" applyAlignment="1">
      <alignment horizontal="left" vertical="center" wrapText="1"/>
    </xf>
    <xf numFmtId="0" fontId="65" fillId="22" borderId="92" xfId="0" applyFont="1" applyFill="1" applyBorder="1" applyAlignment="1">
      <alignment horizontal="left" vertical="center" wrapText="1"/>
    </xf>
    <xf numFmtId="0" fontId="65" fillId="22" borderId="99" xfId="0" applyFont="1" applyFill="1" applyBorder="1" applyAlignment="1">
      <alignment horizontal="left" vertical="center" wrapText="1"/>
    </xf>
    <xf numFmtId="0" fontId="61" fillId="0" borderId="33" xfId="0" applyFont="1" applyBorder="1" applyAlignment="1">
      <alignment horizontal="left" vertical="center"/>
    </xf>
    <xf numFmtId="0" fontId="73" fillId="3" borderId="92" xfId="0" applyFont="1" applyFill="1" applyBorder="1" applyAlignment="1" applyProtection="1">
      <alignment horizontal="left" vertical="center" wrapText="1"/>
      <protection locked="0"/>
    </xf>
    <xf numFmtId="0" fontId="73" fillId="3" borderId="99" xfId="0" applyFont="1" applyFill="1" applyBorder="1" applyAlignment="1" applyProtection="1">
      <alignment horizontal="left" vertical="center" wrapText="1"/>
      <protection locked="0"/>
    </xf>
    <xf numFmtId="0" fontId="61" fillId="0" borderId="81" xfId="0" applyFont="1" applyBorder="1" applyAlignment="1">
      <alignment horizontal="left" vertical="center"/>
    </xf>
    <xf numFmtId="0" fontId="61" fillId="0" borderId="99" xfId="0" applyFont="1" applyBorder="1" applyAlignment="1">
      <alignment horizontal="left" vertical="center"/>
    </xf>
    <xf numFmtId="0" fontId="67" fillId="21" borderId="92" xfId="0" applyFont="1" applyFill="1" applyBorder="1" applyAlignment="1">
      <alignment horizontal="left" vertical="center" wrapText="1"/>
    </xf>
    <xf numFmtId="0" fontId="67" fillId="21" borderId="99" xfId="0" applyFont="1" applyFill="1" applyBorder="1" applyAlignment="1">
      <alignment horizontal="left" vertical="center" wrapText="1"/>
    </xf>
    <xf numFmtId="0" fontId="60" fillId="0" borderId="80"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82" xfId="0" applyFont="1" applyBorder="1" applyAlignment="1">
      <alignment horizontal="center" vertical="center" wrapText="1"/>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71"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9" xfId="0" applyFont="1" applyFill="1" applyBorder="1" applyAlignment="1">
      <alignment horizontal="center" vertical="center" wrapText="1"/>
    </xf>
    <xf numFmtId="0" fontId="72" fillId="19" borderId="33" xfId="0" applyFont="1" applyFill="1" applyBorder="1" applyAlignment="1">
      <alignment horizontal="center" vertical="center" wrapText="1"/>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9" xfId="0" applyFont="1" applyFill="1" applyBorder="1" applyAlignment="1">
      <alignment horizontal="center"/>
    </xf>
    <xf numFmtId="0" fontId="38" fillId="0" borderId="92" xfId="0" applyFont="1" applyBorder="1" applyAlignment="1" applyProtection="1">
      <alignment horizontal="center" vertical="center" wrapText="1"/>
      <protection locked="0"/>
    </xf>
    <xf numFmtId="0" fontId="38" fillId="0" borderId="99" xfId="0" applyFont="1" applyBorder="1" applyAlignment="1" applyProtection="1">
      <alignment horizontal="center" vertical="center" wrapText="1"/>
      <protection locked="0"/>
    </xf>
    <xf numFmtId="0" fontId="65" fillId="9" borderId="92" xfId="0" applyFont="1" applyFill="1" applyBorder="1" applyAlignment="1">
      <alignment horizontal="left" vertical="center" wrapText="1"/>
    </xf>
    <xf numFmtId="0" fontId="65" fillId="9" borderId="81" xfId="0" applyFont="1" applyFill="1" applyBorder="1" applyAlignment="1">
      <alignment horizontal="left" vertical="center" wrapText="1"/>
    </xf>
    <xf numFmtId="0" fontId="65" fillId="9" borderId="99" xfId="0" applyFont="1" applyFill="1" applyBorder="1" applyAlignment="1">
      <alignment horizontal="left" vertical="center" wrapText="1"/>
    </xf>
    <xf numFmtId="0" fontId="65" fillId="0" borderId="92" xfId="0" applyFont="1" applyBorder="1" applyAlignment="1">
      <alignment vertical="top" wrapText="1"/>
    </xf>
    <xf numFmtId="0" fontId="65" fillId="0" borderId="81" xfId="0" applyFont="1" applyBorder="1" applyAlignment="1">
      <alignment vertical="top" wrapText="1"/>
    </xf>
    <xf numFmtId="0" fontId="65" fillId="0" borderId="99" xfId="0" applyFont="1" applyBorder="1" applyAlignment="1">
      <alignment vertical="top" wrapText="1"/>
    </xf>
    <xf numFmtId="0" fontId="66" fillId="0" borderId="92" xfId="0" applyFont="1" applyBorder="1" applyAlignment="1" applyProtection="1">
      <alignment horizontal="center" vertical="center" wrapText="1"/>
      <protection locked="0"/>
    </xf>
    <xf numFmtId="0" fontId="66" fillId="0" borderId="99" xfId="0" applyFont="1" applyBorder="1" applyAlignment="1" applyProtection="1">
      <alignment horizontal="center" vertical="center" wrapText="1"/>
      <protection locked="0"/>
    </xf>
    <xf numFmtId="0" fontId="65" fillId="13" borderId="92" xfId="0" applyFont="1" applyFill="1" applyBorder="1" applyAlignment="1">
      <alignment horizontal="left" vertical="center" wrapText="1"/>
    </xf>
    <xf numFmtId="0" fontId="65" fillId="13" borderId="81" xfId="0" applyFont="1" applyFill="1" applyBorder="1" applyAlignment="1">
      <alignment horizontal="left" vertical="center" wrapText="1"/>
    </xf>
    <xf numFmtId="0" fontId="65" fillId="13" borderId="99" xfId="0" applyFont="1" applyFill="1" applyBorder="1" applyAlignment="1">
      <alignment horizontal="left" vertical="center" wrapText="1"/>
    </xf>
    <xf numFmtId="0" fontId="61" fillId="0" borderId="85" xfId="0" applyFont="1" applyBorder="1" applyAlignment="1">
      <alignment horizontal="center" vertical="center" wrapText="1"/>
    </xf>
    <xf numFmtId="0" fontId="61" fillId="0" borderId="98" xfId="0" applyFont="1" applyBorder="1" applyAlignment="1">
      <alignment horizontal="center" vertical="center" wrapText="1"/>
    </xf>
    <xf numFmtId="0" fontId="61" fillId="0" borderId="43" xfId="0" applyFont="1" applyBorder="1" applyAlignment="1">
      <alignment horizontal="center" vertical="center" wrapText="1"/>
    </xf>
    <xf numFmtId="0" fontId="60" fillId="0" borderId="12" xfId="0" applyFont="1" applyBorder="1" applyAlignment="1">
      <alignment horizontal="center" vertical="center" wrapText="1"/>
    </xf>
    <xf numFmtId="0" fontId="60" fillId="0" borderId="14" xfId="0" applyFont="1" applyBorder="1" applyAlignment="1">
      <alignment horizontal="center" vertical="center" wrapText="1"/>
    </xf>
    <xf numFmtId="0" fontId="60" fillId="0" borderId="68" xfId="0" applyFont="1" applyBorder="1" applyAlignment="1">
      <alignment horizontal="center" vertical="center" wrapText="1"/>
    </xf>
    <xf numFmtId="0" fontId="72" fillId="19" borderId="33" xfId="0" applyFont="1" applyFill="1" applyBorder="1" applyAlignment="1">
      <alignment horizontal="center" vertical="center" textRotation="255"/>
    </xf>
    <xf numFmtId="0" fontId="72" fillId="19" borderId="81" xfId="0" applyFont="1" applyFill="1" applyBorder="1" applyAlignment="1">
      <alignment horizontal="center" vertical="center"/>
    </xf>
    <xf numFmtId="0" fontId="72" fillId="19" borderId="99" xfId="0" applyFont="1" applyFill="1" applyBorder="1" applyAlignment="1">
      <alignment horizontal="center" vertical="center"/>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8" xfId="0" applyFont="1" applyFill="1" applyBorder="1" applyAlignment="1">
      <alignment horizontal="center" vertical="center" wrapText="1"/>
    </xf>
    <xf numFmtId="0" fontId="6" fillId="0" borderId="4"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24" fillId="2" borderId="28" xfId="0" applyFont="1" applyFill="1" applyBorder="1" applyAlignment="1">
      <alignment horizontal="left" vertical="center"/>
    </xf>
    <xf numFmtId="0" fontId="24" fillId="2" borderId="29" xfId="0" applyFont="1" applyFill="1" applyBorder="1" applyAlignment="1">
      <alignment horizontal="left" vertical="center"/>
    </xf>
    <xf numFmtId="0" fontId="24" fillId="2" borderId="30" xfId="0" applyFont="1" applyFill="1" applyBorder="1" applyAlignment="1">
      <alignment horizontal="left" vertical="center"/>
    </xf>
    <xf numFmtId="0" fontId="24" fillId="2" borderId="3" xfId="0" applyFont="1" applyFill="1" applyBorder="1" applyAlignment="1">
      <alignment horizontal="left" vertical="center"/>
    </xf>
    <xf numFmtId="0" fontId="24" fillId="2" borderId="31" xfId="0" applyFont="1" applyFill="1" applyBorder="1" applyAlignment="1">
      <alignment horizontal="left" vertical="center"/>
    </xf>
    <xf numFmtId="0" fontId="24" fillId="2" borderId="32" xfId="0" applyFont="1" applyFill="1" applyBorder="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50" fillId="0" borderId="102" xfId="0" applyFont="1" applyBorder="1" applyAlignment="1" applyProtection="1">
      <alignment horizontal="center" vertical="top" wrapText="1"/>
      <protection locked="0"/>
    </xf>
    <xf numFmtId="0" fontId="1" fillId="0" borderId="104" xfId="0" applyFont="1" applyBorder="1" applyAlignment="1" applyProtection="1">
      <alignment horizontal="center" vertical="top" wrapText="1"/>
      <protection locked="0"/>
    </xf>
    <xf numFmtId="0" fontId="1" fillId="0" borderId="105" xfId="0" applyFont="1" applyBorder="1" applyAlignment="1" applyProtection="1">
      <alignment horizontal="center" vertical="top" wrapText="1"/>
      <protection locked="0"/>
    </xf>
    <xf numFmtId="0" fontId="1" fillId="0" borderId="106" xfId="0" applyFont="1" applyBorder="1" applyAlignment="1" applyProtection="1">
      <alignment horizontal="center" vertical="top" wrapText="1"/>
      <protection locked="0"/>
    </xf>
    <xf numFmtId="0" fontId="2" fillId="0" borderId="100" xfId="0" applyFont="1" applyBorder="1" applyAlignment="1" applyProtection="1">
      <alignment horizontal="center" vertical="center" wrapText="1"/>
      <protection locked="0"/>
    </xf>
    <xf numFmtId="0" fontId="2" fillId="0" borderId="101" xfId="0" applyFont="1" applyBorder="1" applyAlignment="1" applyProtection="1">
      <alignment horizontal="center" vertical="center" wrapText="1"/>
      <protection locked="0"/>
    </xf>
    <xf numFmtId="0" fontId="2" fillId="0" borderId="102" xfId="0" applyFont="1" applyBorder="1" applyAlignment="1" applyProtection="1">
      <alignment horizontal="center" vertical="center" wrapText="1"/>
      <protection locked="0"/>
    </xf>
    <xf numFmtId="0" fontId="1" fillId="0" borderId="3" xfId="0" applyFont="1" applyBorder="1" applyAlignment="1" applyProtection="1">
      <alignment horizontal="center" vertical="top" wrapText="1"/>
      <protection locked="0"/>
    </xf>
    <xf numFmtId="0" fontId="50" fillId="0" borderId="100" xfId="0" applyFont="1" applyBorder="1" applyAlignment="1" applyProtection="1">
      <alignment horizontal="center" vertical="center" wrapText="1"/>
      <protection locked="0"/>
    </xf>
    <xf numFmtId="0" fontId="50" fillId="0" borderId="101" xfId="0" applyFont="1" applyBorder="1" applyAlignment="1" applyProtection="1">
      <alignment horizontal="center" vertical="center" wrapText="1"/>
      <protection locked="0"/>
    </xf>
    <xf numFmtId="0" fontId="50" fillId="0" borderId="102" xfId="0" applyFont="1" applyBorder="1" applyAlignment="1" applyProtection="1">
      <alignment horizontal="center" vertical="center" wrapText="1"/>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6" fillId="0" borderId="8" xfId="0" applyFont="1" applyBorder="1" applyAlignment="1" applyProtection="1">
      <alignment horizontal="center" vertical="top" wrapText="1"/>
      <protection locked="0"/>
    </xf>
    <xf numFmtId="0" fontId="6" fillId="0" borderId="103" xfId="0" applyFont="1" applyBorder="1" applyAlignment="1" applyProtection="1">
      <alignment horizontal="center" vertical="top" wrapText="1"/>
      <protection locked="0"/>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png"/><Relationship Id="rId5" Type="http://schemas.openxmlformats.org/officeDocument/2006/relationships/image" Target="../media/image2.jpeg"/><Relationship Id="rId4" Type="http://schemas.openxmlformats.org/officeDocument/2006/relationships/image" Target="../media/image6.emf"/></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160020</xdr:colOff>
      <xdr:row>0</xdr:row>
      <xdr:rowOff>0</xdr:rowOff>
    </xdr:from>
    <xdr:to>
      <xdr:col>0</xdr:col>
      <xdr:colOff>1813560</xdr:colOff>
      <xdr:row>3</xdr:row>
      <xdr:rowOff>162366</xdr:rowOff>
    </xdr:to>
    <xdr:pic>
      <xdr:nvPicPr>
        <xdr:cNvPr id="5" name="Imagen 4">
          <a:extLst>
            <a:ext uri="{FF2B5EF4-FFF2-40B4-BE49-F238E27FC236}">
              <a16:creationId xmlns:a16="http://schemas.microsoft.com/office/drawing/2014/main" id="{E9871C05-25C6-F130-2E55-77F368AF06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0020" y="0"/>
          <a:ext cx="1653540" cy="7338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142874</xdr:colOff>
      <xdr:row>0</xdr:row>
      <xdr:rowOff>195985</xdr:rowOff>
    </xdr:from>
    <xdr:to>
      <xdr:col>18</xdr:col>
      <xdr:colOff>693419</xdr:colOff>
      <xdr:row>3</xdr:row>
      <xdr:rowOff>62774</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153649" y="195985"/>
          <a:ext cx="550545" cy="771664"/>
        </a:xfrm>
        <a:prstGeom prst="rect">
          <a:avLst/>
        </a:prstGeom>
      </xdr:spPr>
    </xdr:pic>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19</xdr:col>
      <xdr:colOff>838200</xdr:colOff>
      <xdr:row>10</xdr:row>
      <xdr:rowOff>76200</xdr:rowOff>
    </xdr:from>
    <xdr:to>
      <xdr:col>19</xdr:col>
      <xdr:colOff>1168400</xdr:colOff>
      <xdr:row>10</xdr:row>
      <xdr:rowOff>607695</xdr:rowOff>
    </xdr:to>
    <xdr:pic>
      <xdr:nvPicPr>
        <xdr:cNvPr id="8" name="CheckBox1">
          <a:extLst>
            <a:ext uri="{FF2B5EF4-FFF2-40B4-BE49-F238E27FC236}">
              <a16:creationId xmlns:a16="http://schemas.microsoft.com/office/drawing/2014/main" id="{6AA46310-D76F-4F00-A648-61DC70B61D1D}"/>
            </a:ext>
          </a:extLst>
        </xdr:cNvPr>
        <xdr:cNvPicPr preferRelativeResize="0">
          <a:picLocks noChangeArrowheads="1" noChangeShapeType="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39575" y="3667125"/>
          <a:ext cx="330200" cy="53340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11</xdr:row>
      <xdr:rowOff>215900</xdr:rowOff>
    </xdr:from>
    <xdr:to>
      <xdr:col>19</xdr:col>
      <xdr:colOff>1206500</xdr:colOff>
      <xdr:row>11</xdr:row>
      <xdr:rowOff>558800</xdr:rowOff>
    </xdr:to>
    <xdr:pic>
      <xdr:nvPicPr>
        <xdr:cNvPr id="9" name="CheckBox2">
          <a:extLst>
            <a:ext uri="{FF2B5EF4-FFF2-40B4-BE49-F238E27FC236}">
              <a16:creationId xmlns:a16="http://schemas.microsoft.com/office/drawing/2014/main" id="{CB3D2DC4-2FCA-4BE2-A9C6-3B16E09552D7}"/>
            </a:ext>
          </a:extLst>
        </xdr:cNvPr>
        <xdr:cNvPicPr preferRelativeResize="0">
          <a:picLocks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26875" y="4483100"/>
          <a:ext cx="381000" cy="34290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12</xdr:row>
      <xdr:rowOff>215900</xdr:rowOff>
    </xdr:from>
    <xdr:to>
      <xdr:col>19</xdr:col>
      <xdr:colOff>1206500</xdr:colOff>
      <xdr:row>12</xdr:row>
      <xdr:rowOff>438150</xdr:rowOff>
    </xdr:to>
    <xdr:pic>
      <xdr:nvPicPr>
        <xdr:cNvPr id="10" name="CheckBox3">
          <a:extLst>
            <a:ext uri="{FF2B5EF4-FFF2-40B4-BE49-F238E27FC236}">
              <a16:creationId xmlns:a16="http://schemas.microsoft.com/office/drawing/2014/main" id="{A9D7A46A-CFFA-450B-B2BC-8290BF7B82C4}"/>
            </a:ext>
          </a:extLst>
        </xdr:cNvPr>
        <xdr:cNvPicPr preferRelativeResize="0">
          <a:picLocks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26875" y="5064125"/>
          <a:ext cx="381000" cy="22225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13</xdr:row>
      <xdr:rowOff>215900</xdr:rowOff>
    </xdr:from>
    <xdr:to>
      <xdr:col>19</xdr:col>
      <xdr:colOff>1206500</xdr:colOff>
      <xdr:row>13</xdr:row>
      <xdr:rowOff>501650</xdr:rowOff>
    </xdr:to>
    <xdr:pic>
      <xdr:nvPicPr>
        <xdr:cNvPr id="11" name="CheckBox4">
          <a:extLst>
            <a:ext uri="{FF2B5EF4-FFF2-40B4-BE49-F238E27FC236}">
              <a16:creationId xmlns:a16="http://schemas.microsoft.com/office/drawing/2014/main" id="{BA316CC4-C911-4BA5-BE4C-25F5A8347B01}"/>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5426075"/>
          <a:ext cx="381000" cy="28575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14</xdr:row>
      <xdr:rowOff>228600</xdr:rowOff>
    </xdr:from>
    <xdr:to>
      <xdr:col>19</xdr:col>
      <xdr:colOff>1206500</xdr:colOff>
      <xdr:row>14</xdr:row>
      <xdr:rowOff>463550</xdr:rowOff>
    </xdr:to>
    <xdr:pic>
      <xdr:nvPicPr>
        <xdr:cNvPr id="12" name="CheckBox5">
          <a:extLst>
            <a:ext uri="{FF2B5EF4-FFF2-40B4-BE49-F238E27FC236}">
              <a16:creationId xmlns:a16="http://schemas.microsoft.com/office/drawing/2014/main" id="{58C3C794-29CD-401A-9222-0B4047935CA0}"/>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5943600"/>
          <a:ext cx="381000" cy="23495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15</xdr:row>
      <xdr:rowOff>215900</xdr:rowOff>
    </xdr:from>
    <xdr:to>
      <xdr:col>19</xdr:col>
      <xdr:colOff>1206500</xdr:colOff>
      <xdr:row>15</xdr:row>
      <xdr:rowOff>466725</xdr:rowOff>
    </xdr:to>
    <xdr:pic>
      <xdr:nvPicPr>
        <xdr:cNvPr id="13" name="CheckBox6">
          <a:extLst>
            <a:ext uri="{FF2B5EF4-FFF2-40B4-BE49-F238E27FC236}">
              <a16:creationId xmlns:a16="http://schemas.microsoft.com/office/drawing/2014/main" id="{499249C7-8D11-40AF-94E6-A2B4563156CB}"/>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6254750"/>
          <a:ext cx="381000" cy="250825"/>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16</xdr:row>
      <xdr:rowOff>215900</xdr:rowOff>
    </xdr:from>
    <xdr:to>
      <xdr:col>19</xdr:col>
      <xdr:colOff>1206500</xdr:colOff>
      <xdr:row>16</xdr:row>
      <xdr:rowOff>457200</xdr:rowOff>
    </xdr:to>
    <xdr:pic>
      <xdr:nvPicPr>
        <xdr:cNvPr id="14" name="CheckBox7">
          <a:extLst>
            <a:ext uri="{FF2B5EF4-FFF2-40B4-BE49-F238E27FC236}">
              <a16:creationId xmlns:a16="http://schemas.microsoft.com/office/drawing/2014/main" id="{98A5A351-7D53-47E1-B201-8B773180A5E2}"/>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6530975"/>
          <a:ext cx="381000" cy="24130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17</xdr:row>
      <xdr:rowOff>215900</xdr:rowOff>
    </xdr:from>
    <xdr:to>
      <xdr:col>19</xdr:col>
      <xdr:colOff>1206500</xdr:colOff>
      <xdr:row>17</xdr:row>
      <xdr:rowOff>425450</xdr:rowOff>
    </xdr:to>
    <xdr:pic>
      <xdr:nvPicPr>
        <xdr:cNvPr id="15" name="CheckBox8">
          <a:extLst>
            <a:ext uri="{FF2B5EF4-FFF2-40B4-BE49-F238E27FC236}">
              <a16:creationId xmlns:a16="http://schemas.microsoft.com/office/drawing/2014/main" id="{D585A359-B708-4AD0-B50D-A384097E1C3E}"/>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6835775"/>
          <a:ext cx="381000" cy="20955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18</xdr:row>
      <xdr:rowOff>215900</xdr:rowOff>
    </xdr:from>
    <xdr:to>
      <xdr:col>19</xdr:col>
      <xdr:colOff>1206500</xdr:colOff>
      <xdr:row>18</xdr:row>
      <xdr:rowOff>558800</xdr:rowOff>
    </xdr:to>
    <xdr:pic>
      <xdr:nvPicPr>
        <xdr:cNvPr id="16" name="CheckBox9">
          <a:extLst>
            <a:ext uri="{FF2B5EF4-FFF2-40B4-BE49-F238E27FC236}">
              <a16:creationId xmlns:a16="http://schemas.microsoft.com/office/drawing/2014/main" id="{642C4F11-B48F-418F-BE74-5CCC04650562}"/>
            </a:ext>
          </a:extLst>
        </xdr:cNvPr>
        <xdr:cNvPicPr preferRelativeResize="0">
          <a:picLocks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26875" y="7235825"/>
          <a:ext cx="381000" cy="34290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19</xdr:row>
      <xdr:rowOff>215900</xdr:rowOff>
    </xdr:from>
    <xdr:to>
      <xdr:col>19</xdr:col>
      <xdr:colOff>1206500</xdr:colOff>
      <xdr:row>19</xdr:row>
      <xdr:rowOff>556895</xdr:rowOff>
    </xdr:to>
    <xdr:pic>
      <xdr:nvPicPr>
        <xdr:cNvPr id="17" name="CheckBox10">
          <a:extLst>
            <a:ext uri="{FF2B5EF4-FFF2-40B4-BE49-F238E27FC236}">
              <a16:creationId xmlns:a16="http://schemas.microsoft.com/office/drawing/2014/main" id="{70034C86-5B1F-42AC-BD73-855B8EA19AFB}"/>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7835900"/>
          <a:ext cx="381000" cy="34290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20</xdr:row>
      <xdr:rowOff>215900</xdr:rowOff>
    </xdr:from>
    <xdr:to>
      <xdr:col>19</xdr:col>
      <xdr:colOff>1206500</xdr:colOff>
      <xdr:row>20</xdr:row>
      <xdr:rowOff>501650</xdr:rowOff>
    </xdr:to>
    <xdr:pic>
      <xdr:nvPicPr>
        <xdr:cNvPr id="18" name="CheckBox11">
          <a:extLst>
            <a:ext uri="{FF2B5EF4-FFF2-40B4-BE49-F238E27FC236}">
              <a16:creationId xmlns:a16="http://schemas.microsoft.com/office/drawing/2014/main" id="{9C96FAA9-E27D-475E-8B13-03A9A24DE419}"/>
            </a:ext>
          </a:extLst>
        </xdr:cNvPr>
        <xdr:cNvPicPr preferRelativeResize="0">
          <a:picLocks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26875" y="8778875"/>
          <a:ext cx="381000" cy="28575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21</xdr:row>
      <xdr:rowOff>215900</xdr:rowOff>
    </xdr:from>
    <xdr:to>
      <xdr:col>19</xdr:col>
      <xdr:colOff>1206500</xdr:colOff>
      <xdr:row>21</xdr:row>
      <xdr:rowOff>558800</xdr:rowOff>
    </xdr:to>
    <xdr:pic>
      <xdr:nvPicPr>
        <xdr:cNvPr id="19" name="CheckBox12">
          <a:extLst>
            <a:ext uri="{FF2B5EF4-FFF2-40B4-BE49-F238E27FC236}">
              <a16:creationId xmlns:a16="http://schemas.microsoft.com/office/drawing/2014/main" id="{5A182663-4A43-4D22-9D8D-91D891BAC98D}"/>
            </a:ext>
          </a:extLst>
        </xdr:cNvPr>
        <xdr:cNvPicPr preferRelativeResize="0">
          <a:picLocks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26875" y="9283700"/>
          <a:ext cx="381000" cy="34290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22</xdr:row>
      <xdr:rowOff>215900</xdr:rowOff>
    </xdr:from>
    <xdr:to>
      <xdr:col>19</xdr:col>
      <xdr:colOff>1206500</xdr:colOff>
      <xdr:row>22</xdr:row>
      <xdr:rowOff>558800</xdr:rowOff>
    </xdr:to>
    <xdr:pic>
      <xdr:nvPicPr>
        <xdr:cNvPr id="20" name="CheckBox13">
          <a:extLst>
            <a:ext uri="{FF2B5EF4-FFF2-40B4-BE49-F238E27FC236}">
              <a16:creationId xmlns:a16="http://schemas.microsoft.com/office/drawing/2014/main" id="{BD8EE470-8711-4154-989F-CAAB913C2BD4}"/>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10331450"/>
          <a:ext cx="381000" cy="34290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23</xdr:row>
      <xdr:rowOff>215900</xdr:rowOff>
    </xdr:from>
    <xdr:to>
      <xdr:col>19</xdr:col>
      <xdr:colOff>1206500</xdr:colOff>
      <xdr:row>23</xdr:row>
      <xdr:rowOff>501650</xdr:rowOff>
    </xdr:to>
    <xdr:pic>
      <xdr:nvPicPr>
        <xdr:cNvPr id="21" name="CheckBox14">
          <a:extLst>
            <a:ext uri="{FF2B5EF4-FFF2-40B4-BE49-F238E27FC236}">
              <a16:creationId xmlns:a16="http://schemas.microsoft.com/office/drawing/2014/main" id="{99C00BB2-7A36-4A79-A7CA-AE40264770E4}"/>
            </a:ext>
          </a:extLst>
        </xdr:cNvPr>
        <xdr:cNvPicPr preferRelativeResize="0">
          <a:picLocks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26875" y="11093450"/>
          <a:ext cx="381000" cy="28575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24</xdr:row>
      <xdr:rowOff>215900</xdr:rowOff>
    </xdr:from>
    <xdr:to>
      <xdr:col>19</xdr:col>
      <xdr:colOff>1206500</xdr:colOff>
      <xdr:row>24</xdr:row>
      <xdr:rowOff>501650</xdr:rowOff>
    </xdr:to>
    <xdr:pic>
      <xdr:nvPicPr>
        <xdr:cNvPr id="22" name="CheckBox15">
          <a:extLst>
            <a:ext uri="{FF2B5EF4-FFF2-40B4-BE49-F238E27FC236}">
              <a16:creationId xmlns:a16="http://schemas.microsoft.com/office/drawing/2014/main" id="{63E80B8C-1664-473C-8DF2-6CD7DE84497A}"/>
            </a:ext>
          </a:extLst>
        </xdr:cNvPr>
        <xdr:cNvPicPr preferRelativeResize="0">
          <a:picLocks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26875" y="11598275"/>
          <a:ext cx="381000" cy="28575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25</xdr:row>
      <xdr:rowOff>215900</xdr:rowOff>
    </xdr:from>
    <xdr:to>
      <xdr:col>19</xdr:col>
      <xdr:colOff>1206500</xdr:colOff>
      <xdr:row>25</xdr:row>
      <xdr:rowOff>558800</xdr:rowOff>
    </xdr:to>
    <xdr:pic>
      <xdr:nvPicPr>
        <xdr:cNvPr id="23" name="CheckBox16">
          <a:extLst>
            <a:ext uri="{FF2B5EF4-FFF2-40B4-BE49-F238E27FC236}">
              <a16:creationId xmlns:a16="http://schemas.microsoft.com/office/drawing/2014/main" id="{AFB26B73-7F63-4EF6-9908-30B360A5D9EC}"/>
            </a:ext>
          </a:extLst>
        </xdr:cNvPr>
        <xdr:cNvPicPr preferRelativeResize="0">
          <a:picLocks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26875" y="12103100"/>
          <a:ext cx="381000" cy="34290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26</xdr:row>
      <xdr:rowOff>215900</xdr:rowOff>
    </xdr:from>
    <xdr:to>
      <xdr:col>19</xdr:col>
      <xdr:colOff>1206500</xdr:colOff>
      <xdr:row>26</xdr:row>
      <xdr:rowOff>556895</xdr:rowOff>
    </xdr:to>
    <xdr:pic>
      <xdr:nvPicPr>
        <xdr:cNvPr id="24" name="CheckBox17">
          <a:extLst>
            <a:ext uri="{FF2B5EF4-FFF2-40B4-BE49-F238E27FC236}">
              <a16:creationId xmlns:a16="http://schemas.microsoft.com/office/drawing/2014/main" id="{4D9796AF-3774-4930-8EA8-40BAB2BD34FE}"/>
            </a:ext>
          </a:extLst>
        </xdr:cNvPr>
        <xdr:cNvPicPr preferRelativeResize="0">
          <a:picLocks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26875" y="13512800"/>
          <a:ext cx="381000" cy="34290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27</xdr:row>
      <xdr:rowOff>215900</xdr:rowOff>
    </xdr:from>
    <xdr:to>
      <xdr:col>19</xdr:col>
      <xdr:colOff>1206500</xdr:colOff>
      <xdr:row>27</xdr:row>
      <xdr:rowOff>501650</xdr:rowOff>
    </xdr:to>
    <xdr:pic>
      <xdr:nvPicPr>
        <xdr:cNvPr id="25" name="CheckBox18">
          <a:extLst>
            <a:ext uri="{FF2B5EF4-FFF2-40B4-BE49-F238E27FC236}">
              <a16:creationId xmlns:a16="http://schemas.microsoft.com/office/drawing/2014/main" id="{111E7206-392B-433E-9A67-35820634F294}"/>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14189075"/>
          <a:ext cx="381000" cy="28575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28</xdr:row>
      <xdr:rowOff>215900</xdr:rowOff>
    </xdr:from>
    <xdr:to>
      <xdr:col>19</xdr:col>
      <xdr:colOff>1206500</xdr:colOff>
      <xdr:row>28</xdr:row>
      <xdr:rowOff>558800</xdr:rowOff>
    </xdr:to>
    <xdr:pic>
      <xdr:nvPicPr>
        <xdr:cNvPr id="26" name="CheckBox19">
          <a:extLst>
            <a:ext uri="{FF2B5EF4-FFF2-40B4-BE49-F238E27FC236}">
              <a16:creationId xmlns:a16="http://schemas.microsoft.com/office/drawing/2014/main" id="{7FF82B89-3582-4B7A-B247-8F005AB47F6D}"/>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14693900"/>
          <a:ext cx="381000" cy="34290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29</xdr:row>
      <xdr:rowOff>215900</xdr:rowOff>
    </xdr:from>
    <xdr:to>
      <xdr:col>19</xdr:col>
      <xdr:colOff>1206500</xdr:colOff>
      <xdr:row>29</xdr:row>
      <xdr:rowOff>556895</xdr:rowOff>
    </xdr:to>
    <xdr:pic>
      <xdr:nvPicPr>
        <xdr:cNvPr id="27" name="CheckBox20">
          <a:extLst>
            <a:ext uri="{FF2B5EF4-FFF2-40B4-BE49-F238E27FC236}">
              <a16:creationId xmlns:a16="http://schemas.microsoft.com/office/drawing/2014/main" id="{E10304F7-75AB-4818-9EBA-664A863F6987}"/>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15494000"/>
          <a:ext cx="381000" cy="34290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30</xdr:row>
      <xdr:rowOff>215900</xdr:rowOff>
    </xdr:from>
    <xdr:to>
      <xdr:col>19</xdr:col>
      <xdr:colOff>1206500</xdr:colOff>
      <xdr:row>30</xdr:row>
      <xdr:rowOff>558800</xdr:rowOff>
    </xdr:to>
    <xdr:pic>
      <xdr:nvPicPr>
        <xdr:cNvPr id="28" name="CheckBox21">
          <a:extLst>
            <a:ext uri="{FF2B5EF4-FFF2-40B4-BE49-F238E27FC236}">
              <a16:creationId xmlns:a16="http://schemas.microsoft.com/office/drawing/2014/main" id="{0BBB271D-E2FA-49B2-A12E-1239B1E60DAC}"/>
            </a:ext>
          </a:extLst>
        </xdr:cNvPr>
        <xdr:cNvPicPr preferRelativeResize="0">
          <a:picLocks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26875" y="16198850"/>
          <a:ext cx="381000" cy="34290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31</xdr:row>
      <xdr:rowOff>215900</xdr:rowOff>
    </xdr:from>
    <xdr:to>
      <xdr:col>19</xdr:col>
      <xdr:colOff>1206500</xdr:colOff>
      <xdr:row>31</xdr:row>
      <xdr:rowOff>558800</xdr:rowOff>
    </xdr:to>
    <xdr:pic>
      <xdr:nvPicPr>
        <xdr:cNvPr id="29" name="CheckBox22">
          <a:extLst>
            <a:ext uri="{FF2B5EF4-FFF2-40B4-BE49-F238E27FC236}">
              <a16:creationId xmlns:a16="http://schemas.microsoft.com/office/drawing/2014/main" id="{47E61794-F57A-4BB1-ACE5-36804E6344EF}"/>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16827500"/>
          <a:ext cx="381000" cy="34290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32</xdr:row>
      <xdr:rowOff>215900</xdr:rowOff>
    </xdr:from>
    <xdr:to>
      <xdr:col>19</xdr:col>
      <xdr:colOff>1206500</xdr:colOff>
      <xdr:row>32</xdr:row>
      <xdr:rowOff>558800</xdr:rowOff>
    </xdr:to>
    <xdr:pic>
      <xdr:nvPicPr>
        <xdr:cNvPr id="30" name="CheckBox23">
          <a:extLst>
            <a:ext uri="{FF2B5EF4-FFF2-40B4-BE49-F238E27FC236}">
              <a16:creationId xmlns:a16="http://schemas.microsoft.com/office/drawing/2014/main" id="{216B35D1-C0C0-43C9-99DD-CD9E763938B0}"/>
            </a:ext>
          </a:extLst>
        </xdr:cNvPr>
        <xdr:cNvPicPr preferRelativeResize="0">
          <a:picLocks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26875" y="17570450"/>
          <a:ext cx="381000" cy="34290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19</xdr:col>
      <xdr:colOff>825500</xdr:colOff>
      <xdr:row>33</xdr:row>
      <xdr:rowOff>215900</xdr:rowOff>
    </xdr:from>
    <xdr:to>
      <xdr:col>19</xdr:col>
      <xdr:colOff>1206500</xdr:colOff>
      <xdr:row>33</xdr:row>
      <xdr:rowOff>558800</xdr:rowOff>
    </xdr:to>
    <xdr:pic>
      <xdr:nvPicPr>
        <xdr:cNvPr id="31" name="CheckBox24">
          <a:extLst>
            <a:ext uri="{FF2B5EF4-FFF2-40B4-BE49-F238E27FC236}">
              <a16:creationId xmlns:a16="http://schemas.microsoft.com/office/drawing/2014/main" id="{A46D3CDE-46D2-44F9-8CF9-1C3B1A1AF9CC}"/>
            </a:ext>
          </a:extLst>
        </xdr:cNvPr>
        <xdr:cNvPicPr preferRelativeResize="0">
          <a:picLocks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26875" y="18475325"/>
          <a:ext cx="381000" cy="342900"/>
        </a:xfrm>
        <a:prstGeom prst="rect">
          <a:avLst/>
        </a:prstGeom>
        <a:noFill/>
        <a:ln>
          <a:noFill/>
        </a:ln>
        <a:extLst>
          <a:ext uri="{91240B29-F687-4f45-9708-019B960494DF}">
            <a14:hiddenLine xmlns="" xmlns:a14="http://schemas.microsoft.com/office/drawing/2010/main" w="9525">
              <a:noFill/>
              <a:miter lim="800000"/>
              <a:headEnd/>
              <a:tailEnd/>
            </a14:hiddenLine>
          </a:ext>
        </a:extLst>
      </xdr:spPr>
    </xdr:pic>
    <xdr:clientData/>
  </xdr:twoCellAnchor>
  <xdr:twoCellAnchor editAs="oneCell">
    <xdr:from>
      <xdr:col>0</xdr:col>
      <xdr:colOff>190500</xdr:colOff>
      <xdr:row>0</xdr:row>
      <xdr:rowOff>73761</xdr:rowOff>
    </xdr:from>
    <xdr:to>
      <xdr:col>1</xdr:col>
      <xdr:colOff>1844040</xdr:colOff>
      <xdr:row>3</xdr:row>
      <xdr:rowOff>50505</xdr:rowOff>
    </xdr:to>
    <xdr:pic>
      <xdr:nvPicPr>
        <xdr:cNvPr id="2" name="Imagen 1">
          <a:extLst>
            <a:ext uri="{FF2B5EF4-FFF2-40B4-BE49-F238E27FC236}">
              <a16:creationId xmlns:a16="http://schemas.microsoft.com/office/drawing/2014/main" id="{F69BBC05-359E-46C8-A1AD-69449AD46C6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0500" y="73761"/>
          <a:ext cx="1973580" cy="8759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210609</xdr:colOff>
      <xdr:row>0</xdr:row>
      <xdr:rowOff>49932</xdr:rowOff>
    </xdr:from>
    <xdr:to>
      <xdr:col>9</xdr:col>
      <xdr:colOff>734484</xdr:colOff>
      <xdr:row>3</xdr:row>
      <xdr:rowOff>158517</xdr:rowOff>
    </xdr:to>
    <xdr:pic>
      <xdr:nvPicPr>
        <xdr:cNvPr id="2" name="1 Imagen" descr="logocapitalmusic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6985" y="49932"/>
          <a:ext cx="523875" cy="673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117886</xdr:colOff>
      <xdr:row>0</xdr:row>
      <xdr:rowOff>41290</xdr:rowOff>
    </xdr:from>
    <xdr:to>
      <xdr:col>1</xdr:col>
      <xdr:colOff>735106</xdr:colOff>
      <xdr:row>3</xdr:row>
      <xdr:rowOff>144334</xdr:rowOff>
    </xdr:to>
    <xdr:pic>
      <xdr:nvPicPr>
        <xdr:cNvPr id="3" name="Imagen 2">
          <a:extLst>
            <a:ext uri="{FF2B5EF4-FFF2-40B4-BE49-F238E27FC236}">
              <a16:creationId xmlns:a16="http://schemas.microsoft.com/office/drawing/2014/main" id="{3C944B6D-3A5C-495F-8CBD-4BF4474497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7886" y="41290"/>
          <a:ext cx="1504726" cy="6678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CIENDA58\Desktop\CONTROL%20INTERNO-MIPG\AVANCE%20MONITOREOS\MAPA%20DE%20RIESGOS%20CORRUPCION%20MAYO%20-%20JUNIO%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DOFA"/>
      <sheetName val="PRIORIZ CAUSA R CORUP TRÁMITES"/>
      <sheetName val="IDENTIFICACION DE RIESGOS"/>
      <sheetName val="DESCRIPCION"/>
      <sheetName val="PROBABILIDAD"/>
      <sheetName val=" IMPACTO RIESGOS CORRUPCION"/>
      <sheetName val="VALORACION RIESGOS INHERENTES"/>
      <sheetName val="Hoja3"/>
      <sheetName val="NOOO"/>
      <sheetName val="Hoja2"/>
      <sheetName val="EVALUACIÓN SOLIDEZ CONTROLES"/>
      <sheetName val="CONTROLES Y EVALUACIÓN"/>
      <sheetName val="VALORACIÓN RIESGOS RESIDUAL"/>
      <sheetName val="MAPA DE RIESGO ADMON"/>
      <sheetName val="NOO"/>
      <sheetName val="NO"/>
    </sheetNames>
    <sheetDataSet>
      <sheetData sheetId="0"/>
      <sheetData sheetId="1">
        <row r="8">
          <cell r="A8" t="str">
            <v>PROCESO: GESTIÓN JURÍDICA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4">
      <pivotArea type="all" dataOnly="0" outline="0" fieldPosition="0"/>
    </format>
    <format dxfId="33">
      <pivotArea field="0" type="button" dataOnly="0" labelOnly="1" outline="0" axis="axisRow" fieldPosition="0"/>
    </format>
    <format dxfId="32">
      <pivotArea field="1" type="button" dataOnly="0" labelOnly="1" outline="0" axis="axisRow" fieldPosition="1"/>
    </format>
    <format dxfId="31">
      <pivotArea dataOnly="0" labelOnly="1" outline="0" fieldPosition="0">
        <references count="1">
          <reference field="0" count="0"/>
        </references>
      </pivotArea>
    </format>
    <format dxfId="30">
      <pivotArea dataOnly="0" labelOnly="1" outline="0" fieldPosition="0">
        <references count="2">
          <reference field="0" count="1" selected="0">
            <x v="0"/>
          </reference>
          <reference field="1" count="5">
            <x v="0"/>
            <x v="6"/>
            <x v="7"/>
            <x v="8"/>
            <x v="9"/>
          </reference>
        </references>
      </pivotArea>
    </format>
    <format dxfId="29">
      <pivotArea dataOnly="0" labelOnly="1" outline="0" fieldPosition="0">
        <references count="2">
          <reference field="0" count="1" selected="0">
            <x v="1"/>
          </reference>
          <reference field="1" count="5">
            <x v="1"/>
            <x v="2"/>
            <x v="3"/>
            <x v="4"/>
            <x v="5"/>
          </reference>
        </references>
      </pivotArea>
    </format>
    <format dxfId="28">
      <pivotArea type="all" dataOnly="0" outline="0" fieldPosition="0"/>
    </format>
    <format dxfId="27">
      <pivotArea field="0" type="button" dataOnly="0" labelOnly="1" outline="0" axis="axisRow" fieldPosition="0"/>
    </format>
    <format dxfId="26">
      <pivotArea field="1" type="button" dataOnly="0" labelOnly="1" outline="0" axis="axisRow" fieldPosition="1"/>
    </format>
    <format dxfId="25">
      <pivotArea dataOnly="0" labelOnly="1" outline="0" fieldPosition="0">
        <references count="1">
          <reference field="0" count="0"/>
        </references>
      </pivotArea>
    </format>
    <format dxfId="24">
      <pivotArea dataOnly="0" labelOnly="1" outline="0" fieldPosition="0">
        <references count="2">
          <reference field="0" count="1" selected="0">
            <x v="0"/>
          </reference>
          <reference field="1" count="5">
            <x v="10"/>
            <x v="11"/>
            <x v="12"/>
            <x v="13"/>
            <x v="14"/>
          </reference>
        </references>
      </pivotArea>
    </format>
    <format dxfId="2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2" dataDxfId="21">
  <autoFilter ref="B209:C219" xr:uid="{00000000-0009-0000-0100-000001000000}"/>
  <tableColumns count="2">
    <tableColumn id="1" xr3:uid="{00000000-0010-0000-0000-000001000000}" name="Criterios" dataDxfId="20"/>
    <tableColumn id="2" xr3:uid="{00000000-0010-0000-0000-000002000000}" name="Subcriterios" dataDxfId="1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88" t="s">
        <v>155</v>
      </c>
      <c r="C2" s="289"/>
      <c r="D2" s="289"/>
      <c r="E2" s="289"/>
      <c r="F2" s="289"/>
      <c r="G2" s="289"/>
      <c r="H2" s="290"/>
    </row>
    <row r="3" spans="2:8" x14ac:dyDescent="0.3">
      <c r="B3" s="68"/>
      <c r="C3" s="69"/>
      <c r="D3" s="69"/>
      <c r="E3" s="69"/>
      <c r="F3" s="69"/>
      <c r="G3" s="69"/>
      <c r="H3" s="70"/>
    </row>
    <row r="4" spans="2:8" ht="63" customHeight="1" x14ac:dyDescent="0.3">
      <c r="B4" s="291" t="s">
        <v>198</v>
      </c>
      <c r="C4" s="292"/>
      <c r="D4" s="292"/>
      <c r="E4" s="292"/>
      <c r="F4" s="292"/>
      <c r="G4" s="292"/>
      <c r="H4" s="293"/>
    </row>
    <row r="5" spans="2:8" ht="63" customHeight="1" x14ac:dyDescent="0.3">
      <c r="B5" s="294"/>
      <c r="C5" s="295"/>
      <c r="D5" s="295"/>
      <c r="E5" s="295"/>
      <c r="F5" s="295"/>
      <c r="G5" s="295"/>
      <c r="H5" s="296"/>
    </row>
    <row r="6" spans="2:8" x14ac:dyDescent="0.3">
      <c r="B6" s="297" t="s">
        <v>153</v>
      </c>
      <c r="C6" s="298"/>
      <c r="D6" s="298"/>
      <c r="E6" s="298"/>
      <c r="F6" s="298"/>
      <c r="G6" s="298"/>
      <c r="H6" s="299"/>
    </row>
    <row r="7" spans="2:8" ht="95.25" customHeight="1" x14ac:dyDescent="0.3">
      <c r="B7" s="307" t="s">
        <v>158</v>
      </c>
      <c r="C7" s="308"/>
      <c r="D7" s="308"/>
      <c r="E7" s="308"/>
      <c r="F7" s="308"/>
      <c r="G7" s="308"/>
      <c r="H7" s="309"/>
    </row>
    <row r="8" spans="2:8" x14ac:dyDescent="0.3">
      <c r="B8" s="102"/>
      <c r="C8" s="103"/>
      <c r="D8" s="103"/>
      <c r="E8" s="103"/>
      <c r="F8" s="103"/>
      <c r="G8" s="103"/>
      <c r="H8" s="104"/>
    </row>
    <row r="9" spans="2:8" ht="16.5" customHeight="1" x14ac:dyDescent="0.3">
      <c r="B9" s="300" t="s">
        <v>191</v>
      </c>
      <c r="C9" s="301"/>
      <c r="D9" s="301"/>
      <c r="E9" s="301"/>
      <c r="F9" s="301"/>
      <c r="G9" s="301"/>
      <c r="H9" s="302"/>
    </row>
    <row r="10" spans="2:8" ht="44.25" customHeight="1" x14ac:dyDescent="0.3">
      <c r="B10" s="300"/>
      <c r="C10" s="301"/>
      <c r="D10" s="301"/>
      <c r="E10" s="301"/>
      <c r="F10" s="301"/>
      <c r="G10" s="301"/>
      <c r="H10" s="302"/>
    </row>
    <row r="11" spans="2:8" ht="15" thickBot="1" x14ac:dyDescent="0.35">
      <c r="B11" s="91"/>
      <c r="C11" s="94"/>
      <c r="D11" s="99"/>
      <c r="E11" s="100"/>
      <c r="F11" s="100"/>
      <c r="G11" s="101"/>
      <c r="H11" s="95"/>
    </row>
    <row r="12" spans="2:8" ht="15" thickTop="1" x14ac:dyDescent="0.3">
      <c r="B12" s="91"/>
      <c r="C12" s="303" t="s">
        <v>154</v>
      </c>
      <c r="D12" s="304"/>
      <c r="E12" s="305" t="s">
        <v>192</v>
      </c>
      <c r="F12" s="306"/>
      <c r="G12" s="94"/>
      <c r="H12" s="95"/>
    </row>
    <row r="13" spans="2:8" ht="35.25" customHeight="1" x14ac:dyDescent="0.3">
      <c r="B13" s="91"/>
      <c r="C13" s="275" t="s">
        <v>185</v>
      </c>
      <c r="D13" s="276"/>
      <c r="E13" s="277" t="s">
        <v>190</v>
      </c>
      <c r="F13" s="278"/>
      <c r="G13" s="94"/>
      <c r="H13" s="95"/>
    </row>
    <row r="14" spans="2:8" ht="17.25" customHeight="1" x14ac:dyDescent="0.3">
      <c r="B14" s="91"/>
      <c r="C14" s="275" t="s">
        <v>186</v>
      </c>
      <c r="D14" s="276"/>
      <c r="E14" s="277" t="s">
        <v>188</v>
      </c>
      <c r="F14" s="278"/>
      <c r="G14" s="94"/>
      <c r="H14" s="95"/>
    </row>
    <row r="15" spans="2:8" ht="19.5" customHeight="1" x14ac:dyDescent="0.3">
      <c r="B15" s="91"/>
      <c r="C15" s="275" t="s">
        <v>187</v>
      </c>
      <c r="D15" s="276"/>
      <c r="E15" s="277" t="s">
        <v>189</v>
      </c>
      <c r="F15" s="278"/>
      <c r="G15" s="94"/>
      <c r="H15" s="95"/>
    </row>
    <row r="16" spans="2:8" ht="69.75" customHeight="1" x14ac:dyDescent="0.3">
      <c r="B16" s="91"/>
      <c r="C16" s="275" t="s">
        <v>156</v>
      </c>
      <c r="D16" s="276"/>
      <c r="E16" s="277" t="s">
        <v>157</v>
      </c>
      <c r="F16" s="278"/>
      <c r="G16" s="94"/>
      <c r="H16" s="95"/>
    </row>
    <row r="17" spans="2:8" ht="34.5" customHeight="1" x14ac:dyDescent="0.3">
      <c r="B17" s="91"/>
      <c r="C17" s="279" t="s">
        <v>2</v>
      </c>
      <c r="D17" s="280"/>
      <c r="E17" s="271" t="s">
        <v>199</v>
      </c>
      <c r="F17" s="272"/>
      <c r="G17" s="94"/>
      <c r="H17" s="95"/>
    </row>
    <row r="18" spans="2:8" ht="27.75" customHeight="1" x14ac:dyDescent="0.3">
      <c r="B18" s="91"/>
      <c r="C18" s="279" t="s">
        <v>3</v>
      </c>
      <c r="D18" s="280"/>
      <c r="E18" s="271" t="s">
        <v>200</v>
      </c>
      <c r="F18" s="272"/>
      <c r="G18" s="94"/>
      <c r="H18" s="95"/>
    </row>
    <row r="19" spans="2:8" ht="28.5" customHeight="1" x14ac:dyDescent="0.3">
      <c r="B19" s="91"/>
      <c r="C19" s="279" t="s">
        <v>42</v>
      </c>
      <c r="D19" s="280"/>
      <c r="E19" s="271" t="s">
        <v>201</v>
      </c>
      <c r="F19" s="272"/>
      <c r="G19" s="94"/>
      <c r="H19" s="95"/>
    </row>
    <row r="20" spans="2:8" ht="72.75" customHeight="1" x14ac:dyDescent="0.3">
      <c r="B20" s="91"/>
      <c r="C20" s="279" t="s">
        <v>1</v>
      </c>
      <c r="D20" s="280"/>
      <c r="E20" s="271" t="s">
        <v>202</v>
      </c>
      <c r="F20" s="272"/>
      <c r="G20" s="94"/>
      <c r="H20" s="95"/>
    </row>
    <row r="21" spans="2:8" ht="64.5" customHeight="1" x14ac:dyDescent="0.3">
      <c r="B21" s="91"/>
      <c r="C21" s="279" t="s">
        <v>50</v>
      </c>
      <c r="D21" s="280"/>
      <c r="E21" s="271" t="s">
        <v>160</v>
      </c>
      <c r="F21" s="272"/>
      <c r="G21" s="94"/>
      <c r="H21" s="95"/>
    </row>
    <row r="22" spans="2:8" ht="71.25" customHeight="1" x14ac:dyDescent="0.3">
      <c r="B22" s="91"/>
      <c r="C22" s="279" t="s">
        <v>159</v>
      </c>
      <c r="D22" s="280"/>
      <c r="E22" s="271" t="s">
        <v>161</v>
      </c>
      <c r="F22" s="272"/>
      <c r="G22" s="94"/>
      <c r="H22" s="95"/>
    </row>
    <row r="23" spans="2:8" ht="55.5" customHeight="1" x14ac:dyDescent="0.3">
      <c r="B23" s="91"/>
      <c r="C23" s="273" t="s">
        <v>162</v>
      </c>
      <c r="D23" s="274"/>
      <c r="E23" s="271" t="s">
        <v>163</v>
      </c>
      <c r="F23" s="272"/>
      <c r="G23" s="94"/>
      <c r="H23" s="95"/>
    </row>
    <row r="24" spans="2:8" ht="42" customHeight="1" x14ac:dyDescent="0.3">
      <c r="B24" s="91"/>
      <c r="C24" s="273" t="s">
        <v>48</v>
      </c>
      <c r="D24" s="274"/>
      <c r="E24" s="271" t="s">
        <v>164</v>
      </c>
      <c r="F24" s="272"/>
      <c r="G24" s="94"/>
      <c r="H24" s="95"/>
    </row>
    <row r="25" spans="2:8" ht="59.25" customHeight="1" x14ac:dyDescent="0.3">
      <c r="B25" s="91"/>
      <c r="C25" s="273" t="s">
        <v>152</v>
      </c>
      <c r="D25" s="274"/>
      <c r="E25" s="271" t="s">
        <v>165</v>
      </c>
      <c r="F25" s="272"/>
      <c r="G25" s="94"/>
      <c r="H25" s="95"/>
    </row>
    <row r="26" spans="2:8" ht="23.25" customHeight="1" x14ac:dyDescent="0.3">
      <c r="B26" s="91"/>
      <c r="C26" s="273" t="s">
        <v>12</v>
      </c>
      <c r="D26" s="274"/>
      <c r="E26" s="271" t="s">
        <v>166</v>
      </c>
      <c r="F26" s="272"/>
      <c r="G26" s="94"/>
      <c r="H26" s="95"/>
    </row>
    <row r="27" spans="2:8" ht="30.75" customHeight="1" x14ac:dyDescent="0.3">
      <c r="B27" s="91"/>
      <c r="C27" s="273" t="s">
        <v>170</v>
      </c>
      <c r="D27" s="274"/>
      <c r="E27" s="271" t="s">
        <v>167</v>
      </c>
      <c r="F27" s="272"/>
      <c r="G27" s="94"/>
      <c r="H27" s="95"/>
    </row>
    <row r="28" spans="2:8" ht="35.25" customHeight="1" x14ac:dyDescent="0.3">
      <c r="B28" s="91"/>
      <c r="C28" s="273" t="s">
        <v>171</v>
      </c>
      <c r="D28" s="274"/>
      <c r="E28" s="271" t="s">
        <v>168</v>
      </c>
      <c r="F28" s="272"/>
      <c r="G28" s="94"/>
      <c r="H28" s="95"/>
    </row>
    <row r="29" spans="2:8" ht="33" customHeight="1" x14ac:dyDescent="0.3">
      <c r="B29" s="91"/>
      <c r="C29" s="273" t="s">
        <v>171</v>
      </c>
      <c r="D29" s="274"/>
      <c r="E29" s="271" t="s">
        <v>168</v>
      </c>
      <c r="F29" s="272"/>
      <c r="G29" s="94"/>
      <c r="H29" s="95"/>
    </row>
    <row r="30" spans="2:8" ht="30" customHeight="1" x14ac:dyDescent="0.3">
      <c r="B30" s="91"/>
      <c r="C30" s="273" t="s">
        <v>172</v>
      </c>
      <c r="D30" s="274"/>
      <c r="E30" s="271" t="s">
        <v>169</v>
      </c>
      <c r="F30" s="272"/>
      <c r="G30" s="94"/>
      <c r="H30" s="95"/>
    </row>
    <row r="31" spans="2:8" ht="35.25" customHeight="1" x14ac:dyDescent="0.3">
      <c r="B31" s="91"/>
      <c r="C31" s="273" t="s">
        <v>173</v>
      </c>
      <c r="D31" s="274"/>
      <c r="E31" s="271" t="s">
        <v>174</v>
      </c>
      <c r="F31" s="272"/>
      <c r="G31" s="94"/>
      <c r="H31" s="95"/>
    </row>
    <row r="32" spans="2:8" ht="31.5" customHeight="1" x14ac:dyDescent="0.3">
      <c r="B32" s="91"/>
      <c r="C32" s="273" t="s">
        <v>175</v>
      </c>
      <c r="D32" s="274"/>
      <c r="E32" s="271" t="s">
        <v>176</v>
      </c>
      <c r="F32" s="272"/>
      <c r="G32" s="94"/>
      <c r="H32" s="95"/>
    </row>
    <row r="33" spans="2:8" ht="35.25" customHeight="1" x14ac:dyDescent="0.3">
      <c r="B33" s="91"/>
      <c r="C33" s="273" t="s">
        <v>177</v>
      </c>
      <c r="D33" s="274"/>
      <c r="E33" s="271" t="s">
        <v>178</v>
      </c>
      <c r="F33" s="272"/>
      <c r="G33" s="94"/>
      <c r="H33" s="95"/>
    </row>
    <row r="34" spans="2:8" ht="59.25" customHeight="1" x14ac:dyDescent="0.3">
      <c r="B34" s="91"/>
      <c r="C34" s="273" t="s">
        <v>179</v>
      </c>
      <c r="D34" s="274"/>
      <c r="E34" s="271" t="s">
        <v>180</v>
      </c>
      <c r="F34" s="272"/>
      <c r="G34" s="94"/>
      <c r="H34" s="95"/>
    </row>
    <row r="35" spans="2:8" ht="29.25" customHeight="1" x14ac:dyDescent="0.3">
      <c r="B35" s="91"/>
      <c r="C35" s="273" t="s">
        <v>29</v>
      </c>
      <c r="D35" s="274"/>
      <c r="E35" s="271" t="s">
        <v>181</v>
      </c>
      <c r="F35" s="272"/>
      <c r="G35" s="94"/>
      <c r="H35" s="95"/>
    </row>
    <row r="36" spans="2:8" ht="82.5" customHeight="1" x14ac:dyDescent="0.3">
      <c r="B36" s="91"/>
      <c r="C36" s="273" t="s">
        <v>183</v>
      </c>
      <c r="D36" s="274"/>
      <c r="E36" s="271" t="s">
        <v>182</v>
      </c>
      <c r="F36" s="272"/>
      <c r="G36" s="94"/>
      <c r="H36" s="95"/>
    </row>
    <row r="37" spans="2:8" ht="46.5" customHeight="1" x14ac:dyDescent="0.3">
      <c r="B37" s="91"/>
      <c r="C37" s="273" t="s">
        <v>39</v>
      </c>
      <c r="D37" s="274"/>
      <c r="E37" s="271" t="s">
        <v>184</v>
      </c>
      <c r="F37" s="272"/>
      <c r="G37" s="94"/>
      <c r="H37" s="95"/>
    </row>
    <row r="38" spans="2:8" ht="6.75" customHeight="1" thickBot="1" x14ac:dyDescent="0.35">
      <c r="B38" s="91"/>
      <c r="C38" s="284"/>
      <c r="D38" s="285"/>
      <c r="E38" s="286"/>
      <c r="F38" s="287"/>
      <c r="G38" s="94"/>
      <c r="H38" s="95"/>
    </row>
    <row r="39" spans="2:8" ht="15" thickTop="1" x14ac:dyDescent="0.3">
      <c r="B39" s="91"/>
      <c r="C39" s="92"/>
      <c r="D39" s="92"/>
      <c r="E39" s="93"/>
      <c r="F39" s="93"/>
      <c r="G39" s="94"/>
      <c r="H39" s="95"/>
    </row>
    <row r="40" spans="2:8" ht="21" customHeight="1" x14ac:dyDescent="0.3">
      <c r="B40" s="281" t="s">
        <v>193</v>
      </c>
      <c r="C40" s="282"/>
      <c r="D40" s="282"/>
      <c r="E40" s="282"/>
      <c r="F40" s="282"/>
      <c r="G40" s="282"/>
      <c r="H40" s="283"/>
    </row>
    <row r="41" spans="2:8" ht="20.25" customHeight="1" x14ac:dyDescent="0.3">
      <c r="B41" s="281" t="s">
        <v>194</v>
      </c>
      <c r="C41" s="282"/>
      <c r="D41" s="282"/>
      <c r="E41" s="282"/>
      <c r="F41" s="282"/>
      <c r="G41" s="282"/>
      <c r="H41" s="283"/>
    </row>
    <row r="42" spans="2:8" ht="20.25" customHeight="1" x14ac:dyDescent="0.3">
      <c r="B42" s="281" t="s">
        <v>195</v>
      </c>
      <c r="C42" s="282"/>
      <c r="D42" s="282"/>
      <c r="E42" s="282"/>
      <c r="F42" s="282"/>
      <c r="G42" s="282"/>
      <c r="H42" s="283"/>
    </row>
    <row r="43" spans="2:8" ht="20.25" customHeight="1" x14ac:dyDescent="0.3">
      <c r="B43" s="281" t="s">
        <v>196</v>
      </c>
      <c r="C43" s="282"/>
      <c r="D43" s="282"/>
      <c r="E43" s="282"/>
      <c r="F43" s="282"/>
      <c r="G43" s="282"/>
      <c r="H43" s="283"/>
    </row>
    <row r="44" spans="2:8" x14ac:dyDescent="0.3">
      <c r="B44" s="281" t="s">
        <v>197</v>
      </c>
      <c r="C44" s="282"/>
      <c r="D44" s="282"/>
      <c r="E44" s="282"/>
      <c r="F44" s="282"/>
      <c r="G44" s="282"/>
      <c r="H44" s="283"/>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90" t="s">
        <v>77</v>
      </c>
      <c r="C1" s="691"/>
      <c r="D1" s="691"/>
      <c r="E1" s="691"/>
      <c r="F1" s="692"/>
    </row>
    <row r="2" spans="2:6" ht="16.2" thickBot="1" x14ac:dyDescent="0.35">
      <c r="B2" s="73"/>
      <c r="C2" s="73"/>
      <c r="D2" s="73"/>
      <c r="E2" s="73"/>
      <c r="F2" s="73"/>
    </row>
    <row r="3" spans="2:6" ht="16.2" thickBot="1" x14ac:dyDescent="0.35">
      <c r="B3" s="694" t="s">
        <v>63</v>
      </c>
      <c r="C3" s="695"/>
      <c r="D3" s="695"/>
      <c r="E3" s="85" t="s">
        <v>64</v>
      </c>
      <c r="F3" s="86" t="s">
        <v>65</v>
      </c>
    </row>
    <row r="4" spans="2:6" ht="31.2" x14ac:dyDescent="0.3">
      <c r="B4" s="696" t="s">
        <v>66</v>
      </c>
      <c r="C4" s="698" t="s">
        <v>13</v>
      </c>
      <c r="D4" s="74" t="s">
        <v>14</v>
      </c>
      <c r="E4" s="75" t="s">
        <v>67</v>
      </c>
      <c r="F4" s="76">
        <v>0.25</v>
      </c>
    </row>
    <row r="5" spans="2:6" ht="46.8" x14ac:dyDescent="0.3">
      <c r="B5" s="697"/>
      <c r="C5" s="699"/>
      <c r="D5" s="77" t="s">
        <v>15</v>
      </c>
      <c r="E5" s="78" t="s">
        <v>68</v>
      </c>
      <c r="F5" s="79">
        <v>0.15</v>
      </c>
    </row>
    <row r="6" spans="2:6" ht="46.8" x14ac:dyDescent="0.3">
      <c r="B6" s="697"/>
      <c r="C6" s="699"/>
      <c r="D6" s="77" t="s">
        <v>16</v>
      </c>
      <c r="E6" s="78" t="s">
        <v>69</v>
      </c>
      <c r="F6" s="79">
        <v>0.1</v>
      </c>
    </row>
    <row r="7" spans="2:6" ht="62.4" x14ac:dyDescent="0.3">
      <c r="B7" s="697"/>
      <c r="C7" s="699" t="s">
        <v>17</v>
      </c>
      <c r="D7" s="77" t="s">
        <v>10</v>
      </c>
      <c r="E7" s="78" t="s">
        <v>70</v>
      </c>
      <c r="F7" s="79">
        <v>0.25</v>
      </c>
    </row>
    <row r="8" spans="2:6" ht="31.2" x14ac:dyDescent="0.3">
      <c r="B8" s="697"/>
      <c r="C8" s="699"/>
      <c r="D8" s="77" t="s">
        <v>9</v>
      </c>
      <c r="E8" s="78" t="s">
        <v>71</v>
      </c>
      <c r="F8" s="79">
        <v>0.15</v>
      </c>
    </row>
    <row r="9" spans="2:6" ht="46.8" x14ac:dyDescent="0.3">
      <c r="B9" s="697" t="s">
        <v>151</v>
      </c>
      <c r="C9" s="699" t="s">
        <v>18</v>
      </c>
      <c r="D9" s="77" t="s">
        <v>19</v>
      </c>
      <c r="E9" s="78" t="s">
        <v>72</v>
      </c>
      <c r="F9" s="80" t="s">
        <v>73</v>
      </c>
    </row>
    <row r="10" spans="2:6" ht="62.4" x14ac:dyDescent="0.3">
      <c r="B10" s="697"/>
      <c r="C10" s="699"/>
      <c r="D10" s="77" t="s">
        <v>20</v>
      </c>
      <c r="E10" s="78" t="s">
        <v>74</v>
      </c>
      <c r="F10" s="80" t="s">
        <v>73</v>
      </c>
    </row>
    <row r="11" spans="2:6" ht="46.8" x14ac:dyDescent="0.3">
      <c r="B11" s="697"/>
      <c r="C11" s="699" t="s">
        <v>21</v>
      </c>
      <c r="D11" s="77" t="s">
        <v>22</v>
      </c>
      <c r="E11" s="78" t="s">
        <v>75</v>
      </c>
      <c r="F11" s="80" t="s">
        <v>73</v>
      </c>
    </row>
    <row r="12" spans="2:6" ht="46.8" x14ac:dyDescent="0.3">
      <c r="B12" s="697"/>
      <c r="C12" s="699"/>
      <c r="D12" s="77" t="s">
        <v>23</v>
      </c>
      <c r="E12" s="78" t="s">
        <v>76</v>
      </c>
      <c r="F12" s="80" t="s">
        <v>73</v>
      </c>
    </row>
    <row r="13" spans="2:6" ht="31.2" x14ac:dyDescent="0.3">
      <c r="B13" s="697"/>
      <c r="C13" s="699" t="s">
        <v>24</v>
      </c>
      <c r="D13" s="77" t="s">
        <v>114</v>
      </c>
      <c r="E13" s="78" t="s">
        <v>117</v>
      </c>
      <c r="F13" s="80" t="s">
        <v>73</v>
      </c>
    </row>
    <row r="14" spans="2:6" ht="16.2" thickBot="1" x14ac:dyDescent="0.35">
      <c r="B14" s="700"/>
      <c r="C14" s="701"/>
      <c r="D14" s="81" t="s">
        <v>115</v>
      </c>
      <c r="E14" s="82" t="s">
        <v>116</v>
      </c>
      <c r="F14" s="83" t="s">
        <v>73</v>
      </c>
    </row>
    <row r="15" spans="2:6" ht="49.5" customHeight="1" x14ac:dyDescent="0.3">
      <c r="B15" s="693" t="s">
        <v>148</v>
      </c>
      <c r="C15" s="693"/>
      <c r="D15" s="693"/>
      <c r="E15" s="693"/>
      <c r="F15" s="693"/>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topLeftCell="A6" workbookViewId="0">
      <selection activeCell="E19" sqref="E19"/>
    </sheetView>
  </sheetViews>
  <sheetFormatPr baseColWidth="10" defaultColWidth="11.44140625" defaultRowHeight="13.8" x14ac:dyDescent="0.25"/>
  <cols>
    <col min="1" max="1" width="29.44140625" style="148" customWidth="1"/>
    <col min="2" max="2" width="29.109375" style="148" customWidth="1"/>
    <col min="3" max="3" width="30.33203125" style="148" customWidth="1"/>
    <col min="4" max="4" width="31.88671875" style="148" customWidth="1"/>
    <col min="5" max="5" width="32.5546875" style="148" customWidth="1"/>
    <col min="6" max="6" width="32" style="148" customWidth="1"/>
    <col min="7" max="16384" width="11.44140625" style="148"/>
  </cols>
  <sheetData>
    <row r="1" spans="1:10" ht="15" customHeight="1" x14ac:dyDescent="0.25">
      <c r="A1" s="314"/>
      <c r="B1" s="316" t="s">
        <v>415</v>
      </c>
      <c r="C1" s="316"/>
      <c r="D1" s="316"/>
      <c r="E1" s="146" t="s">
        <v>260</v>
      </c>
      <c r="F1" s="318"/>
      <c r="G1" s="147"/>
      <c r="J1" s="320"/>
    </row>
    <row r="2" spans="1:10" ht="15" customHeight="1" x14ac:dyDescent="0.25">
      <c r="A2" s="315"/>
      <c r="B2" s="317"/>
      <c r="C2" s="317"/>
      <c r="D2" s="317"/>
      <c r="E2" s="150" t="s">
        <v>261</v>
      </c>
      <c r="F2" s="319"/>
      <c r="G2" s="147"/>
      <c r="J2" s="320"/>
    </row>
    <row r="3" spans="1:10" ht="15" customHeight="1" x14ac:dyDescent="0.25">
      <c r="A3" s="315"/>
      <c r="B3" s="317" t="s">
        <v>215</v>
      </c>
      <c r="C3" s="317"/>
      <c r="D3" s="317"/>
      <c r="E3" s="150" t="s">
        <v>262</v>
      </c>
      <c r="F3" s="319"/>
      <c r="G3" s="147"/>
      <c r="J3" s="320"/>
    </row>
    <row r="4" spans="1:10" ht="15.75" customHeight="1" x14ac:dyDescent="0.25">
      <c r="A4" s="315"/>
      <c r="B4" s="317"/>
      <c r="C4" s="317"/>
      <c r="D4" s="317"/>
      <c r="E4" s="150" t="s">
        <v>263</v>
      </c>
      <c r="F4" s="319"/>
      <c r="G4" s="147"/>
      <c r="J4" s="320"/>
    </row>
    <row r="5" spans="1:10" ht="15.75" customHeight="1" x14ac:dyDescent="0.25">
      <c r="A5" s="321"/>
      <c r="B5" s="322"/>
      <c r="C5" s="322"/>
      <c r="D5" s="322"/>
      <c r="E5" s="322"/>
      <c r="F5" s="323"/>
      <c r="G5" s="147"/>
      <c r="J5" s="149"/>
    </row>
    <row r="6" spans="1:10" ht="15" customHeight="1" x14ac:dyDescent="0.25">
      <c r="A6" s="324" t="s">
        <v>216</v>
      </c>
      <c r="B6" s="325"/>
      <c r="C6" s="325"/>
      <c r="D6" s="325"/>
      <c r="E6" s="325"/>
      <c r="F6" s="326"/>
    </row>
    <row r="7" spans="1:10" ht="15.75" customHeight="1" x14ac:dyDescent="0.25">
      <c r="A7" s="324"/>
      <c r="B7" s="325"/>
      <c r="C7" s="325"/>
      <c r="D7" s="325"/>
      <c r="E7" s="325"/>
      <c r="F7" s="326"/>
    </row>
    <row r="8" spans="1:10" ht="27" customHeight="1" x14ac:dyDescent="0.25">
      <c r="A8" s="327" t="s">
        <v>359</v>
      </c>
      <c r="B8" s="328"/>
      <c r="C8" s="328"/>
      <c r="D8" s="328"/>
      <c r="E8" s="328"/>
      <c r="F8" s="329"/>
    </row>
    <row r="9" spans="1:10" ht="77.25" customHeight="1" thickBot="1" x14ac:dyDescent="0.3">
      <c r="A9" s="310" t="s">
        <v>360</v>
      </c>
      <c r="B9" s="311"/>
      <c r="C9" s="311"/>
      <c r="D9" s="311"/>
      <c r="E9" s="311"/>
      <c r="F9" s="312"/>
    </row>
    <row r="10" spans="1:10" ht="18.75" customHeight="1" thickBot="1" x14ac:dyDescent="0.3">
      <c r="A10" s="313"/>
      <c r="B10" s="313"/>
      <c r="C10" s="313"/>
      <c r="D10" s="313"/>
      <c r="E10" s="313"/>
      <c r="F10" s="313"/>
    </row>
    <row r="11" spans="1:10" ht="22.5" customHeight="1" thickBot="1" x14ac:dyDescent="0.3">
      <c r="A11" s="151" t="s">
        <v>217</v>
      </c>
      <c r="B11" s="207" t="s">
        <v>218</v>
      </c>
      <c r="C11" s="152" t="s">
        <v>219</v>
      </c>
      <c r="D11" s="152" t="s">
        <v>218</v>
      </c>
      <c r="E11" s="152" t="s">
        <v>220</v>
      </c>
      <c r="F11" s="153" t="s">
        <v>218</v>
      </c>
    </row>
    <row r="12" spans="1:10" ht="75" customHeight="1" x14ac:dyDescent="0.25">
      <c r="A12" s="332" t="s">
        <v>361</v>
      </c>
      <c r="B12" s="208" t="s">
        <v>362</v>
      </c>
      <c r="C12" s="209" t="s">
        <v>224</v>
      </c>
      <c r="D12" s="208" t="s">
        <v>363</v>
      </c>
      <c r="E12" s="334" t="s">
        <v>364</v>
      </c>
      <c r="F12" s="199" t="s">
        <v>365</v>
      </c>
    </row>
    <row r="13" spans="1:10" ht="84.6" customHeight="1" x14ac:dyDescent="0.25">
      <c r="A13" s="333"/>
      <c r="B13" s="210" t="s">
        <v>366</v>
      </c>
      <c r="C13" s="330" t="s">
        <v>367</v>
      </c>
      <c r="D13" s="211" t="s">
        <v>368</v>
      </c>
      <c r="E13" s="335"/>
      <c r="F13" s="212" t="s">
        <v>369</v>
      </c>
    </row>
    <row r="14" spans="1:10" ht="82.5" customHeight="1" thickBot="1" x14ac:dyDescent="0.3">
      <c r="A14" s="213" t="s">
        <v>221</v>
      </c>
      <c r="B14" s="210" t="s">
        <v>370</v>
      </c>
      <c r="C14" s="331"/>
      <c r="D14" s="211" t="s">
        <v>371</v>
      </c>
      <c r="E14" s="331"/>
      <c r="F14" s="212" t="s">
        <v>372</v>
      </c>
    </row>
    <row r="15" spans="1:10" ht="108" customHeight="1" thickBot="1" x14ac:dyDescent="0.3">
      <c r="A15" s="336" t="s">
        <v>222</v>
      </c>
      <c r="B15" s="211" t="s">
        <v>373</v>
      </c>
      <c r="C15" s="214" t="s">
        <v>374</v>
      </c>
      <c r="D15" s="215" t="s">
        <v>271</v>
      </c>
      <c r="E15" s="214" t="s">
        <v>375</v>
      </c>
      <c r="F15" s="216" t="s">
        <v>376</v>
      </c>
    </row>
    <row r="16" spans="1:10" ht="81.599999999999994" customHeight="1" x14ac:dyDescent="0.25">
      <c r="A16" s="333"/>
      <c r="B16" s="211" t="s">
        <v>377</v>
      </c>
      <c r="C16" s="330" t="s">
        <v>378</v>
      </c>
      <c r="D16" s="211" t="s">
        <v>379</v>
      </c>
      <c r="E16" s="330" t="s">
        <v>380</v>
      </c>
      <c r="F16" s="216" t="s">
        <v>381</v>
      </c>
    </row>
    <row r="17" spans="1:6" ht="107.4" customHeight="1" x14ac:dyDescent="0.25">
      <c r="A17" s="336" t="s">
        <v>223</v>
      </c>
      <c r="B17" s="211" t="s">
        <v>382</v>
      </c>
      <c r="C17" s="331"/>
      <c r="D17" s="211" t="s">
        <v>383</v>
      </c>
      <c r="E17" s="331"/>
      <c r="F17" s="212" t="s">
        <v>384</v>
      </c>
    </row>
    <row r="18" spans="1:6" ht="66.75" customHeight="1" x14ac:dyDescent="0.25">
      <c r="A18" s="333"/>
      <c r="B18" s="211" t="s">
        <v>385</v>
      </c>
      <c r="C18" s="214" t="s">
        <v>386</v>
      </c>
      <c r="D18" s="211" t="s">
        <v>387</v>
      </c>
      <c r="E18" s="214" t="s">
        <v>388</v>
      </c>
      <c r="F18" s="212" t="s">
        <v>389</v>
      </c>
    </row>
    <row r="19" spans="1:6" ht="143.4" customHeight="1" x14ac:dyDescent="0.25">
      <c r="A19" s="154" t="s">
        <v>361</v>
      </c>
      <c r="B19" s="211" t="s">
        <v>390</v>
      </c>
      <c r="C19" s="330" t="s">
        <v>391</v>
      </c>
      <c r="D19" s="211" t="s">
        <v>392</v>
      </c>
      <c r="E19" s="155"/>
      <c r="F19" s="199"/>
    </row>
    <row r="20" spans="1:6" ht="65.25" customHeight="1" x14ac:dyDescent="0.25">
      <c r="A20" s="154"/>
      <c r="B20" s="217"/>
      <c r="C20" s="331"/>
      <c r="D20" s="215" t="s">
        <v>270</v>
      </c>
      <c r="E20" s="155"/>
      <c r="F20" s="199"/>
    </row>
    <row r="21" spans="1:6" ht="66.75" customHeight="1" x14ac:dyDescent="0.25">
      <c r="A21" s="154"/>
      <c r="B21" s="156"/>
      <c r="C21" s="155"/>
      <c r="D21" s="157"/>
      <c r="E21" s="155"/>
      <c r="F21" s="199"/>
    </row>
    <row r="22" spans="1:6" ht="69" customHeight="1" x14ac:dyDescent="0.25">
      <c r="A22" s="154"/>
      <c r="B22" s="156"/>
      <c r="C22" s="155"/>
      <c r="D22" s="157"/>
      <c r="E22" s="155"/>
      <c r="F22" s="199"/>
    </row>
    <row r="23" spans="1:6" ht="61.5" customHeight="1" x14ac:dyDescent="0.25">
      <c r="A23" s="154"/>
      <c r="B23" s="156"/>
      <c r="C23" s="155"/>
      <c r="D23" s="157"/>
      <c r="E23" s="155"/>
      <c r="F23" s="199"/>
    </row>
    <row r="24" spans="1:6" ht="57.75" customHeight="1" x14ac:dyDescent="0.25">
      <c r="A24" s="154"/>
      <c r="B24" s="156"/>
      <c r="C24" s="155"/>
      <c r="D24" s="157"/>
      <c r="E24" s="155"/>
      <c r="F24" s="199"/>
    </row>
    <row r="25" spans="1:6" ht="62.25" customHeight="1" x14ac:dyDescent="0.25">
      <c r="A25" s="154"/>
      <c r="B25" s="156"/>
      <c r="C25" s="155"/>
      <c r="D25" s="157"/>
      <c r="E25" s="155"/>
      <c r="F25" s="199"/>
    </row>
    <row r="26" spans="1:6" ht="56.25" customHeight="1" thickBot="1" x14ac:dyDescent="0.3">
      <c r="A26" s="158"/>
      <c r="B26" s="159"/>
      <c r="C26" s="160"/>
      <c r="D26" s="161"/>
      <c r="E26" s="160"/>
      <c r="F26" s="162"/>
    </row>
    <row r="27" spans="1:6" ht="65.25" customHeight="1" x14ac:dyDescent="0.25">
      <c r="A27" s="163"/>
      <c r="B27" s="164"/>
      <c r="C27" s="163"/>
      <c r="D27" s="165"/>
      <c r="E27" s="163"/>
      <c r="F27" s="165"/>
    </row>
    <row r="28" spans="1:6" ht="62.25" customHeight="1" x14ac:dyDescent="0.25">
      <c r="A28" s="163"/>
      <c r="B28" s="164"/>
      <c r="C28" s="163"/>
      <c r="D28" s="165"/>
      <c r="E28" s="163"/>
      <c r="F28" s="165"/>
    </row>
    <row r="29" spans="1:6" ht="63" customHeight="1" x14ac:dyDescent="0.25">
      <c r="A29" s="163"/>
      <c r="B29" s="164"/>
      <c r="C29" s="163"/>
      <c r="D29" s="165"/>
      <c r="E29" s="163"/>
      <c r="F29" s="164"/>
    </row>
    <row r="30" spans="1:6" ht="51.75" customHeight="1" x14ac:dyDescent="0.25">
      <c r="A30" s="163"/>
      <c r="B30" s="164"/>
      <c r="C30" s="163"/>
      <c r="D30" s="165"/>
      <c r="E30" s="163"/>
      <c r="F30" s="164"/>
    </row>
    <row r="31" spans="1:6" ht="52.5" customHeight="1" x14ac:dyDescent="0.25">
      <c r="A31" s="163"/>
      <c r="B31" s="165"/>
      <c r="C31" s="163"/>
      <c r="D31" s="165"/>
      <c r="E31" s="163"/>
      <c r="F31" s="165"/>
    </row>
    <row r="32" spans="1:6" ht="63.75" customHeight="1" x14ac:dyDescent="0.25">
      <c r="A32" s="163"/>
      <c r="B32" s="165"/>
      <c r="C32" s="163"/>
      <c r="D32" s="165"/>
      <c r="E32" s="163"/>
      <c r="F32" s="165"/>
    </row>
    <row r="33" spans="1:6" ht="66" customHeight="1" x14ac:dyDescent="0.25">
      <c r="A33" s="163"/>
      <c r="B33" s="166"/>
      <c r="C33" s="163"/>
      <c r="D33" s="167"/>
      <c r="E33" s="163"/>
      <c r="F33" s="166"/>
    </row>
    <row r="34" spans="1:6" ht="55.5" customHeight="1" x14ac:dyDescent="0.25">
      <c r="A34" s="163"/>
      <c r="B34" s="166"/>
      <c r="C34" s="163"/>
      <c r="D34" s="167"/>
      <c r="E34" s="163"/>
      <c r="F34" s="168"/>
    </row>
    <row r="35" spans="1:6" ht="51.75" customHeight="1" x14ac:dyDescent="0.25">
      <c r="A35" s="163"/>
      <c r="B35" s="168"/>
      <c r="C35" s="163"/>
      <c r="D35" s="169"/>
      <c r="E35" s="163"/>
      <c r="F35" s="168"/>
    </row>
    <row r="36" spans="1:6" ht="55.5" customHeight="1" x14ac:dyDescent="0.25">
      <c r="A36" s="163"/>
      <c r="B36" s="168"/>
      <c r="C36" s="163"/>
      <c r="D36" s="168"/>
      <c r="E36" s="163"/>
      <c r="F36" s="168"/>
    </row>
    <row r="37" spans="1:6" ht="55.5" customHeight="1" x14ac:dyDescent="0.25">
      <c r="A37" s="163"/>
      <c r="B37" s="168"/>
      <c r="C37" s="163"/>
      <c r="D37" s="168"/>
      <c r="E37" s="163"/>
      <c r="F37" s="168"/>
    </row>
    <row r="38" spans="1:6" ht="54.75" customHeight="1" x14ac:dyDescent="0.25">
      <c r="A38" s="163"/>
      <c r="B38" s="168"/>
      <c r="C38" s="163"/>
      <c r="D38" s="168"/>
      <c r="E38" s="163"/>
      <c r="F38" s="168"/>
    </row>
    <row r="39" spans="1:6" ht="56.25" customHeight="1" x14ac:dyDescent="0.25">
      <c r="A39" s="163"/>
      <c r="B39" s="168"/>
      <c r="C39" s="163"/>
      <c r="D39" s="168"/>
      <c r="E39" s="163"/>
      <c r="F39" s="168"/>
    </row>
    <row r="40" spans="1:6" ht="54.75" customHeight="1" x14ac:dyDescent="0.25">
      <c r="A40" s="163"/>
      <c r="B40" s="166"/>
      <c r="C40" s="163"/>
      <c r="D40" s="167"/>
      <c r="E40" s="163"/>
      <c r="F40" s="166"/>
    </row>
    <row r="41" spans="1:6" ht="55.5" customHeight="1" x14ac:dyDescent="0.25">
      <c r="A41" s="163"/>
      <c r="B41" s="166"/>
      <c r="C41" s="163"/>
      <c r="D41" s="167"/>
      <c r="E41" s="163"/>
      <c r="F41" s="168"/>
    </row>
    <row r="42" spans="1:6" ht="54.75" customHeight="1" x14ac:dyDescent="0.25">
      <c r="A42" s="163"/>
      <c r="B42" s="168"/>
      <c r="C42" s="163"/>
      <c r="D42" s="169"/>
      <c r="E42" s="163"/>
      <c r="F42" s="168"/>
    </row>
    <row r="43" spans="1:6" ht="55.5" customHeight="1" x14ac:dyDescent="0.25">
      <c r="A43" s="163"/>
      <c r="B43" s="168"/>
      <c r="C43" s="163"/>
      <c r="D43" s="168"/>
      <c r="E43" s="163"/>
      <c r="F43" s="168"/>
    </row>
    <row r="44" spans="1:6" ht="56.25" customHeight="1" x14ac:dyDescent="0.25">
      <c r="A44" s="163"/>
      <c r="B44" s="168"/>
      <c r="C44" s="163"/>
      <c r="D44" s="168"/>
      <c r="E44" s="163"/>
      <c r="F44" s="168"/>
    </row>
    <row r="45" spans="1:6" ht="59.25" customHeight="1" x14ac:dyDescent="0.25">
      <c r="A45" s="163"/>
      <c r="B45" s="168"/>
      <c r="C45" s="163"/>
      <c r="D45" s="168"/>
      <c r="E45" s="163"/>
      <c r="F45" s="168"/>
    </row>
    <row r="46" spans="1:6" ht="55.5" customHeight="1" x14ac:dyDescent="0.25">
      <c r="A46" s="163"/>
      <c r="B46" s="168"/>
      <c r="C46" s="163"/>
      <c r="D46" s="168"/>
      <c r="E46" s="163"/>
      <c r="F46" s="168"/>
    </row>
    <row r="47" spans="1:6" ht="55.5" customHeight="1" x14ac:dyDescent="0.25">
      <c r="A47" s="163"/>
      <c r="B47" s="166"/>
      <c r="C47" s="163"/>
      <c r="D47" s="167"/>
      <c r="E47" s="163"/>
      <c r="F47" s="166"/>
    </row>
    <row r="48" spans="1:6" ht="56.25" customHeight="1" x14ac:dyDescent="0.25">
      <c r="A48" s="163"/>
      <c r="B48" s="166"/>
      <c r="C48" s="163"/>
      <c r="D48" s="167"/>
      <c r="E48" s="163"/>
      <c r="F48" s="168"/>
    </row>
    <row r="49" spans="1:6" ht="54" customHeight="1" x14ac:dyDescent="0.25">
      <c r="A49" s="163"/>
      <c r="B49" s="168"/>
      <c r="C49" s="163"/>
      <c r="D49" s="169"/>
      <c r="E49" s="163"/>
      <c r="F49" s="168"/>
    </row>
    <row r="50" spans="1:6" ht="56.25" customHeight="1" x14ac:dyDescent="0.25">
      <c r="A50" s="163"/>
      <c r="B50" s="168"/>
      <c r="C50" s="163"/>
      <c r="D50" s="168"/>
      <c r="E50" s="163"/>
      <c r="F50" s="168"/>
    </row>
    <row r="51" spans="1:6" ht="59.25" customHeight="1" x14ac:dyDescent="0.25">
      <c r="A51" s="163"/>
      <c r="B51" s="168"/>
      <c r="C51" s="163"/>
      <c r="D51" s="168"/>
      <c r="E51" s="163"/>
      <c r="F51" s="168"/>
    </row>
    <row r="52" spans="1:6" ht="54.75" customHeight="1" x14ac:dyDescent="0.25">
      <c r="A52" s="163"/>
      <c r="B52" s="168"/>
      <c r="C52" s="163"/>
      <c r="D52" s="168"/>
      <c r="E52" s="163"/>
      <c r="F52" s="168"/>
    </row>
    <row r="53" spans="1:6" ht="55.5" customHeight="1" x14ac:dyDescent="0.25">
      <c r="A53" s="163"/>
      <c r="B53" s="168"/>
      <c r="C53" s="163"/>
      <c r="D53" s="168"/>
      <c r="E53" s="163"/>
      <c r="F53" s="168"/>
    </row>
  </sheetData>
  <mergeCells count="18">
    <mergeCell ref="C19:C20"/>
    <mergeCell ref="A12:A13"/>
    <mergeCell ref="E12:E14"/>
    <mergeCell ref="C13:C14"/>
    <mergeCell ref="A15:A16"/>
    <mergeCell ref="C16:C17"/>
    <mergeCell ref="E16:E17"/>
    <mergeCell ref="A17:A18"/>
    <mergeCell ref="J1:J4"/>
    <mergeCell ref="B3:D4"/>
    <mergeCell ref="A5:F5"/>
    <mergeCell ref="A6:F7"/>
    <mergeCell ref="A8:F8"/>
    <mergeCell ref="A9:F9"/>
    <mergeCell ref="A10:F10"/>
    <mergeCell ref="A1:A4"/>
    <mergeCell ref="B1:D2"/>
    <mergeCell ref="F1:F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580F0E3-FC90-4067-8932-B6CE355E8A39}">
          <x14:formula1>
            <xm:f>'C:\Users\HACIENDA58\Desktop\CONTROL INTERNO-MIPG\AVANCE MONITOREOS\[MAPA DE RIESGOS CORRUPCION MAYO - JUNIO 2024.xlsx]LISTAS CONTEXTO'!#REF!</xm:f>
          </x14:formula1>
          <xm:sqref>E12 E15:E16 E18:E26 C12:C13 C15:C16 C18:C19 C21:C26 A12 A14:A15 A17 A19:A26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2"/>
  <sheetViews>
    <sheetView topLeftCell="A34" workbookViewId="0">
      <selection activeCell="S42" sqref="S42"/>
    </sheetView>
  </sheetViews>
  <sheetFormatPr baseColWidth="10" defaultColWidth="11.44140625" defaultRowHeight="14.4" x14ac:dyDescent="0.3"/>
  <cols>
    <col min="1" max="1" width="4.6640625" style="196" customWidth="1"/>
    <col min="2" max="2" width="33.21875" style="197" customWidth="1"/>
    <col min="3" max="17" width="6.44140625" style="197" customWidth="1"/>
    <col min="18" max="18" width="8.109375" style="197" customWidth="1"/>
    <col min="19" max="19" width="13" style="198" customWidth="1"/>
    <col min="20" max="20" width="19.6640625" customWidth="1"/>
    <col min="21" max="23" width="11.44140625" hidden="1" customWidth="1"/>
  </cols>
  <sheetData>
    <row r="1" spans="1:24" ht="30.75" customHeight="1" x14ac:dyDescent="0.3">
      <c r="A1" s="337"/>
      <c r="B1" s="337"/>
      <c r="C1" s="337" t="s">
        <v>416</v>
      </c>
      <c r="D1" s="337"/>
      <c r="E1" s="337"/>
      <c r="F1" s="337"/>
      <c r="G1" s="337"/>
      <c r="H1" s="337"/>
      <c r="I1" s="337"/>
      <c r="J1" s="337"/>
      <c r="K1" s="337"/>
      <c r="L1" s="337"/>
      <c r="M1" s="337"/>
      <c r="N1" s="337"/>
      <c r="O1" s="337"/>
      <c r="P1" s="337"/>
      <c r="Q1" s="337"/>
      <c r="R1" s="337"/>
      <c r="S1" s="355"/>
      <c r="T1" s="342" t="s">
        <v>260</v>
      </c>
      <c r="U1" s="342"/>
      <c r="V1" s="342"/>
      <c r="W1" s="343"/>
    </row>
    <row r="2" spans="1:24" ht="25.5" customHeight="1" x14ac:dyDescent="0.3">
      <c r="A2" s="338"/>
      <c r="B2" s="338"/>
      <c r="C2" s="338"/>
      <c r="D2" s="338"/>
      <c r="E2" s="338"/>
      <c r="F2" s="338"/>
      <c r="G2" s="338"/>
      <c r="H2" s="338"/>
      <c r="I2" s="338"/>
      <c r="J2" s="338"/>
      <c r="K2" s="338"/>
      <c r="L2" s="338"/>
      <c r="M2" s="338"/>
      <c r="N2" s="338"/>
      <c r="O2" s="338"/>
      <c r="P2" s="338"/>
      <c r="Q2" s="338"/>
      <c r="R2" s="338"/>
      <c r="S2" s="356"/>
      <c r="T2" s="344" t="s">
        <v>261</v>
      </c>
      <c r="U2" s="344"/>
      <c r="V2" s="344"/>
      <c r="W2" s="345"/>
    </row>
    <row r="3" spans="1:24" ht="15" customHeight="1" x14ac:dyDescent="0.3">
      <c r="A3" s="338"/>
      <c r="B3" s="338"/>
      <c r="C3" s="338" t="s">
        <v>225</v>
      </c>
      <c r="D3" s="338"/>
      <c r="E3" s="338"/>
      <c r="F3" s="338"/>
      <c r="G3" s="338"/>
      <c r="H3" s="338"/>
      <c r="I3" s="338"/>
      <c r="J3" s="338"/>
      <c r="K3" s="338"/>
      <c r="L3" s="338"/>
      <c r="M3" s="338"/>
      <c r="N3" s="338"/>
      <c r="O3" s="338"/>
      <c r="P3" s="338"/>
      <c r="Q3" s="338"/>
      <c r="R3" s="338"/>
      <c r="S3" s="356"/>
      <c r="T3" s="344" t="s">
        <v>264</v>
      </c>
      <c r="U3" s="344"/>
      <c r="V3" s="344"/>
      <c r="W3" s="345"/>
    </row>
    <row r="4" spans="1:24" ht="15.75" customHeight="1" x14ac:dyDescent="0.3">
      <c r="A4" s="339"/>
      <c r="B4" s="339"/>
      <c r="C4" s="339"/>
      <c r="D4" s="339"/>
      <c r="E4" s="339"/>
      <c r="F4" s="339"/>
      <c r="G4" s="339"/>
      <c r="H4" s="339"/>
      <c r="I4" s="339"/>
      <c r="J4" s="339"/>
      <c r="K4" s="339"/>
      <c r="L4" s="339"/>
      <c r="M4" s="339"/>
      <c r="N4" s="339"/>
      <c r="O4" s="339"/>
      <c r="P4" s="339"/>
      <c r="Q4" s="339"/>
      <c r="R4" s="339"/>
      <c r="S4" s="357"/>
      <c r="T4" s="344" t="s">
        <v>263</v>
      </c>
      <c r="U4" s="344"/>
      <c r="V4" s="344"/>
      <c r="W4" s="345"/>
    </row>
    <row r="5" spans="1:24" ht="15.75" customHeight="1" x14ac:dyDescent="0.3">
      <c r="A5" s="346"/>
      <c r="B5" s="346"/>
      <c r="C5" s="346"/>
      <c r="D5" s="346"/>
      <c r="E5" s="346"/>
      <c r="F5" s="346"/>
      <c r="G5" s="346"/>
      <c r="H5" s="346"/>
      <c r="I5" s="346"/>
      <c r="J5" s="346"/>
      <c r="K5" s="346"/>
      <c r="L5" s="346"/>
      <c r="M5" s="346"/>
      <c r="N5" s="346"/>
      <c r="O5" s="346"/>
      <c r="P5" s="346"/>
      <c r="Q5" s="346"/>
      <c r="R5" s="346"/>
      <c r="S5" s="346"/>
      <c r="T5" s="347"/>
      <c r="U5" s="164"/>
      <c r="V5" s="164"/>
      <c r="W5" s="170"/>
    </row>
    <row r="6" spans="1:24" s="148" customFormat="1" ht="27" customHeight="1" x14ac:dyDescent="0.25">
      <c r="A6" s="348" t="str">
        <f>+Contexto!A8</f>
        <v>PROCESO: GESTIÓN JURÍDICA</v>
      </c>
      <c r="B6" s="348"/>
      <c r="C6" s="348"/>
      <c r="D6" s="348"/>
      <c r="E6" s="348"/>
      <c r="F6" s="348"/>
      <c r="G6" s="348"/>
      <c r="H6" s="348"/>
      <c r="I6" s="348"/>
      <c r="J6" s="348"/>
      <c r="K6" s="348"/>
      <c r="L6" s="348"/>
      <c r="M6" s="348"/>
      <c r="N6" s="348"/>
      <c r="O6" s="348"/>
      <c r="P6" s="348"/>
      <c r="Q6" s="348"/>
      <c r="R6" s="348"/>
      <c r="S6" s="348"/>
      <c r="T6" s="348"/>
      <c r="W6" s="171"/>
    </row>
    <row r="7" spans="1:24" s="148" customFormat="1" ht="81" customHeight="1" thickBot="1" x14ac:dyDescent="0.3">
      <c r="A7" s="349" t="str">
        <f>+Contexto!A9</f>
        <v xml:space="preserve">OBJETIVO: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v>
      </c>
      <c r="B7" s="349"/>
      <c r="C7" s="349"/>
      <c r="D7" s="349"/>
      <c r="E7" s="349"/>
      <c r="F7" s="349"/>
      <c r="G7" s="349"/>
      <c r="H7" s="349"/>
      <c r="I7" s="349"/>
      <c r="J7" s="349"/>
      <c r="K7" s="349"/>
      <c r="L7" s="349"/>
      <c r="M7" s="349"/>
      <c r="N7" s="349"/>
      <c r="O7" s="349"/>
      <c r="P7" s="349"/>
      <c r="Q7" s="349"/>
      <c r="R7" s="349"/>
      <c r="S7" s="349"/>
      <c r="T7" s="349"/>
      <c r="U7" s="172"/>
      <c r="V7" s="172"/>
      <c r="W7" s="173"/>
    </row>
    <row r="8" spans="1:24" s="148" customFormat="1" ht="26.25" customHeight="1" thickBot="1" x14ac:dyDescent="0.3">
      <c r="A8" s="174"/>
      <c r="B8" s="174"/>
      <c r="C8" s="174"/>
      <c r="D8" s="174"/>
      <c r="E8" s="174"/>
      <c r="F8" s="174"/>
      <c r="G8" s="174"/>
      <c r="H8" s="174"/>
      <c r="I8" s="174"/>
      <c r="J8" s="174"/>
      <c r="K8" s="174"/>
      <c r="L8" s="174"/>
      <c r="M8" s="174"/>
      <c r="N8" s="174"/>
      <c r="O8" s="174"/>
      <c r="P8" s="174"/>
      <c r="Q8" s="174"/>
      <c r="R8" s="174"/>
      <c r="S8" s="174"/>
      <c r="T8" s="175"/>
      <c r="X8" s="176"/>
    </row>
    <row r="9" spans="1:24" s="148" customFormat="1" ht="39.75" customHeight="1" thickBot="1" x14ac:dyDescent="0.3">
      <c r="A9" s="350"/>
      <c r="B9" s="350"/>
      <c r="C9" s="350" t="b">
        <v>0</v>
      </c>
      <c r="D9" s="350"/>
      <c r="E9" s="350"/>
      <c r="F9" s="350"/>
      <c r="G9" s="350"/>
      <c r="H9" s="350"/>
      <c r="I9" s="350"/>
      <c r="J9" s="350"/>
      <c r="K9" s="350"/>
      <c r="L9" s="350"/>
      <c r="M9" s="350"/>
      <c r="N9" s="350"/>
      <c r="O9" s="350"/>
      <c r="P9" s="350"/>
      <c r="Q9" s="350"/>
      <c r="R9" s="350"/>
      <c r="S9" s="350"/>
      <c r="T9" s="351"/>
    </row>
    <row r="10" spans="1:24" s="182" customFormat="1" ht="32.25" customHeight="1" thickBot="1" x14ac:dyDescent="0.35">
      <c r="A10" s="177" t="s">
        <v>226</v>
      </c>
      <c r="B10" s="178" t="s">
        <v>227</v>
      </c>
      <c r="C10" s="178" t="s">
        <v>228</v>
      </c>
      <c r="D10" s="178" t="s">
        <v>229</v>
      </c>
      <c r="E10" s="178" t="s">
        <v>230</v>
      </c>
      <c r="F10" s="178" t="s">
        <v>231</v>
      </c>
      <c r="G10" s="178" t="s">
        <v>232</v>
      </c>
      <c r="H10" s="178" t="s">
        <v>233</v>
      </c>
      <c r="I10" s="178" t="s">
        <v>234</v>
      </c>
      <c r="J10" s="178" t="s">
        <v>235</v>
      </c>
      <c r="K10" s="178" t="s">
        <v>236</v>
      </c>
      <c r="L10" s="178" t="s">
        <v>237</v>
      </c>
      <c r="M10" s="178" t="s">
        <v>238</v>
      </c>
      <c r="N10" s="178" t="s">
        <v>239</v>
      </c>
      <c r="O10" s="178" t="s">
        <v>240</v>
      </c>
      <c r="P10" s="178" t="s">
        <v>241</v>
      </c>
      <c r="Q10" s="178" t="s">
        <v>242</v>
      </c>
      <c r="R10" s="179" t="s">
        <v>243</v>
      </c>
      <c r="S10" s="180" t="s">
        <v>244</v>
      </c>
      <c r="T10" s="181" t="s">
        <v>245</v>
      </c>
    </row>
    <row r="11" spans="1:24" ht="67.2" customHeight="1" x14ac:dyDescent="0.3">
      <c r="A11" s="183">
        <v>1</v>
      </c>
      <c r="B11" s="218" t="s">
        <v>362</v>
      </c>
      <c r="C11" s="184">
        <v>4</v>
      </c>
      <c r="D11" s="184">
        <v>5</v>
      </c>
      <c r="E11" s="184">
        <v>3</v>
      </c>
      <c r="F11" s="184">
        <v>4</v>
      </c>
      <c r="G11" s="184">
        <v>5</v>
      </c>
      <c r="H11" s="184">
        <v>4</v>
      </c>
      <c r="I11" s="184"/>
      <c r="J11" s="184"/>
      <c r="K11" s="184"/>
      <c r="L11" s="184"/>
      <c r="M11" s="184"/>
      <c r="N11" s="184"/>
      <c r="O11" s="184"/>
      <c r="P11" s="184"/>
      <c r="Q11" s="184"/>
      <c r="R11" s="183">
        <f>SUM(C11:Q11)</f>
        <v>25</v>
      </c>
      <c r="S11" s="219">
        <f>IF(ISERROR(AVERAGE(C11:Q11)),0,AVERAGE(C11:Q11))</f>
        <v>4.166666666666667</v>
      </c>
      <c r="T11" s="185"/>
    </row>
    <row r="12" spans="1:24" ht="60" customHeight="1" x14ac:dyDescent="0.3">
      <c r="A12" s="183">
        <v>2</v>
      </c>
      <c r="B12" s="220" t="s">
        <v>366</v>
      </c>
      <c r="C12" s="184">
        <v>4</v>
      </c>
      <c r="D12" s="184">
        <v>3</v>
      </c>
      <c r="E12" s="184">
        <v>4</v>
      </c>
      <c r="F12" s="184">
        <v>5</v>
      </c>
      <c r="G12" s="184">
        <v>5</v>
      </c>
      <c r="H12" s="184">
        <v>5</v>
      </c>
      <c r="I12" s="184"/>
      <c r="J12" s="184"/>
      <c r="K12" s="184"/>
      <c r="L12" s="184"/>
      <c r="M12" s="184"/>
      <c r="N12" s="184"/>
      <c r="O12" s="184"/>
      <c r="P12" s="184"/>
      <c r="Q12" s="184"/>
      <c r="R12" s="183">
        <f>SUM(C12:Q12)</f>
        <v>26</v>
      </c>
      <c r="S12" s="221">
        <f t="shared" ref="S12:S34" si="0">IF(ISERROR(AVERAGE(C12:Q12)),0,AVERAGE(C12:Q12))</f>
        <v>4.333333333333333</v>
      </c>
      <c r="T12" s="186"/>
    </row>
    <row r="13" spans="1:24" ht="65.25" customHeight="1" x14ac:dyDescent="0.3">
      <c r="A13" s="183">
        <v>3</v>
      </c>
      <c r="B13" s="220" t="s">
        <v>370</v>
      </c>
      <c r="C13" s="184">
        <v>5</v>
      </c>
      <c r="D13" s="184">
        <v>5</v>
      </c>
      <c r="E13" s="184">
        <v>5</v>
      </c>
      <c r="F13" s="184">
        <v>3</v>
      </c>
      <c r="G13" s="184">
        <v>4</v>
      </c>
      <c r="H13" s="184">
        <v>5</v>
      </c>
      <c r="I13" s="184"/>
      <c r="J13" s="184"/>
      <c r="K13" s="184"/>
      <c r="L13" s="184"/>
      <c r="M13" s="184"/>
      <c r="N13" s="184"/>
      <c r="O13" s="184"/>
      <c r="P13" s="184"/>
      <c r="Q13" s="184"/>
      <c r="R13" s="183">
        <f t="shared" ref="R13:R34" si="1">SUM(C13:Q13)</f>
        <v>27</v>
      </c>
      <c r="S13" s="219">
        <f t="shared" si="0"/>
        <v>4.5</v>
      </c>
      <c r="T13" s="187"/>
    </row>
    <row r="14" spans="1:24" ht="56.4" customHeight="1" x14ac:dyDescent="0.3">
      <c r="A14" s="183">
        <v>4</v>
      </c>
      <c r="B14" s="220" t="s">
        <v>373</v>
      </c>
      <c r="C14" s="184">
        <v>3</v>
      </c>
      <c r="D14" s="184">
        <v>3</v>
      </c>
      <c r="E14" s="184">
        <v>3</v>
      </c>
      <c r="F14" s="184">
        <v>3</v>
      </c>
      <c r="G14" s="184">
        <v>4</v>
      </c>
      <c r="H14" s="184">
        <v>4</v>
      </c>
      <c r="I14" s="184"/>
      <c r="J14" s="184"/>
      <c r="K14" s="184"/>
      <c r="L14" s="184"/>
      <c r="M14" s="184"/>
      <c r="N14" s="184"/>
      <c r="O14" s="184"/>
      <c r="P14" s="184"/>
      <c r="Q14" s="184"/>
      <c r="R14" s="183">
        <f t="shared" si="1"/>
        <v>20</v>
      </c>
      <c r="S14" s="219">
        <f t="shared" si="0"/>
        <v>3.3333333333333335</v>
      </c>
      <c r="T14" s="187"/>
    </row>
    <row r="15" spans="1:24" ht="39.75" customHeight="1" x14ac:dyDescent="0.3">
      <c r="A15" s="183">
        <v>5</v>
      </c>
      <c r="B15" s="220" t="s">
        <v>377</v>
      </c>
      <c r="C15" s="184">
        <v>3</v>
      </c>
      <c r="D15" s="184">
        <v>3</v>
      </c>
      <c r="E15" s="184">
        <v>3</v>
      </c>
      <c r="F15" s="184">
        <v>2</v>
      </c>
      <c r="G15" s="184">
        <v>3</v>
      </c>
      <c r="H15" s="184">
        <v>3</v>
      </c>
      <c r="I15" s="184"/>
      <c r="J15" s="184"/>
      <c r="K15" s="184"/>
      <c r="L15" s="184"/>
      <c r="M15" s="184"/>
      <c r="N15" s="184"/>
      <c r="O15" s="184"/>
      <c r="P15" s="184"/>
      <c r="Q15" s="184"/>
      <c r="R15" s="183">
        <f t="shared" si="1"/>
        <v>17</v>
      </c>
      <c r="S15" s="219">
        <f t="shared" si="0"/>
        <v>2.8333333333333335</v>
      </c>
      <c r="T15" s="187"/>
    </row>
    <row r="16" spans="1:24" ht="39.75" customHeight="1" x14ac:dyDescent="0.3">
      <c r="A16" s="183">
        <v>6</v>
      </c>
      <c r="B16" s="220" t="s">
        <v>382</v>
      </c>
      <c r="C16" s="184">
        <v>2</v>
      </c>
      <c r="D16" s="184">
        <v>3</v>
      </c>
      <c r="E16" s="184">
        <v>3</v>
      </c>
      <c r="F16" s="184">
        <v>2</v>
      </c>
      <c r="G16" s="184">
        <v>3</v>
      </c>
      <c r="H16" s="184">
        <v>3</v>
      </c>
      <c r="I16" s="184"/>
      <c r="J16" s="184"/>
      <c r="K16" s="184"/>
      <c r="L16" s="184"/>
      <c r="M16" s="184"/>
      <c r="N16" s="184"/>
      <c r="O16" s="184"/>
      <c r="P16" s="184"/>
      <c r="Q16" s="184"/>
      <c r="R16" s="183">
        <f t="shared" si="1"/>
        <v>16</v>
      </c>
      <c r="S16" s="219">
        <f t="shared" si="0"/>
        <v>2.6666666666666665</v>
      </c>
      <c r="T16" s="187"/>
    </row>
    <row r="17" spans="1:20" ht="39.75" customHeight="1" x14ac:dyDescent="0.3">
      <c r="A17" s="183">
        <v>7</v>
      </c>
      <c r="B17" s="220" t="s">
        <v>385</v>
      </c>
      <c r="C17" s="184">
        <v>1</v>
      </c>
      <c r="D17" s="184">
        <v>1</v>
      </c>
      <c r="E17" s="184">
        <v>2</v>
      </c>
      <c r="F17" s="184">
        <v>2</v>
      </c>
      <c r="G17" s="184">
        <v>2</v>
      </c>
      <c r="H17" s="184">
        <v>3</v>
      </c>
      <c r="I17" s="184"/>
      <c r="J17" s="184"/>
      <c r="K17" s="184"/>
      <c r="L17" s="184"/>
      <c r="M17" s="184"/>
      <c r="N17" s="184"/>
      <c r="O17" s="184"/>
      <c r="P17" s="184"/>
      <c r="Q17" s="184"/>
      <c r="R17" s="183">
        <f t="shared" si="1"/>
        <v>11</v>
      </c>
      <c r="S17" s="219">
        <f t="shared" si="0"/>
        <v>1.8333333333333333</v>
      </c>
      <c r="T17" s="187"/>
    </row>
    <row r="18" spans="1:20" ht="46.5" customHeight="1" thickBot="1" x14ac:dyDescent="0.35">
      <c r="A18" s="183">
        <v>8</v>
      </c>
      <c r="B18" s="220" t="s">
        <v>390</v>
      </c>
      <c r="C18" s="184">
        <v>1</v>
      </c>
      <c r="D18" s="184">
        <v>3</v>
      </c>
      <c r="E18" s="184">
        <v>3</v>
      </c>
      <c r="F18" s="184">
        <v>3</v>
      </c>
      <c r="G18" s="184">
        <v>4</v>
      </c>
      <c r="H18" s="184">
        <v>4</v>
      </c>
      <c r="I18" s="184"/>
      <c r="J18" s="184"/>
      <c r="K18" s="184"/>
      <c r="L18" s="184"/>
      <c r="M18" s="184"/>
      <c r="N18" s="184"/>
      <c r="O18" s="184"/>
      <c r="P18" s="184"/>
      <c r="Q18" s="184"/>
      <c r="R18" s="183">
        <f t="shared" si="1"/>
        <v>18</v>
      </c>
      <c r="S18" s="219">
        <f t="shared" si="0"/>
        <v>3</v>
      </c>
      <c r="T18" s="187"/>
    </row>
    <row r="19" spans="1:20" ht="55.2" customHeight="1" x14ac:dyDescent="0.3">
      <c r="A19" s="183">
        <v>9</v>
      </c>
      <c r="B19" s="222" t="s">
        <v>363</v>
      </c>
      <c r="C19" s="184">
        <v>4</v>
      </c>
      <c r="D19" s="184">
        <v>4</v>
      </c>
      <c r="E19" s="184">
        <v>4</v>
      </c>
      <c r="F19" s="184">
        <v>4</v>
      </c>
      <c r="G19" s="184">
        <v>4</v>
      </c>
      <c r="H19" s="184">
        <v>4</v>
      </c>
      <c r="I19" s="184"/>
      <c r="J19" s="184"/>
      <c r="K19" s="184"/>
      <c r="L19" s="184"/>
      <c r="M19" s="184"/>
      <c r="N19" s="184"/>
      <c r="O19" s="184"/>
      <c r="P19" s="184"/>
      <c r="Q19" s="184"/>
      <c r="R19" s="183">
        <f t="shared" si="1"/>
        <v>24</v>
      </c>
      <c r="S19" s="219">
        <f t="shared" si="0"/>
        <v>4</v>
      </c>
      <c r="T19" s="187"/>
    </row>
    <row r="20" spans="1:20" ht="79.8" customHeight="1" x14ac:dyDescent="0.3">
      <c r="A20" s="183">
        <v>10</v>
      </c>
      <c r="B20" s="223" t="s">
        <v>368</v>
      </c>
      <c r="C20" s="184">
        <v>3</v>
      </c>
      <c r="D20" s="184">
        <v>3</v>
      </c>
      <c r="E20" s="184">
        <v>3</v>
      </c>
      <c r="F20" s="184">
        <v>3</v>
      </c>
      <c r="G20" s="184">
        <v>3</v>
      </c>
      <c r="H20" s="184">
        <v>3</v>
      </c>
      <c r="I20" s="184"/>
      <c r="J20" s="184"/>
      <c r="K20" s="184"/>
      <c r="L20" s="184"/>
      <c r="M20" s="184"/>
      <c r="N20" s="184"/>
      <c r="O20" s="184"/>
      <c r="P20" s="184"/>
      <c r="Q20" s="184"/>
      <c r="R20" s="183">
        <f t="shared" si="1"/>
        <v>18</v>
      </c>
      <c r="S20" s="219">
        <f t="shared" si="0"/>
        <v>3</v>
      </c>
      <c r="T20" s="187"/>
    </row>
    <row r="21" spans="1:20" ht="60" customHeight="1" x14ac:dyDescent="0.3">
      <c r="A21" s="183">
        <v>11</v>
      </c>
      <c r="B21" s="223" t="s">
        <v>371</v>
      </c>
      <c r="C21" s="184">
        <v>4</v>
      </c>
      <c r="D21" s="184">
        <v>4</v>
      </c>
      <c r="E21" s="184">
        <v>5</v>
      </c>
      <c r="F21" s="184">
        <v>4</v>
      </c>
      <c r="G21" s="184">
        <v>5</v>
      </c>
      <c r="H21" s="184">
        <v>5</v>
      </c>
      <c r="I21" s="184"/>
      <c r="J21" s="184"/>
      <c r="K21" s="184"/>
      <c r="L21" s="184"/>
      <c r="M21" s="184"/>
      <c r="N21" s="184"/>
      <c r="O21" s="184"/>
      <c r="P21" s="184"/>
      <c r="Q21" s="184"/>
      <c r="R21" s="183">
        <f t="shared" si="1"/>
        <v>27</v>
      </c>
      <c r="S21" s="219">
        <f t="shared" si="0"/>
        <v>4.5</v>
      </c>
      <c r="T21" s="187"/>
    </row>
    <row r="22" spans="1:20" ht="100.2" customHeight="1" x14ac:dyDescent="0.3">
      <c r="A22" s="183">
        <v>12</v>
      </c>
      <c r="B22" s="224" t="s">
        <v>271</v>
      </c>
      <c r="C22" s="184">
        <v>5</v>
      </c>
      <c r="D22" s="184">
        <v>5</v>
      </c>
      <c r="E22" s="184">
        <v>5</v>
      </c>
      <c r="F22" s="184">
        <v>5</v>
      </c>
      <c r="G22" s="184">
        <v>5</v>
      </c>
      <c r="H22" s="184">
        <v>5</v>
      </c>
      <c r="I22" s="184"/>
      <c r="J22" s="184"/>
      <c r="K22" s="184"/>
      <c r="L22" s="184"/>
      <c r="M22" s="184"/>
      <c r="N22" s="184"/>
      <c r="O22" s="184"/>
      <c r="P22" s="184"/>
      <c r="Q22" s="184"/>
      <c r="R22" s="183">
        <f t="shared" si="1"/>
        <v>30</v>
      </c>
      <c r="S22" s="219">
        <f t="shared" si="0"/>
        <v>5</v>
      </c>
      <c r="T22" s="187"/>
    </row>
    <row r="23" spans="1:20" ht="70.8" customHeight="1" x14ac:dyDescent="0.3">
      <c r="A23" s="183">
        <v>13</v>
      </c>
      <c r="B23" s="223" t="s">
        <v>379</v>
      </c>
      <c r="C23" s="184">
        <v>3</v>
      </c>
      <c r="D23" s="184">
        <v>4</v>
      </c>
      <c r="E23" s="184">
        <v>3</v>
      </c>
      <c r="F23" s="184">
        <v>3</v>
      </c>
      <c r="G23" s="184">
        <v>3</v>
      </c>
      <c r="H23" s="184">
        <v>3</v>
      </c>
      <c r="I23" s="184"/>
      <c r="J23" s="184"/>
      <c r="K23" s="184"/>
      <c r="L23" s="184"/>
      <c r="M23" s="184"/>
      <c r="N23" s="184"/>
      <c r="O23" s="184"/>
      <c r="P23" s="184"/>
      <c r="Q23" s="184"/>
      <c r="R23" s="183">
        <f t="shared" si="1"/>
        <v>19</v>
      </c>
      <c r="S23" s="219">
        <f t="shared" si="0"/>
        <v>3.1666666666666665</v>
      </c>
      <c r="T23" s="187"/>
    </row>
    <row r="24" spans="1:20" ht="61.2" customHeight="1" x14ac:dyDescent="0.3">
      <c r="A24" s="183">
        <v>14</v>
      </c>
      <c r="B24" s="223" t="s">
        <v>383</v>
      </c>
      <c r="C24" s="184">
        <v>5</v>
      </c>
      <c r="D24" s="184">
        <v>5</v>
      </c>
      <c r="E24" s="184">
        <v>5</v>
      </c>
      <c r="F24" s="184">
        <v>5</v>
      </c>
      <c r="G24" s="184">
        <v>5</v>
      </c>
      <c r="H24" s="184">
        <v>5</v>
      </c>
      <c r="I24" s="184"/>
      <c r="J24" s="184"/>
      <c r="K24" s="184"/>
      <c r="L24" s="184"/>
      <c r="M24" s="184"/>
      <c r="N24" s="184"/>
      <c r="O24" s="184"/>
      <c r="P24" s="184"/>
      <c r="Q24" s="184"/>
      <c r="R24" s="183">
        <f t="shared" si="1"/>
        <v>30</v>
      </c>
      <c r="S24" s="219">
        <f t="shared" si="0"/>
        <v>5</v>
      </c>
      <c r="T24" s="187"/>
    </row>
    <row r="25" spans="1:20" ht="62.4" customHeight="1" x14ac:dyDescent="0.3">
      <c r="A25" s="183">
        <v>15</v>
      </c>
      <c r="B25" s="223" t="s">
        <v>387</v>
      </c>
      <c r="C25" s="184">
        <v>4</v>
      </c>
      <c r="D25" s="184">
        <v>4</v>
      </c>
      <c r="E25" s="184">
        <v>4</v>
      </c>
      <c r="F25" s="184">
        <v>4</v>
      </c>
      <c r="G25" s="184">
        <v>4</v>
      </c>
      <c r="H25" s="184">
        <v>4</v>
      </c>
      <c r="I25" s="184"/>
      <c r="J25" s="184"/>
      <c r="K25" s="184"/>
      <c r="L25" s="184"/>
      <c r="M25" s="184"/>
      <c r="N25" s="184"/>
      <c r="O25" s="184"/>
      <c r="P25" s="184"/>
      <c r="Q25" s="184"/>
      <c r="R25" s="183">
        <f t="shared" si="1"/>
        <v>24</v>
      </c>
      <c r="S25" s="219">
        <f t="shared" si="0"/>
        <v>4</v>
      </c>
      <c r="T25" s="187"/>
    </row>
    <row r="26" spans="1:20" ht="142.19999999999999" customHeight="1" x14ac:dyDescent="0.3">
      <c r="A26" s="183">
        <v>16</v>
      </c>
      <c r="B26" s="223" t="s">
        <v>392</v>
      </c>
      <c r="C26" s="184">
        <v>4</v>
      </c>
      <c r="D26" s="184">
        <v>4</v>
      </c>
      <c r="E26" s="184">
        <v>4</v>
      </c>
      <c r="F26" s="184">
        <v>5</v>
      </c>
      <c r="G26" s="184">
        <v>5</v>
      </c>
      <c r="H26" s="184">
        <v>4</v>
      </c>
      <c r="I26" s="184"/>
      <c r="J26" s="184"/>
      <c r="K26" s="184"/>
      <c r="L26" s="184"/>
      <c r="M26" s="184"/>
      <c r="N26" s="184"/>
      <c r="O26" s="184"/>
      <c r="P26" s="184"/>
      <c r="Q26" s="184"/>
      <c r="R26" s="183">
        <f t="shared" si="1"/>
        <v>26</v>
      </c>
      <c r="S26" s="219">
        <f t="shared" si="0"/>
        <v>4.333333333333333</v>
      </c>
      <c r="T26" s="187"/>
    </row>
    <row r="27" spans="1:20" ht="64.2" customHeight="1" x14ac:dyDescent="0.3">
      <c r="A27" s="183">
        <v>17</v>
      </c>
      <c r="B27" s="225" t="s">
        <v>270</v>
      </c>
      <c r="C27" s="184">
        <v>5</v>
      </c>
      <c r="D27" s="184">
        <v>4</v>
      </c>
      <c r="E27" s="184">
        <v>5</v>
      </c>
      <c r="F27" s="184">
        <v>5</v>
      </c>
      <c r="G27" s="184">
        <v>5</v>
      </c>
      <c r="H27" s="184">
        <v>4</v>
      </c>
      <c r="I27" s="184"/>
      <c r="J27" s="184"/>
      <c r="K27" s="184"/>
      <c r="L27" s="184"/>
      <c r="M27" s="184"/>
      <c r="N27" s="184"/>
      <c r="O27" s="184"/>
      <c r="P27" s="184"/>
      <c r="Q27" s="184"/>
      <c r="R27" s="183">
        <f t="shared" si="1"/>
        <v>28</v>
      </c>
      <c r="S27" s="219">
        <f t="shared" si="0"/>
        <v>4.666666666666667</v>
      </c>
      <c r="T27" s="187"/>
    </row>
    <row r="28" spans="1:20" ht="50.4" customHeight="1" x14ac:dyDescent="0.3">
      <c r="A28" s="183">
        <v>18</v>
      </c>
      <c r="B28" s="226" t="s">
        <v>365</v>
      </c>
      <c r="C28" s="184">
        <v>3</v>
      </c>
      <c r="D28" s="184">
        <v>3</v>
      </c>
      <c r="E28" s="184">
        <v>3</v>
      </c>
      <c r="F28" s="184">
        <v>4</v>
      </c>
      <c r="G28" s="184">
        <v>4</v>
      </c>
      <c r="H28" s="184">
        <v>4</v>
      </c>
      <c r="I28" s="184"/>
      <c r="J28" s="184"/>
      <c r="K28" s="184"/>
      <c r="L28" s="184"/>
      <c r="M28" s="184"/>
      <c r="N28" s="184"/>
      <c r="O28" s="184"/>
      <c r="P28" s="184"/>
      <c r="Q28" s="184"/>
      <c r="R28" s="183">
        <f t="shared" si="1"/>
        <v>21</v>
      </c>
      <c r="S28" s="219">
        <f t="shared" si="0"/>
        <v>3.5</v>
      </c>
      <c r="T28" s="187"/>
    </row>
    <row r="29" spans="1:20" ht="70.8" customHeight="1" x14ac:dyDescent="0.3">
      <c r="A29" s="183">
        <v>19</v>
      </c>
      <c r="B29" s="227" t="s">
        <v>369</v>
      </c>
      <c r="C29" s="184">
        <v>3</v>
      </c>
      <c r="D29" s="184">
        <v>3</v>
      </c>
      <c r="E29" s="184">
        <v>3</v>
      </c>
      <c r="F29" s="184">
        <v>3</v>
      </c>
      <c r="G29" s="184">
        <v>3</v>
      </c>
      <c r="H29" s="184">
        <v>3</v>
      </c>
      <c r="I29" s="184"/>
      <c r="J29" s="184"/>
      <c r="K29" s="184"/>
      <c r="L29" s="184"/>
      <c r="M29" s="184"/>
      <c r="N29" s="184"/>
      <c r="O29" s="184"/>
      <c r="P29" s="184"/>
      <c r="Q29" s="184"/>
      <c r="R29" s="183">
        <f t="shared" si="1"/>
        <v>18</v>
      </c>
      <c r="S29" s="219">
        <f t="shared" si="0"/>
        <v>3</v>
      </c>
      <c r="T29" s="187"/>
    </row>
    <row r="30" spans="1:20" ht="72" customHeight="1" thickBot="1" x14ac:dyDescent="0.35">
      <c r="A30" s="183">
        <v>20</v>
      </c>
      <c r="B30" s="227" t="s">
        <v>372</v>
      </c>
      <c r="C30" s="184">
        <v>3</v>
      </c>
      <c r="D30" s="184">
        <v>3</v>
      </c>
      <c r="E30" s="184">
        <v>3</v>
      </c>
      <c r="F30" s="184">
        <v>3</v>
      </c>
      <c r="G30" s="184">
        <v>3</v>
      </c>
      <c r="H30" s="184">
        <v>3</v>
      </c>
      <c r="I30" s="184"/>
      <c r="J30" s="184"/>
      <c r="K30" s="184"/>
      <c r="L30" s="184"/>
      <c r="M30" s="184"/>
      <c r="N30" s="184"/>
      <c r="O30" s="184"/>
      <c r="P30" s="184"/>
      <c r="Q30" s="184"/>
      <c r="R30" s="183">
        <f t="shared" si="1"/>
        <v>18</v>
      </c>
      <c r="S30" s="219">
        <f t="shared" si="0"/>
        <v>3</v>
      </c>
      <c r="T30" s="187"/>
    </row>
    <row r="31" spans="1:20" ht="73.2" customHeight="1" thickBot="1" x14ac:dyDescent="0.35">
      <c r="A31" s="183">
        <v>21</v>
      </c>
      <c r="B31" s="228" t="s">
        <v>376</v>
      </c>
      <c r="C31" s="184">
        <v>5</v>
      </c>
      <c r="D31" s="184">
        <v>4</v>
      </c>
      <c r="E31" s="184">
        <v>5</v>
      </c>
      <c r="F31" s="184">
        <v>4</v>
      </c>
      <c r="G31" s="184">
        <v>5</v>
      </c>
      <c r="H31" s="184">
        <v>4</v>
      </c>
      <c r="I31" s="184"/>
      <c r="J31" s="184"/>
      <c r="K31" s="184"/>
      <c r="L31" s="184"/>
      <c r="M31" s="184"/>
      <c r="N31" s="184"/>
      <c r="O31" s="184"/>
      <c r="P31" s="184"/>
      <c r="Q31" s="184"/>
      <c r="R31" s="183">
        <f t="shared" si="1"/>
        <v>27</v>
      </c>
      <c r="S31" s="219">
        <f t="shared" si="0"/>
        <v>4.5</v>
      </c>
      <c r="T31" s="187"/>
    </row>
    <row r="32" spans="1:20" ht="58.2" customHeight="1" x14ac:dyDescent="0.3">
      <c r="A32" s="183">
        <v>22</v>
      </c>
      <c r="B32" s="228" t="s">
        <v>381</v>
      </c>
      <c r="C32" s="184">
        <v>3</v>
      </c>
      <c r="D32" s="184">
        <v>3</v>
      </c>
      <c r="E32" s="184">
        <v>2</v>
      </c>
      <c r="F32" s="184">
        <v>3</v>
      </c>
      <c r="G32" s="184">
        <v>2</v>
      </c>
      <c r="H32" s="184">
        <v>3</v>
      </c>
      <c r="I32" s="184"/>
      <c r="J32" s="184"/>
      <c r="K32" s="184"/>
      <c r="L32" s="184"/>
      <c r="M32" s="184"/>
      <c r="N32" s="184"/>
      <c r="O32" s="184"/>
      <c r="P32" s="184"/>
      <c r="Q32" s="184"/>
      <c r="R32" s="183">
        <f t="shared" si="1"/>
        <v>16</v>
      </c>
      <c r="S32" s="188">
        <f t="shared" si="0"/>
        <v>2.6666666666666665</v>
      </c>
      <c r="T32" s="187"/>
    </row>
    <row r="33" spans="1:20" ht="112.8" customHeight="1" x14ac:dyDescent="0.3">
      <c r="A33" s="183">
        <v>23</v>
      </c>
      <c r="B33" s="227" t="s">
        <v>384</v>
      </c>
      <c r="C33" s="184">
        <v>4</v>
      </c>
      <c r="D33" s="184">
        <v>4</v>
      </c>
      <c r="E33" s="184">
        <v>4</v>
      </c>
      <c r="F33" s="184">
        <v>4</v>
      </c>
      <c r="G33" s="184">
        <v>5</v>
      </c>
      <c r="H33" s="184">
        <v>5</v>
      </c>
      <c r="I33" s="184"/>
      <c r="J33" s="184"/>
      <c r="K33" s="184"/>
      <c r="L33" s="184"/>
      <c r="M33" s="184"/>
      <c r="N33" s="184"/>
      <c r="O33" s="184"/>
      <c r="P33" s="184"/>
      <c r="Q33" s="184"/>
      <c r="R33" s="183">
        <f t="shared" si="1"/>
        <v>26</v>
      </c>
      <c r="S33" s="188">
        <f t="shared" si="0"/>
        <v>4.333333333333333</v>
      </c>
      <c r="T33" s="187"/>
    </row>
    <row r="34" spans="1:20" ht="70.8" customHeight="1" x14ac:dyDescent="0.3">
      <c r="A34" s="183">
        <v>24</v>
      </c>
      <c r="B34" s="227" t="s">
        <v>389</v>
      </c>
      <c r="C34" s="184">
        <v>4</v>
      </c>
      <c r="D34" s="184">
        <v>4</v>
      </c>
      <c r="E34" s="184">
        <v>4</v>
      </c>
      <c r="F34" s="184">
        <v>4</v>
      </c>
      <c r="G34" s="184">
        <v>4</v>
      </c>
      <c r="H34" s="184">
        <v>4</v>
      </c>
      <c r="I34" s="184"/>
      <c r="J34" s="184"/>
      <c r="K34" s="184"/>
      <c r="L34" s="184"/>
      <c r="M34" s="184"/>
      <c r="N34" s="184"/>
      <c r="O34" s="184"/>
      <c r="P34" s="184"/>
      <c r="Q34" s="184"/>
      <c r="R34" s="183">
        <f t="shared" si="1"/>
        <v>24</v>
      </c>
      <c r="S34" s="188">
        <f t="shared" si="0"/>
        <v>4</v>
      </c>
      <c r="T34" s="187"/>
    </row>
    <row r="35" spans="1:20" ht="44.25" customHeight="1" x14ac:dyDescent="0.3">
      <c r="A35" s="183">
        <v>25</v>
      </c>
      <c r="B35" s="156"/>
      <c r="C35" s="184"/>
      <c r="D35" s="184"/>
      <c r="E35" s="184"/>
      <c r="F35" s="184"/>
      <c r="G35" s="184"/>
      <c r="H35" s="184"/>
      <c r="I35" s="184"/>
      <c r="J35" s="184"/>
      <c r="K35" s="184"/>
      <c r="L35" s="184"/>
      <c r="M35" s="184"/>
      <c r="N35" s="184"/>
      <c r="O35" s="184"/>
      <c r="P35" s="184"/>
      <c r="Q35" s="184"/>
      <c r="R35" s="183">
        <f t="shared" ref="R35:R39" si="2">SUM(C35:Q35)</f>
        <v>0</v>
      </c>
      <c r="S35" s="188">
        <f t="shared" ref="S35:S39" si="3">IF(ISERROR(AVERAGE(C35:Q35)),0,AVERAGE(C35:Q35))</f>
        <v>0</v>
      </c>
      <c r="T35" s="187"/>
    </row>
    <row r="36" spans="1:20" ht="42.75" customHeight="1" x14ac:dyDescent="0.3">
      <c r="A36" s="183">
        <v>26</v>
      </c>
      <c r="B36" s="156"/>
      <c r="C36" s="184"/>
      <c r="D36" s="184"/>
      <c r="E36" s="184"/>
      <c r="F36" s="184"/>
      <c r="G36" s="184"/>
      <c r="H36" s="184"/>
      <c r="I36" s="184"/>
      <c r="J36" s="184"/>
      <c r="K36" s="184"/>
      <c r="L36" s="184"/>
      <c r="M36" s="184"/>
      <c r="N36" s="184"/>
      <c r="O36" s="184"/>
      <c r="P36" s="184"/>
      <c r="Q36" s="184"/>
      <c r="R36" s="183">
        <f t="shared" si="2"/>
        <v>0</v>
      </c>
      <c r="S36" s="188">
        <f t="shared" si="3"/>
        <v>0</v>
      </c>
      <c r="T36" s="187"/>
    </row>
    <row r="37" spans="1:20" ht="42" customHeight="1" x14ac:dyDescent="0.3">
      <c r="A37" s="183">
        <v>27</v>
      </c>
      <c r="B37" s="156"/>
      <c r="C37" s="184"/>
      <c r="D37" s="184"/>
      <c r="E37" s="184"/>
      <c r="F37" s="184"/>
      <c r="G37" s="184"/>
      <c r="H37" s="184"/>
      <c r="I37" s="184"/>
      <c r="J37" s="184"/>
      <c r="K37" s="184"/>
      <c r="L37" s="184"/>
      <c r="M37" s="184"/>
      <c r="N37" s="184"/>
      <c r="O37" s="184"/>
      <c r="P37" s="184"/>
      <c r="Q37" s="184"/>
      <c r="R37" s="183">
        <f t="shared" si="2"/>
        <v>0</v>
      </c>
      <c r="S37" s="188">
        <f t="shared" si="3"/>
        <v>0</v>
      </c>
      <c r="T37" s="187"/>
    </row>
    <row r="38" spans="1:20" ht="42.75" customHeight="1" x14ac:dyDescent="0.3">
      <c r="A38" s="183">
        <v>28</v>
      </c>
      <c r="B38" s="156"/>
      <c r="C38" s="184"/>
      <c r="D38" s="184"/>
      <c r="E38" s="184"/>
      <c r="F38" s="184"/>
      <c r="G38" s="184"/>
      <c r="H38" s="184"/>
      <c r="I38" s="184"/>
      <c r="J38" s="184"/>
      <c r="K38" s="184"/>
      <c r="L38" s="184"/>
      <c r="M38" s="184"/>
      <c r="N38" s="184"/>
      <c r="O38" s="184"/>
      <c r="P38" s="184"/>
      <c r="Q38" s="184"/>
      <c r="R38" s="183">
        <f t="shared" si="2"/>
        <v>0</v>
      </c>
      <c r="S38" s="188">
        <f t="shared" si="3"/>
        <v>0</v>
      </c>
      <c r="T38" s="187"/>
    </row>
    <row r="39" spans="1:20" ht="47.25" customHeight="1" x14ac:dyDescent="0.3">
      <c r="A39" s="183">
        <v>29</v>
      </c>
      <c r="B39" s="156"/>
      <c r="C39" s="184"/>
      <c r="D39" s="184"/>
      <c r="E39" s="184"/>
      <c r="F39" s="184"/>
      <c r="G39" s="184"/>
      <c r="H39" s="184"/>
      <c r="I39" s="184"/>
      <c r="J39" s="184"/>
      <c r="K39" s="184"/>
      <c r="L39" s="184"/>
      <c r="M39" s="184"/>
      <c r="N39" s="184"/>
      <c r="O39" s="184"/>
      <c r="P39" s="184"/>
      <c r="Q39" s="184"/>
      <c r="R39" s="183">
        <f t="shared" si="2"/>
        <v>0</v>
      </c>
      <c r="S39" s="188">
        <f t="shared" si="3"/>
        <v>0</v>
      </c>
      <c r="T39" s="187"/>
    </row>
    <row r="40" spans="1:20" ht="50.25" customHeight="1" thickBot="1" x14ac:dyDescent="0.35">
      <c r="A40" s="189">
        <v>30</v>
      </c>
      <c r="B40" s="190"/>
      <c r="C40" s="191"/>
      <c r="D40" s="191"/>
      <c r="E40" s="191"/>
      <c r="F40" s="191"/>
      <c r="G40" s="191"/>
      <c r="H40" s="191"/>
      <c r="I40" s="191"/>
      <c r="J40" s="191"/>
      <c r="K40" s="191"/>
      <c r="L40" s="191"/>
      <c r="M40" s="191"/>
      <c r="N40" s="191"/>
      <c r="O40" s="191"/>
      <c r="P40" s="191"/>
      <c r="Q40" s="191"/>
      <c r="R40" s="189">
        <f>SUM(C40:Q40)</f>
        <v>0</v>
      </c>
      <c r="S40" s="192">
        <f>IF(ISERROR(AVERAGE(C40:Q40)),0,AVERAGE(C40:Q40))</f>
        <v>0</v>
      </c>
      <c r="T40" s="193"/>
    </row>
    <row r="41" spans="1:20" ht="24" customHeight="1" x14ac:dyDescent="0.3">
      <c r="A41" s="352" t="s">
        <v>246</v>
      </c>
      <c r="B41" s="353"/>
      <c r="C41" s="353"/>
      <c r="D41" s="353"/>
      <c r="E41" s="353"/>
      <c r="F41" s="353"/>
      <c r="G41" s="353"/>
      <c r="H41" s="353"/>
      <c r="I41" s="353"/>
      <c r="J41" s="353"/>
      <c r="K41" s="353"/>
      <c r="L41" s="353"/>
      <c r="M41" s="353"/>
      <c r="N41" s="353"/>
      <c r="O41" s="353"/>
      <c r="P41" s="353"/>
      <c r="Q41" s="353"/>
      <c r="R41" s="354"/>
      <c r="S41" s="194">
        <f>SUM(S11:S40)</f>
        <v>89.333333333333329</v>
      </c>
    </row>
    <row r="42" spans="1:20" ht="28.5" customHeight="1" thickBot="1" x14ac:dyDescent="0.35">
      <c r="A42" s="340" t="s">
        <v>244</v>
      </c>
      <c r="B42" s="341"/>
      <c r="C42" s="341"/>
      <c r="D42" s="341"/>
      <c r="E42" s="341"/>
      <c r="F42" s="341"/>
      <c r="G42" s="341"/>
      <c r="H42" s="341"/>
      <c r="I42" s="341"/>
      <c r="J42" s="341"/>
      <c r="K42" s="341"/>
      <c r="L42" s="341"/>
      <c r="M42" s="341"/>
      <c r="N42" s="341"/>
      <c r="O42" s="341"/>
      <c r="P42" s="341"/>
      <c r="Q42" s="341"/>
      <c r="R42" s="341"/>
      <c r="S42" s="195">
        <f>S41/A34</f>
        <v>3.7222222222222219</v>
      </c>
    </row>
  </sheetData>
  <mergeCells count="14">
    <mergeCell ref="A1:B4"/>
    <mergeCell ref="A42:R42"/>
    <mergeCell ref="T1:W1"/>
    <mergeCell ref="T2:W2"/>
    <mergeCell ref="T3:W3"/>
    <mergeCell ref="T4:W4"/>
    <mergeCell ref="A5:T5"/>
    <mergeCell ref="A6:T6"/>
    <mergeCell ref="A7:T7"/>
    <mergeCell ref="A9:T9"/>
    <mergeCell ref="A41:R41"/>
    <mergeCell ref="C1:R2"/>
    <mergeCell ref="C3:R4"/>
    <mergeCell ref="S1:S4"/>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0" xr:uid="{00000000-0002-0000-0200-000000000000}">
      <formula1>1</formula1>
      <formula2>5</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2"/>
  <sheetViews>
    <sheetView zoomScale="85" zoomScaleNormal="85" workbookViewId="0">
      <selection activeCell="B26" sqref="B26:B42"/>
    </sheetView>
  </sheetViews>
  <sheetFormatPr baseColWidth="10" defaultColWidth="11.44140625" defaultRowHeight="13.8" x14ac:dyDescent="0.25"/>
  <cols>
    <col min="1" max="1" width="12.88671875" style="148" customWidth="1"/>
    <col min="2" max="2" width="12" style="148" customWidth="1"/>
    <col min="3" max="3" width="23.6640625" style="148" customWidth="1"/>
    <col min="4" max="4" width="23" style="148" customWidth="1"/>
    <col min="5" max="5" width="38" style="148" customWidth="1"/>
    <col min="6" max="6" width="30.33203125" style="148" customWidth="1"/>
    <col min="7" max="7" width="18.33203125" style="148" customWidth="1"/>
    <col min="8" max="8" width="15.5546875" style="148" customWidth="1"/>
    <col min="9" max="9" width="19.33203125" style="148" customWidth="1"/>
    <col min="10" max="10" width="14.5546875" style="148" customWidth="1"/>
    <col min="11" max="16384" width="11.44140625" style="148"/>
  </cols>
  <sheetData>
    <row r="1" spans="1:14" ht="15" customHeight="1" x14ac:dyDescent="0.25">
      <c r="A1" s="449"/>
      <c r="B1" s="355"/>
      <c r="C1" s="317" t="s">
        <v>416</v>
      </c>
      <c r="D1" s="317"/>
      <c r="E1" s="317"/>
      <c r="F1" s="317"/>
      <c r="G1" s="317"/>
      <c r="H1" s="342" t="s">
        <v>260</v>
      </c>
      <c r="I1" s="342"/>
      <c r="J1" s="446"/>
      <c r="K1" s="147"/>
      <c r="N1" s="320"/>
    </row>
    <row r="2" spans="1:14" ht="15" customHeight="1" x14ac:dyDescent="0.25">
      <c r="A2" s="450"/>
      <c r="B2" s="356"/>
      <c r="C2" s="317"/>
      <c r="D2" s="317"/>
      <c r="E2" s="317"/>
      <c r="F2" s="317"/>
      <c r="G2" s="317"/>
      <c r="H2" s="344" t="s">
        <v>417</v>
      </c>
      <c r="I2" s="344"/>
      <c r="J2" s="447"/>
      <c r="K2" s="147"/>
      <c r="N2" s="320"/>
    </row>
    <row r="3" spans="1:14" ht="15" customHeight="1" x14ac:dyDescent="0.25">
      <c r="A3" s="450"/>
      <c r="B3" s="356"/>
      <c r="C3" s="317" t="s">
        <v>247</v>
      </c>
      <c r="D3" s="317"/>
      <c r="E3" s="317"/>
      <c r="F3" s="317"/>
      <c r="G3" s="317"/>
      <c r="H3" s="344" t="s">
        <v>262</v>
      </c>
      <c r="I3" s="344"/>
      <c r="J3" s="447"/>
      <c r="K3" s="147"/>
      <c r="N3" s="320"/>
    </row>
    <row r="4" spans="1:14" ht="15.75" customHeight="1" x14ac:dyDescent="0.25">
      <c r="A4" s="451"/>
      <c r="B4" s="357"/>
      <c r="C4" s="317"/>
      <c r="D4" s="317"/>
      <c r="E4" s="317"/>
      <c r="F4" s="317"/>
      <c r="G4" s="317"/>
      <c r="H4" s="344" t="s">
        <v>418</v>
      </c>
      <c r="I4" s="344"/>
      <c r="J4" s="448"/>
      <c r="K4" s="147"/>
      <c r="N4" s="320"/>
    </row>
    <row r="5" spans="1:14" ht="15.75" customHeight="1" x14ac:dyDescent="0.25">
      <c r="A5" s="416"/>
      <c r="B5" s="417"/>
      <c r="C5" s="417"/>
      <c r="D5" s="417"/>
      <c r="E5" s="417"/>
      <c r="F5" s="417"/>
      <c r="G5" s="417"/>
      <c r="H5" s="417"/>
      <c r="I5" s="417"/>
      <c r="J5" s="418"/>
      <c r="K5" s="147"/>
      <c r="N5" s="149"/>
    </row>
    <row r="6" spans="1:14" ht="15" customHeight="1" x14ac:dyDescent="0.25">
      <c r="A6" s="419" t="str">
        <f>[1]CONTEXTO!A8</f>
        <v>PROCESO: GESTIÓN JURÍDICA</v>
      </c>
      <c r="B6" s="420"/>
      <c r="C6" s="420"/>
      <c r="D6" s="420"/>
      <c r="E6" s="420"/>
      <c r="F6" s="420"/>
      <c r="G6" s="420"/>
      <c r="H6" s="420"/>
      <c r="I6" s="420"/>
      <c r="J6" s="421"/>
    </row>
    <row r="7" spans="1:14" ht="32.25" customHeight="1" thickBot="1" x14ac:dyDescent="0.3">
      <c r="A7" s="422"/>
      <c r="B7" s="423"/>
      <c r="C7" s="423"/>
      <c r="D7" s="423"/>
      <c r="E7" s="423"/>
      <c r="F7" s="423"/>
      <c r="G7" s="423"/>
      <c r="H7" s="423"/>
      <c r="I7" s="423"/>
      <c r="J7" s="424"/>
    </row>
    <row r="8" spans="1:14" ht="23.25" customHeight="1" x14ac:dyDescent="0.25">
      <c r="A8" s="425" t="s">
        <v>248</v>
      </c>
      <c r="B8" s="425"/>
      <c r="C8" s="425"/>
      <c r="D8" s="425"/>
      <c r="E8" s="426" t="s">
        <v>219</v>
      </c>
      <c r="F8" s="427"/>
      <c r="G8" s="427"/>
      <c r="H8" s="427"/>
      <c r="I8" s="427"/>
      <c r="J8" s="428"/>
    </row>
    <row r="9" spans="1:14" ht="23.25" customHeight="1" x14ac:dyDescent="0.25">
      <c r="A9" s="425"/>
      <c r="B9" s="425"/>
      <c r="C9" s="425"/>
      <c r="D9" s="425"/>
      <c r="E9" s="429" t="s">
        <v>249</v>
      </c>
      <c r="F9" s="429"/>
      <c r="G9" s="429" t="s">
        <v>250</v>
      </c>
      <c r="H9" s="429"/>
      <c r="I9" s="429"/>
      <c r="J9" s="429"/>
    </row>
    <row r="10" spans="1:14" ht="23.25" customHeight="1" x14ac:dyDescent="0.3">
      <c r="A10" s="425"/>
      <c r="B10" s="425"/>
      <c r="C10" s="425"/>
      <c r="D10" s="425"/>
      <c r="E10" s="386" t="s">
        <v>251</v>
      </c>
      <c r="F10" s="386"/>
      <c r="G10" s="430" t="s">
        <v>252</v>
      </c>
      <c r="H10" s="431"/>
      <c r="I10" s="431"/>
      <c r="J10" s="432"/>
    </row>
    <row r="11" spans="1:14" ht="79.2" customHeight="1" x14ac:dyDescent="0.25">
      <c r="A11" s="425"/>
      <c r="B11" s="425"/>
      <c r="C11" s="425"/>
      <c r="D11" s="425"/>
      <c r="E11" s="433" t="s">
        <v>283</v>
      </c>
      <c r="F11" s="434"/>
      <c r="G11" s="379" t="s">
        <v>284</v>
      </c>
      <c r="H11" s="380"/>
      <c r="I11" s="380"/>
      <c r="J11" s="381"/>
    </row>
    <row r="12" spans="1:14" ht="110.4" customHeight="1" x14ac:dyDescent="0.25">
      <c r="A12" s="425"/>
      <c r="B12" s="425"/>
      <c r="C12" s="425"/>
      <c r="D12" s="425"/>
      <c r="E12" s="441" t="s">
        <v>285</v>
      </c>
      <c r="F12" s="442"/>
      <c r="G12" s="443" t="s">
        <v>286</v>
      </c>
      <c r="H12" s="444"/>
      <c r="I12" s="444"/>
      <c r="J12" s="445"/>
    </row>
    <row r="13" spans="1:14" ht="43.5" customHeight="1" x14ac:dyDescent="0.25">
      <c r="A13" s="425"/>
      <c r="B13" s="425"/>
      <c r="C13" s="425"/>
      <c r="D13" s="425"/>
      <c r="E13" s="433" t="s">
        <v>287</v>
      </c>
      <c r="F13" s="434"/>
      <c r="G13" s="379" t="s">
        <v>288</v>
      </c>
      <c r="H13" s="380"/>
      <c r="I13" s="380"/>
      <c r="J13" s="381"/>
    </row>
    <row r="14" spans="1:14" ht="75" customHeight="1" x14ac:dyDescent="0.25">
      <c r="A14" s="425"/>
      <c r="B14" s="425"/>
      <c r="C14" s="425"/>
      <c r="D14" s="425"/>
      <c r="E14" s="359" t="s">
        <v>289</v>
      </c>
      <c r="F14" s="360"/>
      <c r="G14" s="435" t="s">
        <v>290</v>
      </c>
      <c r="H14" s="436"/>
      <c r="I14" s="436"/>
      <c r="J14" s="437"/>
    </row>
    <row r="15" spans="1:14" ht="49.5" customHeight="1" x14ac:dyDescent="0.25">
      <c r="A15" s="425"/>
      <c r="B15" s="425"/>
      <c r="C15" s="425"/>
      <c r="D15" s="425"/>
      <c r="E15" s="401" t="s">
        <v>291</v>
      </c>
      <c r="F15" s="402"/>
      <c r="G15" s="379" t="s">
        <v>292</v>
      </c>
      <c r="H15" s="380"/>
      <c r="I15" s="380"/>
      <c r="J15" s="381"/>
    </row>
    <row r="16" spans="1:14" ht="49.5" customHeight="1" x14ac:dyDescent="0.25">
      <c r="A16" s="425"/>
      <c r="B16" s="425"/>
      <c r="C16" s="425"/>
      <c r="D16" s="425"/>
      <c r="E16" s="401" t="s">
        <v>293</v>
      </c>
      <c r="F16" s="402"/>
      <c r="G16" s="435" t="s">
        <v>294</v>
      </c>
      <c r="H16" s="436"/>
      <c r="I16" s="436"/>
      <c r="J16" s="437"/>
    </row>
    <row r="17" spans="1:10" ht="54.75" customHeight="1" x14ac:dyDescent="0.25">
      <c r="A17" s="425"/>
      <c r="B17" s="425"/>
      <c r="C17" s="425"/>
      <c r="D17" s="425"/>
      <c r="E17" s="401" t="s">
        <v>295</v>
      </c>
      <c r="F17" s="402"/>
      <c r="G17" s="438" t="s">
        <v>296</v>
      </c>
      <c r="H17" s="439"/>
      <c r="I17" s="439"/>
      <c r="J17" s="440"/>
    </row>
    <row r="18" spans="1:10" ht="64.2" customHeight="1" x14ac:dyDescent="0.25">
      <c r="A18" s="425"/>
      <c r="B18" s="425"/>
      <c r="C18" s="425"/>
      <c r="D18" s="425"/>
      <c r="E18" s="401" t="s">
        <v>297</v>
      </c>
      <c r="F18" s="402"/>
      <c r="G18" s="379" t="s">
        <v>298</v>
      </c>
      <c r="H18" s="380"/>
      <c r="I18" s="380"/>
      <c r="J18" s="381"/>
    </row>
    <row r="19" spans="1:10" ht="54.75" customHeight="1" x14ac:dyDescent="0.25">
      <c r="A19" s="425"/>
      <c r="B19" s="425"/>
      <c r="C19" s="425"/>
      <c r="D19" s="425"/>
      <c r="E19" s="401" t="s">
        <v>299</v>
      </c>
      <c r="F19" s="402"/>
      <c r="G19" s="443" t="s">
        <v>300</v>
      </c>
      <c r="H19" s="444"/>
      <c r="I19" s="444"/>
      <c r="J19" s="445"/>
    </row>
    <row r="20" spans="1:10" ht="59.25" customHeight="1" x14ac:dyDescent="0.25">
      <c r="A20" s="425"/>
      <c r="B20" s="425"/>
      <c r="C20" s="425"/>
      <c r="D20" s="425"/>
      <c r="E20" s="401" t="s">
        <v>301</v>
      </c>
      <c r="F20" s="402"/>
      <c r="G20" s="379" t="s">
        <v>302</v>
      </c>
      <c r="H20" s="380"/>
      <c r="I20" s="380"/>
      <c r="J20" s="381"/>
    </row>
    <row r="21" spans="1:10" ht="76.2" customHeight="1" x14ac:dyDescent="0.25">
      <c r="A21" s="425"/>
      <c r="B21" s="425"/>
      <c r="C21" s="425"/>
      <c r="D21" s="425"/>
      <c r="E21" s="401" t="s">
        <v>303</v>
      </c>
      <c r="F21" s="402"/>
      <c r="G21" s="379" t="s">
        <v>304</v>
      </c>
      <c r="H21" s="380"/>
      <c r="I21" s="380"/>
      <c r="J21" s="381"/>
    </row>
    <row r="22" spans="1:10" ht="49.5" customHeight="1" x14ac:dyDescent="0.25">
      <c r="A22" s="425"/>
      <c r="B22" s="425"/>
      <c r="C22" s="425"/>
      <c r="D22" s="425"/>
      <c r="E22" s="401"/>
      <c r="F22" s="402"/>
      <c r="G22" s="379" t="s">
        <v>305</v>
      </c>
      <c r="H22" s="380"/>
      <c r="I22" s="380"/>
      <c r="J22" s="381"/>
    </row>
    <row r="23" spans="1:10" ht="49.5" customHeight="1" x14ac:dyDescent="0.25">
      <c r="A23" s="425"/>
      <c r="B23" s="425"/>
      <c r="C23" s="425"/>
      <c r="D23" s="425"/>
      <c r="E23" s="401"/>
      <c r="F23" s="402"/>
      <c r="G23" s="398" t="s">
        <v>306</v>
      </c>
      <c r="H23" s="412"/>
      <c r="I23" s="412"/>
      <c r="J23" s="413"/>
    </row>
    <row r="24" spans="1:10" ht="49.5" customHeight="1" x14ac:dyDescent="0.25">
      <c r="A24" s="425"/>
      <c r="B24" s="425"/>
      <c r="C24" s="425"/>
      <c r="D24" s="425"/>
      <c r="E24" s="401"/>
      <c r="F24" s="402"/>
      <c r="G24" s="398" t="s">
        <v>307</v>
      </c>
      <c r="H24" s="412"/>
      <c r="I24" s="412"/>
      <c r="J24" s="413"/>
    </row>
    <row r="25" spans="1:10" ht="49.5" customHeight="1" x14ac:dyDescent="0.25">
      <c r="A25" s="425"/>
      <c r="B25" s="425"/>
      <c r="C25" s="425"/>
      <c r="D25" s="425"/>
      <c r="E25" s="401"/>
      <c r="F25" s="402"/>
      <c r="G25" s="398" t="s">
        <v>308</v>
      </c>
      <c r="H25" s="399"/>
      <c r="I25" s="399"/>
      <c r="J25" s="400"/>
    </row>
    <row r="26" spans="1:10" ht="51.75" customHeight="1" x14ac:dyDescent="0.25">
      <c r="A26" s="452" t="s">
        <v>217</v>
      </c>
      <c r="B26" s="452" t="s">
        <v>250</v>
      </c>
      <c r="C26" s="386" t="s">
        <v>253</v>
      </c>
      <c r="D26" s="386"/>
      <c r="E26" s="429" t="s">
        <v>254</v>
      </c>
      <c r="F26" s="386"/>
      <c r="G26" s="426" t="s">
        <v>255</v>
      </c>
      <c r="H26" s="453"/>
      <c r="I26" s="453"/>
      <c r="J26" s="454"/>
    </row>
    <row r="27" spans="1:10" ht="68.400000000000006" customHeight="1" x14ac:dyDescent="0.25">
      <c r="A27" s="452"/>
      <c r="B27" s="452"/>
      <c r="C27" s="379" t="s">
        <v>309</v>
      </c>
      <c r="D27" s="381"/>
      <c r="E27" s="410" t="s">
        <v>310</v>
      </c>
      <c r="F27" s="411"/>
      <c r="G27" s="398" t="s">
        <v>311</v>
      </c>
      <c r="H27" s="412"/>
      <c r="I27" s="412"/>
      <c r="J27" s="413"/>
    </row>
    <row r="28" spans="1:10" ht="51" customHeight="1" x14ac:dyDescent="0.25">
      <c r="A28" s="452"/>
      <c r="B28" s="452"/>
      <c r="C28" s="379" t="s">
        <v>312</v>
      </c>
      <c r="D28" s="381"/>
      <c r="E28" s="410" t="s">
        <v>313</v>
      </c>
      <c r="F28" s="360"/>
      <c r="G28" s="398" t="s">
        <v>314</v>
      </c>
      <c r="H28" s="399"/>
      <c r="I28" s="399"/>
      <c r="J28" s="400"/>
    </row>
    <row r="29" spans="1:10" ht="107.4" customHeight="1" x14ac:dyDescent="0.25">
      <c r="A29" s="452"/>
      <c r="B29" s="452"/>
      <c r="C29" s="398" t="s">
        <v>315</v>
      </c>
      <c r="D29" s="400"/>
      <c r="E29" s="414" t="s">
        <v>316</v>
      </c>
      <c r="F29" s="415"/>
      <c r="G29" s="398" t="s">
        <v>317</v>
      </c>
      <c r="H29" s="399"/>
      <c r="I29" s="399"/>
      <c r="J29" s="400"/>
    </row>
    <row r="30" spans="1:10" ht="49.5" customHeight="1" x14ac:dyDescent="0.25">
      <c r="A30" s="452"/>
      <c r="B30" s="452"/>
      <c r="C30" s="379" t="s">
        <v>318</v>
      </c>
      <c r="D30" s="381"/>
      <c r="E30" s="392" t="s">
        <v>319</v>
      </c>
      <c r="F30" s="394"/>
      <c r="G30" s="344" t="s">
        <v>320</v>
      </c>
      <c r="H30" s="409"/>
      <c r="I30" s="409"/>
      <c r="J30" s="409"/>
    </row>
    <row r="31" spans="1:10" ht="104.4" customHeight="1" x14ac:dyDescent="0.25">
      <c r="A31" s="452"/>
      <c r="B31" s="452"/>
      <c r="C31" s="379" t="s">
        <v>321</v>
      </c>
      <c r="D31" s="381"/>
      <c r="E31" s="359" t="s">
        <v>322</v>
      </c>
      <c r="F31" s="360"/>
      <c r="G31" s="344" t="s">
        <v>323</v>
      </c>
      <c r="H31" s="409"/>
      <c r="I31" s="409"/>
      <c r="J31" s="409"/>
    </row>
    <row r="32" spans="1:10" ht="73.2" customHeight="1" x14ac:dyDescent="0.25">
      <c r="A32" s="452"/>
      <c r="B32" s="452"/>
      <c r="C32" s="379" t="s">
        <v>324</v>
      </c>
      <c r="D32" s="381"/>
      <c r="E32" s="359" t="s">
        <v>325</v>
      </c>
      <c r="F32" s="360"/>
      <c r="G32" s="344" t="s">
        <v>326</v>
      </c>
      <c r="H32" s="409"/>
      <c r="I32" s="409"/>
      <c r="J32" s="409"/>
    </row>
    <row r="33" spans="1:10" ht="70.2" customHeight="1" x14ac:dyDescent="0.25">
      <c r="A33" s="452"/>
      <c r="B33" s="452"/>
      <c r="C33" s="379" t="s">
        <v>327</v>
      </c>
      <c r="D33" s="381"/>
      <c r="E33" s="410" t="s">
        <v>328</v>
      </c>
      <c r="F33" s="411"/>
      <c r="G33" s="398" t="s">
        <v>329</v>
      </c>
      <c r="H33" s="399"/>
      <c r="I33" s="399"/>
      <c r="J33" s="400"/>
    </row>
    <row r="34" spans="1:10" ht="75" customHeight="1" x14ac:dyDescent="0.25">
      <c r="A34" s="452"/>
      <c r="B34" s="452"/>
      <c r="C34" s="407" t="s">
        <v>330</v>
      </c>
      <c r="D34" s="408"/>
      <c r="E34" s="378" t="s">
        <v>331</v>
      </c>
      <c r="F34" s="378"/>
      <c r="G34" s="392" t="s">
        <v>332</v>
      </c>
      <c r="H34" s="393"/>
      <c r="I34" s="393"/>
      <c r="J34" s="394"/>
    </row>
    <row r="35" spans="1:10" ht="66.599999999999994" customHeight="1" x14ac:dyDescent="0.25">
      <c r="A35" s="452"/>
      <c r="B35" s="452"/>
      <c r="C35" s="379" t="s">
        <v>333</v>
      </c>
      <c r="D35" s="381"/>
      <c r="E35" s="359" t="s">
        <v>334</v>
      </c>
      <c r="F35" s="360"/>
      <c r="G35" s="398" t="s">
        <v>335</v>
      </c>
      <c r="H35" s="399"/>
      <c r="I35" s="399"/>
      <c r="J35" s="400"/>
    </row>
    <row r="36" spans="1:10" ht="97.2" customHeight="1" x14ac:dyDescent="0.25">
      <c r="A36" s="452"/>
      <c r="B36" s="452"/>
      <c r="C36" s="205"/>
      <c r="D36" s="206"/>
      <c r="E36" s="359" t="s">
        <v>393</v>
      </c>
      <c r="F36" s="360"/>
      <c r="G36" s="398" t="s">
        <v>336</v>
      </c>
      <c r="H36" s="399"/>
      <c r="I36" s="399"/>
      <c r="J36" s="400"/>
    </row>
    <row r="37" spans="1:10" ht="58.8" customHeight="1" x14ac:dyDescent="0.25">
      <c r="A37" s="452"/>
      <c r="B37" s="452"/>
      <c r="C37" s="205"/>
      <c r="D37" s="206"/>
      <c r="E37" s="201"/>
      <c r="F37" s="200"/>
      <c r="G37" s="398" t="s">
        <v>337</v>
      </c>
      <c r="H37" s="399"/>
      <c r="I37" s="399"/>
      <c r="J37" s="400"/>
    </row>
    <row r="38" spans="1:10" ht="41.25" customHeight="1" x14ac:dyDescent="0.25">
      <c r="A38" s="452"/>
      <c r="B38" s="452"/>
      <c r="C38" s="205"/>
      <c r="D38" s="206"/>
      <c r="E38" s="201"/>
      <c r="F38" s="200"/>
      <c r="G38" s="398" t="s">
        <v>338</v>
      </c>
      <c r="H38" s="399"/>
      <c r="I38" s="399"/>
      <c r="J38" s="400"/>
    </row>
    <row r="39" spans="1:10" ht="89.4" customHeight="1" x14ac:dyDescent="0.25">
      <c r="A39" s="452"/>
      <c r="B39" s="452"/>
      <c r="C39" s="205"/>
      <c r="D39" s="206"/>
      <c r="E39" s="201"/>
      <c r="F39" s="200"/>
      <c r="G39" s="392" t="s">
        <v>339</v>
      </c>
      <c r="H39" s="393"/>
      <c r="I39" s="393"/>
      <c r="J39" s="394"/>
    </row>
    <row r="40" spans="1:10" ht="76.8" customHeight="1" x14ac:dyDescent="0.25">
      <c r="A40" s="452"/>
      <c r="B40" s="452"/>
      <c r="C40" s="205"/>
      <c r="D40" s="206"/>
      <c r="E40" s="201"/>
      <c r="F40" s="200"/>
      <c r="G40" s="395" t="s">
        <v>340</v>
      </c>
      <c r="H40" s="396"/>
      <c r="I40" s="396"/>
      <c r="J40" s="397"/>
    </row>
    <row r="41" spans="1:10" ht="47.25" customHeight="1" x14ac:dyDescent="0.25">
      <c r="A41" s="452"/>
      <c r="B41" s="452"/>
      <c r="C41" s="205"/>
      <c r="D41" s="206"/>
      <c r="E41" s="201"/>
      <c r="F41" s="200"/>
      <c r="G41" s="395" t="s">
        <v>341</v>
      </c>
      <c r="H41" s="396"/>
      <c r="I41" s="396"/>
      <c r="J41" s="397"/>
    </row>
    <row r="42" spans="1:10" ht="49.5" customHeight="1" x14ac:dyDescent="0.25">
      <c r="A42" s="452"/>
      <c r="B42" s="452"/>
      <c r="C42" s="205"/>
      <c r="D42" s="206"/>
      <c r="E42" s="201"/>
      <c r="F42" s="200"/>
      <c r="G42" s="395" t="s">
        <v>342</v>
      </c>
      <c r="H42" s="396"/>
      <c r="I42" s="396"/>
      <c r="J42" s="397"/>
    </row>
    <row r="43" spans="1:10" ht="48" customHeight="1" x14ac:dyDescent="0.3">
      <c r="A43" s="452"/>
      <c r="B43" s="452" t="s">
        <v>249</v>
      </c>
      <c r="C43" s="386" t="s">
        <v>256</v>
      </c>
      <c r="D43" s="386"/>
      <c r="E43" s="387" t="s">
        <v>257</v>
      </c>
      <c r="F43" s="388"/>
      <c r="G43" s="389" t="s">
        <v>258</v>
      </c>
      <c r="H43" s="390"/>
      <c r="I43" s="390"/>
      <c r="J43" s="391"/>
    </row>
    <row r="44" spans="1:10" ht="63" customHeight="1" x14ac:dyDescent="0.25">
      <c r="A44" s="452"/>
      <c r="B44" s="452"/>
      <c r="C44" s="359" t="s">
        <v>343</v>
      </c>
      <c r="D44" s="360"/>
      <c r="E44" s="359" t="s">
        <v>344</v>
      </c>
      <c r="F44" s="360"/>
      <c r="G44" s="359" t="s">
        <v>345</v>
      </c>
      <c r="H44" s="374"/>
      <c r="I44" s="374"/>
      <c r="J44" s="360"/>
    </row>
    <row r="45" spans="1:10" ht="73.2" customHeight="1" x14ac:dyDescent="0.25">
      <c r="A45" s="452"/>
      <c r="B45" s="452"/>
      <c r="C45" s="401" t="s">
        <v>346</v>
      </c>
      <c r="D45" s="402"/>
      <c r="E45" s="382" t="s">
        <v>347</v>
      </c>
      <c r="F45" s="403"/>
      <c r="G45" s="404" t="s">
        <v>348</v>
      </c>
      <c r="H45" s="405"/>
      <c r="I45" s="405"/>
      <c r="J45" s="406"/>
    </row>
    <row r="46" spans="1:10" ht="98.4" customHeight="1" x14ac:dyDescent="0.25">
      <c r="A46" s="452"/>
      <c r="B46" s="452"/>
      <c r="C46" s="359" t="s">
        <v>408</v>
      </c>
      <c r="D46" s="360"/>
      <c r="E46" s="378" t="s">
        <v>349</v>
      </c>
      <c r="F46" s="378"/>
      <c r="G46" s="383" t="s">
        <v>350</v>
      </c>
      <c r="H46" s="384"/>
      <c r="I46" s="384"/>
      <c r="J46" s="385"/>
    </row>
    <row r="47" spans="1:10" ht="73.8" customHeight="1" x14ac:dyDescent="0.25">
      <c r="A47" s="452"/>
      <c r="B47" s="452"/>
      <c r="C47" s="367"/>
      <c r="D47" s="367"/>
      <c r="E47" s="378" t="s">
        <v>351</v>
      </c>
      <c r="F47" s="378"/>
      <c r="G47" s="379" t="s">
        <v>352</v>
      </c>
      <c r="H47" s="380"/>
      <c r="I47" s="380"/>
      <c r="J47" s="381"/>
    </row>
    <row r="48" spans="1:10" ht="52.5" customHeight="1" x14ac:dyDescent="0.25">
      <c r="A48" s="452"/>
      <c r="B48" s="452"/>
      <c r="C48" s="367"/>
      <c r="D48" s="367"/>
      <c r="E48" s="367"/>
      <c r="F48" s="367"/>
      <c r="G48" s="382" t="s">
        <v>353</v>
      </c>
      <c r="H48" s="380"/>
      <c r="I48" s="380"/>
      <c r="J48" s="381"/>
    </row>
    <row r="49" spans="1:10" ht="78" customHeight="1" x14ac:dyDescent="0.25">
      <c r="A49" s="452"/>
      <c r="B49" s="452"/>
      <c r="C49" s="367"/>
      <c r="D49" s="367"/>
      <c r="E49" s="367"/>
      <c r="F49" s="367"/>
      <c r="G49" s="377" t="s">
        <v>354</v>
      </c>
      <c r="H49" s="377"/>
      <c r="I49" s="377"/>
      <c r="J49" s="377"/>
    </row>
    <row r="50" spans="1:10" ht="83.4" customHeight="1" x14ac:dyDescent="0.25">
      <c r="A50" s="452"/>
      <c r="B50" s="452"/>
      <c r="C50" s="364"/>
      <c r="D50" s="365"/>
      <c r="E50" s="364"/>
      <c r="F50" s="365"/>
      <c r="G50" s="359" t="s">
        <v>355</v>
      </c>
      <c r="H50" s="374"/>
      <c r="I50" s="374"/>
      <c r="J50" s="360"/>
    </row>
    <row r="51" spans="1:10" ht="63" customHeight="1" x14ac:dyDescent="0.25">
      <c r="A51" s="452"/>
      <c r="B51" s="452"/>
      <c r="C51" s="364"/>
      <c r="D51" s="365"/>
      <c r="E51" s="364"/>
      <c r="F51" s="365"/>
      <c r="G51" s="359" t="s">
        <v>356</v>
      </c>
      <c r="H51" s="374"/>
      <c r="I51" s="374"/>
      <c r="J51" s="360"/>
    </row>
    <row r="52" spans="1:10" ht="71.400000000000006" customHeight="1" x14ac:dyDescent="0.25">
      <c r="A52" s="452"/>
      <c r="B52" s="452"/>
      <c r="C52" s="364"/>
      <c r="D52" s="365"/>
      <c r="E52" s="375"/>
      <c r="F52" s="376"/>
      <c r="G52" s="359" t="s">
        <v>357</v>
      </c>
      <c r="H52" s="374"/>
      <c r="I52" s="374"/>
      <c r="J52" s="360"/>
    </row>
    <row r="53" spans="1:10" ht="60" customHeight="1" x14ac:dyDescent="0.25">
      <c r="A53" s="452"/>
      <c r="B53" s="452"/>
      <c r="C53" s="364"/>
      <c r="D53" s="365"/>
      <c r="E53" s="364"/>
      <c r="F53" s="365"/>
      <c r="G53" s="368" t="s">
        <v>358</v>
      </c>
      <c r="H53" s="369"/>
      <c r="I53" s="369"/>
      <c r="J53" s="370"/>
    </row>
    <row r="54" spans="1:10" ht="48.75" customHeight="1" x14ac:dyDescent="0.25">
      <c r="A54" s="452"/>
      <c r="B54" s="452"/>
      <c r="C54" s="364"/>
      <c r="D54" s="365"/>
      <c r="E54" s="371"/>
      <c r="F54" s="372"/>
      <c r="G54" s="371"/>
      <c r="H54" s="373"/>
      <c r="I54" s="373"/>
      <c r="J54" s="372"/>
    </row>
    <row r="55" spans="1:10" x14ac:dyDescent="0.25">
      <c r="A55" s="452"/>
      <c r="B55" s="452"/>
      <c r="C55" s="364"/>
      <c r="D55" s="365"/>
      <c r="E55" s="364"/>
      <c r="F55" s="365"/>
      <c r="G55" s="364"/>
      <c r="H55" s="366"/>
      <c r="I55" s="366"/>
      <c r="J55" s="365"/>
    </row>
    <row r="56" spans="1:10" x14ac:dyDescent="0.25">
      <c r="A56" s="452"/>
      <c r="B56" s="452"/>
      <c r="C56" s="364"/>
      <c r="D56" s="365"/>
      <c r="E56" s="364"/>
      <c r="F56" s="365"/>
      <c r="G56" s="364"/>
      <c r="H56" s="366"/>
      <c r="I56" s="366"/>
      <c r="J56" s="365"/>
    </row>
    <row r="57" spans="1:10" x14ac:dyDescent="0.25">
      <c r="A57" s="452"/>
      <c r="B57" s="452"/>
      <c r="C57" s="367"/>
      <c r="D57" s="367"/>
      <c r="E57" s="367"/>
      <c r="F57" s="367"/>
      <c r="G57" s="367"/>
      <c r="H57" s="367"/>
      <c r="I57" s="367"/>
      <c r="J57" s="367"/>
    </row>
    <row r="58" spans="1:10" x14ac:dyDescent="0.25">
      <c r="A58" s="452"/>
      <c r="B58" s="452"/>
      <c r="C58" s="367"/>
      <c r="D58" s="367"/>
      <c r="E58" s="359"/>
      <c r="F58" s="360"/>
      <c r="G58" s="361"/>
      <c r="H58" s="362"/>
      <c r="I58" s="362"/>
      <c r="J58" s="363"/>
    </row>
    <row r="59" spans="1:10" x14ac:dyDescent="0.25">
      <c r="E59" s="358"/>
      <c r="F59" s="358"/>
      <c r="G59" s="358"/>
      <c r="H59" s="358"/>
      <c r="I59" s="358"/>
      <c r="J59" s="358"/>
    </row>
    <row r="60" spans="1:10" x14ac:dyDescent="0.25">
      <c r="E60" s="358"/>
      <c r="F60" s="358"/>
      <c r="G60" s="358"/>
      <c r="H60" s="358"/>
      <c r="I60" s="358"/>
      <c r="J60" s="358"/>
    </row>
    <row r="61" spans="1:10" x14ac:dyDescent="0.25">
      <c r="E61" s="358"/>
      <c r="F61" s="358"/>
      <c r="G61" s="358"/>
      <c r="H61" s="358"/>
      <c r="I61" s="358"/>
      <c r="J61" s="358"/>
    </row>
    <row r="62" spans="1:10" x14ac:dyDescent="0.25">
      <c r="E62" s="358"/>
      <c r="F62" s="358"/>
      <c r="G62" s="358"/>
      <c r="H62" s="358"/>
      <c r="I62" s="358"/>
      <c r="J62" s="358"/>
    </row>
    <row r="63" spans="1:10" x14ac:dyDescent="0.25">
      <c r="E63" s="358"/>
      <c r="F63" s="358"/>
      <c r="G63" s="358"/>
      <c r="H63" s="358"/>
      <c r="I63" s="358"/>
      <c r="J63" s="358"/>
    </row>
    <row r="64" spans="1:10" x14ac:dyDescent="0.25">
      <c r="E64" s="358"/>
      <c r="F64" s="358"/>
      <c r="G64" s="358"/>
      <c r="H64" s="358"/>
      <c r="I64" s="358"/>
      <c r="J64" s="358"/>
    </row>
    <row r="65" spans="5:10" x14ac:dyDescent="0.25">
      <c r="E65" s="358"/>
      <c r="F65" s="358"/>
      <c r="G65" s="358"/>
      <c r="H65" s="358"/>
      <c r="I65" s="358"/>
      <c r="J65" s="358"/>
    </row>
    <row r="66" spans="5:10" x14ac:dyDescent="0.25">
      <c r="E66" s="358"/>
      <c r="F66" s="358"/>
      <c r="G66" s="358"/>
      <c r="H66" s="358"/>
      <c r="I66" s="358"/>
      <c r="J66" s="358"/>
    </row>
    <row r="67" spans="5:10" x14ac:dyDescent="0.25">
      <c r="E67" s="358"/>
      <c r="F67" s="358"/>
      <c r="G67" s="358"/>
      <c r="H67" s="358"/>
      <c r="I67" s="358"/>
      <c r="J67" s="358"/>
    </row>
    <row r="68" spans="5:10" x14ac:dyDescent="0.25">
      <c r="E68" s="358"/>
      <c r="F68" s="358"/>
      <c r="G68" s="358"/>
      <c r="H68" s="358"/>
      <c r="I68" s="358"/>
      <c r="J68" s="358"/>
    </row>
    <row r="69" spans="5:10" x14ac:dyDescent="0.25">
      <c r="E69" s="358"/>
      <c r="F69" s="358"/>
      <c r="G69" s="358"/>
      <c r="H69" s="358"/>
      <c r="I69" s="358"/>
      <c r="J69" s="358"/>
    </row>
    <row r="70" spans="5:10" x14ac:dyDescent="0.25">
      <c r="E70" s="358"/>
      <c r="F70" s="358"/>
      <c r="G70" s="358"/>
      <c r="H70" s="358"/>
      <c r="I70" s="358"/>
      <c r="J70" s="358"/>
    </row>
    <row r="71" spans="5:10" x14ac:dyDescent="0.25">
      <c r="E71" s="358"/>
      <c r="F71" s="358"/>
      <c r="G71" s="358"/>
      <c r="H71" s="358"/>
      <c r="I71" s="358"/>
      <c r="J71" s="358"/>
    </row>
    <row r="72" spans="5:10" x14ac:dyDescent="0.25">
      <c r="E72" s="358"/>
      <c r="F72" s="358"/>
      <c r="G72" s="358"/>
      <c r="H72" s="358"/>
      <c r="I72" s="358"/>
      <c r="J72" s="358"/>
    </row>
    <row r="73" spans="5:10" x14ac:dyDescent="0.25">
      <c r="E73" s="358"/>
      <c r="F73" s="358"/>
      <c r="G73" s="358"/>
      <c r="H73" s="358"/>
      <c r="I73" s="358"/>
      <c r="J73" s="358"/>
    </row>
    <row r="74" spans="5:10" x14ac:dyDescent="0.25">
      <c r="E74" s="358"/>
      <c r="F74" s="358"/>
      <c r="G74" s="358"/>
      <c r="H74" s="358"/>
      <c r="I74" s="358"/>
      <c r="J74" s="358"/>
    </row>
    <row r="75" spans="5:10" x14ac:dyDescent="0.25">
      <c r="E75" s="358"/>
      <c r="F75" s="358"/>
      <c r="G75" s="358"/>
      <c r="H75" s="358"/>
      <c r="I75" s="358"/>
      <c r="J75" s="358"/>
    </row>
    <row r="76" spans="5:10" x14ac:dyDescent="0.25">
      <c r="E76" s="358"/>
      <c r="F76" s="358"/>
      <c r="G76" s="358"/>
      <c r="H76" s="358"/>
      <c r="I76" s="358"/>
      <c r="J76" s="358"/>
    </row>
    <row r="77" spans="5:10" x14ac:dyDescent="0.25">
      <c r="E77" s="358"/>
      <c r="F77" s="358"/>
      <c r="G77" s="358"/>
      <c r="H77" s="358"/>
      <c r="I77" s="358"/>
      <c r="J77" s="358"/>
    </row>
    <row r="78" spans="5:10" x14ac:dyDescent="0.25">
      <c r="E78" s="358"/>
      <c r="F78" s="358"/>
      <c r="G78" s="358"/>
      <c r="H78" s="358"/>
      <c r="I78" s="358"/>
      <c r="J78" s="358"/>
    </row>
    <row r="79" spans="5:10" x14ac:dyDescent="0.25">
      <c r="E79" s="358"/>
      <c r="F79" s="358"/>
      <c r="G79" s="358"/>
      <c r="H79" s="358"/>
      <c r="I79" s="358"/>
      <c r="J79" s="358"/>
    </row>
    <row r="80" spans="5:10" x14ac:dyDescent="0.25">
      <c r="E80" s="358"/>
      <c r="F80" s="358"/>
      <c r="G80" s="358"/>
      <c r="H80" s="358"/>
      <c r="I80" s="358"/>
      <c r="J80" s="358"/>
    </row>
    <row r="81" spans="5:10" x14ac:dyDescent="0.25">
      <c r="E81" s="358"/>
      <c r="F81" s="358"/>
      <c r="G81" s="358"/>
      <c r="H81" s="358"/>
      <c r="I81" s="358"/>
      <c r="J81" s="358"/>
    </row>
    <row r="82" spans="5:10" x14ac:dyDescent="0.25">
      <c r="E82" s="358"/>
      <c r="F82" s="358"/>
      <c r="G82" s="358"/>
      <c r="H82" s="358"/>
      <c r="I82" s="358"/>
      <c r="J82" s="358"/>
    </row>
    <row r="83" spans="5:10" x14ac:dyDescent="0.25">
      <c r="E83" s="358"/>
      <c r="F83" s="358"/>
      <c r="G83" s="358"/>
      <c r="H83" s="358"/>
      <c r="I83" s="358"/>
      <c r="J83" s="358"/>
    </row>
    <row r="84" spans="5:10" x14ac:dyDescent="0.25">
      <c r="E84" s="358"/>
      <c r="F84" s="358"/>
      <c r="G84" s="358"/>
      <c r="H84" s="358"/>
      <c r="I84" s="358"/>
      <c r="J84" s="358"/>
    </row>
    <row r="85" spans="5:10" x14ac:dyDescent="0.25">
      <c r="E85" s="358"/>
      <c r="F85" s="358"/>
      <c r="G85" s="358"/>
      <c r="H85" s="358"/>
      <c r="I85" s="358"/>
      <c r="J85" s="358"/>
    </row>
    <row r="86" spans="5:10" x14ac:dyDescent="0.25">
      <c r="E86" s="358"/>
      <c r="F86" s="358"/>
      <c r="G86" s="358"/>
      <c r="H86" s="358"/>
      <c r="I86" s="358"/>
      <c r="J86" s="358"/>
    </row>
    <row r="87" spans="5:10" x14ac:dyDescent="0.25">
      <c r="E87" s="358"/>
      <c r="F87" s="358"/>
      <c r="G87" s="358"/>
      <c r="H87" s="358"/>
      <c r="I87" s="358"/>
      <c r="J87" s="358"/>
    </row>
    <row r="88" spans="5:10" x14ac:dyDescent="0.25">
      <c r="E88" s="358"/>
      <c r="F88" s="358"/>
      <c r="G88" s="358"/>
      <c r="H88" s="358"/>
      <c r="I88" s="358"/>
      <c r="J88" s="358"/>
    </row>
    <row r="89" spans="5:10" x14ac:dyDescent="0.25">
      <c r="E89" s="358"/>
      <c r="F89" s="358"/>
      <c r="G89" s="358"/>
      <c r="H89" s="358"/>
      <c r="I89" s="358"/>
      <c r="J89" s="358"/>
    </row>
    <row r="90" spans="5:10" x14ac:dyDescent="0.25">
      <c r="E90" s="358"/>
      <c r="F90" s="358"/>
      <c r="G90" s="358"/>
      <c r="H90" s="358"/>
      <c r="I90" s="358"/>
      <c r="J90" s="358"/>
    </row>
    <row r="91" spans="5:10" x14ac:dyDescent="0.25">
      <c r="E91" s="358"/>
      <c r="F91" s="358"/>
      <c r="G91" s="358"/>
      <c r="H91" s="358"/>
      <c r="I91" s="358"/>
      <c r="J91" s="358"/>
    </row>
    <row r="92" spans="5:10" x14ac:dyDescent="0.25">
      <c r="E92" s="358"/>
      <c r="F92" s="358"/>
      <c r="G92" s="358"/>
      <c r="H92" s="358"/>
      <c r="I92" s="358"/>
      <c r="J92" s="358"/>
    </row>
    <row r="93" spans="5:10" x14ac:dyDescent="0.25">
      <c r="E93" s="358"/>
      <c r="F93" s="358"/>
      <c r="G93" s="358"/>
      <c r="H93" s="358"/>
      <c r="I93" s="358"/>
      <c r="J93" s="358"/>
    </row>
    <row r="94" spans="5:10" x14ac:dyDescent="0.25">
      <c r="E94" s="358"/>
      <c r="F94" s="358"/>
      <c r="G94" s="358"/>
      <c r="H94" s="358"/>
      <c r="I94" s="358"/>
      <c r="J94" s="358"/>
    </row>
    <row r="95" spans="5:10" x14ac:dyDescent="0.25">
      <c r="E95" s="358"/>
      <c r="F95" s="358"/>
      <c r="G95" s="358"/>
      <c r="H95" s="358"/>
      <c r="I95" s="358"/>
      <c r="J95" s="358"/>
    </row>
    <row r="96" spans="5:10" x14ac:dyDescent="0.25">
      <c r="E96" s="358"/>
      <c r="F96" s="358"/>
      <c r="G96" s="358"/>
      <c r="H96" s="358"/>
      <c r="I96" s="358"/>
      <c r="J96" s="358"/>
    </row>
    <row r="97" spans="5:10" x14ac:dyDescent="0.25">
      <c r="E97" s="358"/>
      <c r="F97" s="358"/>
      <c r="G97" s="358"/>
      <c r="H97" s="358"/>
      <c r="I97" s="358"/>
      <c r="J97" s="358"/>
    </row>
    <row r="98" spans="5:10" x14ac:dyDescent="0.25">
      <c r="E98" s="358"/>
      <c r="F98" s="358"/>
      <c r="G98" s="358"/>
      <c r="H98" s="358"/>
      <c r="I98" s="358"/>
      <c r="J98" s="358"/>
    </row>
    <row r="99" spans="5:10" x14ac:dyDescent="0.25">
      <c r="E99" s="358"/>
      <c r="F99" s="358"/>
      <c r="G99" s="358"/>
      <c r="H99" s="358"/>
      <c r="I99" s="358"/>
      <c r="J99" s="358"/>
    </row>
    <row r="100" spans="5:10" x14ac:dyDescent="0.25">
      <c r="E100" s="358"/>
      <c r="F100" s="358"/>
      <c r="G100" s="358"/>
      <c r="H100" s="358"/>
      <c r="I100" s="358"/>
      <c r="J100" s="358"/>
    </row>
    <row r="101" spans="5:10" x14ac:dyDescent="0.25">
      <c r="E101" s="358"/>
      <c r="F101" s="358"/>
      <c r="G101" s="358"/>
      <c r="H101" s="358"/>
      <c r="I101" s="358"/>
      <c r="J101" s="358"/>
    </row>
    <row r="102" spans="5:10" x14ac:dyDescent="0.25">
      <c r="E102" s="358"/>
      <c r="F102" s="358"/>
      <c r="G102" s="358"/>
      <c r="H102" s="358"/>
      <c r="I102" s="358"/>
      <c r="J102" s="358"/>
    </row>
    <row r="103" spans="5:10" x14ac:dyDescent="0.25">
      <c r="E103" s="358"/>
      <c r="F103" s="358"/>
      <c r="G103" s="358"/>
      <c r="H103" s="358"/>
      <c r="I103" s="358"/>
      <c r="J103" s="358"/>
    </row>
    <row r="104" spans="5:10" x14ac:dyDescent="0.25">
      <c r="E104" s="358"/>
      <c r="F104" s="358"/>
      <c r="G104" s="358"/>
      <c r="H104" s="358"/>
      <c r="I104" s="358"/>
      <c r="J104" s="358"/>
    </row>
    <row r="105" spans="5:10" x14ac:dyDescent="0.25">
      <c r="E105" s="358"/>
      <c r="F105" s="358"/>
      <c r="G105" s="358"/>
      <c r="H105" s="358"/>
      <c r="I105" s="358"/>
      <c r="J105" s="358"/>
    </row>
    <row r="106" spans="5:10" x14ac:dyDescent="0.25">
      <c r="E106" s="358"/>
      <c r="F106" s="358"/>
      <c r="G106" s="358"/>
      <c r="H106" s="358"/>
      <c r="I106" s="358"/>
      <c r="J106" s="358"/>
    </row>
    <row r="107" spans="5:10" x14ac:dyDescent="0.25">
      <c r="E107" s="358"/>
      <c r="F107" s="358"/>
      <c r="G107" s="358"/>
      <c r="H107" s="358"/>
      <c r="I107" s="358"/>
      <c r="J107" s="358"/>
    </row>
    <row r="108" spans="5:10" x14ac:dyDescent="0.25">
      <c r="E108" s="358"/>
      <c r="F108" s="358"/>
      <c r="G108" s="358"/>
      <c r="H108" s="358"/>
      <c r="I108" s="358"/>
      <c r="J108" s="358"/>
    </row>
    <row r="109" spans="5:10" x14ac:dyDescent="0.25">
      <c r="E109" s="358"/>
      <c r="F109" s="358"/>
      <c r="G109" s="358"/>
      <c r="H109" s="358"/>
      <c r="I109" s="358"/>
      <c r="J109" s="358"/>
    </row>
    <row r="110" spans="5:10" x14ac:dyDescent="0.25">
      <c r="E110" s="358"/>
      <c r="F110" s="358"/>
      <c r="G110" s="358"/>
      <c r="H110" s="358"/>
      <c r="I110" s="358"/>
      <c r="J110" s="358"/>
    </row>
    <row r="111" spans="5:10" x14ac:dyDescent="0.25">
      <c r="E111" s="358"/>
      <c r="F111" s="358"/>
      <c r="G111" s="358"/>
      <c r="H111" s="358"/>
      <c r="I111" s="358"/>
      <c r="J111" s="358"/>
    </row>
    <row r="112" spans="5:10" x14ac:dyDescent="0.25">
      <c r="E112" s="358"/>
      <c r="F112" s="358"/>
      <c r="G112" s="358"/>
      <c r="H112" s="358"/>
      <c r="I112" s="358"/>
      <c r="J112" s="358"/>
    </row>
    <row r="113" spans="5:10" x14ac:dyDescent="0.25">
      <c r="E113" s="358"/>
      <c r="F113" s="358"/>
      <c r="G113" s="358"/>
      <c r="H113" s="358"/>
      <c r="I113" s="358"/>
      <c r="J113" s="358"/>
    </row>
    <row r="114" spans="5:10" x14ac:dyDescent="0.25">
      <c r="E114" s="358"/>
      <c r="F114" s="358"/>
      <c r="G114" s="358"/>
      <c r="H114" s="358"/>
      <c r="I114" s="358"/>
      <c r="J114" s="358"/>
    </row>
    <row r="115" spans="5:10" x14ac:dyDescent="0.25">
      <c r="E115" s="358"/>
      <c r="F115" s="358"/>
      <c r="G115" s="358"/>
      <c r="H115" s="358"/>
      <c r="I115" s="358"/>
      <c r="J115" s="358"/>
    </row>
    <row r="116" spans="5:10" x14ac:dyDescent="0.25">
      <c r="E116" s="358"/>
      <c r="F116" s="358"/>
      <c r="G116" s="358"/>
      <c r="H116" s="358"/>
      <c r="I116" s="358"/>
      <c r="J116" s="358"/>
    </row>
    <row r="117" spans="5:10" x14ac:dyDescent="0.25">
      <c r="E117" s="358"/>
      <c r="F117" s="358"/>
      <c r="G117" s="358"/>
      <c r="H117" s="358"/>
      <c r="I117" s="358"/>
      <c r="J117" s="358"/>
    </row>
    <row r="118" spans="5:10" x14ac:dyDescent="0.25">
      <c r="E118" s="358"/>
      <c r="F118" s="358"/>
      <c r="G118" s="358"/>
      <c r="H118" s="358"/>
      <c r="I118" s="358"/>
      <c r="J118" s="358"/>
    </row>
    <row r="119" spans="5:10" x14ac:dyDescent="0.25">
      <c r="E119" s="358"/>
      <c r="F119" s="358"/>
      <c r="G119" s="358"/>
      <c r="H119" s="358"/>
      <c r="I119" s="358"/>
      <c r="J119" s="358"/>
    </row>
    <row r="120" spans="5:10" x14ac:dyDescent="0.25">
      <c r="E120" s="358"/>
      <c r="F120" s="358"/>
      <c r="G120" s="358"/>
      <c r="H120" s="358"/>
      <c r="I120" s="358"/>
      <c r="J120" s="358"/>
    </row>
    <row r="121" spans="5:10" x14ac:dyDescent="0.25">
      <c r="E121" s="358"/>
      <c r="F121" s="358"/>
      <c r="G121" s="358"/>
      <c r="H121" s="358"/>
      <c r="I121" s="358"/>
      <c r="J121" s="358"/>
    </row>
    <row r="122" spans="5:10" x14ac:dyDescent="0.25">
      <c r="E122" s="358"/>
      <c r="F122" s="358"/>
      <c r="G122" s="358"/>
      <c r="H122" s="358"/>
      <c r="I122" s="358"/>
      <c r="J122" s="358"/>
    </row>
    <row r="123" spans="5:10" x14ac:dyDescent="0.25">
      <c r="E123" s="358"/>
      <c r="F123" s="358"/>
      <c r="G123" s="358"/>
      <c r="H123" s="358"/>
      <c r="I123" s="358"/>
      <c r="J123" s="358"/>
    </row>
    <row r="124" spans="5:10" x14ac:dyDescent="0.25">
      <c r="E124" s="358"/>
      <c r="F124" s="358"/>
      <c r="G124" s="358"/>
      <c r="H124" s="358"/>
      <c r="I124" s="358"/>
      <c r="J124" s="358"/>
    </row>
    <row r="125" spans="5:10" x14ac:dyDescent="0.25">
      <c r="E125" s="358"/>
      <c r="F125" s="358"/>
      <c r="G125" s="358"/>
      <c r="H125" s="358"/>
      <c r="I125" s="358"/>
      <c r="J125" s="358"/>
    </row>
    <row r="126" spans="5:10" x14ac:dyDescent="0.25">
      <c r="E126" s="358"/>
      <c r="F126" s="358"/>
      <c r="G126" s="358"/>
      <c r="H126" s="358"/>
      <c r="I126" s="358"/>
      <c r="J126" s="358"/>
    </row>
    <row r="127" spans="5:10" x14ac:dyDescent="0.25">
      <c r="E127" s="358"/>
      <c r="F127" s="358"/>
      <c r="G127" s="358"/>
      <c r="H127" s="358"/>
      <c r="I127" s="358"/>
      <c r="J127" s="358"/>
    </row>
    <row r="128" spans="5:10" x14ac:dyDescent="0.25">
      <c r="E128" s="358"/>
      <c r="F128" s="358"/>
      <c r="G128" s="358"/>
      <c r="H128" s="358"/>
      <c r="I128" s="358"/>
      <c r="J128" s="358"/>
    </row>
    <row r="129" spans="5:10" x14ac:dyDescent="0.25">
      <c r="E129" s="358"/>
      <c r="F129" s="358"/>
      <c r="G129" s="358"/>
      <c r="H129" s="358"/>
      <c r="I129" s="358"/>
      <c r="J129" s="358"/>
    </row>
    <row r="130" spans="5:10" x14ac:dyDescent="0.25">
      <c r="E130" s="358"/>
      <c r="F130" s="358"/>
      <c r="G130" s="358"/>
      <c r="H130" s="358"/>
      <c r="I130" s="358"/>
      <c r="J130" s="358"/>
    </row>
    <row r="131" spans="5:10" x14ac:dyDescent="0.25">
      <c r="E131" s="358"/>
      <c r="F131" s="358"/>
      <c r="G131" s="358"/>
      <c r="H131" s="358"/>
      <c r="I131" s="358"/>
      <c r="J131" s="358"/>
    </row>
    <row r="132" spans="5:10" x14ac:dyDescent="0.25">
      <c r="E132" s="358"/>
      <c r="F132" s="358"/>
      <c r="G132" s="358"/>
      <c r="H132" s="358"/>
      <c r="I132" s="358"/>
      <c r="J132" s="358"/>
    </row>
  </sheetData>
  <mergeCells count="284">
    <mergeCell ref="G23:J23"/>
    <mergeCell ref="G24:J24"/>
    <mergeCell ref="E25:F25"/>
    <mergeCell ref="G25:J25"/>
    <mergeCell ref="C26:D26"/>
    <mergeCell ref="E26:F26"/>
    <mergeCell ref="G26:J26"/>
    <mergeCell ref="C27:D27"/>
    <mergeCell ref="C30:D30"/>
    <mergeCell ref="E30:F30"/>
    <mergeCell ref="G30:J30"/>
    <mergeCell ref="A1:B4"/>
    <mergeCell ref="A26:A58"/>
    <mergeCell ref="B26:B42"/>
    <mergeCell ref="B43:B58"/>
    <mergeCell ref="C55:D55"/>
    <mergeCell ref="C56:D56"/>
    <mergeCell ref="C57:D57"/>
    <mergeCell ref="C58:D58"/>
    <mergeCell ref="E23:F23"/>
    <mergeCell ref="C31:D31"/>
    <mergeCell ref="E31:F31"/>
    <mergeCell ref="H1:I1"/>
    <mergeCell ref="E13:F13"/>
    <mergeCell ref="G13:J13"/>
    <mergeCell ref="E14:F14"/>
    <mergeCell ref="G14:J14"/>
    <mergeCell ref="E21:F21"/>
    <mergeCell ref="G21:J21"/>
    <mergeCell ref="E22:F22"/>
    <mergeCell ref="G22:J22"/>
    <mergeCell ref="E18:F18"/>
    <mergeCell ref="G18:J18"/>
    <mergeCell ref="E19:F19"/>
    <mergeCell ref="G19:J19"/>
    <mergeCell ref="E20:F20"/>
    <mergeCell ref="J1:J4"/>
    <mergeCell ref="C3:G4"/>
    <mergeCell ref="C1:G2"/>
    <mergeCell ref="N1:N4"/>
    <mergeCell ref="H2:I2"/>
    <mergeCell ref="H3:I3"/>
    <mergeCell ref="H4:I4"/>
    <mergeCell ref="A5:J5"/>
    <mergeCell ref="A6:J7"/>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G20:J20"/>
    <mergeCell ref="E24:F24"/>
    <mergeCell ref="G31:J31"/>
    <mergeCell ref="E27:F27"/>
    <mergeCell ref="G27:J27"/>
    <mergeCell ref="C28:D28"/>
    <mergeCell ref="E28:F28"/>
    <mergeCell ref="G28:J28"/>
    <mergeCell ref="C29:D29"/>
    <mergeCell ref="E29:F29"/>
    <mergeCell ref="G29:J29"/>
    <mergeCell ref="C34:D34"/>
    <mergeCell ref="E34:F34"/>
    <mergeCell ref="G34:J34"/>
    <mergeCell ref="C35:D35"/>
    <mergeCell ref="E35:F35"/>
    <mergeCell ref="G35:J35"/>
    <mergeCell ref="C32:D32"/>
    <mergeCell ref="E32:F32"/>
    <mergeCell ref="G32:J32"/>
    <mergeCell ref="C33:D33"/>
    <mergeCell ref="E33:F33"/>
    <mergeCell ref="G33:J33"/>
    <mergeCell ref="G39:J39"/>
    <mergeCell ref="G40:J40"/>
    <mergeCell ref="E36:F36"/>
    <mergeCell ref="G36:J36"/>
    <mergeCell ref="G37:J37"/>
    <mergeCell ref="G41:J41"/>
    <mergeCell ref="G42:J42"/>
    <mergeCell ref="G38:J38"/>
    <mergeCell ref="C45:D45"/>
    <mergeCell ref="E45:F45"/>
    <mergeCell ref="G45:J45"/>
    <mergeCell ref="C46:D46"/>
    <mergeCell ref="E46:F46"/>
    <mergeCell ref="G46:J46"/>
    <mergeCell ref="C43:D43"/>
    <mergeCell ref="E43:F43"/>
    <mergeCell ref="G43:J43"/>
    <mergeCell ref="C44:D44"/>
    <mergeCell ref="E44:F44"/>
    <mergeCell ref="G44:J44"/>
    <mergeCell ref="C49:D49"/>
    <mergeCell ref="E49:F49"/>
    <mergeCell ref="G49:J49"/>
    <mergeCell ref="C50:D50"/>
    <mergeCell ref="E50:F50"/>
    <mergeCell ref="G50:J50"/>
    <mergeCell ref="C47:D47"/>
    <mergeCell ref="E47:F47"/>
    <mergeCell ref="G47:J47"/>
    <mergeCell ref="C48:D48"/>
    <mergeCell ref="E48:F48"/>
    <mergeCell ref="G48:J48"/>
    <mergeCell ref="C53:D53"/>
    <mergeCell ref="E53:F53"/>
    <mergeCell ref="G53:J53"/>
    <mergeCell ref="C54:D54"/>
    <mergeCell ref="E54:F54"/>
    <mergeCell ref="G54:J54"/>
    <mergeCell ref="C51:D51"/>
    <mergeCell ref="E51:F51"/>
    <mergeCell ref="G51:J51"/>
    <mergeCell ref="C52:D52"/>
    <mergeCell ref="E52:F52"/>
    <mergeCell ref="G52:J52"/>
    <mergeCell ref="E58:F58"/>
    <mergeCell ref="G58:J58"/>
    <mergeCell ref="E59:F59"/>
    <mergeCell ref="G59:J59"/>
    <mergeCell ref="E60:F60"/>
    <mergeCell ref="G60:J60"/>
    <mergeCell ref="E55:F55"/>
    <mergeCell ref="G55:J55"/>
    <mergeCell ref="E56:F56"/>
    <mergeCell ref="G56:J56"/>
    <mergeCell ref="E57:F57"/>
    <mergeCell ref="G57:J57"/>
    <mergeCell ref="E64:F64"/>
    <mergeCell ref="G64:J64"/>
    <mergeCell ref="E65:F65"/>
    <mergeCell ref="G65:J65"/>
    <mergeCell ref="E66:F66"/>
    <mergeCell ref="G66:J66"/>
    <mergeCell ref="E61:F61"/>
    <mergeCell ref="G61:J61"/>
    <mergeCell ref="E62:F62"/>
    <mergeCell ref="G62:J62"/>
    <mergeCell ref="E63:F63"/>
    <mergeCell ref="G63:J63"/>
    <mergeCell ref="E70:F70"/>
    <mergeCell ref="G70:J70"/>
    <mergeCell ref="E71:F71"/>
    <mergeCell ref="G71:J71"/>
    <mergeCell ref="E72:F72"/>
    <mergeCell ref="G72:J72"/>
    <mergeCell ref="E67:F67"/>
    <mergeCell ref="G67:J67"/>
    <mergeCell ref="E68:F68"/>
    <mergeCell ref="G68:J68"/>
    <mergeCell ref="E69:F69"/>
    <mergeCell ref="G69:J69"/>
    <mergeCell ref="E76:F76"/>
    <mergeCell ref="G76:J76"/>
    <mergeCell ref="E77:F77"/>
    <mergeCell ref="G77:J77"/>
    <mergeCell ref="E78:F78"/>
    <mergeCell ref="G78:J78"/>
    <mergeCell ref="E73:F73"/>
    <mergeCell ref="G73:J73"/>
    <mergeCell ref="E74:F74"/>
    <mergeCell ref="G74:J74"/>
    <mergeCell ref="E75:F75"/>
    <mergeCell ref="G75:J75"/>
    <mergeCell ref="E82:F82"/>
    <mergeCell ref="G82:J82"/>
    <mergeCell ref="E83:F83"/>
    <mergeCell ref="G83:J83"/>
    <mergeCell ref="E84:F84"/>
    <mergeCell ref="G84:J84"/>
    <mergeCell ref="E79:F79"/>
    <mergeCell ref="G79:J79"/>
    <mergeCell ref="E80:F80"/>
    <mergeCell ref="G80:J80"/>
    <mergeCell ref="E81:F81"/>
    <mergeCell ref="G81:J81"/>
    <mergeCell ref="E88:F88"/>
    <mergeCell ref="G88:J88"/>
    <mergeCell ref="E89:F89"/>
    <mergeCell ref="G89:J89"/>
    <mergeCell ref="E90:F90"/>
    <mergeCell ref="G90:J90"/>
    <mergeCell ref="E85:F85"/>
    <mergeCell ref="G85:J85"/>
    <mergeCell ref="E86:F86"/>
    <mergeCell ref="G86:J86"/>
    <mergeCell ref="E87:F87"/>
    <mergeCell ref="G87:J87"/>
    <mergeCell ref="E94:F94"/>
    <mergeCell ref="G94:J94"/>
    <mergeCell ref="E95:F95"/>
    <mergeCell ref="G95:J95"/>
    <mergeCell ref="E96:F96"/>
    <mergeCell ref="G96:J96"/>
    <mergeCell ref="E91:F91"/>
    <mergeCell ref="G91:J91"/>
    <mergeCell ref="E92:F92"/>
    <mergeCell ref="G92:J92"/>
    <mergeCell ref="E93:F93"/>
    <mergeCell ref="G93:J93"/>
    <mergeCell ref="E100:F100"/>
    <mergeCell ref="G100:J100"/>
    <mergeCell ref="E101:F101"/>
    <mergeCell ref="G101:J101"/>
    <mergeCell ref="E102:F102"/>
    <mergeCell ref="G102:J102"/>
    <mergeCell ref="E97:F97"/>
    <mergeCell ref="G97:J97"/>
    <mergeCell ref="E98:F98"/>
    <mergeCell ref="G98:J98"/>
    <mergeCell ref="E99:F99"/>
    <mergeCell ref="G99:J99"/>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12:F112"/>
    <mergeCell ref="G112:J112"/>
    <mergeCell ref="E113:F113"/>
    <mergeCell ref="G113:J113"/>
    <mergeCell ref="E114:F114"/>
    <mergeCell ref="G114:J114"/>
    <mergeCell ref="E109:F109"/>
    <mergeCell ref="G109:J109"/>
    <mergeCell ref="E110:F110"/>
    <mergeCell ref="G110:J110"/>
    <mergeCell ref="E111:F111"/>
    <mergeCell ref="G111:J111"/>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24:F124"/>
    <mergeCell ref="G124:J124"/>
    <mergeCell ref="E125:F125"/>
    <mergeCell ref="G125:J125"/>
    <mergeCell ref="E126:F126"/>
    <mergeCell ref="G126:J126"/>
    <mergeCell ref="E121:F121"/>
    <mergeCell ref="G121:J121"/>
    <mergeCell ref="E122:F122"/>
    <mergeCell ref="G122:J122"/>
    <mergeCell ref="E123:F123"/>
    <mergeCell ref="G123:J123"/>
    <mergeCell ref="E130:F130"/>
    <mergeCell ref="G130:J130"/>
    <mergeCell ref="E131:F131"/>
    <mergeCell ref="G131:J131"/>
    <mergeCell ref="E132:F132"/>
    <mergeCell ref="G132:J132"/>
    <mergeCell ref="E127:F127"/>
    <mergeCell ref="G127:J127"/>
    <mergeCell ref="E128:F128"/>
    <mergeCell ref="G128:J128"/>
    <mergeCell ref="E129:F129"/>
    <mergeCell ref="G129:J1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P62"/>
  <sheetViews>
    <sheetView tabSelected="1" zoomScale="25" zoomScaleNormal="25" zoomScaleSheetLayoutView="25" workbookViewId="0">
      <selection activeCell="AH10" sqref="AH10"/>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58.8867187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66" style="1" customWidth="1"/>
    <col min="35" max="35" width="18.88671875" style="1" customWidth="1"/>
    <col min="36" max="36" width="16.88671875" style="1" customWidth="1"/>
    <col min="37" max="37" width="14.88671875" style="1" customWidth="1"/>
    <col min="38" max="38" width="18.5546875" style="1" customWidth="1"/>
    <col min="39" max="39" width="21" style="1" customWidth="1"/>
    <col min="40" max="40" width="104.44140625" style="1" customWidth="1"/>
    <col min="41" max="16384" width="11.44140625" style="1"/>
  </cols>
  <sheetData>
    <row r="1" spans="1:68" ht="16.5" customHeight="1" x14ac:dyDescent="0.25">
      <c r="A1" s="483" t="s">
        <v>139</v>
      </c>
      <c r="B1" s="484"/>
      <c r="C1" s="484"/>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c r="AF1" s="484"/>
      <c r="AG1" s="484"/>
      <c r="AH1" s="484"/>
      <c r="AI1" s="484"/>
      <c r="AJ1" s="484"/>
      <c r="AK1" s="484"/>
      <c r="AL1" s="484"/>
      <c r="AM1" s="485"/>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25">
      <c r="A2" s="486"/>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25">
      <c r="A4" s="522" t="s">
        <v>43</v>
      </c>
      <c r="B4" s="523"/>
      <c r="C4" s="455" t="s">
        <v>265</v>
      </c>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25">
      <c r="A5" s="522" t="s">
        <v>125</v>
      </c>
      <c r="B5" s="523"/>
      <c r="C5" s="456" t="s">
        <v>266</v>
      </c>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25">
      <c r="A6" s="522" t="s">
        <v>44</v>
      </c>
      <c r="B6" s="523"/>
      <c r="C6" s="456" t="s">
        <v>267</v>
      </c>
      <c r="D6" s="456"/>
      <c r="E6" s="456"/>
      <c r="F6" s="456"/>
      <c r="G6" s="456"/>
      <c r="H6" s="456"/>
      <c r="I6" s="456"/>
      <c r="J6" s="456"/>
      <c r="K6" s="456"/>
      <c r="L6" s="456"/>
      <c r="M6" s="456"/>
      <c r="N6" s="456"/>
      <c r="O6" s="456"/>
      <c r="P6" s="456"/>
      <c r="Q6" s="456"/>
      <c r="R6" s="456"/>
      <c r="S6" s="456"/>
      <c r="T6" s="456"/>
      <c r="U6" s="456"/>
      <c r="V6" s="456"/>
      <c r="W6" s="456"/>
      <c r="X6" s="456"/>
      <c r="Y6" s="456"/>
      <c r="Z6" s="456"/>
      <c r="AA6" s="456"/>
      <c r="AB6" s="456"/>
      <c r="AC6" s="456"/>
      <c r="AD6" s="456"/>
      <c r="AE6" s="456"/>
      <c r="AF6" s="456"/>
      <c r="AG6" s="456"/>
      <c r="AH6" s="456"/>
      <c r="AI6" s="456"/>
      <c r="AJ6" s="456"/>
      <c r="AK6" s="456"/>
      <c r="AL6" s="456"/>
      <c r="AM6" s="456"/>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25">
      <c r="A7" s="489" t="s">
        <v>134</v>
      </c>
      <c r="B7" s="490"/>
      <c r="C7" s="491"/>
      <c r="D7" s="491"/>
      <c r="E7" s="491"/>
      <c r="F7" s="491"/>
      <c r="G7" s="491"/>
      <c r="H7" s="491"/>
      <c r="I7" s="491"/>
      <c r="J7" s="492"/>
      <c r="K7" s="493" t="s">
        <v>135</v>
      </c>
      <c r="L7" s="491"/>
      <c r="M7" s="491"/>
      <c r="N7" s="491"/>
      <c r="O7" s="491"/>
      <c r="P7" s="491"/>
      <c r="Q7" s="492"/>
      <c r="R7" s="493" t="s">
        <v>136</v>
      </c>
      <c r="S7" s="491"/>
      <c r="T7" s="491"/>
      <c r="U7" s="491"/>
      <c r="V7" s="491"/>
      <c r="W7" s="491"/>
      <c r="X7" s="491"/>
      <c r="Y7" s="491"/>
      <c r="Z7" s="492"/>
      <c r="AA7" s="493" t="s">
        <v>137</v>
      </c>
      <c r="AB7" s="491"/>
      <c r="AC7" s="491"/>
      <c r="AD7" s="491"/>
      <c r="AE7" s="491"/>
      <c r="AF7" s="491"/>
      <c r="AG7" s="492"/>
      <c r="AH7" s="493" t="s">
        <v>34</v>
      </c>
      <c r="AI7" s="491"/>
      <c r="AJ7" s="491"/>
      <c r="AK7" s="491"/>
      <c r="AL7" s="491"/>
      <c r="AM7" s="492"/>
      <c r="AN7" s="531" t="s">
        <v>405</v>
      </c>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25">
      <c r="A8" s="524" t="s">
        <v>0</v>
      </c>
      <c r="B8" s="533" t="s">
        <v>2</v>
      </c>
      <c r="C8" s="474" t="s">
        <v>3</v>
      </c>
      <c r="D8" s="474" t="s">
        <v>42</v>
      </c>
      <c r="E8" s="473" t="s">
        <v>203</v>
      </c>
      <c r="F8" s="526" t="s">
        <v>1</v>
      </c>
      <c r="G8" s="136"/>
      <c r="H8" s="136"/>
      <c r="I8" s="473" t="s">
        <v>50</v>
      </c>
      <c r="J8" s="474" t="s">
        <v>130</v>
      </c>
      <c r="K8" s="478" t="s">
        <v>33</v>
      </c>
      <c r="L8" s="531" t="s">
        <v>5</v>
      </c>
      <c r="M8" s="473" t="s">
        <v>86</v>
      </c>
      <c r="N8" s="473" t="s">
        <v>91</v>
      </c>
      <c r="O8" s="532" t="s">
        <v>45</v>
      </c>
      <c r="P8" s="531" t="s">
        <v>5</v>
      </c>
      <c r="Q8" s="474" t="s">
        <v>48</v>
      </c>
      <c r="R8" s="528" t="s">
        <v>11</v>
      </c>
      <c r="S8" s="472" t="s">
        <v>152</v>
      </c>
      <c r="T8" s="473" t="s">
        <v>12</v>
      </c>
      <c r="U8" s="472" t="s">
        <v>8</v>
      </c>
      <c r="V8" s="472"/>
      <c r="W8" s="472"/>
      <c r="X8" s="472"/>
      <c r="Y8" s="472"/>
      <c r="Z8" s="472"/>
      <c r="AA8" s="530" t="s">
        <v>133</v>
      </c>
      <c r="AB8" s="530" t="s">
        <v>46</v>
      </c>
      <c r="AC8" s="530" t="s">
        <v>5</v>
      </c>
      <c r="AD8" s="530" t="s">
        <v>47</v>
      </c>
      <c r="AE8" s="530" t="s">
        <v>5</v>
      </c>
      <c r="AF8" s="530" t="s">
        <v>49</v>
      </c>
      <c r="AG8" s="528" t="s">
        <v>29</v>
      </c>
      <c r="AH8" s="472" t="s">
        <v>34</v>
      </c>
      <c r="AI8" s="472" t="s">
        <v>35</v>
      </c>
      <c r="AJ8" s="472" t="s">
        <v>36</v>
      </c>
      <c r="AK8" s="472" t="s">
        <v>38</v>
      </c>
      <c r="AL8" s="472" t="s">
        <v>37</v>
      </c>
      <c r="AM8" s="472" t="s">
        <v>39</v>
      </c>
      <c r="AN8" s="531"/>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3">
      <c r="A9" s="525"/>
      <c r="B9" s="533"/>
      <c r="C9" s="472"/>
      <c r="D9" s="472"/>
      <c r="E9" s="478"/>
      <c r="F9" s="527"/>
      <c r="G9" s="136" t="s">
        <v>259</v>
      </c>
      <c r="H9" s="136" t="s">
        <v>204</v>
      </c>
      <c r="I9" s="474"/>
      <c r="J9" s="472"/>
      <c r="K9" s="474"/>
      <c r="L9" s="493"/>
      <c r="M9" s="474"/>
      <c r="N9" s="474"/>
      <c r="O9" s="493"/>
      <c r="P9" s="493"/>
      <c r="Q9" s="472"/>
      <c r="R9" s="529"/>
      <c r="S9" s="472"/>
      <c r="T9" s="474"/>
      <c r="U9" s="7" t="s">
        <v>13</v>
      </c>
      <c r="V9" s="7" t="s">
        <v>17</v>
      </c>
      <c r="W9" s="7" t="s">
        <v>28</v>
      </c>
      <c r="X9" s="7" t="s">
        <v>18</v>
      </c>
      <c r="Y9" s="7" t="s">
        <v>21</v>
      </c>
      <c r="Z9" s="7" t="s">
        <v>24</v>
      </c>
      <c r="AA9" s="530"/>
      <c r="AB9" s="530"/>
      <c r="AC9" s="530"/>
      <c r="AD9" s="530"/>
      <c r="AE9" s="530"/>
      <c r="AF9" s="530"/>
      <c r="AG9" s="529"/>
      <c r="AH9" s="472"/>
      <c r="AI9" s="472"/>
      <c r="AJ9" s="472"/>
      <c r="AK9" s="472"/>
      <c r="AL9" s="472"/>
      <c r="AM9" s="472"/>
      <c r="AN9" s="531"/>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217.5" customHeight="1" x14ac:dyDescent="0.3">
      <c r="A10" s="497">
        <v>1</v>
      </c>
      <c r="B10" s="534" t="s">
        <v>129</v>
      </c>
      <c r="C10" s="534" t="s">
        <v>268</v>
      </c>
      <c r="D10" s="536" t="s">
        <v>269</v>
      </c>
      <c r="E10" s="202" t="s">
        <v>270</v>
      </c>
      <c r="F10" s="538" t="s">
        <v>272</v>
      </c>
      <c r="G10" s="509" t="s">
        <v>273</v>
      </c>
      <c r="H10" s="538" t="s">
        <v>274</v>
      </c>
      <c r="I10" s="549" t="s">
        <v>118</v>
      </c>
      <c r="J10" s="551">
        <v>300</v>
      </c>
      <c r="K10" s="545" t="str">
        <f>IF(J10&lt;=0,"",IF(J10&lt;=2,"Muy Baja",IF(J10&lt;=24,"Baja",IF(J10&lt;=500,"Media",IF(J10&lt;=5000,"Alta","Muy Alta")))))</f>
        <v>Media</v>
      </c>
      <c r="L10" s="541">
        <f>IF(K10="","",IF(K10="Muy Baja",0.2,IF(K10="Baja",0.4,IF(K10="Media",0.6,IF(K10="Alta",0.8,IF(K10="Muy Alta",1,))))))</f>
        <v>0.6</v>
      </c>
      <c r="M10" s="543" t="s">
        <v>143</v>
      </c>
      <c r="N10" s="541" t="str">
        <f>IF(NOT(ISERROR(MATCH(M10,'Tabla Impacto'!$B$221:$B$223,0))),'Tabla Impacto'!$F$223&amp;"Por favor no seleccionar los criterios de impacto(Afectación Económica o presupuestal y Pérdida Reputacional)",M10)</f>
        <v xml:space="preserve">     El riesgo afecta la imagen de alguna área de la organización</v>
      </c>
      <c r="O10" s="545" t="str">
        <f>IF(OR(N10='Tabla Impacto'!$C$11,N10='Tabla Impacto'!$D$11),"Leve",IF(OR(N10='Tabla Impacto'!$C$12,N10='Tabla Impacto'!$D$12),"Menor",IF(OR(N10='Tabla Impacto'!$C$13,N10='Tabla Impacto'!$D$13),"Moderado",IF(OR(N10='Tabla Impacto'!$C$14,N10='Tabla Impacto'!$D$14),"Mayor",IF(OR(N10='Tabla Impacto'!$C$15,N10='Tabla Impacto'!$D$15),"Catastrófico","")))))</f>
        <v>Leve</v>
      </c>
      <c r="P10" s="541">
        <f>IF(O10="","",IF(O10="Leve",0.2,IF(O10="Menor",0.4,IF(O10="Moderado",0.6,IF(O10="Mayor",0.8,IF(O10="Catastrófico",1,))))))</f>
        <v>0.2</v>
      </c>
      <c r="Q10" s="539"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105">
        <v>1</v>
      </c>
      <c r="S10" s="112" t="str">
        <f>+DOFA!E36</f>
        <v xml:space="preserve">D2 O6 }la jefe de oficina juridica junto con los asesores y contratistas que ejercen Representacion Judicial, constatan el cumplimiento de las sentencias judiciales por parte de los secretarios de despacho y directores, mediante remision de memorandos solicitando el informe de cumplimiento de la decision judicial a la secretaria competente, cada vez que lo requiera el despacho judicial, previo control semanal de los procesos asignados a cada apoderado judicial, quedando como evidencia en PISAMI el memorando remisorio. </v>
      </c>
      <c r="T10" s="107" t="str">
        <f>IF(OR(U10="Preventivo",U10="Detectivo"),"Probabilidad",IF(U10="Correctivo","Impacto",""))</f>
        <v>Probabilidad</v>
      </c>
      <c r="U10" s="113" t="s">
        <v>14</v>
      </c>
      <c r="V10" s="113" t="s">
        <v>9</v>
      </c>
      <c r="W10" s="114" t="str">
        <f>IF(AND(U10="Preventivo",V10="Automático"),"50%",IF(AND(U10="Preventivo",V10="Manual"),"40%",IF(AND(U10="Detectivo",V10="Automático"),"40%",IF(AND(U10="Detectivo",V10="Manual"),"30%",IF(AND(U10="Correctivo",V10="Automático"),"35%",IF(AND(U10="Correctivo",V10="Manual"),"25%",""))))))</f>
        <v>40%</v>
      </c>
      <c r="X10" s="113" t="s">
        <v>19</v>
      </c>
      <c r="Y10" s="113" t="s">
        <v>22</v>
      </c>
      <c r="Z10" s="113" t="s">
        <v>114</v>
      </c>
      <c r="AA10" s="108">
        <f>IFERROR(IF(T10="Probabilidad",(L10-(+L10*W10)),IF(T10="Impacto",L10,"")),"")</f>
        <v>0.36</v>
      </c>
      <c r="AB10" s="116" t="str">
        <f>IFERROR(IF(AA10="","",IF(AA10&lt;=0.2,"Muy Baja",IF(AA10&lt;=0.4,"Baja",IF(AA10&lt;=0.6,"Media",IF(AA10&lt;=0.8,"Alta","Muy Alta"))))),"")</f>
        <v>Baja</v>
      </c>
      <c r="AC10" s="117">
        <f>+AA10</f>
        <v>0.36</v>
      </c>
      <c r="AD10" s="116" t="str">
        <f>IFERROR(IF(AE10="","",IF(AE10&lt;=0.2,"Leve",IF(AE10&lt;=0.4,"Menor",IF(AE10&lt;=0.6,"Moderado",IF(AE10&lt;=0.8,"Mayor","Catastrófico"))))),"")</f>
        <v>Leve</v>
      </c>
      <c r="AE10" s="117">
        <f>IFERROR(IF(T10="Impacto",(P10-(+P10*W10)),IF(T10="Probabilidad",P10,"")),"")</f>
        <v>0.2</v>
      </c>
      <c r="AF10" s="118"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Bajo</v>
      </c>
      <c r="AG10" s="119" t="s">
        <v>131</v>
      </c>
      <c r="AH10" s="231"/>
      <c r="AI10" s="115"/>
      <c r="AJ10" s="204"/>
      <c r="AK10" s="204"/>
      <c r="AL10" s="115"/>
      <c r="AM10" s="234"/>
      <c r="AN10" s="239" t="s">
        <v>410</v>
      </c>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70.5" customHeight="1" x14ac:dyDescent="0.25">
      <c r="A11" s="498"/>
      <c r="B11" s="535"/>
      <c r="C11" s="535"/>
      <c r="D11" s="537"/>
      <c r="E11" s="203" t="s">
        <v>271</v>
      </c>
      <c r="F11" s="538"/>
      <c r="G11" s="510"/>
      <c r="H11" s="538"/>
      <c r="I11" s="550"/>
      <c r="J11" s="552"/>
      <c r="K11" s="546"/>
      <c r="L11" s="542"/>
      <c r="M11" s="544"/>
      <c r="N11" s="542">
        <f>IF(NOT(ISERROR(MATCH(M11,_xlfn.ANCHORARRAY(F18),0))),#REF!&amp;"Por favor no seleccionar los criterios de impacto",M11)</f>
        <v>0</v>
      </c>
      <c r="O11" s="546"/>
      <c r="P11" s="542"/>
      <c r="Q11" s="540"/>
      <c r="R11" s="105">
        <v>2</v>
      </c>
      <c r="S11" s="106"/>
      <c r="T11" s="107" t="str">
        <f>IF(OR(U11="Preventivo",U11="Detectivo"),"Probabilidad",IF(U11="Correctivo","Impacto",""))</f>
        <v/>
      </c>
      <c r="U11" s="113"/>
      <c r="V11" s="113"/>
      <c r="W11" s="114" t="str">
        <f t="shared" ref="W11" si="0">IF(AND(U11="Preventivo",V11="Automático"),"50%",IF(AND(U11="Preventivo",V11="Manual"),"40%",IF(AND(U11="Detectivo",V11="Automático"),"40%",IF(AND(U11="Detectivo",V11="Manual"),"30%",IF(AND(U11="Correctivo",V11="Automático"),"35%",IF(AND(U11="Correctivo",V11="Manual"),"25%",""))))))</f>
        <v/>
      </c>
      <c r="X11" s="113"/>
      <c r="Y11" s="113"/>
      <c r="Z11" s="113"/>
      <c r="AA11" s="108" t="str">
        <f>IFERROR(IF(AND(T10="Probabilidad",T11="Probabilidad"),(AC10-(+AC10*W11)),IF(AND(T10="Impacto",T11="Probabilidad"),(L10-(+L10*W11)),IF(T11="Impacto",AC10,""))),"")</f>
        <v/>
      </c>
      <c r="AB11" s="116" t="str">
        <f t="shared" ref="AB11" si="1">IFERROR(IF(AA11="","",IF(AA11&lt;=0.2,"Muy Baja",IF(AA11&lt;=0.4,"Baja",IF(AA11&lt;=0.6,"Media",IF(AA11&lt;=0.8,"Alta","Muy Alta"))))),"")</f>
        <v/>
      </c>
      <c r="AC11" s="117" t="str">
        <f>+AA11</f>
        <v/>
      </c>
      <c r="AD11" s="116" t="str">
        <f t="shared" ref="AD11" si="2">IFERROR(IF(AE11="","",IF(AE11&lt;=0.2,"Leve",IF(AE11&lt;=0.4,"Menor",IF(AE11&lt;=0.6,"Moderado",IF(AE11&lt;=0.8,"Mayor","Catastrófico"))))),"")</f>
        <v/>
      </c>
      <c r="AE11" s="117" t="str">
        <f>IFERROR(IF(AND(T10="Impacto",T11="Impacto"),(AE10-(+AE10*W11)),IF(AND(T10="Probabilidad",T11="Impacto"),(P10-(+P10*W11)),IF(T11="Probabilidad",AE10,""))),"")</f>
        <v/>
      </c>
      <c r="AF11" s="118" t="str">
        <f t="shared" ref="AF1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
      </c>
      <c r="AG11" s="119"/>
      <c r="AH11" s="231"/>
      <c r="AI11" s="110"/>
      <c r="AJ11" s="111"/>
      <c r="AK11" s="111"/>
      <c r="AL11" s="109"/>
      <c r="AM11" s="235"/>
      <c r="AN11" s="240"/>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46.2" customHeight="1" x14ac:dyDescent="0.25">
      <c r="A12" s="498"/>
      <c r="B12" s="535"/>
      <c r="C12" s="535"/>
      <c r="D12" s="537"/>
      <c r="E12" s="547"/>
      <c r="F12" s="538"/>
      <c r="G12" s="510"/>
      <c r="H12" s="538"/>
      <c r="I12" s="550"/>
      <c r="J12" s="552"/>
      <c r="K12" s="546"/>
      <c r="L12" s="542"/>
      <c r="M12" s="544"/>
      <c r="N12" s="542">
        <f>IF(NOT(ISERROR(MATCH(M12,_xlfn.ANCHORARRAY(F19),0))),#REF!&amp;"Por favor no seleccionar los criterios de impacto",M12)</f>
        <v>0</v>
      </c>
      <c r="O12" s="546"/>
      <c r="P12" s="542"/>
      <c r="Q12" s="540"/>
      <c r="R12" s="105">
        <v>3</v>
      </c>
      <c r="S12" s="112"/>
      <c r="T12" s="107" t="str">
        <f t="shared" ref="T12:T13" si="4">IF(OR(U12="Preventivo",U12="Detectivo"),"Probabilidad",IF(U12="Correctivo","Impacto",""))</f>
        <v/>
      </c>
      <c r="U12" s="113"/>
      <c r="V12" s="113"/>
      <c r="W12" s="114" t="str">
        <f t="shared" ref="W12:W13" si="5">IF(AND(U12="Preventivo",V12="Automático"),"50%",IF(AND(U12="Preventivo",V12="Manual"),"40%",IF(AND(U12="Detectivo",V12="Automático"),"40%",IF(AND(U12="Detectivo",V12="Manual"),"30%",IF(AND(U12="Correctivo",V12="Automático"),"35%",IF(AND(U12="Correctivo",V12="Manual"),"25%",""))))))</f>
        <v/>
      </c>
      <c r="X12" s="113"/>
      <c r="Y12" s="113"/>
      <c r="Z12" s="113"/>
      <c r="AA12" s="108" t="str">
        <f>IFERROR(IF(AND(T11="Probabilidad",T12="Probabilidad"),(AC11-(+AC11*W12)),IF(AND(T11="Impacto",T12="Probabilidad"),(AC10-(+AC10*W12)),IF(T12="Impacto",AC11,""))),"")</f>
        <v/>
      </c>
      <c r="AB12" s="116" t="str">
        <f t="shared" ref="AB12:AB13" si="6">IFERROR(IF(AA12="","",IF(AA12&lt;=0.2,"Muy Baja",IF(AA12&lt;=0.4,"Baja",IF(AA12&lt;=0.6,"Media",IF(AA12&lt;=0.8,"Alta","Muy Alta"))))),"")</f>
        <v/>
      </c>
      <c r="AC12" s="117" t="str">
        <f t="shared" ref="AC12:AC13" si="7">+AA12</f>
        <v/>
      </c>
      <c r="AD12" s="116" t="str">
        <f t="shared" ref="AD12:AD13" si="8">IFERROR(IF(AE12="","",IF(AE12&lt;=0.2,"Leve",IF(AE12&lt;=0.4,"Menor",IF(AE12&lt;=0.6,"Moderado",IF(AE12&lt;=0.8,"Mayor","Catastrófico"))))),"")</f>
        <v/>
      </c>
      <c r="AE12" s="117" t="str">
        <f t="shared" ref="AE12:AE13" si="9">IFERROR(IF(AND(T11="Impacto",T12="Impacto"),(AE11-(+AE11*W12)),IF(AND(T11="Probabilidad",T12="Impacto"),(AE10-(+AE10*W12)),IF(T12="Probabilidad",AE11,""))),"")</f>
        <v/>
      </c>
      <c r="AF12" s="118" t="str">
        <f t="shared" ref="AF12:AF13" si="10">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
      </c>
      <c r="AG12" s="119"/>
      <c r="AH12" s="231"/>
      <c r="AI12" s="110"/>
      <c r="AJ12" s="111"/>
      <c r="AK12" s="111"/>
      <c r="AL12" s="109"/>
      <c r="AM12" s="235"/>
      <c r="AN12" s="240"/>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46.5" customHeight="1" x14ac:dyDescent="0.25">
      <c r="A13" s="498"/>
      <c r="B13" s="535"/>
      <c r="C13" s="535"/>
      <c r="D13" s="537"/>
      <c r="E13" s="548"/>
      <c r="F13" s="538"/>
      <c r="G13" s="510"/>
      <c r="H13" s="538"/>
      <c r="I13" s="550"/>
      <c r="J13" s="552"/>
      <c r="K13" s="546"/>
      <c r="L13" s="542"/>
      <c r="M13" s="544"/>
      <c r="N13" s="542">
        <f>IF(NOT(ISERROR(MATCH(M13,_xlfn.ANCHORARRAY(#REF!),0))),#REF!&amp;"Por favor no seleccionar los criterios de impacto",M13)</f>
        <v>0</v>
      </c>
      <c r="O13" s="546"/>
      <c r="P13" s="542"/>
      <c r="Q13" s="540"/>
      <c r="R13" s="105">
        <v>4</v>
      </c>
      <c r="S13" s="106"/>
      <c r="T13" s="107" t="str">
        <f t="shared" si="4"/>
        <v/>
      </c>
      <c r="U13" s="113"/>
      <c r="V13" s="113"/>
      <c r="W13" s="114" t="str">
        <f t="shared" si="5"/>
        <v/>
      </c>
      <c r="X13" s="113"/>
      <c r="Y13" s="113"/>
      <c r="Z13" s="113"/>
      <c r="AA13" s="108" t="str">
        <f t="shared" ref="AA13" si="11">IFERROR(IF(AND(T12="Probabilidad",T13="Probabilidad"),(AC12-(+AC12*W13)),IF(AND(T12="Impacto",T13="Probabilidad"),(AC11-(+AC11*W13)),IF(T13="Impacto",AC12,""))),"")</f>
        <v/>
      </c>
      <c r="AB13" s="116" t="str">
        <f t="shared" si="6"/>
        <v/>
      </c>
      <c r="AC13" s="117" t="str">
        <f t="shared" si="7"/>
        <v/>
      </c>
      <c r="AD13" s="116" t="str">
        <f t="shared" si="8"/>
        <v/>
      </c>
      <c r="AE13" s="117" t="str">
        <f t="shared" si="9"/>
        <v/>
      </c>
      <c r="AF13" s="118" t="str">
        <f t="shared" si="10"/>
        <v/>
      </c>
      <c r="AG13" s="119"/>
      <c r="AH13" s="231"/>
      <c r="AI13" s="110"/>
      <c r="AJ13" s="111"/>
      <c r="AK13" s="111"/>
      <c r="AL13" s="109"/>
      <c r="AM13" s="235"/>
      <c r="AN13" s="240"/>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71.25" customHeight="1" x14ac:dyDescent="0.25">
      <c r="A14" s="497">
        <v>2</v>
      </c>
      <c r="B14" s="500" t="s">
        <v>129</v>
      </c>
      <c r="C14" s="500" t="s">
        <v>394</v>
      </c>
      <c r="D14" s="469" t="s">
        <v>395</v>
      </c>
      <c r="E14" s="137" t="s">
        <v>396</v>
      </c>
      <c r="F14" s="471" t="s">
        <v>398</v>
      </c>
      <c r="G14" s="509" t="s">
        <v>273</v>
      </c>
      <c r="H14" s="229" t="s">
        <v>399</v>
      </c>
      <c r="I14" s="457" t="s">
        <v>118</v>
      </c>
      <c r="J14" s="460">
        <v>500</v>
      </c>
      <c r="K14" s="463" t="str">
        <f>IF(J14&lt;=0,"",IF(J14&lt;=2,"Muy Baja",IF(J14&lt;=24,"Baja",IF(J14&lt;=500,"Media",IF(J14&lt;=5000,"Alta","Muy Alta")))))</f>
        <v>Media</v>
      </c>
      <c r="L14" s="466">
        <f>IF(K14="","",IF(K14="Muy Baja",0.2,IF(K14="Baja",0.4,IF(K14="Media",0.6,IF(K14="Alta",0.8,IF(K14="Muy Alta",1,))))))</f>
        <v>0.6</v>
      </c>
      <c r="M14" s="506" t="s">
        <v>143</v>
      </c>
      <c r="N14" s="466" t="str">
        <f>IF(NOT(ISERROR(MATCH(M14,'Tabla Impacto'!$B$221:$B$223,0))),'Tabla Impacto'!$F$223&amp;"Por favor no seleccionar los criterios de impacto(Afectación Económica o presupuestal y Pérdida Reputacional)",M14)</f>
        <v xml:space="preserve">     El riesgo afecta la imagen de alguna área de la organización</v>
      </c>
      <c r="O14" s="463" t="str">
        <f>IF(OR(N14='Tabla Impacto'!$C$11,N14='Tabla Impacto'!$D$11),"Leve",IF(OR(N14='Tabla Impacto'!$C$12,N14='Tabla Impacto'!$D$12),"Menor",IF(OR(N14='Tabla Impacto'!$C$13,N14='Tabla Impacto'!$D$13),"Moderado",IF(OR(N14='Tabla Impacto'!$C$14,N14='Tabla Impacto'!$D$14),"Mayor",IF(OR(N14='Tabla Impacto'!$C$15,N14='Tabla Impacto'!$D$15),"Catastrófico","")))))</f>
        <v>Leve</v>
      </c>
      <c r="P14" s="466">
        <f>IF(O14="","",IF(O14="Leve",0.2,IF(O14="Menor",0.4,IF(O14="Moderado",0.6,IF(O14="Mayor",0.8,IF(O14="Catastrófico",1,))))))</f>
        <v>0.2</v>
      </c>
      <c r="Q14" s="475" t="str">
        <f>IF(OR(AND(K14="Muy Baja",O14="Leve"),AND(K14="Muy Baja",O14="Menor"),AND(K14="Baja",O14="Leve")),"Bajo",IF(OR(AND(K14="Muy baja",O14="Moderado"),AND(K14="Baja",O14="Menor"),AND(K14="Baja",O14="Moderado"),AND(K14="Media",O14="Leve"),AND(K14="Media",O14="Menor"),AND(K14="Media",O14="Moderado"),AND(K14="Alta",O14="Leve"),AND(K14="Alta",O14="Menor")),"Moderado",IF(OR(AND(K14="Muy Baja",O14="Mayor"),AND(K14="Baja",O14="Mayor"),AND(K14="Media",O14="Mayor"),AND(K14="Alta",O14="Moderado"),AND(K14="Alta",O14="Mayor"),AND(K14="Muy Alta",O14="Leve"),AND(K14="Muy Alta",O14="Menor"),AND(K14="Muy Alta",O14="Moderado"),AND(K14="Muy Alta",O14="Mayor")),"Alto",IF(OR(AND(K14="Muy Baja",O14="Catastrófico"),AND(K14="Baja",O14="Catastrófico"),AND(K14="Media",O14="Catastrófico"),AND(K14="Alta",O14="Catastrófico"),AND(K14="Muy Alta",O14="Catastrófico")),"Extremo",""))))</f>
        <v>Moderado</v>
      </c>
      <c r="R14" s="105">
        <v>1</v>
      </c>
      <c r="S14" s="106" t="s">
        <v>401</v>
      </c>
      <c r="T14" s="107" t="str">
        <f>IF(OR(U14="Preventivo",U14="Detectivo"),"Probabilidad",IF(U14="Correctivo","Impacto",""))</f>
        <v>Probabilidad</v>
      </c>
      <c r="U14" s="113" t="s">
        <v>14</v>
      </c>
      <c r="V14" s="113" t="s">
        <v>9</v>
      </c>
      <c r="W14" s="114" t="str">
        <f>IF(AND(U14="Preventivo",V14="Automático"),"50%",IF(AND(U14="Preventivo",V14="Manual"),"40%",IF(AND(U14="Detectivo",V14="Automático"),"40%",IF(AND(U14="Detectivo",V14="Manual"),"30%",IF(AND(U14="Correctivo",V14="Automático"),"35%",IF(AND(U14="Correctivo",V14="Manual"),"25%",""))))))</f>
        <v>40%</v>
      </c>
      <c r="X14" s="113" t="s">
        <v>19</v>
      </c>
      <c r="Y14" s="113" t="s">
        <v>22</v>
      </c>
      <c r="Z14" s="113" t="s">
        <v>114</v>
      </c>
      <c r="AA14" s="108">
        <f>IFERROR(IF(T14="Probabilidad",(L14-(+L14*W14)),IF(T14="Impacto",L14,"")),"")</f>
        <v>0.36</v>
      </c>
      <c r="AB14" s="116" t="str">
        <f>IFERROR(IF(AA14="","",IF(AA14&lt;=0.2,"Muy Baja",IF(AA14&lt;=0.4,"Baja",IF(AA14&lt;=0.6,"Media",IF(AA14&lt;=0.8,"Alta","Muy Alta"))))),"")</f>
        <v>Baja</v>
      </c>
      <c r="AC14" s="117">
        <f>+AA14</f>
        <v>0.36</v>
      </c>
      <c r="AD14" s="116" t="str">
        <f>IFERROR(IF(AE14="","",IF(AE14&lt;=0.2,"Leve",IF(AE14&lt;=0.4,"Menor",IF(AE14&lt;=0.6,"Moderado",IF(AE14&lt;=0.8,"Mayor","Catastrófico"))))),"")</f>
        <v>Leve</v>
      </c>
      <c r="AE14" s="117">
        <f>IFERROR(IF(T14="Impacto",(P14-(+P14*W14)),IF(T14="Probabilidad",P14,"")),"")</f>
        <v>0.2</v>
      </c>
      <c r="AF14" s="118" t="str">
        <f>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Bajo</v>
      </c>
      <c r="AG14" s="119"/>
      <c r="AH14" s="479"/>
      <c r="AI14" s="481"/>
      <c r="AJ14" s="204"/>
      <c r="AK14" s="204"/>
      <c r="AL14" s="109"/>
      <c r="AM14" s="235"/>
      <c r="AN14" s="241" t="s">
        <v>414</v>
      </c>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89.25" customHeight="1" x14ac:dyDescent="0.25">
      <c r="A15" s="498"/>
      <c r="B15" s="501"/>
      <c r="C15" s="501"/>
      <c r="D15" s="470"/>
      <c r="E15" s="137" t="s">
        <v>397</v>
      </c>
      <c r="F15" s="471"/>
      <c r="G15" s="510"/>
      <c r="H15" s="229" t="s">
        <v>400</v>
      </c>
      <c r="I15" s="458"/>
      <c r="J15" s="461"/>
      <c r="K15" s="464"/>
      <c r="L15" s="467"/>
      <c r="M15" s="507"/>
      <c r="N15" s="467">
        <f>IF(NOT(ISERROR(MATCH(M15,_xlfn.ANCHORARRAY(F21),0))),L23&amp;"Por favor no seleccionar los criterios de impacto",M15)</f>
        <v>0</v>
      </c>
      <c r="O15" s="464"/>
      <c r="P15" s="467"/>
      <c r="Q15" s="476"/>
      <c r="R15" s="105">
        <v>2</v>
      </c>
      <c r="S15" s="106" t="s">
        <v>402</v>
      </c>
      <c r="T15" s="107" t="str">
        <f>IF(OR(U15="Preventivo",U15="Detectivo"),"Probabilidad",IF(U15="Correctivo","Impacto",""))</f>
        <v>Probabilidad</v>
      </c>
      <c r="U15" s="113" t="s">
        <v>14</v>
      </c>
      <c r="V15" s="113" t="s">
        <v>9</v>
      </c>
      <c r="W15" s="114" t="str">
        <f t="shared" ref="W15:W17" si="12">IF(AND(U15="Preventivo",V15="Automático"),"50%",IF(AND(U15="Preventivo",V15="Manual"),"40%",IF(AND(U15="Detectivo",V15="Automático"),"40%",IF(AND(U15="Detectivo",V15="Manual"),"30%",IF(AND(U15="Correctivo",V15="Automático"),"35%",IF(AND(U15="Correctivo",V15="Manual"),"25%",""))))))</f>
        <v>40%</v>
      </c>
      <c r="X15" s="113" t="s">
        <v>19</v>
      </c>
      <c r="Y15" s="113" t="s">
        <v>22</v>
      </c>
      <c r="Z15" s="113" t="s">
        <v>114</v>
      </c>
      <c r="AA15" s="108">
        <f>IFERROR(IF(AND(T14="Probabilidad",T15="Probabilidad"),(AC14-(+AC14*W15)),IF(AND(T14="Impacto",T15="Probabilidad"),(L14-(+L14*W15)),IF(T15="Impacto",AC14,""))),"")</f>
        <v>0.216</v>
      </c>
      <c r="AB15" s="116" t="str">
        <f t="shared" ref="AB15:AB17" si="13">IFERROR(IF(AA15="","",IF(AA15&lt;=0.2,"Muy Baja",IF(AA15&lt;=0.4,"Baja",IF(AA15&lt;=0.6,"Media",IF(AA15&lt;=0.8,"Alta","Muy Alta"))))),"")</f>
        <v>Baja</v>
      </c>
      <c r="AC15" s="117">
        <f>+AA15</f>
        <v>0.216</v>
      </c>
      <c r="AD15" s="116" t="str">
        <f t="shared" ref="AD15:AD17" si="14">IFERROR(IF(AE15="","",IF(AE15&lt;=0.2,"Leve",IF(AE15&lt;=0.4,"Menor",IF(AE15&lt;=0.6,"Moderado",IF(AE15&lt;=0.8,"Mayor","Catastrófico"))))),"")</f>
        <v>Leve</v>
      </c>
      <c r="AE15" s="117">
        <f>IFERROR(IF(AND(T14="Impacto",T15="Impacto"),(AE14-(+AE14*W15)),IF(AND(T14="Probabilidad",T15="Impacto"),(P14-(+P14*W15)),IF(T15="Probabilidad",AE14,""))),"")</f>
        <v>0.2</v>
      </c>
      <c r="AF15" s="118" t="str">
        <f t="shared" ref="AF15:AF17" si="15">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Bajo</v>
      </c>
      <c r="AG15" s="119"/>
      <c r="AH15" s="480"/>
      <c r="AI15" s="482"/>
      <c r="AJ15" s="111"/>
      <c r="AK15" s="111"/>
      <c r="AL15" s="109"/>
      <c r="AM15" s="235"/>
      <c r="AN15" s="241" t="s">
        <v>411</v>
      </c>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25.5" customHeight="1" x14ac:dyDescent="0.25">
      <c r="A16" s="498"/>
      <c r="B16" s="501"/>
      <c r="C16" s="501"/>
      <c r="D16" s="470"/>
      <c r="E16" s="137"/>
      <c r="F16" s="471"/>
      <c r="G16" s="510"/>
      <c r="H16" s="138"/>
      <c r="I16" s="458"/>
      <c r="J16" s="461"/>
      <c r="K16" s="464"/>
      <c r="L16" s="467"/>
      <c r="M16" s="507"/>
      <c r="N16" s="467">
        <f>IF(NOT(ISERROR(MATCH(M16,_xlfn.ANCHORARRAY(F22),0))),#REF!&amp;"Por favor no seleccionar los criterios de impacto",M16)</f>
        <v>0</v>
      </c>
      <c r="O16" s="464"/>
      <c r="P16" s="467"/>
      <c r="Q16" s="476"/>
      <c r="R16" s="105">
        <v>3</v>
      </c>
      <c r="S16" s="112"/>
      <c r="T16" s="107" t="str">
        <f t="shared" ref="T16:T17" si="16">IF(OR(U16="Preventivo",U16="Detectivo"),"Probabilidad",IF(U16="Correctivo","Impacto",""))</f>
        <v/>
      </c>
      <c r="U16" s="113"/>
      <c r="V16" s="113"/>
      <c r="W16" s="114" t="str">
        <f t="shared" si="12"/>
        <v/>
      </c>
      <c r="X16" s="113"/>
      <c r="Y16" s="113"/>
      <c r="Z16" s="113"/>
      <c r="AA16" s="108" t="str">
        <f>IFERROR(IF(AND(T15="Probabilidad",T16="Probabilidad"),(AC15-(+AC15*W16)),IF(AND(T15="Impacto",T16="Probabilidad"),(AC14-(+AC14*W16)),IF(T16="Impacto",AC15,""))),"")</f>
        <v/>
      </c>
      <c r="AB16" s="116" t="str">
        <f t="shared" si="13"/>
        <v/>
      </c>
      <c r="AC16" s="117" t="str">
        <f t="shared" ref="AC16:AC17" si="17">+AA16</f>
        <v/>
      </c>
      <c r="AD16" s="116" t="str">
        <f t="shared" si="14"/>
        <v/>
      </c>
      <c r="AE16" s="117" t="str">
        <f t="shared" ref="AE16:AE17" si="18">IFERROR(IF(AND(T15="Impacto",T16="Impacto"),(AE15-(+AE15*W16)),IF(AND(T15="Probabilidad",T16="Impacto"),(AE14-(+AE14*W16)),IF(T16="Probabilidad",AE15,""))),"")</f>
        <v/>
      </c>
      <c r="AF16" s="118" t="str">
        <f t="shared" si="15"/>
        <v/>
      </c>
      <c r="AG16" s="119"/>
      <c r="AH16" s="231"/>
      <c r="AI16" s="110"/>
      <c r="AJ16" s="111"/>
      <c r="AK16" s="111"/>
      <c r="AL16" s="109"/>
      <c r="AM16" s="235"/>
      <c r="AN16" s="240"/>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25.5" customHeight="1" x14ac:dyDescent="0.25">
      <c r="A17" s="498"/>
      <c r="B17" s="501"/>
      <c r="C17" s="501"/>
      <c r="D17" s="470"/>
      <c r="E17" s="137"/>
      <c r="F17" s="471"/>
      <c r="G17" s="510"/>
      <c r="H17" s="138"/>
      <c r="I17" s="458"/>
      <c r="J17" s="461"/>
      <c r="K17" s="464"/>
      <c r="L17" s="467"/>
      <c r="M17" s="507"/>
      <c r="N17" s="467">
        <f>IF(NOT(ISERROR(MATCH(M17,_xlfn.ANCHORARRAY(F23),0))),#REF!&amp;"Por favor no seleccionar los criterios de impacto",M17)</f>
        <v>0</v>
      </c>
      <c r="O17" s="464"/>
      <c r="P17" s="467"/>
      <c r="Q17" s="476"/>
      <c r="R17" s="105">
        <v>4</v>
      </c>
      <c r="S17" s="106"/>
      <c r="T17" s="107" t="str">
        <f t="shared" si="16"/>
        <v/>
      </c>
      <c r="U17" s="113"/>
      <c r="V17" s="113"/>
      <c r="W17" s="114" t="str">
        <f t="shared" si="12"/>
        <v/>
      </c>
      <c r="X17" s="113"/>
      <c r="Y17" s="113"/>
      <c r="Z17" s="113"/>
      <c r="AA17" s="108" t="str">
        <f t="shared" ref="AA17" si="19">IFERROR(IF(AND(T16="Probabilidad",T17="Probabilidad"),(AC16-(+AC16*W17)),IF(AND(T16="Impacto",T17="Probabilidad"),(AC15-(+AC15*W17)),IF(T17="Impacto",AC16,""))),"")</f>
        <v/>
      </c>
      <c r="AB17" s="116" t="str">
        <f t="shared" si="13"/>
        <v/>
      </c>
      <c r="AC17" s="117" t="str">
        <f t="shared" si="17"/>
        <v/>
      </c>
      <c r="AD17" s="116" t="str">
        <f t="shared" si="14"/>
        <v/>
      </c>
      <c r="AE17" s="117" t="str">
        <f t="shared" si="18"/>
        <v/>
      </c>
      <c r="AF17" s="118" t="str">
        <f t="shared" si="15"/>
        <v/>
      </c>
      <c r="AG17" s="119"/>
      <c r="AH17" s="231"/>
      <c r="AI17" s="110"/>
      <c r="AJ17" s="111"/>
      <c r="AK17" s="111"/>
      <c r="AL17" s="109"/>
      <c r="AM17" s="235"/>
      <c r="AN17" s="240"/>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44" customHeight="1" x14ac:dyDescent="0.25">
      <c r="A18" s="497">
        <v>3</v>
      </c>
      <c r="B18" s="500" t="s">
        <v>128</v>
      </c>
      <c r="C18" s="500" t="s">
        <v>276</v>
      </c>
      <c r="D18" s="512" t="s">
        <v>275</v>
      </c>
      <c r="E18" s="232" t="s">
        <v>403</v>
      </c>
      <c r="F18" s="471" t="s">
        <v>277</v>
      </c>
      <c r="G18" s="519" t="s">
        <v>278</v>
      </c>
      <c r="H18" s="515" t="s">
        <v>279</v>
      </c>
      <c r="I18" s="457" t="s">
        <v>118</v>
      </c>
      <c r="J18" s="460">
        <v>12</v>
      </c>
      <c r="K18" s="463" t="str">
        <f t="shared" ref="K18" si="20">IF(J18&lt;=0,"",IF(J18&lt;=2,"Muy Baja",IF(J18&lt;=24,"Baja",IF(J18&lt;=500,"Media",IF(J18&lt;=5000,"Alta","Muy Alta")))))</f>
        <v>Baja</v>
      </c>
      <c r="L18" s="466">
        <f t="shared" ref="L18" si="21">IF(K18="","",IF(K18="Muy Baja",0.2,IF(K18="Baja",0.4,IF(K18="Media",0.6,IF(K18="Alta",0.8,IF(K18="Muy Alta",1,))))))</f>
        <v>0.4</v>
      </c>
      <c r="M18" s="506"/>
      <c r="N18" s="466">
        <f>IF(NOT(ISERROR(MATCH(M18,'Tabla Impacto'!$B$221:$B$223,0))),'Tabla Impacto'!$F$223&amp;"Por favor no seleccionar los criterios de impacto(Afectación Económica o presupuestal y Pérdida Reputacional)",M18)</f>
        <v>0</v>
      </c>
      <c r="O18" s="463" t="str">
        <f>IF(OR(N18='Tabla Impacto'!$C$11,N18='Tabla Impacto'!$D$11),"Leve",IF(OR(N18='Tabla Impacto'!$C$12,N18='Tabla Impacto'!$D$12),"Menor",IF(OR(N18='Tabla Impacto'!$C$13,N18='Tabla Impacto'!$D$13),"Moderado",IF(OR(N18='Tabla Impacto'!$C$14,N18='Tabla Impacto'!$D$14),"Mayor",IF(OR(N18='Tabla Impacto'!$C$15,N18='Tabla Impacto'!$D$15),"Catastrófico","")))))</f>
        <v/>
      </c>
      <c r="P18" s="466" t="str">
        <f t="shared" ref="P18" si="22">IF(O18="","",IF(O18="Leve",0.2,IF(O18="Menor",0.4,IF(O18="Moderado",0.6,IF(O18="Mayor",0.8,IF(O18="Catastrófico",1,))))))</f>
        <v/>
      </c>
      <c r="Q18" s="475" t="str">
        <f t="shared" ref="Q18" si="23">IF(OR(AND(K18="Muy Baja",O18="Leve"),AND(K18="Muy Baja",O18="Menor"),AND(K18="Baja",O18="Leve")),"Bajo",IF(OR(AND(K18="Muy baja",O18="Moderado"),AND(K18="Baja",O18="Menor"),AND(K18="Baja",O18="Moderado"),AND(K18="Media",O18="Leve"),AND(K18="Media",O18="Menor"),AND(K18="Media",O18="Moderado"),AND(K18="Alta",O18="Leve"),AND(K18="Alta",O18="Menor")),"Moderado",IF(OR(AND(K18="Muy Baja",O18="Mayor"),AND(K18="Baja",O18="Mayor"),AND(K18="Media",O18="Mayor"),AND(K18="Alta",O18="Moderado"),AND(K18="Alta",O18="Mayor"),AND(K18="Muy Alta",O18="Leve"),AND(K18="Muy Alta",O18="Menor"),AND(K18="Muy Alta",O18="Moderado"),AND(K18="Muy Alta",O18="Mayor")),"Alto",IF(OR(AND(K18="Muy Baja",O18="Catastrófico"),AND(K18="Baja",O18="Catastrófico"),AND(K18="Media",O18="Catastrófico"),AND(K18="Alta",O18="Catastrófico"),AND(K18="Muy Alta",O18="Catastrófico")),"Extremo",""))))</f>
        <v/>
      </c>
      <c r="R18" s="105">
        <v>1</v>
      </c>
      <c r="S18" s="106" t="s">
        <v>407</v>
      </c>
      <c r="T18" s="107" t="str">
        <f>IF(OR(U18="Preventivo",U18="Detectivo"),"Probabilidad",IF(U18="Correctivo","Impacto",""))</f>
        <v>Probabilidad</v>
      </c>
      <c r="U18" s="113" t="s">
        <v>14</v>
      </c>
      <c r="V18" s="113" t="s">
        <v>9</v>
      </c>
      <c r="W18" s="114" t="str">
        <f>IF(AND(U18="Preventivo",V18="Automático"),"50%",IF(AND(U18="Preventivo",V18="Manual"),"40%",IF(AND(U18="Detectivo",V18="Automático"),"40%",IF(AND(U18="Detectivo",V18="Manual"),"30%",IF(AND(U18="Correctivo",V18="Automático"),"35%",IF(AND(U18="Correctivo",V18="Manual"),"25%",""))))))</f>
        <v>40%</v>
      </c>
      <c r="X18" s="113" t="s">
        <v>19</v>
      </c>
      <c r="Y18" s="113" t="s">
        <v>22</v>
      </c>
      <c r="Z18" s="113" t="s">
        <v>114</v>
      </c>
      <c r="AA18" s="108">
        <f>IFERROR(IF(T18="Probabilidad",(L18-(+L18*W18)),IF(T18="Impacto",L18,"")),"")</f>
        <v>0.24</v>
      </c>
      <c r="AB18" s="116" t="str">
        <f>IFERROR(IF(AA18="","",IF(AA18&lt;=0.2,"Muy Baja",IF(AA18&lt;=0.4,"Baja",IF(AA18&lt;=0.6,"Media",IF(AA18&lt;=0.8,"Alta","Muy Alta"))))),"")</f>
        <v>Baja</v>
      </c>
      <c r="AC18" s="117">
        <f>+AA18</f>
        <v>0.24</v>
      </c>
      <c r="AD18" s="116" t="str">
        <f>IFERROR(IF(AE18="","",IF(AE18&lt;=0.2,"Leve",IF(AE18&lt;=0.4,"Menor",IF(AE18&lt;=0.6,"Moderado",IF(AE18&lt;=0.8,"Mayor","Catastrófico"))))),"")</f>
        <v/>
      </c>
      <c r="AE18" s="117" t="str">
        <f>IFERROR(IF(T18="Impacto",(P18-(+P18*W18)),IF(T18="Probabilidad",P18,"")),"")</f>
        <v/>
      </c>
      <c r="AF18" s="118" t="str">
        <f>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
      </c>
      <c r="AG18" s="119"/>
      <c r="AH18" s="266"/>
      <c r="AI18" s="259"/>
      <c r="AJ18" s="260"/>
      <c r="AK18" s="260"/>
      <c r="AL18" s="268"/>
      <c r="AM18" s="261"/>
      <c r="AN18" s="269" t="s">
        <v>413</v>
      </c>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26.25" customHeight="1" x14ac:dyDescent="0.25">
      <c r="A19" s="498"/>
      <c r="B19" s="501"/>
      <c r="C19" s="501"/>
      <c r="D19" s="513"/>
      <c r="E19" s="232"/>
      <c r="F19" s="471"/>
      <c r="G19" s="520"/>
      <c r="H19" s="516"/>
      <c r="I19" s="458"/>
      <c r="J19" s="461"/>
      <c r="K19" s="464"/>
      <c r="L19" s="467"/>
      <c r="M19" s="507"/>
      <c r="N19" s="467">
        <f>IF(NOT(ISERROR(MATCH(M19,_xlfn.ANCHORARRAY(F24),0))),L26&amp;"Por favor no seleccionar los criterios de impacto",M19)</f>
        <v>0</v>
      </c>
      <c r="O19" s="464"/>
      <c r="P19" s="467"/>
      <c r="Q19" s="476"/>
      <c r="R19" s="105">
        <v>2</v>
      </c>
      <c r="S19" s="106"/>
      <c r="T19" s="107" t="str">
        <f>IF(OR(U19="Preventivo",U19="Detectivo"),"Probabilidad",IF(U19="Correctivo","Impacto",""))</f>
        <v/>
      </c>
      <c r="U19" s="113"/>
      <c r="V19" s="113"/>
      <c r="W19" s="114" t="str">
        <f t="shared" ref="W19:W20" si="24">IF(AND(U19="Preventivo",V19="Automático"),"50%",IF(AND(U19="Preventivo",V19="Manual"),"40%",IF(AND(U19="Detectivo",V19="Automático"),"40%",IF(AND(U19="Detectivo",V19="Manual"),"30%",IF(AND(U19="Correctivo",V19="Automático"),"35%",IF(AND(U19="Correctivo",V19="Manual"),"25%",""))))))</f>
        <v/>
      </c>
      <c r="X19" s="113"/>
      <c r="Y19" s="113"/>
      <c r="Z19" s="113"/>
      <c r="AA19" s="108" t="str">
        <f>IFERROR(IF(AND(T18="Probabilidad",T19="Probabilidad"),(AC18-(+AC18*W19)),IF(AND(T18="Impacto",T19="Probabilidad"),(L18-(+L18*W19)),IF(T19="Impacto",AC18,""))),"")</f>
        <v/>
      </c>
      <c r="AB19" s="116" t="str">
        <f t="shared" ref="AB19:AB20" si="25">IFERROR(IF(AA19="","",IF(AA19&lt;=0.2,"Muy Baja",IF(AA19&lt;=0.4,"Baja",IF(AA19&lt;=0.6,"Media",IF(AA19&lt;=0.8,"Alta","Muy Alta"))))),"")</f>
        <v/>
      </c>
      <c r="AC19" s="117" t="str">
        <f>+AA19</f>
        <v/>
      </c>
      <c r="AD19" s="116" t="str">
        <f t="shared" ref="AD19:AD20" si="26">IFERROR(IF(AE19="","",IF(AE19&lt;=0.2,"Leve",IF(AE19&lt;=0.4,"Menor",IF(AE19&lt;=0.6,"Moderado",IF(AE19&lt;=0.8,"Mayor","Catastrófico"))))),"")</f>
        <v/>
      </c>
      <c r="AE19" s="117" t="str">
        <f>IFERROR(IF(AND(T18="Impacto",T19="Impacto"),(AE18-(+AE18*W19)),IF(AND(T18="Probabilidad",T19="Impacto"),(P18-(+P18*W19)),IF(T19="Probabilidad",AE18,""))),"")</f>
        <v/>
      </c>
      <c r="AF19" s="118" t="str">
        <f t="shared" ref="AF19:AF20" si="27">IFERROR(IF(OR(AND(AB19="Muy Baja",AD19="Leve"),AND(AB19="Muy Baja",AD19="Menor"),AND(AB19="Baja",AD19="Leve")),"Bajo",IF(OR(AND(AB19="Muy baja",AD19="Moderado"),AND(AB19="Baja",AD19="Menor"),AND(AB19="Baja",AD19="Moderado"),AND(AB19="Media",AD19="Leve"),AND(AB19="Media",AD19="Menor"),AND(AB19="Media",AD19="Moderado"),AND(AB19="Alta",AD19="Leve"),AND(AB19="Alta",AD19="Menor")),"Moderado",IF(OR(AND(AB19="Muy Baja",AD19="Mayor"),AND(AB19="Baja",AD19="Mayor"),AND(AB19="Media",AD19="Mayor"),AND(AB19="Alta",AD19="Moderado"),AND(AB19="Alta",AD19="Mayor"),AND(AB19="Muy Alta",AD19="Leve"),AND(AB19="Muy Alta",AD19="Menor"),AND(AB19="Muy Alta",AD19="Moderado"),AND(AB19="Muy Alta",AD19="Mayor")),"Alto",IF(OR(AND(AB19="Muy Baja",AD19="Catastrófico"),AND(AB19="Baja",AD19="Catastrófico"),AND(AB19="Media",AD19="Catastrófico"),AND(AB19="Alta",AD19="Catastrófico"),AND(AB19="Muy Alta",AD19="Catastrófico")),"Extremo","")))),"")</f>
        <v/>
      </c>
      <c r="AG19" s="119"/>
      <c r="AH19" s="267"/>
      <c r="AI19" s="259"/>
      <c r="AJ19" s="260"/>
      <c r="AK19" s="260"/>
      <c r="AL19" s="268"/>
      <c r="AM19" s="261"/>
      <c r="AN19" s="270"/>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26.25" customHeight="1" x14ac:dyDescent="0.25">
      <c r="A20" s="499"/>
      <c r="B20" s="502"/>
      <c r="C20" s="502"/>
      <c r="D20" s="514"/>
      <c r="E20" s="232"/>
      <c r="F20" s="471"/>
      <c r="G20" s="521"/>
      <c r="H20" s="517"/>
      <c r="I20" s="459"/>
      <c r="J20" s="462"/>
      <c r="K20" s="465"/>
      <c r="L20" s="468"/>
      <c r="M20" s="508"/>
      <c r="N20" s="468">
        <f>IF(NOT(ISERROR(MATCH(M20,_xlfn.ANCHORARRAY(F28),0))),L30&amp;"Por favor no seleccionar los criterios de impacto",M20)</f>
        <v>0</v>
      </c>
      <c r="O20" s="465"/>
      <c r="P20" s="468"/>
      <c r="Q20" s="477"/>
      <c r="R20" s="105">
        <v>3</v>
      </c>
      <c r="S20" s="106"/>
      <c r="T20" s="107" t="str">
        <f t="shared" ref="T20" si="28">IF(OR(U20="Preventivo",U20="Detectivo"),"Probabilidad",IF(U20="Correctivo","Impacto",""))</f>
        <v/>
      </c>
      <c r="U20" s="113"/>
      <c r="V20" s="113"/>
      <c r="W20" s="114" t="str">
        <f t="shared" si="24"/>
        <v/>
      </c>
      <c r="X20" s="113"/>
      <c r="Y20" s="113"/>
      <c r="Z20" s="113"/>
      <c r="AA20" s="243" t="str">
        <f>IFERROR(IF(AND(#REF!="Probabilidad",T20="Probabilidad"),(#REF!-(+#REF!*W20)),IF(AND(#REF!="Impacto",T20="Probabilidad"),(#REF!-(+#REF!*W20)),IF(T20="Impacto",#REF!,""))),"")</f>
        <v/>
      </c>
      <c r="AB20" s="244" t="str">
        <f t="shared" si="25"/>
        <v/>
      </c>
      <c r="AC20" s="117" t="str">
        <f t="shared" ref="AC20" si="29">+AA20</f>
        <v/>
      </c>
      <c r="AD20" s="244" t="str">
        <f t="shared" si="26"/>
        <v/>
      </c>
      <c r="AE20" s="117" t="str">
        <f>IFERROR(IF(AND(#REF!="Impacto",T20="Impacto"),(#REF!-(+#REF!*W20)),IF(AND(#REF!="Probabilidad",T20="Impacto"),(#REF!-(+#REF!*W20)),IF(T20="Probabilidad",#REF!,""))),"")</f>
        <v/>
      </c>
      <c r="AF20" s="245" t="str">
        <f t="shared" si="27"/>
        <v/>
      </c>
      <c r="AG20" s="119"/>
      <c r="AH20" s="267"/>
      <c r="AI20" s="259"/>
      <c r="AJ20" s="260"/>
      <c r="AK20" s="260"/>
      <c r="AL20" s="268"/>
      <c r="AM20" s="261"/>
      <c r="AN20" s="270"/>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75.75" customHeight="1" x14ac:dyDescent="0.25">
      <c r="A21" s="497">
        <v>4</v>
      </c>
      <c r="B21" s="500" t="s">
        <v>128</v>
      </c>
      <c r="C21" s="500" t="s">
        <v>281</v>
      </c>
      <c r="D21" s="469" t="s">
        <v>280</v>
      </c>
      <c r="E21" s="232" t="s">
        <v>404</v>
      </c>
      <c r="F21" s="471" t="s">
        <v>406</v>
      </c>
      <c r="G21" s="509" t="s">
        <v>278</v>
      </c>
      <c r="H21" s="515" t="s">
        <v>279</v>
      </c>
      <c r="I21" s="457" t="s">
        <v>118</v>
      </c>
      <c r="J21" s="460">
        <v>300</v>
      </c>
      <c r="K21" s="463" t="str">
        <f t="shared" ref="K21" si="30">IF(J21&lt;=0,"",IF(J21&lt;=2,"Muy Baja",IF(J21&lt;=24,"Baja",IF(J21&lt;=500,"Media",IF(J21&lt;=5000,"Alta","Muy Alta")))))</f>
        <v>Media</v>
      </c>
      <c r="L21" s="466">
        <f t="shared" ref="L21" si="31">IF(K21="","",IF(K21="Muy Baja",0.2,IF(K21="Baja",0.4,IF(K21="Media",0.6,IF(K21="Alta",0.8,IF(K21="Muy Alta",1,))))))</f>
        <v>0.6</v>
      </c>
      <c r="M21" s="506" t="s">
        <v>208</v>
      </c>
      <c r="N21" s="466" t="str">
        <f>IF(NOT(ISERROR(MATCH(M21,'Tabla Impacto'!$B$221:$B$223,0))),'Tabla Impacto'!$F$223&amp;"Por favor no seleccionar los criterios de impacto(Afectación Económica o presupuestal y Pérdida Reputacional)",M21)</f>
        <v xml:space="preserve">     Entre 200 y 1000 SMLMV</v>
      </c>
      <c r="O21" s="463" t="str">
        <f>IF(OR(N21='Tabla Impacto'!$C$11,N21='Tabla Impacto'!$D$11),"Leve",IF(OR(N21='Tabla Impacto'!$C$12,N21='Tabla Impacto'!$D$12),"Menor",IF(OR(N21='Tabla Impacto'!$C$13,N21='Tabla Impacto'!$D$13),"Moderado",IF(OR(N21='Tabla Impacto'!$C$14,N21='Tabla Impacto'!$D$14),"Mayor",IF(OR(N21='Tabla Impacto'!$C$15,N21='Tabla Impacto'!$D$15),"Catastrófico","")))))</f>
        <v>Menor</v>
      </c>
      <c r="P21" s="466">
        <f t="shared" ref="P21" si="32">IF(O21="","",IF(O21="Leve",0.2,IF(O21="Menor",0.4,IF(O21="Moderado",0.6,IF(O21="Mayor",0.8,IF(O21="Catastrófico",1,))))))</f>
        <v>0.4</v>
      </c>
      <c r="Q21" s="475" t="str">
        <f t="shared" ref="Q21" si="33">IF(OR(AND(K21="Muy Baja",O21="Leve"),AND(K21="Muy Baja",O21="Menor"),AND(K21="Baja",O21="Leve")),"Bajo",IF(OR(AND(K21="Muy baja",O21="Moderado"),AND(K21="Baja",O21="Menor"),AND(K21="Baja",O21="Moderado"),AND(K21="Media",O21="Leve"),AND(K21="Media",O21="Menor"),AND(K21="Media",O21="Moderado"),AND(K21="Alta",O21="Leve"),AND(K21="Alta",O21="Menor")),"Moderado",IF(OR(AND(K21="Muy Baja",O21="Mayor"),AND(K21="Baja",O21="Mayor"),AND(K21="Media",O21="Mayor"),AND(K21="Alta",O21="Moderado"),AND(K21="Alta",O21="Mayor"),AND(K21="Muy Alta",O21="Leve"),AND(K21="Muy Alta",O21="Menor"),AND(K21="Muy Alta",O21="Moderado"),AND(K21="Muy Alta",O21="Mayor")),"Alto",IF(OR(AND(K21="Muy Baja",O21="Catastrófico"),AND(K21="Baja",O21="Catastrófico"),AND(K21="Media",O21="Catastrófico"),AND(K21="Alta",O21="Catastrófico"),AND(K21="Muy Alta",O21="Catastrófico")),"Extremo",""))))</f>
        <v>Moderado</v>
      </c>
      <c r="R21" s="105">
        <v>1</v>
      </c>
      <c r="S21" s="106" t="s">
        <v>409</v>
      </c>
      <c r="T21" s="107" t="str">
        <f>IF(OR(U21="Preventivo",U21="Detectivo"),"Probabilidad",IF(U21="Correctivo","Impacto",""))</f>
        <v>Probabilidad</v>
      </c>
      <c r="U21" s="113" t="s">
        <v>14</v>
      </c>
      <c r="V21" s="113" t="s">
        <v>9</v>
      </c>
      <c r="W21" s="114" t="str">
        <f>IF(AND(U21="Preventivo",V21="Automático"),"50%",IF(AND(U21="Preventivo",V21="Manual"),"40%",IF(AND(U21="Detectivo",V21="Automático"),"40%",IF(AND(U21="Detectivo",V21="Manual"),"30%",IF(AND(U21="Correctivo",V21="Automático"),"35%",IF(AND(U21="Correctivo",V21="Manual"),"25%",""))))))</f>
        <v>40%</v>
      </c>
      <c r="X21" s="113" t="s">
        <v>19</v>
      </c>
      <c r="Y21" s="113" t="s">
        <v>22</v>
      </c>
      <c r="Z21" s="242" t="s">
        <v>114</v>
      </c>
      <c r="AA21" s="253">
        <f>IFERROR(IF(T21="Probabilidad",(L21-(+L21*W21)),IF(T21="Impacto",L21,"")),"")</f>
        <v>0.36</v>
      </c>
      <c r="AB21" s="254" t="str">
        <f>IFERROR(IF(AA21="","",IF(AA21&lt;=0.2,"Muy Baja",IF(AA21&lt;=0.4,"Baja",IF(AA21&lt;=0.6,"Media",IF(AA21&lt;=0.8,"Alta","Muy Alta"))))),"")</f>
        <v>Baja</v>
      </c>
      <c r="AC21" s="255">
        <f>+AA21</f>
        <v>0.36</v>
      </c>
      <c r="AD21" s="254" t="str">
        <f>IFERROR(IF(AE21="","",IF(AE21&lt;=0.2,"Leve",IF(AE21&lt;=0.4,"Menor",IF(AE21&lt;=0.6,"Moderado",IF(AE21&lt;=0.8,"Mayor","Catastrófico"))))),"")</f>
        <v>Menor</v>
      </c>
      <c r="AE21" s="255">
        <f>IFERROR(IF(T21="Impacto",(P21-(+P21*W21)),IF(T21="Probabilidad",P21,"")),"")</f>
        <v>0.4</v>
      </c>
      <c r="AF21" s="256" t="str">
        <f>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Moderado</v>
      </c>
      <c r="AG21" s="257"/>
      <c r="AH21" s="258"/>
      <c r="AI21" s="259"/>
      <c r="AJ21" s="260"/>
      <c r="AK21" s="260"/>
      <c r="AL21" s="268"/>
      <c r="AM21" s="261"/>
      <c r="AN21" s="241" t="s">
        <v>412</v>
      </c>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26.25" customHeight="1" x14ac:dyDescent="0.25">
      <c r="A22" s="498"/>
      <c r="B22" s="501"/>
      <c r="C22" s="501"/>
      <c r="D22" s="470"/>
      <c r="E22" s="137"/>
      <c r="F22" s="471"/>
      <c r="G22" s="510"/>
      <c r="H22" s="516"/>
      <c r="I22" s="458"/>
      <c r="J22" s="461"/>
      <c r="K22" s="464"/>
      <c r="L22" s="467"/>
      <c r="M22" s="507"/>
      <c r="N22" s="467">
        <f>IF(NOT(ISERROR(MATCH(M22,_xlfn.ANCHORARRAY(F30),0))),L32&amp;"Por favor no seleccionar los criterios de impacto",M22)</f>
        <v>0</v>
      </c>
      <c r="O22" s="464"/>
      <c r="P22" s="467"/>
      <c r="Q22" s="476"/>
      <c r="R22" s="105">
        <v>2</v>
      </c>
      <c r="S22" s="106"/>
      <c r="T22" s="107" t="str">
        <f>IF(OR(U22="Preventivo",U22="Detectivo"),"Probabilidad",IF(U22="Correctivo","Impacto",""))</f>
        <v/>
      </c>
      <c r="U22" s="113"/>
      <c r="V22" s="113"/>
      <c r="W22" s="114" t="str">
        <f t="shared" ref="W22:W23" si="34">IF(AND(U22="Preventivo",V22="Automático"),"50%",IF(AND(U22="Preventivo",V22="Manual"),"40%",IF(AND(U22="Detectivo",V22="Automático"),"40%",IF(AND(U22="Detectivo",V22="Manual"),"30%",IF(AND(U22="Correctivo",V22="Automático"),"35%",IF(AND(U22="Correctivo",V22="Manual"),"25%",""))))))</f>
        <v/>
      </c>
      <c r="X22" s="113"/>
      <c r="Y22" s="113"/>
      <c r="Z22" s="242"/>
      <c r="AA22" s="253" t="str">
        <f>IFERROR(IF(AND(T21="Probabilidad",T22="Probabilidad"),(AC21-(+AC21*W22)),IF(AND(T21="Impacto",T22="Probabilidad"),(L21-(+L21*W22)),IF(T22="Impacto",AC21,""))),"")</f>
        <v/>
      </c>
      <c r="AB22" s="254" t="str">
        <f t="shared" ref="AB22:AB23" si="35">IFERROR(IF(AA22="","",IF(AA22&lt;=0.2,"Muy Baja",IF(AA22&lt;=0.4,"Baja",IF(AA22&lt;=0.6,"Media",IF(AA22&lt;=0.8,"Alta","Muy Alta"))))),"")</f>
        <v/>
      </c>
      <c r="AC22" s="255" t="str">
        <f>+AA22</f>
        <v/>
      </c>
      <c r="AD22" s="254" t="str">
        <f t="shared" ref="AD22:AD23" si="36">IFERROR(IF(AE22="","",IF(AE22&lt;=0.2,"Leve",IF(AE22&lt;=0.4,"Menor",IF(AE22&lt;=0.6,"Moderado",IF(AE22&lt;=0.8,"Mayor","Catastrófico"))))),"")</f>
        <v/>
      </c>
      <c r="AE22" s="255" t="str">
        <f>IFERROR(IF(AND(T21="Impacto",T22="Impacto"),(AE21-(+AE21*W22)),IF(AND(T21="Probabilidad",T22="Impacto"),(P21-(+P21*W22)),IF(T22="Probabilidad",AE21,""))),"")</f>
        <v/>
      </c>
      <c r="AF22" s="256" t="str">
        <f t="shared" ref="AF22:AF23" si="37">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257"/>
      <c r="AH22" s="258"/>
      <c r="AI22" s="259"/>
      <c r="AJ22" s="260"/>
      <c r="AK22" s="260"/>
      <c r="AL22" s="268"/>
      <c r="AM22" s="261"/>
      <c r="AN22" s="241"/>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26.25" customHeight="1" x14ac:dyDescent="0.25">
      <c r="A23" s="498"/>
      <c r="B23" s="501"/>
      <c r="C23" s="501"/>
      <c r="D23" s="470"/>
      <c r="E23" s="137"/>
      <c r="F23" s="471"/>
      <c r="G23" s="510"/>
      <c r="H23" s="516"/>
      <c r="I23" s="458"/>
      <c r="J23" s="461"/>
      <c r="K23" s="464"/>
      <c r="L23" s="467"/>
      <c r="M23" s="507"/>
      <c r="N23" s="467">
        <f>IF(NOT(ISERROR(MATCH(M23,_xlfn.ANCHORARRAY(F31),0))),L33&amp;"Por favor no seleccionar los criterios de impacto",M23)</f>
        <v>0</v>
      </c>
      <c r="O23" s="464"/>
      <c r="P23" s="467"/>
      <c r="Q23" s="476"/>
      <c r="R23" s="105">
        <v>3</v>
      </c>
      <c r="S23" s="112"/>
      <c r="T23" s="107" t="str">
        <f t="shared" ref="T23" si="38">IF(OR(U23="Preventivo",U23="Detectivo"),"Probabilidad",IF(U23="Correctivo","Impacto",""))</f>
        <v/>
      </c>
      <c r="U23" s="113"/>
      <c r="V23" s="113"/>
      <c r="W23" s="114" t="str">
        <f t="shared" si="34"/>
        <v/>
      </c>
      <c r="X23" s="113"/>
      <c r="Y23" s="113"/>
      <c r="Z23" s="242"/>
      <c r="AA23" s="253" t="str">
        <f>IFERROR(IF(AND(T22="Probabilidad",T23="Probabilidad"),(AC22-(+AC22*W23)),IF(AND(T22="Impacto",T23="Probabilidad"),(AC21-(+AC21*W23)),IF(T23="Impacto",AC22,""))),"")</f>
        <v/>
      </c>
      <c r="AB23" s="254" t="str">
        <f t="shared" si="35"/>
        <v/>
      </c>
      <c r="AC23" s="255" t="str">
        <f t="shared" ref="AC23" si="39">+AA23</f>
        <v/>
      </c>
      <c r="AD23" s="254" t="str">
        <f t="shared" si="36"/>
        <v/>
      </c>
      <c r="AE23" s="255" t="str">
        <f t="shared" ref="AE23" si="40">IFERROR(IF(AND(T22="Impacto",T23="Impacto"),(AE22-(+AE22*W23)),IF(AND(T22="Probabilidad",T23="Impacto"),(AE21-(+AE21*W23)),IF(T23="Probabilidad",AE22,""))),"")</f>
        <v/>
      </c>
      <c r="AF23" s="256" t="str">
        <f t="shared" si="37"/>
        <v/>
      </c>
      <c r="AG23" s="257"/>
      <c r="AH23" s="258"/>
      <c r="AI23" s="259"/>
      <c r="AJ23" s="260"/>
      <c r="AK23" s="260"/>
      <c r="AL23" s="268"/>
      <c r="AM23" s="261"/>
      <c r="AN23" s="241"/>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26.25" customHeight="1" x14ac:dyDescent="0.25">
      <c r="A24" s="497">
        <v>5</v>
      </c>
      <c r="B24" s="500"/>
      <c r="C24" s="500"/>
      <c r="D24" s="469"/>
      <c r="E24" s="137"/>
      <c r="F24" s="471"/>
      <c r="G24" s="509"/>
      <c r="H24" s="138"/>
      <c r="I24" s="457"/>
      <c r="J24" s="460"/>
      <c r="K24" s="463" t="str">
        <f t="shared" ref="K24" si="41">IF(J24&lt;=0,"",IF(J24&lt;=2,"Muy Baja",IF(J24&lt;=24,"Baja",IF(J24&lt;=500,"Media",IF(J24&lt;=5000,"Alta","Muy Alta")))))</f>
        <v/>
      </c>
      <c r="L24" s="466" t="str">
        <f t="shared" ref="L24" si="42">IF(K24="","",IF(K24="Muy Baja",0.2,IF(K24="Baja",0.4,IF(K24="Media",0.6,IF(K24="Alta",0.8,IF(K24="Muy Alta",1,))))))</f>
        <v/>
      </c>
      <c r="M24" s="506"/>
      <c r="N24" s="466">
        <f>IF(NOT(ISERROR(MATCH(M24,'Tabla Impacto'!$B$221:$B$223,0))),'Tabla Impacto'!$F$223&amp;"Por favor no seleccionar los criterios de impacto(Afectación Económica o presupuestal y Pérdida Reputacional)",M24)</f>
        <v>0</v>
      </c>
      <c r="O24" s="463" t="str">
        <f>IF(OR(N24='Tabla Impacto'!$C$11,N24='Tabla Impacto'!$D$11),"Leve",IF(OR(N24='Tabla Impacto'!$C$12,N24='Tabla Impacto'!$D$12),"Menor",IF(OR(N24='Tabla Impacto'!$C$13,N24='Tabla Impacto'!$D$13),"Moderado",IF(OR(N24='Tabla Impacto'!$C$14,N24='Tabla Impacto'!$D$14),"Mayor",IF(OR(N24='Tabla Impacto'!$C$15,N24='Tabla Impacto'!$D$15),"Catastrófico","")))))</f>
        <v/>
      </c>
      <c r="P24" s="466" t="str">
        <f t="shared" ref="P24" si="43">IF(O24="","",IF(O24="Leve",0.2,IF(O24="Menor",0.4,IF(O24="Moderado",0.6,IF(O24="Mayor",0.8,IF(O24="Catastrófico",1,))))))</f>
        <v/>
      </c>
      <c r="Q24" s="475" t="str">
        <f t="shared" ref="Q24" si="44">IF(OR(AND(K24="Muy Baja",O24="Leve"),AND(K24="Muy Baja",O24="Menor"),AND(K24="Baja",O24="Leve")),"Bajo",IF(OR(AND(K24="Muy baja",O24="Moderado"),AND(K24="Baja",O24="Menor"),AND(K24="Baja",O24="Moderado"),AND(K24="Media",O24="Leve"),AND(K24="Media",O24="Menor"),AND(K24="Media",O24="Moderado"),AND(K24="Alta",O24="Leve"),AND(K24="Alta",O24="Menor")),"Moderado",IF(OR(AND(K24="Muy Baja",O24="Mayor"),AND(K24="Baja",O24="Mayor"),AND(K24="Media",O24="Mayor"),AND(K24="Alta",O24="Moderado"),AND(K24="Alta",O24="Mayor"),AND(K24="Muy Alta",O24="Leve"),AND(K24="Muy Alta",O24="Menor"),AND(K24="Muy Alta",O24="Moderado"),AND(K24="Muy Alta",O24="Mayor")),"Alto",IF(OR(AND(K24="Muy Baja",O24="Catastrófico"),AND(K24="Baja",O24="Catastrófico"),AND(K24="Media",O24="Catastrófico"),AND(K24="Alta",O24="Catastrófico"),AND(K24="Muy Alta",O24="Catastrófico")),"Extremo",""))))</f>
        <v/>
      </c>
      <c r="R24" s="105">
        <v>1</v>
      </c>
      <c r="S24" s="106"/>
      <c r="T24" s="107" t="str">
        <f>IF(OR(U24="Preventivo",U24="Detectivo"),"Probabilidad",IF(U24="Correctivo","Impacto",""))</f>
        <v/>
      </c>
      <c r="U24" s="113"/>
      <c r="V24" s="113"/>
      <c r="W24" s="114" t="str">
        <f>IF(AND(U24="Preventivo",V24="Automático"),"50%",IF(AND(U24="Preventivo",V24="Manual"),"40%",IF(AND(U24="Detectivo",V24="Automático"),"40%",IF(AND(U24="Detectivo",V24="Manual"),"30%",IF(AND(U24="Correctivo",V24="Automático"),"35%",IF(AND(U24="Correctivo",V24="Manual"),"25%",""))))))</f>
        <v/>
      </c>
      <c r="X24" s="113"/>
      <c r="Y24" s="113"/>
      <c r="Z24" s="242"/>
      <c r="AA24" s="253" t="str">
        <f>IFERROR(IF(T24="Probabilidad",(L24-(+L24*W24)),IF(T24="Impacto",L24,"")),"")</f>
        <v/>
      </c>
      <c r="AB24" s="254" t="str">
        <f>IFERROR(IF(AA24="","",IF(AA24&lt;=0.2,"Muy Baja",IF(AA24&lt;=0.4,"Baja",IF(AA24&lt;=0.6,"Media",IF(AA24&lt;=0.8,"Alta","Muy Alta"))))),"")</f>
        <v/>
      </c>
      <c r="AC24" s="255" t="str">
        <f>+AA24</f>
        <v/>
      </c>
      <c r="AD24" s="254" t="str">
        <f>IFERROR(IF(AE24="","",IF(AE24&lt;=0.2,"Leve",IF(AE24&lt;=0.4,"Menor",IF(AE24&lt;=0.6,"Moderado",IF(AE24&lt;=0.8,"Mayor","Catastrófico"))))),"")</f>
        <v/>
      </c>
      <c r="AE24" s="255" t="str">
        <f>IFERROR(IF(T24="Impacto",(P24-(+P24*W24)),IF(T24="Probabilidad",P24,"")),"")</f>
        <v/>
      </c>
      <c r="AF24" s="256" t="str">
        <f>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
      </c>
      <c r="AG24" s="257"/>
      <c r="AH24" s="262"/>
      <c r="AI24" s="263"/>
      <c r="AJ24" s="264"/>
      <c r="AK24" s="264"/>
      <c r="AL24" s="265"/>
      <c r="AM24" s="263"/>
      <c r="AN24" s="237"/>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26.25" customHeight="1" x14ac:dyDescent="0.25">
      <c r="A25" s="498"/>
      <c r="B25" s="501"/>
      <c r="C25" s="501"/>
      <c r="D25" s="470"/>
      <c r="E25" s="137"/>
      <c r="F25" s="471"/>
      <c r="G25" s="510"/>
      <c r="H25" s="138"/>
      <c r="I25" s="458"/>
      <c r="J25" s="461"/>
      <c r="K25" s="464"/>
      <c r="L25" s="467"/>
      <c r="M25" s="507"/>
      <c r="N25" s="467">
        <f>IF(NOT(ISERROR(MATCH(M25,_xlfn.ANCHORARRAY(F36),0))),L38&amp;"Por favor no seleccionar los criterios de impacto",M25)</f>
        <v>0</v>
      </c>
      <c r="O25" s="464"/>
      <c r="P25" s="467"/>
      <c r="Q25" s="476"/>
      <c r="R25" s="105">
        <v>2</v>
      </c>
      <c r="S25" s="106"/>
      <c r="T25" s="107" t="str">
        <f>IF(OR(U25="Preventivo",U25="Detectivo"),"Probabilidad",IF(U25="Correctivo","Impacto",""))</f>
        <v/>
      </c>
      <c r="U25" s="113"/>
      <c r="V25" s="113"/>
      <c r="W25" s="114" t="str">
        <f t="shared" ref="W25:W29" si="45">IF(AND(U25="Preventivo",V25="Automático"),"50%",IF(AND(U25="Preventivo",V25="Manual"),"40%",IF(AND(U25="Detectivo",V25="Automático"),"40%",IF(AND(U25="Detectivo",V25="Manual"),"30%",IF(AND(U25="Correctivo",V25="Automático"),"35%",IF(AND(U25="Correctivo",V25="Manual"),"25%",""))))))</f>
        <v/>
      </c>
      <c r="X25" s="113"/>
      <c r="Y25" s="113"/>
      <c r="Z25" s="242"/>
      <c r="AA25" s="253" t="str">
        <f>IFERROR(IF(AND(T24="Probabilidad",T25="Probabilidad"),(AC24-(+AC24*W25)),IF(AND(T24="Impacto",T25="Probabilidad"),(L24-(+L24*W25)),IF(T25="Impacto",AC24,""))),"")</f>
        <v/>
      </c>
      <c r="AB25" s="254" t="str">
        <f t="shared" ref="AB25:AB29" si="46">IFERROR(IF(AA25="","",IF(AA25&lt;=0.2,"Muy Baja",IF(AA25&lt;=0.4,"Baja",IF(AA25&lt;=0.6,"Media",IF(AA25&lt;=0.8,"Alta","Muy Alta"))))),"")</f>
        <v/>
      </c>
      <c r="AC25" s="255" t="str">
        <f>+AA25</f>
        <v/>
      </c>
      <c r="AD25" s="254" t="str">
        <f t="shared" ref="AD25:AD29" si="47">IFERROR(IF(AE25="","",IF(AE25&lt;=0.2,"Leve",IF(AE25&lt;=0.4,"Menor",IF(AE25&lt;=0.6,"Moderado",IF(AE25&lt;=0.8,"Mayor","Catastrófico"))))),"")</f>
        <v/>
      </c>
      <c r="AE25" s="255" t="str">
        <f>IFERROR(IF(AND(T24="Impacto",T25="Impacto"),(AE24-(+AE24*W25)),IF(AND(T24="Probabilidad",T25="Impacto"),(P24-(+P24*W25)),IF(T25="Probabilidad",AE24,""))),"")</f>
        <v/>
      </c>
      <c r="AF25" s="256" t="str">
        <f t="shared" ref="AF25:AF29" si="48">IFERROR(IF(OR(AND(AB25="Muy Baja",AD25="Leve"),AND(AB25="Muy Baja",AD25="Menor"),AND(AB25="Baja",AD25="Leve")),"Bajo",IF(OR(AND(AB25="Muy baja",AD25="Moderado"),AND(AB25="Baja",AD25="Menor"),AND(AB25="Baja",AD25="Moderado"),AND(AB25="Media",AD25="Leve"),AND(AB25="Media",AD25="Menor"),AND(AB25="Media",AD25="Moderado"),AND(AB25="Alta",AD25="Leve"),AND(AB25="Alta",AD25="Menor")),"Moderado",IF(OR(AND(AB25="Muy Baja",AD25="Mayor"),AND(AB25="Baja",AD25="Mayor"),AND(AB25="Media",AD25="Mayor"),AND(AB25="Alta",AD25="Moderado"),AND(AB25="Alta",AD25="Mayor"),AND(AB25="Muy Alta",AD25="Leve"),AND(AB25="Muy Alta",AD25="Menor"),AND(AB25="Muy Alta",AD25="Moderado"),AND(AB25="Muy Alta",AD25="Mayor")),"Alto",IF(OR(AND(AB25="Muy Baja",AD25="Catastrófico"),AND(AB25="Baja",AD25="Catastrófico"),AND(AB25="Media",AD25="Catastrófico"),AND(AB25="Alta",AD25="Catastrófico"),AND(AB25="Muy Alta",AD25="Catastrófico")),"Extremo","")))),"")</f>
        <v/>
      </c>
      <c r="AG25" s="257"/>
      <c r="AH25" s="262"/>
      <c r="AI25" s="263"/>
      <c r="AJ25" s="264"/>
      <c r="AK25" s="264"/>
      <c r="AL25" s="265"/>
      <c r="AM25" s="263"/>
      <c r="AN25" s="237"/>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26.25" customHeight="1" x14ac:dyDescent="0.25">
      <c r="A26" s="498"/>
      <c r="B26" s="501"/>
      <c r="C26" s="501"/>
      <c r="D26" s="470"/>
      <c r="E26" s="137"/>
      <c r="F26" s="471"/>
      <c r="G26" s="510"/>
      <c r="H26" s="138"/>
      <c r="I26" s="458"/>
      <c r="J26" s="461"/>
      <c r="K26" s="464"/>
      <c r="L26" s="467"/>
      <c r="M26" s="507"/>
      <c r="N26" s="467">
        <f>IF(NOT(ISERROR(MATCH(M26,_xlfn.ANCHORARRAY(F37),0))),L39&amp;"Por favor no seleccionar los criterios de impacto",M26)</f>
        <v>0</v>
      </c>
      <c r="O26" s="464"/>
      <c r="P26" s="467"/>
      <c r="Q26" s="476"/>
      <c r="R26" s="105">
        <v>3</v>
      </c>
      <c r="S26" s="112"/>
      <c r="T26" s="107" t="str">
        <f t="shared" ref="T26:T29" si="49">IF(OR(U26="Preventivo",U26="Detectivo"),"Probabilidad",IF(U26="Correctivo","Impacto",""))</f>
        <v/>
      </c>
      <c r="U26" s="113"/>
      <c r="V26" s="113"/>
      <c r="W26" s="114" t="str">
        <f t="shared" si="45"/>
        <v/>
      </c>
      <c r="X26" s="113"/>
      <c r="Y26" s="113"/>
      <c r="Z26" s="242"/>
      <c r="AA26" s="253" t="str">
        <f>IFERROR(IF(AND(T25="Probabilidad",T26="Probabilidad"),(AC25-(+AC25*W26)),IF(AND(T25="Impacto",T26="Probabilidad"),(AC24-(+AC24*W26)),IF(T26="Impacto",AC25,""))),"")</f>
        <v/>
      </c>
      <c r="AB26" s="254" t="str">
        <f t="shared" si="46"/>
        <v/>
      </c>
      <c r="AC26" s="255" t="str">
        <f t="shared" ref="AC26:AC29" si="50">+AA26</f>
        <v/>
      </c>
      <c r="AD26" s="254" t="str">
        <f t="shared" si="47"/>
        <v/>
      </c>
      <c r="AE26" s="255" t="str">
        <f t="shared" ref="AE26:AE29" si="51">IFERROR(IF(AND(T25="Impacto",T26="Impacto"),(AE25-(+AE25*W26)),IF(AND(T25="Probabilidad",T26="Impacto"),(AE24-(+AE24*W26)),IF(T26="Probabilidad",AE25,""))),"")</f>
        <v/>
      </c>
      <c r="AF26" s="256" t="str">
        <f t="shared" si="48"/>
        <v/>
      </c>
      <c r="AG26" s="257"/>
      <c r="AH26" s="262"/>
      <c r="AI26" s="263"/>
      <c r="AJ26" s="264"/>
      <c r="AK26" s="264"/>
      <c r="AL26" s="265"/>
      <c r="AM26" s="263"/>
      <c r="AN26" s="237"/>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26.25" customHeight="1" x14ac:dyDescent="0.25">
      <c r="A27" s="498"/>
      <c r="B27" s="501"/>
      <c r="C27" s="501"/>
      <c r="D27" s="470"/>
      <c r="E27" s="137"/>
      <c r="F27" s="471"/>
      <c r="G27" s="510"/>
      <c r="H27" s="138"/>
      <c r="I27" s="458"/>
      <c r="J27" s="461"/>
      <c r="K27" s="464"/>
      <c r="L27" s="467"/>
      <c r="M27" s="507"/>
      <c r="N27" s="467">
        <f>IF(NOT(ISERROR(MATCH(M27,_xlfn.ANCHORARRAY(F38),0))),L40&amp;"Por favor no seleccionar los criterios de impacto",M27)</f>
        <v>0</v>
      </c>
      <c r="O27" s="464"/>
      <c r="P27" s="467"/>
      <c r="Q27" s="476"/>
      <c r="R27" s="105">
        <v>4</v>
      </c>
      <c r="S27" s="106"/>
      <c r="T27" s="107" t="str">
        <f t="shared" si="49"/>
        <v/>
      </c>
      <c r="U27" s="113"/>
      <c r="V27" s="113"/>
      <c r="W27" s="114" t="str">
        <f t="shared" si="45"/>
        <v/>
      </c>
      <c r="X27" s="113"/>
      <c r="Y27" s="113"/>
      <c r="Z27" s="242"/>
      <c r="AA27" s="253" t="str">
        <f t="shared" ref="AA27:AA29" si="52">IFERROR(IF(AND(T26="Probabilidad",T27="Probabilidad"),(AC26-(+AC26*W27)),IF(AND(T26="Impacto",T27="Probabilidad"),(AC25-(+AC25*W27)),IF(T27="Impacto",AC26,""))),"")</f>
        <v/>
      </c>
      <c r="AB27" s="254" t="str">
        <f t="shared" si="46"/>
        <v/>
      </c>
      <c r="AC27" s="255" t="str">
        <f t="shared" si="50"/>
        <v/>
      </c>
      <c r="AD27" s="254" t="str">
        <f t="shared" si="47"/>
        <v/>
      </c>
      <c r="AE27" s="255" t="str">
        <f t="shared" si="51"/>
        <v/>
      </c>
      <c r="AF27" s="256" t="str">
        <f t="shared" si="48"/>
        <v/>
      </c>
      <c r="AG27" s="257"/>
      <c r="AH27" s="262"/>
      <c r="AI27" s="263"/>
      <c r="AJ27" s="264"/>
      <c r="AK27" s="264"/>
      <c r="AL27" s="265"/>
      <c r="AM27" s="263"/>
      <c r="AN27" s="237"/>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26.25" customHeight="1" x14ac:dyDescent="0.25">
      <c r="A28" s="498"/>
      <c r="B28" s="501"/>
      <c r="C28" s="501"/>
      <c r="D28" s="470"/>
      <c r="E28" s="137"/>
      <c r="F28" s="471"/>
      <c r="G28" s="510"/>
      <c r="H28" s="138"/>
      <c r="I28" s="458"/>
      <c r="J28" s="461"/>
      <c r="K28" s="464"/>
      <c r="L28" s="467"/>
      <c r="M28" s="507"/>
      <c r="N28" s="467">
        <f>IF(NOT(ISERROR(MATCH(M28,_xlfn.ANCHORARRAY(F39),0))),L41&amp;"Por favor no seleccionar los criterios de impacto",M28)</f>
        <v>0</v>
      </c>
      <c r="O28" s="464"/>
      <c r="P28" s="467"/>
      <c r="Q28" s="476"/>
      <c r="R28" s="105">
        <v>5</v>
      </c>
      <c r="S28" s="106"/>
      <c r="T28" s="107" t="str">
        <f t="shared" si="49"/>
        <v/>
      </c>
      <c r="U28" s="113"/>
      <c r="V28" s="113"/>
      <c r="W28" s="114" t="str">
        <f t="shared" si="45"/>
        <v/>
      </c>
      <c r="X28" s="113"/>
      <c r="Y28" s="113"/>
      <c r="Z28" s="242"/>
      <c r="AA28" s="253" t="str">
        <f t="shared" si="52"/>
        <v/>
      </c>
      <c r="AB28" s="254" t="str">
        <f t="shared" si="46"/>
        <v/>
      </c>
      <c r="AC28" s="255" t="str">
        <f t="shared" si="50"/>
        <v/>
      </c>
      <c r="AD28" s="254" t="str">
        <f t="shared" si="47"/>
        <v/>
      </c>
      <c r="AE28" s="255" t="str">
        <f t="shared" si="51"/>
        <v/>
      </c>
      <c r="AF28" s="256" t="str">
        <f t="shared" si="48"/>
        <v/>
      </c>
      <c r="AG28" s="257"/>
      <c r="AH28" s="262"/>
      <c r="AI28" s="263"/>
      <c r="AJ28" s="264"/>
      <c r="AK28" s="264"/>
      <c r="AL28" s="265"/>
      <c r="AM28" s="263"/>
      <c r="AN28" s="237"/>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26.25" customHeight="1" x14ac:dyDescent="0.25">
      <c r="A29" s="499"/>
      <c r="B29" s="502"/>
      <c r="C29" s="502"/>
      <c r="D29" s="518"/>
      <c r="E29" s="137"/>
      <c r="F29" s="471"/>
      <c r="G29" s="511"/>
      <c r="H29" s="138"/>
      <c r="I29" s="459"/>
      <c r="J29" s="462"/>
      <c r="K29" s="465"/>
      <c r="L29" s="468"/>
      <c r="M29" s="508"/>
      <c r="N29" s="468">
        <f>IF(NOT(ISERROR(MATCH(M29,_xlfn.ANCHORARRAY(F40),0))),L42&amp;"Por favor no seleccionar los criterios de impacto",M29)</f>
        <v>0</v>
      </c>
      <c r="O29" s="465"/>
      <c r="P29" s="468"/>
      <c r="Q29" s="477"/>
      <c r="R29" s="105">
        <v>6</v>
      </c>
      <c r="S29" s="106"/>
      <c r="T29" s="107" t="str">
        <f t="shared" si="49"/>
        <v/>
      </c>
      <c r="U29" s="113"/>
      <c r="V29" s="113"/>
      <c r="W29" s="114" t="str">
        <f t="shared" si="45"/>
        <v/>
      </c>
      <c r="X29" s="113"/>
      <c r="Y29" s="113"/>
      <c r="Z29" s="242"/>
      <c r="AA29" s="253" t="str">
        <f t="shared" si="52"/>
        <v/>
      </c>
      <c r="AB29" s="254" t="str">
        <f t="shared" si="46"/>
        <v/>
      </c>
      <c r="AC29" s="255" t="str">
        <f t="shared" si="50"/>
        <v/>
      </c>
      <c r="AD29" s="254" t="str">
        <f t="shared" si="47"/>
        <v/>
      </c>
      <c r="AE29" s="255" t="str">
        <f t="shared" si="51"/>
        <v/>
      </c>
      <c r="AF29" s="256" t="str">
        <f t="shared" si="48"/>
        <v/>
      </c>
      <c r="AG29" s="257"/>
      <c r="AH29" s="262"/>
      <c r="AI29" s="263"/>
      <c r="AJ29" s="264"/>
      <c r="AK29" s="264"/>
      <c r="AL29" s="265"/>
      <c r="AM29" s="263"/>
      <c r="AN29" s="237"/>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26.25" customHeight="1" x14ac:dyDescent="0.25">
      <c r="A30" s="497">
        <v>6</v>
      </c>
      <c r="B30" s="500"/>
      <c r="C30" s="500"/>
      <c r="D30" s="469"/>
      <c r="E30" s="137"/>
      <c r="F30" s="471"/>
      <c r="G30" s="509"/>
      <c r="H30" s="138"/>
      <c r="I30" s="457"/>
      <c r="J30" s="460"/>
      <c r="K30" s="463" t="str">
        <f t="shared" ref="K30" si="53">IF(J30&lt;=0,"",IF(J30&lt;=2,"Muy Baja",IF(J30&lt;=24,"Baja",IF(J30&lt;=500,"Media",IF(J30&lt;=5000,"Alta","Muy Alta")))))</f>
        <v/>
      </c>
      <c r="L30" s="466" t="str">
        <f t="shared" ref="L30" si="54">IF(K30="","",IF(K30="Muy Baja",0.2,IF(K30="Baja",0.4,IF(K30="Media",0.6,IF(K30="Alta",0.8,IF(K30="Muy Alta",1,))))))</f>
        <v/>
      </c>
      <c r="M30" s="506"/>
      <c r="N30" s="466">
        <f>IF(NOT(ISERROR(MATCH(M30,'Tabla Impacto'!$B$221:$B$223,0))),'Tabla Impacto'!$F$223&amp;"Por favor no seleccionar los criterios de impacto(Afectación Económica o presupuestal y Pérdida Reputacional)",M30)</f>
        <v>0</v>
      </c>
      <c r="O30" s="463" t="str">
        <f>IF(OR(N30='Tabla Impacto'!$C$11,N30='Tabla Impacto'!$D$11),"Leve",IF(OR(N30='Tabla Impacto'!$C$12,N30='Tabla Impacto'!$D$12),"Menor",IF(OR(N30='Tabla Impacto'!$C$13,N30='Tabla Impacto'!$D$13),"Moderado",IF(OR(N30='Tabla Impacto'!$C$14,N30='Tabla Impacto'!$D$14),"Mayor",IF(OR(N30='Tabla Impacto'!$C$15,N30='Tabla Impacto'!$D$15),"Catastrófico","")))))</f>
        <v/>
      </c>
      <c r="P30" s="466" t="str">
        <f t="shared" ref="P30" si="55">IF(O30="","",IF(O30="Leve",0.2,IF(O30="Menor",0.4,IF(O30="Moderado",0.6,IF(O30="Mayor",0.8,IF(O30="Catastrófico",1,))))))</f>
        <v/>
      </c>
      <c r="Q30" s="475" t="str">
        <f t="shared" ref="Q30" si="56">IF(OR(AND(K30="Muy Baja",O30="Leve"),AND(K30="Muy Baja",O30="Menor"),AND(K30="Baja",O30="Leve")),"Bajo",IF(OR(AND(K30="Muy baja",O30="Moderado"),AND(K30="Baja",O30="Menor"),AND(K30="Baja",O30="Moderado"),AND(K30="Media",O30="Leve"),AND(K30="Media",O30="Menor"),AND(K30="Media",O30="Moderado"),AND(K30="Alta",O30="Leve"),AND(K30="Alta",O30="Menor")),"Moderado",IF(OR(AND(K30="Muy Baja",O30="Mayor"),AND(K30="Baja",O30="Mayor"),AND(K30="Media",O30="Mayor"),AND(K30="Alta",O30="Moderado"),AND(K30="Alta",O30="Mayor"),AND(K30="Muy Alta",O30="Leve"),AND(K30="Muy Alta",O30="Menor"),AND(K30="Muy Alta",O30="Moderado"),AND(K30="Muy Alta",O30="Mayor")),"Alto",IF(OR(AND(K30="Muy Baja",O30="Catastrófico"),AND(K30="Baja",O30="Catastrófico"),AND(K30="Media",O30="Catastrófico"),AND(K30="Alta",O30="Catastrófico"),AND(K30="Muy Alta",O30="Catastrófico")),"Extremo",""))))</f>
        <v/>
      </c>
      <c r="R30" s="105">
        <v>1</v>
      </c>
      <c r="S30" s="106"/>
      <c r="T30" s="107" t="str">
        <f>IF(OR(U30="Preventivo",U30="Detectivo"),"Probabilidad",IF(U30="Correctivo","Impacto",""))</f>
        <v/>
      </c>
      <c r="U30" s="113"/>
      <c r="V30" s="113"/>
      <c r="W30" s="114" t="str">
        <f>IF(AND(U30="Preventivo",V30="Automático"),"50%",IF(AND(U30="Preventivo",V30="Manual"),"40%",IF(AND(U30="Detectivo",V30="Automático"),"40%",IF(AND(U30="Detectivo",V30="Manual"),"30%",IF(AND(U30="Correctivo",V30="Automático"),"35%",IF(AND(U30="Correctivo",V30="Manual"),"25%",""))))))</f>
        <v/>
      </c>
      <c r="X30" s="113"/>
      <c r="Y30" s="113"/>
      <c r="Z30" s="242"/>
      <c r="AA30" s="253" t="str">
        <f>IFERROR(IF(T30="Probabilidad",(L30-(+L30*W30)),IF(T30="Impacto",L30,"")),"")</f>
        <v/>
      </c>
      <c r="AB30" s="254" t="str">
        <f>IFERROR(IF(AA30="","",IF(AA30&lt;=0.2,"Muy Baja",IF(AA30&lt;=0.4,"Baja",IF(AA30&lt;=0.6,"Media",IF(AA30&lt;=0.8,"Alta","Muy Alta"))))),"")</f>
        <v/>
      </c>
      <c r="AC30" s="255" t="str">
        <f>+AA30</f>
        <v/>
      </c>
      <c r="AD30" s="254" t="str">
        <f>IFERROR(IF(AE30="","",IF(AE30&lt;=0.2,"Leve",IF(AE30&lt;=0.4,"Menor",IF(AE30&lt;=0.6,"Moderado",IF(AE30&lt;=0.8,"Mayor","Catastrófico"))))),"")</f>
        <v/>
      </c>
      <c r="AE30" s="255" t="str">
        <f>IFERROR(IF(T30="Impacto",(P30-(+P30*W30)),IF(T30="Probabilidad",P30,"")),"")</f>
        <v/>
      </c>
      <c r="AF30" s="256" t="str">
        <f>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
      </c>
      <c r="AG30" s="257"/>
      <c r="AH30" s="262"/>
      <c r="AI30" s="263"/>
      <c r="AJ30" s="264"/>
      <c r="AK30" s="264"/>
      <c r="AL30" s="265"/>
      <c r="AM30" s="263"/>
      <c r="AN30" s="237"/>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26.25" customHeight="1" x14ac:dyDescent="0.25">
      <c r="A31" s="498"/>
      <c r="B31" s="501"/>
      <c r="C31" s="501"/>
      <c r="D31" s="470"/>
      <c r="E31" s="137"/>
      <c r="F31" s="471"/>
      <c r="G31" s="510"/>
      <c r="H31" s="138"/>
      <c r="I31" s="458"/>
      <c r="J31" s="461"/>
      <c r="K31" s="464"/>
      <c r="L31" s="467"/>
      <c r="M31" s="507"/>
      <c r="N31" s="467">
        <f>IF(NOT(ISERROR(MATCH(M31,_xlfn.ANCHORARRAY(F42),0))),L44&amp;"Por favor no seleccionar los criterios de impacto",M31)</f>
        <v>0</v>
      </c>
      <c r="O31" s="464"/>
      <c r="P31" s="467"/>
      <c r="Q31" s="476"/>
      <c r="R31" s="105">
        <v>2</v>
      </c>
      <c r="S31" s="106"/>
      <c r="T31" s="107" t="str">
        <f>IF(OR(U31="Preventivo",U31="Detectivo"),"Probabilidad",IF(U31="Correctivo","Impacto",""))</f>
        <v/>
      </c>
      <c r="U31" s="113"/>
      <c r="V31" s="113"/>
      <c r="W31" s="114" t="str">
        <f t="shared" ref="W31:W35" si="57">IF(AND(U31="Preventivo",V31="Automático"),"50%",IF(AND(U31="Preventivo",V31="Manual"),"40%",IF(AND(U31="Detectivo",V31="Automático"),"40%",IF(AND(U31="Detectivo",V31="Manual"),"30%",IF(AND(U31="Correctivo",V31="Automático"),"35%",IF(AND(U31="Correctivo",V31="Manual"),"25%",""))))))</f>
        <v/>
      </c>
      <c r="X31" s="113"/>
      <c r="Y31" s="113"/>
      <c r="Z31" s="242"/>
      <c r="AA31" s="253" t="str">
        <f>IFERROR(IF(AND(T30="Probabilidad",T31="Probabilidad"),(AC30-(+AC30*W31)),IF(AND(T30="Impacto",T31="Probabilidad"),(L30-(+L30*W31)),IF(T31="Impacto",AC30,""))),"")</f>
        <v/>
      </c>
      <c r="AB31" s="254" t="str">
        <f t="shared" ref="AB31:AB35" si="58">IFERROR(IF(AA31="","",IF(AA31&lt;=0.2,"Muy Baja",IF(AA31&lt;=0.4,"Baja",IF(AA31&lt;=0.6,"Media",IF(AA31&lt;=0.8,"Alta","Muy Alta"))))),"")</f>
        <v/>
      </c>
      <c r="AC31" s="255" t="str">
        <f>+AA31</f>
        <v/>
      </c>
      <c r="AD31" s="254" t="str">
        <f t="shared" ref="AD31:AD35" si="59">IFERROR(IF(AE31="","",IF(AE31&lt;=0.2,"Leve",IF(AE31&lt;=0.4,"Menor",IF(AE31&lt;=0.6,"Moderado",IF(AE31&lt;=0.8,"Mayor","Catastrófico"))))),"")</f>
        <v/>
      </c>
      <c r="AE31" s="255" t="str">
        <f>IFERROR(IF(AND(T30="Impacto",T31="Impacto"),(AE30-(+AE30*W31)),IF(AND(T30="Probabilidad",T31="Impacto"),(P30-(+P30*W31)),IF(T31="Probabilidad",AE30,""))),"")</f>
        <v/>
      </c>
      <c r="AF31" s="256" t="str">
        <f t="shared" ref="AF31:AF35" si="60">IFERROR(IF(OR(AND(AB31="Muy Baja",AD31="Leve"),AND(AB31="Muy Baja",AD31="Menor"),AND(AB31="Baja",AD31="Leve")),"Bajo",IF(OR(AND(AB31="Muy baja",AD31="Moderado"),AND(AB31="Baja",AD31="Menor"),AND(AB31="Baja",AD31="Moderado"),AND(AB31="Media",AD31="Leve"),AND(AB31="Media",AD31="Menor"),AND(AB31="Media",AD31="Moderado"),AND(AB31="Alta",AD31="Leve"),AND(AB31="Alta",AD31="Menor")),"Moderado",IF(OR(AND(AB31="Muy Baja",AD31="Mayor"),AND(AB31="Baja",AD31="Mayor"),AND(AB31="Media",AD31="Mayor"),AND(AB31="Alta",AD31="Moderado"),AND(AB31="Alta",AD31="Mayor"),AND(AB31="Muy Alta",AD31="Leve"),AND(AB31="Muy Alta",AD31="Menor"),AND(AB31="Muy Alta",AD31="Moderado"),AND(AB31="Muy Alta",AD31="Mayor")),"Alto",IF(OR(AND(AB31="Muy Baja",AD31="Catastrófico"),AND(AB31="Baja",AD31="Catastrófico"),AND(AB31="Media",AD31="Catastrófico"),AND(AB31="Alta",AD31="Catastrófico"),AND(AB31="Muy Alta",AD31="Catastrófico")),"Extremo","")))),"")</f>
        <v/>
      </c>
      <c r="AG31" s="257"/>
      <c r="AH31" s="262"/>
      <c r="AI31" s="263"/>
      <c r="AJ31" s="264"/>
      <c r="AK31" s="264"/>
      <c r="AL31" s="265"/>
      <c r="AM31" s="263"/>
      <c r="AN31" s="237"/>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26.25" customHeight="1" x14ac:dyDescent="0.25">
      <c r="A32" s="498"/>
      <c r="B32" s="501"/>
      <c r="C32" s="501"/>
      <c r="D32" s="470"/>
      <c r="E32" s="137"/>
      <c r="F32" s="471"/>
      <c r="G32" s="510"/>
      <c r="H32" s="138"/>
      <c r="I32" s="458"/>
      <c r="J32" s="461"/>
      <c r="K32" s="464"/>
      <c r="L32" s="467"/>
      <c r="M32" s="507"/>
      <c r="N32" s="467">
        <f>IF(NOT(ISERROR(MATCH(M32,_xlfn.ANCHORARRAY(F43),0))),L45&amp;"Por favor no seleccionar los criterios de impacto",M32)</f>
        <v>0</v>
      </c>
      <c r="O32" s="464"/>
      <c r="P32" s="467"/>
      <c r="Q32" s="476"/>
      <c r="R32" s="105">
        <v>3</v>
      </c>
      <c r="S32" s="112"/>
      <c r="T32" s="107" t="str">
        <f t="shared" ref="T32:T35" si="61">IF(OR(U32="Preventivo",U32="Detectivo"),"Probabilidad",IF(U32="Correctivo","Impacto",""))</f>
        <v/>
      </c>
      <c r="U32" s="113"/>
      <c r="V32" s="113"/>
      <c r="W32" s="114" t="str">
        <f t="shared" si="57"/>
        <v/>
      </c>
      <c r="X32" s="113"/>
      <c r="Y32" s="113"/>
      <c r="Z32" s="242"/>
      <c r="AA32" s="253" t="str">
        <f>IFERROR(IF(AND(T31="Probabilidad",T32="Probabilidad"),(AC31-(+AC31*W32)),IF(AND(T31="Impacto",T32="Probabilidad"),(AC30-(+AC30*W32)),IF(T32="Impacto",AC31,""))),"")</f>
        <v/>
      </c>
      <c r="AB32" s="254" t="str">
        <f t="shared" si="58"/>
        <v/>
      </c>
      <c r="AC32" s="255" t="str">
        <f t="shared" ref="AC32:AC35" si="62">+AA32</f>
        <v/>
      </c>
      <c r="AD32" s="254" t="str">
        <f t="shared" si="59"/>
        <v/>
      </c>
      <c r="AE32" s="255" t="str">
        <f t="shared" ref="AE32:AE35" si="63">IFERROR(IF(AND(T31="Impacto",T32="Impacto"),(AE31-(+AE31*W32)),IF(AND(T31="Probabilidad",T32="Impacto"),(AE30-(+AE30*W32)),IF(T32="Probabilidad",AE31,""))),"")</f>
        <v/>
      </c>
      <c r="AF32" s="256" t="str">
        <f t="shared" si="60"/>
        <v/>
      </c>
      <c r="AG32" s="257"/>
      <c r="AH32" s="262"/>
      <c r="AI32" s="263"/>
      <c r="AJ32" s="264"/>
      <c r="AK32" s="264"/>
      <c r="AL32" s="265"/>
      <c r="AM32" s="263"/>
      <c r="AN32" s="237"/>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26.25" customHeight="1" x14ac:dyDescent="0.25">
      <c r="A33" s="498"/>
      <c r="B33" s="501"/>
      <c r="C33" s="501"/>
      <c r="D33" s="470"/>
      <c r="E33" s="137"/>
      <c r="F33" s="471"/>
      <c r="G33" s="510"/>
      <c r="H33" s="138"/>
      <c r="I33" s="458"/>
      <c r="J33" s="461"/>
      <c r="K33" s="464"/>
      <c r="L33" s="467"/>
      <c r="M33" s="507"/>
      <c r="N33" s="467">
        <f>IF(NOT(ISERROR(MATCH(M33,_xlfn.ANCHORARRAY(F44),0))),L46&amp;"Por favor no seleccionar los criterios de impacto",M33)</f>
        <v>0</v>
      </c>
      <c r="O33" s="464"/>
      <c r="P33" s="467"/>
      <c r="Q33" s="476"/>
      <c r="R33" s="105">
        <v>4</v>
      </c>
      <c r="S33" s="106"/>
      <c r="T33" s="107" t="str">
        <f t="shared" si="61"/>
        <v/>
      </c>
      <c r="U33" s="113"/>
      <c r="V33" s="113"/>
      <c r="W33" s="114" t="str">
        <f t="shared" si="57"/>
        <v/>
      </c>
      <c r="X33" s="113"/>
      <c r="Y33" s="113"/>
      <c r="Z33" s="242"/>
      <c r="AA33" s="253" t="str">
        <f t="shared" ref="AA33:AA35" si="64">IFERROR(IF(AND(T32="Probabilidad",T33="Probabilidad"),(AC32-(+AC32*W33)),IF(AND(T32="Impacto",T33="Probabilidad"),(AC31-(+AC31*W33)),IF(T33="Impacto",AC32,""))),"")</f>
        <v/>
      </c>
      <c r="AB33" s="254" t="str">
        <f t="shared" si="58"/>
        <v/>
      </c>
      <c r="AC33" s="255" t="str">
        <f t="shared" si="62"/>
        <v/>
      </c>
      <c r="AD33" s="254" t="str">
        <f t="shared" si="59"/>
        <v/>
      </c>
      <c r="AE33" s="255" t="str">
        <f t="shared" si="63"/>
        <v/>
      </c>
      <c r="AF33" s="256" t="str">
        <f t="shared" si="60"/>
        <v/>
      </c>
      <c r="AG33" s="257"/>
      <c r="AH33" s="262"/>
      <c r="AI33" s="263"/>
      <c r="AJ33" s="264"/>
      <c r="AK33" s="264"/>
      <c r="AL33" s="265"/>
      <c r="AM33" s="263"/>
      <c r="AN33" s="237"/>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26.25" customHeight="1" x14ac:dyDescent="0.25">
      <c r="A34" s="498"/>
      <c r="B34" s="501"/>
      <c r="C34" s="501"/>
      <c r="D34" s="470"/>
      <c r="E34" s="137"/>
      <c r="F34" s="471"/>
      <c r="G34" s="510"/>
      <c r="H34" s="138"/>
      <c r="I34" s="458"/>
      <c r="J34" s="461"/>
      <c r="K34" s="464"/>
      <c r="L34" s="467"/>
      <c r="M34" s="507"/>
      <c r="N34" s="467">
        <f>IF(NOT(ISERROR(MATCH(M34,_xlfn.ANCHORARRAY(F45),0))),L47&amp;"Por favor no seleccionar los criterios de impacto",M34)</f>
        <v>0</v>
      </c>
      <c r="O34" s="464"/>
      <c r="P34" s="467"/>
      <c r="Q34" s="476"/>
      <c r="R34" s="105">
        <v>5</v>
      </c>
      <c r="S34" s="106"/>
      <c r="T34" s="107" t="str">
        <f t="shared" si="61"/>
        <v/>
      </c>
      <c r="U34" s="113"/>
      <c r="V34" s="113"/>
      <c r="W34" s="114" t="str">
        <f t="shared" si="57"/>
        <v/>
      </c>
      <c r="X34" s="113"/>
      <c r="Y34" s="113"/>
      <c r="Z34" s="242"/>
      <c r="AA34" s="253" t="str">
        <f t="shared" si="64"/>
        <v/>
      </c>
      <c r="AB34" s="254" t="str">
        <f t="shared" si="58"/>
        <v/>
      </c>
      <c r="AC34" s="255" t="str">
        <f t="shared" si="62"/>
        <v/>
      </c>
      <c r="AD34" s="254" t="str">
        <f t="shared" si="59"/>
        <v/>
      </c>
      <c r="AE34" s="255" t="str">
        <f t="shared" si="63"/>
        <v/>
      </c>
      <c r="AF34" s="256" t="str">
        <f t="shared" si="60"/>
        <v/>
      </c>
      <c r="AG34" s="257"/>
      <c r="AH34" s="262"/>
      <c r="AI34" s="263"/>
      <c r="AJ34" s="264"/>
      <c r="AK34" s="264"/>
      <c r="AL34" s="265"/>
      <c r="AM34" s="263"/>
      <c r="AN34" s="237"/>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26.25" customHeight="1" x14ac:dyDescent="0.25">
      <c r="A35" s="499"/>
      <c r="B35" s="502"/>
      <c r="C35" s="502"/>
      <c r="D35" s="518"/>
      <c r="E35" s="137"/>
      <c r="F35" s="471"/>
      <c r="G35" s="511"/>
      <c r="H35" s="138"/>
      <c r="I35" s="459"/>
      <c r="J35" s="462"/>
      <c r="K35" s="465"/>
      <c r="L35" s="468"/>
      <c r="M35" s="508"/>
      <c r="N35" s="468">
        <f>IF(NOT(ISERROR(MATCH(M35,_xlfn.ANCHORARRAY(F46),0))),L48&amp;"Por favor no seleccionar los criterios de impacto",M35)</f>
        <v>0</v>
      </c>
      <c r="O35" s="465"/>
      <c r="P35" s="468"/>
      <c r="Q35" s="477"/>
      <c r="R35" s="105">
        <v>6</v>
      </c>
      <c r="S35" s="106"/>
      <c r="T35" s="107" t="str">
        <f t="shared" si="61"/>
        <v/>
      </c>
      <c r="U35" s="113"/>
      <c r="V35" s="113"/>
      <c r="W35" s="114" t="str">
        <f t="shared" si="57"/>
        <v/>
      </c>
      <c r="X35" s="113"/>
      <c r="Y35" s="113"/>
      <c r="Z35" s="242"/>
      <c r="AA35" s="253" t="str">
        <f t="shared" si="64"/>
        <v/>
      </c>
      <c r="AB35" s="254" t="str">
        <f t="shared" si="58"/>
        <v/>
      </c>
      <c r="AC35" s="255" t="str">
        <f t="shared" si="62"/>
        <v/>
      </c>
      <c r="AD35" s="254" t="str">
        <f t="shared" si="59"/>
        <v/>
      </c>
      <c r="AE35" s="255" t="str">
        <f t="shared" si="63"/>
        <v/>
      </c>
      <c r="AF35" s="256" t="str">
        <f t="shared" si="60"/>
        <v/>
      </c>
      <c r="AG35" s="257"/>
      <c r="AH35" s="262"/>
      <c r="AI35" s="263"/>
      <c r="AJ35" s="264"/>
      <c r="AK35" s="264"/>
      <c r="AL35" s="265"/>
      <c r="AM35" s="263"/>
      <c r="AN35" s="237"/>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26.25" customHeight="1" x14ac:dyDescent="0.25">
      <c r="A36" s="497">
        <v>7</v>
      </c>
      <c r="B36" s="500"/>
      <c r="C36" s="500"/>
      <c r="D36" s="500"/>
      <c r="E36" s="121"/>
      <c r="F36" s="504"/>
      <c r="G36" s="509"/>
      <c r="H36" s="124"/>
      <c r="I36" s="500"/>
      <c r="J36" s="460"/>
      <c r="K36" s="463" t="str">
        <f t="shared" ref="K36" si="65">IF(J36&lt;=0,"",IF(J36&lt;=2,"Muy Baja",IF(J36&lt;=24,"Baja",IF(J36&lt;=500,"Media",IF(J36&lt;=5000,"Alta","Muy Alta")))))</f>
        <v/>
      </c>
      <c r="L36" s="466" t="str">
        <f t="shared" ref="L36" si="66">IF(K36="","",IF(K36="Muy Baja",0.2,IF(K36="Baja",0.4,IF(K36="Media",0.6,IF(K36="Alta",0.8,IF(K36="Muy Alta",1,))))))</f>
        <v/>
      </c>
      <c r="M36" s="506"/>
      <c r="N36" s="466">
        <f>IF(NOT(ISERROR(MATCH(M36,'Tabla Impacto'!$B$221:$B$223,0))),'Tabla Impacto'!$F$223&amp;"Por favor no seleccionar los criterios de impacto(Afectación Económica o presupuestal y Pérdida Reputacional)",M36)</f>
        <v>0</v>
      </c>
      <c r="O36" s="463" t="str">
        <f>IF(OR(N36='Tabla Impacto'!$C$11,N36='Tabla Impacto'!$D$11),"Leve",IF(OR(N36='Tabla Impacto'!$C$12,N36='Tabla Impacto'!$D$12),"Menor",IF(OR(N36='Tabla Impacto'!$C$13,N36='Tabla Impacto'!$D$13),"Moderado",IF(OR(N36='Tabla Impacto'!$C$14,N36='Tabla Impacto'!$D$14),"Mayor",IF(OR(N36='Tabla Impacto'!$C$15,N36='Tabla Impacto'!$D$15),"Catastrófico","")))))</f>
        <v/>
      </c>
      <c r="P36" s="466" t="str">
        <f t="shared" ref="P36" si="67">IF(O36="","",IF(O36="Leve",0.2,IF(O36="Menor",0.4,IF(O36="Moderado",0.6,IF(O36="Mayor",0.8,IF(O36="Catastrófico",1,))))))</f>
        <v/>
      </c>
      <c r="Q36" s="475" t="str">
        <f t="shared" ref="Q36" si="68">IF(OR(AND(K36="Muy Baja",O36="Leve"),AND(K36="Muy Baja",O36="Menor"),AND(K36="Baja",O36="Leve")),"Bajo",IF(OR(AND(K36="Muy baja",O36="Moderado"),AND(K36="Baja",O36="Menor"),AND(K36="Baja",O36="Moderado"),AND(K36="Media",O36="Leve"),AND(K36="Media",O36="Menor"),AND(K36="Media",O36="Moderado"),AND(K36="Alta",O36="Leve"),AND(K36="Alta",O36="Menor")),"Moderado",IF(OR(AND(K36="Muy Baja",O36="Mayor"),AND(K36="Baja",O36="Mayor"),AND(K36="Media",O36="Mayor"),AND(K36="Alta",O36="Moderado"),AND(K36="Alta",O36="Mayor"),AND(K36="Muy Alta",O36="Leve"),AND(K36="Muy Alta",O36="Menor"),AND(K36="Muy Alta",O36="Moderado"),AND(K36="Muy Alta",O36="Mayor")),"Alto",IF(OR(AND(K36="Muy Baja",O36="Catastrófico"),AND(K36="Baja",O36="Catastrófico"),AND(K36="Media",O36="Catastrófico"),AND(K36="Alta",O36="Catastrófico"),AND(K36="Muy Alta",O36="Catastrófico")),"Extremo",""))))</f>
        <v/>
      </c>
      <c r="R36" s="105">
        <v>1</v>
      </c>
      <c r="S36" s="106"/>
      <c r="T36" s="107" t="str">
        <f>IF(OR(U36="Preventivo",U36="Detectivo"),"Probabilidad",IF(U36="Correctivo","Impacto",""))</f>
        <v/>
      </c>
      <c r="U36" s="113"/>
      <c r="V36" s="113"/>
      <c r="W36" s="114" t="str">
        <f>IF(AND(U36="Preventivo",V36="Automático"),"50%",IF(AND(U36="Preventivo",V36="Manual"),"40%",IF(AND(U36="Detectivo",V36="Automático"),"40%",IF(AND(U36="Detectivo",V36="Manual"),"30%",IF(AND(U36="Correctivo",V36="Automático"),"35%",IF(AND(U36="Correctivo",V36="Manual"),"25%",""))))))</f>
        <v/>
      </c>
      <c r="X36" s="113"/>
      <c r="Y36" s="113"/>
      <c r="Z36" s="242"/>
      <c r="AA36" s="253" t="str">
        <f>IFERROR(IF(T36="Probabilidad",(L36-(+L36*W36)),IF(T36="Impacto",L36,"")),"")</f>
        <v/>
      </c>
      <c r="AB36" s="254" t="str">
        <f>IFERROR(IF(AA36="","",IF(AA36&lt;=0.2,"Muy Baja",IF(AA36&lt;=0.4,"Baja",IF(AA36&lt;=0.6,"Media",IF(AA36&lt;=0.8,"Alta","Muy Alta"))))),"")</f>
        <v/>
      </c>
      <c r="AC36" s="255" t="str">
        <f>+AA36</f>
        <v/>
      </c>
      <c r="AD36" s="254" t="str">
        <f>IFERROR(IF(AE36="","",IF(AE36&lt;=0.2,"Leve",IF(AE36&lt;=0.4,"Menor",IF(AE36&lt;=0.6,"Moderado",IF(AE36&lt;=0.8,"Mayor","Catastrófico"))))),"")</f>
        <v/>
      </c>
      <c r="AE36" s="255" t="str">
        <f>IFERROR(IF(T36="Impacto",(P36-(+P36*W36)),IF(T36="Probabilidad",P36,"")),"")</f>
        <v/>
      </c>
      <c r="AF36" s="256" t="str">
        <f>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
      </c>
      <c r="AG36" s="257"/>
      <c r="AH36" s="262"/>
      <c r="AI36" s="263"/>
      <c r="AJ36" s="264"/>
      <c r="AK36" s="264"/>
      <c r="AL36" s="265"/>
      <c r="AM36" s="263"/>
      <c r="AN36" s="237"/>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26.25" customHeight="1" x14ac:dyDescent="0.25">
      <c r="A37" s="498"/>
      <c r="B37" s="501"/>
      <c r="C37" s="501"/>
      <c r="D37" s="501"/>
      <c r="E37" s="121"/>
      <c r="F37" s="504"/>
      <c r="G37" s="510"/>
      <c r="H37" s="124"/>
      <c r="I37" s="501"/>
      <c r="J37" s="461"/>
      <c r="K37" s="464"/>
      <c r="L37" s="467"/>
      <c r="M37" s="507"/>
      <c r="N37" s="467">
        <f>IF(NOT(ISERROR(MATCH(M37,_xlfn.ANCHORARRAY(F48),0))),L50&amp;"Por favor no seleccionar los criterios de impacto",M37)</f>
        <v>0</v>
      </c>
      <c r="O37" s="464"/>
      <c r="P37" s="467"/>
      <c r="Q37" s="476"/>
      <c r="R37" s="105">
        <v>2</v>
      </c>
      <c r="S37" s="106"/>
      <c r="T37" s="107" t="str">
        <f>IF(OR(U37="Preventivo",U37="Detectivo"),"Probabilidad",IF(U37="Correctivo","Impacto",""))</f>
        <v/>
      </c>
      <c r="U37" s="113"/>
      <c r="V37" s="113"/>
      <c r="W37" s="114" t="str">
        <f t="shared" ref="W37:W41" si="69">IF(AND(U37="Preventivo",V37="Automático"),"50%",IF(AND(U37="Preventivo",V37="Manual"),"40%",IF(AND(U37="Detectivo",V37="Automático"),"40%",IF(AND(U37="Detectivo",V37="Manual"),"30%",IF(AND(U37="Correctivo",V37="Automático"),"35%",IF(AND(U37="Correctivo",V37="Manual"),"25%",""))))))</f>
        <v/>
      </c>
      <c r="X37" s="113"/>
      <c r="Y37" s="113"/>
      <c r="Z37" s="113"/>
      <c r="AA37" s="246" t="str">
        <f>IFERROR(IF(AND(T36="Probabilidad",T37="Probabilidad"),(AC36-(+AC36*W37)),IF(AND(T36="Impacto",T37="Probabilidad"),(L36-(+L36*W37)),IF(T37="Impacto",AC36,""))),"")</f>
        <v/>
      </c>
      <c r="AB37" s="247" t="str">
        <f t="shared" ref="AB37:AB41" si="70">IFERROR(IF(AA37="","",IF(AA37&lt;=0.2,"Muy Baja",IF(AA37&lt;=0.4,"Baja",IF(AA37&lt;=0.6,"Media",IF(AA37&lt;=0.8,"Alta","Muy Alta"))))),"")</f>
        <v/>
      </c>
      <c r="AC37" s="248" t="str">
        <f>+AA37</f>
        <v/>
      </c>
      <c r="AD37" s="247" t="str">
        <f t="shared" ref="AD37:AD41" si="71">IFERROR(IF(AE37="","",IF(AE37&lt;=0.2,"Leve",IF(AE37&lt;=0.4,"Menor",IF(AE37&lt;=0.6,"Moderado",IF(AE37&lt;=0.8,"Mayor","Catastrófico"))))),"")</f>
        <v/>
      </c>
      <c r="AE37" s="248" t="str">
        <f>IFERROR(IF(AND(T36="Impacto",T37="Impacto"),(AE36-(+AE36*W37)),IF(AND(T36="Probabilidad",T37="Impacto"),(P36-(+P36*W37)),IF(T37="Probabilidad",AE36,""))),"")</f>
        <v/>
      </c>
      <c r="AF37" s="249" t="str">
        <f t="shared" ref="AF37:AF41" si="72">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
      </c>
      <c r="AG37" s="250"/>
      <c r="AH37" s="233"/>
      <c r="AI37" s="230"/>
      <c r="AJ37" s="251"/>
      <c r="AK37" s="251"/>
      <c r="AL37" s="122"/>
      <c r="AM37" s="236"/>
      <c r="AN37" s="252"/>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26.25" customHeight="1" x14ac:dyDescent="0.25">
      <c r="A38" s="498"/>
      <c r="B38" s="501"/>
      <c r="C38" s="501"/>
      <c r="D38" s="501"/>
      <c r="E38" s="121"/>
      <c r="F38" s="504"/>
      <c r="G38" s="510"/>
      <c r="H38" s="124"/>
      <c r="I38" s="501"/>
      <c r="J38" s="461"/>
      <c r="K38" s="464"/>
      <c r="L38" s="467"/>
      <c r="M38" s="507"/>
      <c r="N38" s="467">
        <f>IF(NOT(ISERROR(MATCH(M38,_xlfn.ANCHORARRAY(F49),0))),L51&amp;"Por favor no seleccionar los criterios de impacto",M38)</f>
        <v>0</v>
      </c>
      <c r="O38" s="464"/>
      <c r="P38" s="467"/>
      <c r="Q38" s="476"/>
      <c r="R38" s="105">
        <v>3</v>
      </c>
      <c r="S38" s="112"/>
      <c r="T38" s="107" t="str">
        <f t="shared" ref="T38:T41" si="73">IF(OR(U38="Preventivo",U38="Detectivo"),"Probabilidad",IF(U38="Correctivo","Impacto",""))</f>
        <v/>
      </c>
      <c r="U38" s="113"/>
      <c r="V38" s="113"/>
      <c r="W38" s="114" t="str">
        <f t="shared" si="69"/>
        <v/>
      </c>
      <c r="X38" s="113"/>
      <c r="Y38" s="113"/>
      <c r="Z38" s="113"/>
      <c r="AA38" s="108" t="str">
        <f>IFERROR(IF(AND(T37="Probabilidad",T38="Probabilidad"),(AC37-(+AC37*W38)),IF(AND(T37="Impacto",T38="Probabilidad"),(AC36-(+AC36*W38)),IF(T38="Impacto",AC37,""))),"")</f>
        <v/>
      </c>
      <c r="AB38" s="116" t="str">
        <f t="shared" si="70"/>
        <v/>
      </c>
      <c r="AC38" s="117" t="str">
        <f t="shared" ref="AC38:AC41" si="74">+AA38</f>
        <v/>
      </c>
      <c r="AD38" s="116" t="str">
        <f t="shared" si="71"/>
        <v/>
      </c>
      <c r="AE38" s="117" t="str">
        <f t="shared" ref="AE38:AE41" si="75">IFERROR(IF(AND(T37="Impacto",T38="Impacto"),(AE37-(+AE37*W38)),IF(AND(T37="Probabilidad",T38="Impacto"),(AE36-(+AE36*W38)),IF(T38="Probabilidad",AE37,""))),"")</f>
        <v/>
      </c>
      <c r="AF38" s="118" t="str">
        <f t="shared" si="72"/>
        <v/>
      </c>
      <c r="AG38" s="119"/>
      <c r="AH38" s="109"/>
      <c r="AI38" s="110"/>
      <c r="AJ38" s="111"/>
      <c r="AK38" s="111"/>
      <c r="AL38" s="109"/>
      <c r="AM38" s="235"/>
      <c r="AN38" s="237"/>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26.25" customHeight="1" x14ac:dyDescent="0.25">
      <c r="A39" s="498"/>
      <c r="B39" s="501"/>
      <c r="C39" s="501"/>
      <c r="D39" s="501"/>
      <c r="E39" s="121"/>
      <c r="F39" s="504"/>
      <c r="G39" s="510"/>
      <c r="H39" s="124"/>
      <c r="I39" s="501"/>
      <c r="J39" s="461"/>
      <c r="K39" s="464"/>
      <c r="L39" s="467"/>
      <c r="M39" s="507"/>
      <c r="N39" s="467">
        <f>IF(NOT(ISERROR(MATCH(M39,_xlfn.ANCHORARRAY(F50),0))),L52&amp;"Por favor no seleccionar los criterios de impacto",M39)</f>
        <v>0</v>
      </c>
      <c r="O39" s="464"/>
      <c r="P39" s="467"/>
      <c r="Q39" s="476"/>
      <c r="R39" s="105">
        <v>4</v>
      </c>
      <c r="S39" s="106"/>
      <c r="T39" s="107" t="str">
        <f t="shared" si="73"/>
        <v/>
      </c>
      <c r="U39" s="113"/>
      <c r="V39" s="113"/>
      <c r="W39" s="114" t="str">
        <f t="shared" si="69"/>
        <v/>
      </c>
      <c r="X39" s="113"/>
      <c r="Y39" s="113"/>
      <c r="Z39" s="113"/>
      <c r="AA39" s="108" t="str">
        <f t="shared" ref="AA39:AA41" si="76">IFERROR(IF(AND(T38="Probabilidad",T39="Probabilidad"),(AC38-(+AC38*W39)),IF(AND(T38="Impacto",T39="Probabilidad"),(AC37-(+AC37*W39)),IF(T39="Impacto",AC38,""))),"")</f>
        <v/>
      </c>
      <c r="AB39" s="116" t="str">
        <f t="shared" si="70"/>
        <v/>
      </c>
      <c r="AC39" s="117" t="str">
        <f t="shared" si="74"/>
        <v/>
      </c>
      <c r="AD39" s="116" t="str">
        <f t="shared" si="71"/>
        <v/>
      </c>
      <c r="AE39" s="117" t="str">
        <f t="shared" si="75"/>
        <v/>
      </c>
      <c r="AF39" s="118" t="str">
        <f t="shared" si="72"/>
        <v/>
      </c>
      <c r="AG39" s="119"/>
      <c r="AH39" s="109"/>
      <c r="AI39" s="110"/>
      <c r="AJ39" s="111"/>
      <c r="AK39" s="111"/>
      <c r="AL39" s="109"/>
      <c r="AM39" s="235"/>
      <c r="AN39" s="237"/>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26.25" customHeight="1" x14ac:dyDescent="0.25">
      <c r="A40" s="498"/>
      <c r="B40" s="501"/>
      <c r="C40" s="501"/>
      <c r="D40" s="501"/>
      <c r="E40" s="121"/>
      <c r="F40" s="504"/>
      <c r="G40" s="510"/>
      <c r="H40" s="124"/>
      <c r="I40" s="501"/>
      <c r="J40" s="461"/>
      <c r="K40" s="464"/>
      <c r="L40" s="467"/>
      <c r="M40" s="507"/>
      <c r="N40" s="467">
        <f>IF(NOT(ISERROR(MATCH(M40,_xlfn.ANCHORARRAY(F51),0))),L53&amp;"Por favor no seleccionar los criterios de impacto",M40)</f>
        <v>0</v>
      </c>
      <c r="O40" s="464"/>
      <c r="P40" s="467"/>
      <c r="Q40" s="476"/>
      <c r="R40" s="105">
        <v>5</v>
      </c>
      <c r="S40" s="106"/>
      <c r="T40" s="107" t="str">
        <f t="shared" si="73"/>
        <v/>
      </c>
      <c r="U40" s="113"/>
      <c r="V40" s="113"/>
      <c r="W40" s="114" t="str">
        <f t="shared" si="69"/>
        <v/>
      </c>
      <c r="X40" s="113"/>
      <c r="Y40" s="113"/>
      <c r="Z40" s="113"/>
      <c r="AA40" s="108" t="str">
        <f t="shared" si="76"/>
        <v/>
      </c>
      <c r="AB40" s="116" t="str">
        <f t="shared" si="70"/>
        <v/>
      </c>
      <c r="AC40" s="117" t="str">
        <f t="shared" si="74"/>
        <v/>
      </c>
      <c r="AD40" s="116" t="str">
        <f t="shared" si="71"/>
        <v/>
      </c>
      <c r="AE40" s="117" t="str">
        <f t="shared" si="75"/>
        <v/>
      </c>
      <c r="AF40" s="118" t="str">
        <f t="shared" si="72"/>
        <v/>
      </c>
      <c r="AG40" s="119"/>
      <c r="AH40" s="109"/>
      <c r="AI40" s="110"/>
      <c r="AJ40" s="111"/>
      <c r="AK40" s="111"/>
      <c r="AL40" s="109"/>
      <c r="AM40" s="235"/>
      <c r="AN40" s="237"/>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26.25" customHeight="1" x14ac:dyDescent="0.25">
      <c r="A41" s="499"/>
      <c r="B41" s="502"/>
      <c r="C41" s="502"/>
      <c r="D41" s="502"/>
      <c r="E41" s="122"/>
      <c r="F41" s="505"/>
      <c r="G41" s="511"/>
      <c r="H41" s="125"/>
      <c r="I41" s="502"/>
      <c r="J41" s="462"/>
      <c r="K41" s="465"/>
      <c r="L41" s="468"/>
      <c r="M41" s="508"/>
      <c r="N41" s="468">
        <f>IF(NOT(ISERROR(MATCH(M41,_xlfn.ANCHORARRAY(F52),0))),L54&amp;"Por favor no seleccionar los criterios de impacto",M41)</f>
        <v>0</v>
      </c>
      <c r="O41" s="465"/>
      <c r="P41" s="468"/>
      <c r="Q41" s="477"/>
      <c r="R41" s="105">
        <v>6</v>
      </c>
      <c r="S41" s="106"/>
      <c r="T41" s="107" t="str">
        <f t="shared" si="73"/>
        <v/>
      </c>
      <c r="U41" s="113"/>
      <c r="V41" s="113"/>
      <c r="W41" s="114" t="str">
        <f t="shared" si="69"/>
        <v/>
      </c>
      <c r="X41" s="113"/>
      <c r="Y41" s="113"/>
      <c r="Z41" s="113"/>
      <c r="AA41" s="108" t="str">
        <f t="shared" si="76"/>
        <v/>
      </c>
      <c r="AB41" s="116" t="str">
        <f t="shared" si="70"/>
        <v/>
      </c>
      <c r="AC41" s="117" t="str">
        <f t="shared" si="74"/>
        <v/>
      </c>
      <c r="AD41" s="116" t="str">
        <f t="shared" si="71"/>
        <v/>
      </c>
      <c r="AE41" s="117" t="str">
        <f t="shared" si="75"/>
        <v/>
      </c>
      <c r="AF41" s="118" t="str">
        <f t="shared" si="72"/>
        <v/>
      </c>
      <c r="AG41" s="119"/>
      <c r="AH41" s="109"/>
      <c r="AI41" s="110"/>
      <c r="AJ41" s="111"/>
      <c r="AK41" s="111"/>
      <c r="AL41" s="109"/>
      <c r="AM41" s="235"/>
      <c r="AN41" s="237"/>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26.25" customHeight="1" x14ac:dyDescent="0.25">
      <c r="A42" s="497">
        <v>8</v>
      </c>
      <c r="B42" s="500"/>
      <c r="C42" s="500"/>
      <c r="D42" s="500"/>
      <c r="E42" s="120"/>
      <c r="F42" s="503"/>
      <c r="G42" s="509"/>
      <c r="H42" s="123"/>
      <c r="I42" s="500"/>
      <c r="J42" s="460"/>
      <c r="K42" s="463" t="str">
        <f t="shared" ref="K42" si="77">IF(J42&lt;=0,"",IF(J42&lt;=2,"Muy Baja",IF(J42&lt;=24,"Baja",IF(J42&lt;=500,"Media",IF(J42&lt;=5000,"Alta","Muy Alta")))))</f>
        <v/>
      </c>
      <c r="L42" s="466" t="str">
        <f t="shared" ref="L42" si="78">IF(K42="","",IF(K42="Muy Baja",0.2,IF(K42="Baja",0.4,IF(K42="Media",0.6,IF(K42="Alta",0.8,IF(K42="Muy Alta",1,))))))</f>
        <v/>
      </c>
      <c r="M42" s="506"/>
      <c r="N42" s="466">
        <f>IF(NOT(ISERROR(MATCH(M42,'Tabla Impacto'!$B$221:$B$223,0))),'Tabla Impacto'!$F$223&amp;"Por favor no seleccionar los criterios de impacto(Afectación Económica o presupuestal y Pérdida Reputacional)",M42)</f>
        <v>0</v>
      </c>
      <c r="O42" s="463" t="str">
        <f>IF(OR(N42='Tabla Impacto'!$C$11,N42='Tabla Impacto'!$D$11),"Leve",IF(OR(N42='Tabla Impacto'!$C$12,N42='Tabla Impacto'!$D$12),"Menor",IF(OR(N42='Tabla Impacto'!$C$13,N42='Tabla Impacto'!$D$13),"Moderado",IF(OR(N42='Tabla Impacto'!$C$14,N42='Tabla Impacto'!$D$14),"Mayor",IF(OR(N42='Tabla Impacto'!$C$15,N42='Tabla Impacto'!$D$15),"Catastrófico","")))))</f>
        <v/>
      </c>
      <c r="P42" s="466" t="str">
        <f t="shared" ref="P42" si="79">IF(O42="","",IF(O42="Leve",0.2,IF(O42="Menor",0.4,IF(O42="Moderado",0.6,IF(O42="Mayor",0.8,IF(O42="Catastrófico",1,))))))</f>
        <v/>
      </c>
      <c r="Q42" s="475" t="str">
        <f t="shared" ref="Q42" si="80">IF(OR(AND(K42="Muy Baja",O42="Leve"),AND(K42="Muy Baja",O42="Menor"),AND(K42="Baja",O42="Leve")),"Bajo",IF(OR(AND(K42="Muy baja",O42="Moderado"),AND(K42="Baja",O42="Menor"),AND(K42="Baja",O42="Moderado"),AND(K42="Media",O42="Leve"),AND(K42="Media",O42="Menor"),AND(K42="Media",O42="Moderado"),AND(K42="Alta",O42="Leve"),AND(K42="Alta",O42="Menor")),"Moderado",IF(OR(AND(K42="Muy Baja",O42="Mayor"),AND(K42="Baja",O42="Mayor"),AND(K42="Media",O42="Mayor"),AND(K42="Alta",O42="Moderado"),AND(K42="Alta",O42="Mayor"),AND(K42="Muy Alta",O42="Leve"),AND(K42="Muy Alta",O42="Menor"),AND(K42="Muy Alta",O42="Moderado"),AND(K42="Muy Alta",O42="Mayor")),"Alto",IF(OR(AND(K42="Muy Baja",O42="Catastrófico"),AND(K42="Baja",O42="Catastrófico"),AND(K42="Media",O42="Catastrófico"),AND(K42="Alta",O42="Catastrófico"),AND(K42="Muy Alta",O42="Catastrófico")),"Extremo",""))))</f>
        <v/>
      </c>
      <c r="R42" s="105">
        <v>1</v>
      </c>
      <c r="S42" s="106"/>
      <c r="T42" s="107" t="str">
        <f>IF(OR(U42="Preventivo",U42="Detectivo"),"Probabilidad",IF(U42="Correctivo","Impacto",""))</f>
        <v/>
      </c>
      <c r="U42" s="113"/>
      <c r="V42" s="113"/>
      <c r="W42" s="114" t="str">
        <f>IF(AND(U42="Preventivo",V42="Automático"),"50%",IF(AND(U42="Preventivo",V42="Manual"),"40%",IF(AND(U42="Detectivo",V42="Automático"),"40%",IF(AND(U42="Detectivo",V42="Manual"),"30%",IF(AND(U42="Correctivo",V42="Automático"),"35%",IF(AND(U42="Correctivo",V42="Manual"),"25%",""))))))</f>
        <v/>
      </c>
      <c r="X42" s="113"/>
      <c r="Y42" s="113"/>
      <c r="Z42" s="113"/>
      <c r="AA42" s="108" t="str">
        <f>IFERROR(IF(T42="Probabilidad",(L42-(+L42*W42)),IF(T42="Impacto",L42,"")),"")</f>
        <v/>
      </c>
      <c r="AB42" s="116" t="str">
        <f>IFERROR(IF(AA42="","",IF(AA42&lt;=0.2,"Muy Baja",IF(AA42&lt;=0.4,"Baja",IF(AA42&lt;=0.6,"Media",IF(AA42&lt;=0.8,"Alta","Muy Alta"))))),"")</f>
        <v/>
      </c>
      <c r="AC42" s="117" t="str">
        <f>+AA42</f>
        <v/>
      </c>
      <c r="AD42" s="116" t="str">
        <f>IFERROR(IF(AE42="","",IF(AE42&lt;=0.2,"Leve",IF(AE42&lt;=0.4,"Menor",IF(AE42&lt;=0.6,"Moderado",IF(AE42&lt;=0.8,"Mayor","Catastrófico"))))),"")</f>
        <v/>
      </c>
      <c r="AE42" s="117" t="str">
        <f>IFERROR(IF(T42="Impacto",(P42-(+P42*W42)),IF(T42="Probabilidad",P42,"")),"")</f>
        <v/>
      </c>
      <c r="AF42" s="118" t="str">
        <f>IFERROR(IF(OR(AND(AB42="Muy Baja",AD42="Leve"),AND(AB42="Muy Baja",AD42="Menor"),AND(AB42="Baja",AD42="Leve")),"Bajo",IF(OR(AND(AB42="Muy baja",AD42="Moderado"),AND(AB42="Baja",AD42="Menor"),AND(AB42="Baja",AD42="Moderado"),AND(AB42="Media",AD42="Leve"),AND(AB42="Media",AD42="Menor"),AND(AB42="Media",AD42="Moderado"),AND(AB42="Alta",AD42="Leve"),AND(AB42="Alta",AD42="Menor")),"Moderado",IF(OR(AND(AB42="Muy Baja",AD42="Mayor"),AND(AB42="Baja",AD42="Mayor"),AND(AB42="Media",AD42="Mayor"),AND(AB42="Alta",AD42="Moderado"),AND(AB42="Alta",AD42="Mayor"),AND(AB42="Muy Alta",AD42="Leve"),AND(AB42="Muy Alta",AD42="Menor"),AND(AB42="Muy Alta",AD42="Moderado"),AND(AB42="Muy Alta",AD42="Mayor")),"Alto",IF(OR(AND(AB42="Muy Baja",AD42="Catastrófico"),AND(AB42="Baja",AD42="Catastrófico"),AND(AB42="Media",AD42="Catastrófico"),AND(AB42="Alta",AD42="Catastrófico"),AND(AB42="Muy Alta",AD42="Catastrófico")),"Extremo","")))),"")</f>
        <v/>
      </c>
      <c r="AG42" s="119"/>
      <c r="AH42" s="109"/>
      <c r="AI42" s="110"/>
      <c r="AJ42" s="111"/>
      <c r="AK42" s="111"/>
      <c r="AL42" s="109"/>
      <c r="AM42" s="235"/>
      <c r="AN42" s="237"/>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26.25" customHeight="1" x14ac:dyDescent="0.25">
      <c r="A43" s="498"/>
      <c r="B43" s="501"/>
      <c r="C43" s="501"/>
      <c r="D43" s="501"/>
      <c r="E43" s="121"/>
      <c r="F43" s="504"/>
      <c r="G43" s="510"/>
      <c r="H43" s="124"/>
      <c r="I43" s="501"/>
      <c r="J43" s="461"/>
      <c r="K43" s="464"/>
      <c r="L43" s="467"/>
      <c r="M43" s="507"/>
      <c r="N43" s="467">
        <f>IF(NOT(ISERROR(MATCH(M43,_xlfn.ANCHORARRAY(F54),0))),L56&amp;"Por favor no seleccionar los criterios de impacto",M43)</f>
        <v>0</v>
      </c>
      <c r="O43" s="464"/>
      <c r="P43" s="467"/>
      <c r="Q43" s="476"/>
      <c r="R43" s="105">
        <v>2</v>
      </c>
      <c r="S43" s="106"/>
      <c r="T43" s="107" t="str">
        <f>IF(OR(U43="Preventivo",U43="Detectivo"),"Probabilidad",IF(U43="Correctivo","Impacto",""))</f>
        <v/>
      </c>
      <c r="U43" s="113"/>
      <c r="V43" s="113"/>
      <c r="W43" s="114" t="str">
        <f t="shared" ref="W43:W47" si="81">IF(AND(U43="Preventivo",V43="Automático"),"50%",IF(AND(U43="Preventivo",V43="Manual"),"40%",IF(AND(U43="Detectivo",V43="Automático"),"40%",IF(AND(U43="Detectivo",V43="Manual"),"30%",IF(AND(U43="Correctivo",V43="Automático"),"35%",IF(AND(U43="Correctivo",V43="Manual"),"25%",""))))))</f>
        <v/>
      </c>
      <c r="X43" s="113"/>
      <c r="Y43" s="113"/>
      <c r="Z43" s="113"/>
      <c r="AA43" s="108" t="str">
        <f>IFERROR(IF(AND(T42="Probabilidad",T43="Probabilidad"),(AC42-(+AC42*W43)),IF(AND(T42="Impacto",T43="Probabilidad"),(L42-(+L42*W43)),IF(T43="Impacto",AC42,""))),"")</f>
        <v/>
      </c>
      <c r="AB43" s="116" t="str">
        <f t="shared" ref="AB43:AB47" si="82">IFERROR(IF(AA43="","",IF(AA43&lt;=0.2,"Muy Baja",IF(AA43&lt;=0.4,"Baja",IF(AA43&lt;=0.6,"Media",IF(AA43&lt;=0.8,"Alta","Muy Alta"))))),"")</f>
        <v/>
      </c>
      <c r="AC43" s="117" t="str">
        <f>+AA43</f>
        <v/>
      </c>
      <c r="AD43" s="116" t="str">
        <f t="shared" ref="AD43:AD47" si="83">IFERROR(IF(AE43="","",IF(AE43&lt;=0.2,"Leve",IF(AE43&lt;=0.4,"Menor",IF(AE43&lt;=0.6,"Moderado",IF(AE43&lt;=0.8,"Mayor","Catastrófico"))))),"")</f>
        <v/>
      </c>
      <c r="AE43" s="117" t="str">
        <f>IFERROR(IF(AND(T42="Impacto",T43="Impacto"),(AE42-(+AE42*W43)),IF(AND(T42="Probabilidad",T43="Impacto"),(P42-(+P42*W43)),IF(T43="Probabilidad",AE42,""))),"")</f>
        <v/>
      </c>
      <c r="AF43" s="118" t="str">
        <f t="shared" ref="AF43:AF47" si="84">IFERROR(IF(OR(AND(AB43="Muy Baja",AD43="Leve"),AND(AB43="Muy Baja",AD43="Menor"),AND(AB43="Baja",AD43="Leve")),"Bajo",IF(OR(AND(AB43="Muy baja",AD43="Moderado"),AND(AB43="Baja",AD43="Menor"),AND(AB43="Baja",AD43="Moderado"),AND(AB43="Media",AD43="Leve"),AND(AB43="Media",AD43="Menor"),AND(AB43="Media",AD43="Moderado"),AND(AB43="Alta",AD43="Leve"),AND(AB43="Alta",AD43="Menor")),"Moderado",IF(OR(AND(AB43="Muy Baja",AD43="Mayor"),AND(AB43="Baja",AD43="Mayor"),AND(AB43="Media",AD43="Mayor"),AND(AB43="Alta",AD43="Moderado"),AND(AB43="Alta",AD43="Mayor"),AND(AB43="Muy Alta",AD43="Leve"),AND(AB43="Muy Alta",AD43="Menor"),AND(AB43="Muy Alta",AD43="Moderado"),AND(AB43="Muy Alta",AD43="Mayor")),"Alto",IF(OR(AND(AB43="Muy Baja",AD43="Catastrófico"),AND(AB43="Baja",AD43="Catastrófico"),AND(AB43="Media",AD43="Catastrófico"),AND(AB43="Alta",AD43="Catastrófico"),AND(AB43="Muy Alta",AD43="Catastrófico")),"Extremo","")))),"")</f>
        <v/>
      </c>
      <c r="AG43" s="119"/>
      <c r="AH43" s="109"/>
      <c r="AI43" s="110"/>
      <c r="AJ43" s="111"/>
      <c r="AK43" s="111"/>
      <c r="AL43" s="109"/>
      <c r="AM43" s="235"/>
      <c r="AN43" s="237"/>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26.25" customHeight="1" x14ac:dyDescent="0.25">
      <c r="A44" s="498"/>
      <c r="B44" s="501"/>
      <c r="C44" s="501"/>
      <c r="D44" s="501"/>
      <c r="E44" s="121"/>
      <c r="F44" s="504"/>
      <c r="G44" s="510"/>
      <c r="H44" s="124"/>
      <c r="I44" s="501"/>
      <c r="J44" s="461"/>
      <c r="K44" s="464"/>
      <c r="L44" s="467"/>
      <c r="M44" s="507"/>
      <c r="N44" s="467">
        <f>IF(NOT(ISERROR(MATCH(M44,_xlfn.ANCHORARRAY(F55),0))),L57&amp;"Por favor no seleccionar los criterios de impacto",M44)</f>
        <v>0</v>
      </c>
      <c r="O44" s="464"/>
      <c r="P44" s="467"/>
      <c r="Q44" s="476"/>
      <c r="R44" s="105">
        <v>3</v>
      </c>
      <c r="S44" s="112"/>
      <c r="T44" s="107" t="str">
        <f t="shared" ref="T44:T47" si="85">IF(OR(U44="Preventivo",U44="Detectivo"),"Probabilidad",IF(U44="Correctivo","Impacto",""))</f>
        <v/>
      </c>
      <c r="U44" s="113"/>
      <c r="V44" s="113"/>
      <c r="W44" s="114" t="str">
        <f t="shared" si="81"/>
        <v/>
      </c>
      <c r="X44" s="113"/>
      <c r="Y44" s="113"/>
      <c r="Z44" s="113"/>
      <c r="AA44" s="108" t="str">
        <f>IFERROR(IF(AND(T43="Probabilidad",T44="Probabilidad"),(AC43-(+AC43*W44)),IF(AND(T43="Impacto",T44="Probabilidad"),(AC42-(+AC42*W44)),IF(T44="Impacto",AC43,""))),"")</f>
        <v/>
      </c>
      <c r="AB44" s="116" t="str">
        <f t="shared" si="82"/>
        <v/>
      </c>
      <c r="AC44" s="117" t="str">
        <f t="shared" ref="AC44:AC47" si="86">+AA44</f>
        <v/>
      </c>
      <c r="AD44" s="116" t="str">
        <f t="shared" si="83"/>
        <v/>
      </c>
      <c r="AE44" s="117" t="str">
        <f t="shared" ref="AE44:AE47" si="87">IFERROR(IF(AND(T43="Impacto",T44="Impacto"),(AE43-(+AE43*W44)),IF(AND(T43="Probabilidad",T44="Impacto"),(AE42-(+AE42*W44)),IF(T44="Probabilidad",AE43,""))),"")</f>
        <v/>
      </c>
      <c r="AF44" s="118" t="str">
        <f t="shared" si="84"/>
        <v/>
      </c>
      <c r="AG44" s="119"/>
      <c r="AH44" s="109"/>
      <c r="AI44" s="110"/>
      <c r="AJ44" s="111"/>
      <c r="AK44" s="111"/>
      <c r="AL44" s="109"/>
      <c r="AM44" s="235"/>
      <c r="AN44" s="237"/>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26.25" customHeight="1" x14ac:dyDescent="0.25">
      <c r="A45" s="498"/>
      <c r="B45" s="501"/>
      <c r="C45" s="501"/>
      <c r="D45" s="501"/>
      <c r="E45" s="121"/>
      <c r="F45" s="504"/>
      <c r="G45" s="510"/>
      <c r="H45" s="124"/>
      <c r="I45" s="501"/>
      <c r="J45" s="461"/>
      <c r="K45" s="464"/>
      <c r="L45" s="467"/>
      <c r="M45" s="507"/>
      <c r="N45" s="467">
        <f>IF(NOT(ISERROR(MATCH(M45,_xlfn.ANCHORARRAY(F56),0))),L58&amp;"Por favor no seleccionar los criterios de impacto",M45)</f>
        <v>0</v>
      </c>
      <c r="O45" s="464"/>
      <c r="P45" s="467"/>
      <c r="Q45" s="476"/>
      <c r="R45" s="105">
        <v>4</v>
      </c>
      <c r="S45" s="106"/>
      <c r="T45" s="107" t="str">
        <f t="shared" si="85"/>
        <v/>
      </c>
      <c r="U45" s="113"/>
      <c r="V45" s="113"/>
      <c r="W45" s="114" t="str">
        <f t="shared" si="81"/>
        <v/>
      </c>
      <c r="X45" s="113"/>
      <c r="Y45" s="113"/>
      <c r="Z45" s="113"/>
      <c r="AA45" s="108" t="str">
        <f t="shared" ref="AA45:AA47" si="88">IFERROR(IF(AND(T44="Probabilidad",T45="Probabilidad"),(AC44-(+AC44*W45)),IF(AND(T44="Impacto",T45="Probabilidad"),(AC43-(+AC43*W45)),IF(T45="Impacto",AC44,""))),"")</f>
        <v/>
      </c>
      <c r="AB45" s="116" t="str">
        <f t="shared" si="82"/>
        <v/>
      </c>
      <c r="AC45" s="117" t="str">
        <f t="shared" si="86"/>
        <v/>
      </c>
      <c r="AD45" s="116" t="str">
        <f t="shared" si="83"/>
        <v/>
      </c>
      <c r="AE45" s="117" t="str">
        <f t="shared" si="87"/>
        <v/>
      </c>
      <c r="AF45" s="118" t="str">
        <f t="shared" si="84"/>
        <v/>
      </c>
      <c r="AG45" s="119"/>
      <c r="AH45" s="109"/>
      <c r="AI45" s="110"/>
      <c r="AJ45" s="111"/>
      <c r="AK45" s="111"/>
      <c r="AL45" s="109"/>
      <c r="AM45" s="235"/>
      <c r="AN45" s="237"/>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26.25" customHeight="1" x14ac:dyDescent="0.25">
      <c r="A46" s="498"/>
      <c r="B46" s="501"/>
      <c r="C46" s="501"/>
      <c r="D46" s="501"/>
      <c r="E46" s="121"/>
      <c r="F46" s="504"/>
      <c r="G46" s="510"/>
      <c r="H46" s="124"/>
      <c r="I46" s="501"/>
      <c r="J46" s="461"/>
      <c r="K46" s="464"/>
      <c r="L46" s="467"/>
      <c r="M46" s="507"/>
      <c r="N46" s="467">
        <f>IF(NOT(ISERROR(MATCH(M46,_xlfn.ANCHORARRAY(F57),0))),L59&amp;"Por favor no seleccionar los criterios de impacto",M46)</f>
        <v>0</v>
      </c>
      <c r="O46" s="464"/>
      <c r="P46" s="467"/>
      <c r="Q46" s="476"/>
      <c r="R46" s="105">
        <v>5</v>
      </c>
      <c r="S46" s="106"/>
      <c r="T46" s="107" t="str">
        <f t="shared" si="85"/>
        <v/>
      </c>
      <c r="U46" s="113"/>
      <c r="V46" s="113"/>
      <c r="W46" s="114" t="str">
        <f t="shared" si="81"/>
        <v/>
      </c>
      <c r="X46" s="113"/>
      <c r="Y46" s="113"/>
      <c r="Z46" s="113"/>
      <c r="AA46" s="108" t="str">
        <f t="shared" si="88"/>
        <v/>
      </c>
      <c r="AB46" s="116" t="str">
        <f t="shared" si="82"/>
        <v/>
      </c>
      <c r="AC46" s="117" t="str">
        <f t="shared" si="86"/>
        <v/>
      </c>
      <c r="AD46" s="116" t="str">
        <f t="shared" si="83"/>
        <v/>
      </c>
      <c r="AE46" s="117" t="str">
        <f t="shared" si="87"/>
        <v/>
      </c>
      <c r="AF46" s="118" t="str">
        <f t="shared" si="84"/>
        <v/>
      </c>
      <c r="AG46" s="119"/>
      <c r="AH46" s="109"/>
      <c r="AI46" s="110"/>
      <c r="AJ46" s="111"/>
      <c r="AK46" s="111"/>
      <c r="AL46" s="109"/>
      <c r="AM46" s="235"/>
      <c r="AN46" s="237"/>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26.25" customHeight="1" x14ac:dyDescent="0.25">
      <c r="A47" s="499"/>
      <c r="B47" s="502"/>
      <c r="C47" s="502"/>
      <c r="D47" s="502"/>
      <c r="E47" s="122"/>
      <c r="F47" s="505"/>
      <c r="G47" s="511"/>
      <c r="H47" s="125"/>
      <c r="I47" s="502"/>
      <c r="J47" s="462"/>
      <c r="K47" s="465"/>
      <c r="L47" s="468"/>
      <c r="M47" s="508"/>
      <c r="N47" s="468">
        <f>IF(NOT(ISERROR(MATCH(M47,_xlfn.ANCHORARRAY(F58),0))),L60&amp;"Por favor no seleccionar los criterios de impacto",M47)</f>
        <v>0</v>
      </c>
      <c r="O47" s="465"/>
      <c r="P47" s="468"/>
      <c r="Q47" s="477"/>
      <c r="R47" s="105">
        <v>6</v>
      </c>
      <c r="S47" s="106"/>
      <c r="T47" s="107" t="str">
        <f t="shared" si="85"/>
        <v/>
      </c>
      <c r="U47" s="113"/>
      <c r="V47" s="113"/>
      <c r="W47" s="114" t="str">
        <f t="shared" si="81"/>
        <v/>
      </c>
      <c r="X47" s="113"/>
      <c r="Y47" s="113"/>
      <c r="Z47" s="113"/>
      <c r="AA47" s="108" t="str">
        <f t="shared" si="88"/>
        <v/>
      </c>
      <c r="AB47" s="116" t="str">
        <f t="shared" si="82"/>
        <v/>
      </c>
      <c r="AC47" s="117" t="str">
        <f t="shared" si="86"/>
        <v/>
      </c>
      <c r="AD47" s="116" t="str">
        <f t="shared" si="83"/>
        <v/>
      </c>
      <c r="AE47" s="117" t="str">
        <f t="shared" si="87"/>
        <v/>
      </c>
      <c r="AF47" s="118" t="str">
        <f t="shared" si="84"/>
        <v/>
      </c>
      <c r="AG47" s="119"/>
      <c r="AH47" s="109"/>
      <c r="AI47" s="110"/>
      <c r="AJ47" s="111"/>
      <c r="AK47" s="111"/>
      <c r="AL47" s="109"/>
      <c r="AM47" s="235"/>
      <c r="AN47" s="237"/>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26.25" customHeight="1" x14ac:dyDescent="0.25">
      <c r="A48" s="497">
        <v>9</v>
      </c>
      <c r="B48" s="500"/>
      <c r="C48" s="500"/>
      <c r="D48" s="500"/>
      <c r="E48" s="120"/>
      <c r="F48" s="503"/>
      <c r="G48" s="509"/>
      <c r="H48" s="123"/>
      <c r="I48" s="500"/>
      <c r="J48" s="460"/>
      <c r="K48" s="463" t="str">
        <f t="shared" ref="K48" si="89">IF(J48&lt;=0,"",IF(J48&lt;=2,"Muy Baja",IF(J48&lt;=24,"Baja",IF(J48&lt;=500,"Media",IF(J48&lt;=5000,"Alta","Muy Alta")))))</f>
        <v/>
      </c>
      <c r="L48" s="466" t="str">
        <f t="shared" ref="L48" si="90">IF(K48="","",IF(K48="Muy Baja",0.2,IF(K48="Baja",0.4,IF(K48="Media",0.6,IF(K48="Alta",0.8,IF(K48="Muy Alta",1,))))))</f>
        <v/>
      </c>
      <c r="M48" s="506"/>
      <c r="N48" s="466">
        <f>IF(NOT(ISERROR(MATCH(M48,'Tabla Impacto'!$B$221:$B$223,0))),'Tabla Impacto'!$F$223&amp;"Por favor no seleccionar los criterios de impacto(Afectación Económica o presupuestal y Pérdida Reputacional)",M48)</f>
        <v>0</v>
      </c>
      <c r="O48" s="463" t="str">
        <f>IF(OR(N48='Tabla Impacto'!$C$11,N48='Tabla Impacto'!$D$11),"Leve",IF(OR(N48='Tabla Impacto'!$C$12,N48='Tabla Impacto'!$D$12),"Menor",IF(OR(N48='Tabla Impacto'!$C$13,N48='Tabla Impacto'!$D$13),"Moderado",IF(OR(N48='Tabla Impacto'!$C$14,N48='Tabla Impacto'!$D$14),"Mayor",IF(OR(N48='Tabla Impacto'!$C$15,N48='Tabla Impacto'!$D$15),"Catastrófico","")))))</f>
        <v/>
      </c>
      <c r="P48" s="466" t="str">
        <f t="shared" ref="P48" si="91">IF(O48="","",IF(O48="Leve",0.2,IF(O48="Menor",0.4,IF(O48="Moderado",0.6,IF(O48="Mayor",0.8,IF(O48="Catastrófico",1,))))))</f>
        <v/>
      </c>
      <c r="Q48" s="475" t="str">
        <f t="shared" ref="Q48" si="92">IF(OR(AND(K48="Muy Baja",O48="Leve"),AND(K48="Muy Baja",O48="Menor"),AND(K48="Baja",O48="Leve")),"Bajo",IF(OR(AND(K48="Muy baja",O48="Moderado"),AND(K48="Baja",O48="Menor"),AND(K48="Baja",O48="Moderado"),AND(K48="Media",O48="Leve"),AND(K48="Media",O48="Menor"),AND(K48="Media",O48="Moderado"),AND(K48="Alta",O48="Leve"),AND(K48="Alta",O48="Menor")),"Moderado",IF(OR(AND(K48="Muy Baja",O48="Mayor"),AND(K48="Baja",O48="Mayor"),AND(K48="Media",O48="Mayor"),AND(K48="Alta",O48="Moderado"),AND(K48="Alta",O48="Mayor"),AND(K48="Muy Alta",O48="Leve"),AND(K48="Muy Alta",O48="Menor"),AND(K48="Muy Alta",O48="Moderado"),AND(K48="Muy Alta",O48="Mayor")),"Alto",IF(OR(AND(K48="Muy Baja",O48="Catastrófico"),AND(K48="Baja",O48="Catastrófico"),AND(K48="Media",O48="Catastrófico"),AND(K48="Alta",O48="Catastrófico"),AND(K48="Muy Alta",O48="Catastrófico")),"Extremo",""))))</f>
        <v/>
      </c>
      <c r="R48" s="105">
        <v>1</v>
      </c>
      <c r="S48" s="106"/>
      <c r="T48" s="107" t="str">
        <f>IF(OR(U48="Preventivo",U48="Detectivo"),"Probabilidad",IF(U48="Correctivo","Impacto",""))</f>
        <v/>
      </c>
      <c r="U48" s="113"/>
      <c r="V48" s="113"/>
      <c r="W48" s="114" t="str">
        <f>IF(AND(U48="Preventivo",V48="Automático"),"50%",IF(AND(U48="Preventivo",V48="Manual"),"40%",IF(AND(U48="Detectivo",V48="Automático"),"40%",IF(AND(U48="Detectivo",V48="Manual"),"30%",IF(AND(U48="Correctivo",V48="Automático"),"35%",IF(AND(U48="Correctivo",V48="Manual"),"25%",""))))))</f>
        <v/>
      </c>
      <c r="X48" s="113"/>
      <c r="Y48" s="113"/>
      <c r="Z48" s="113"/>
      <c r="AA48" s="108" t="str">
        <f>IFERROR(IF(T48="Probabilidad",(L48-(+L48*W48)),IF(T48="Impacto",L48,"")),"")</f>
        <v/>
      </c>
      <c r="AB48" s="116" t="str">
        <f>IFERROR(IF(AA48="","",IF(AA48&lt;=0.2,"Muy Baja",IF(AA48&lt;=0.4,"Baja",IF(AA48&lt;=0.6,"Media",IF(AA48&lt;=0.8,"Alta","Muy Alta"))))),"")</f>
        <v/>
      </c>
      <c r="AC48" s="117" t="str">
        <f>+AA48</f>
        <v/>
      </c>
      <c r="AD48" s="116" t="str">
        <f>IFERROR(IF(AE48="","",IF(AE48&lt;=0.2,"Leve",IF(AE48&lt;=0.4,"Menor",IF(AE48&lt;=0.6,"Moderado",IF(AE48&lt;=0.8,"Mayor","Catastrófico"))))),"")</f>
        <v/>
      </c>
      <c r="AE48" s="117" t="str">
        <f>IFERROR(IF(T48="Impacto",(P48-(+P48*W48)),IF(T48="Probabilidad",P48,"")),"")</f>
        <v/>
      </c>
      <c r="AF48" s="118" t="str">
        <f>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
      </c>
      <c r="AG48" s="119"/>
      <c r="AH48" s="109"/>
      <c r="AI48" s="110"/>
      <c r="AJ48" s="111"/>
      <c r="AK48" s="111"/>
      <c r="AL48" s="109"/>
      <c r="AM48" s="235"/>
      <c r="AN48" s="237"/>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26.25" customHeight="1" x14ac:dyDescent="0.25">
      <c r="A49" s="498"/>
      <c r="B49" s="501"/>
      <c r="C49" s="501"/>
      <c r="D49" s="501"/>
      <c r="E49" s="121"/>
      <c r="F49" s="504"/>
      <c r="G49" s="510"/>
      <c r="H49" s="124"/>
      <c r="I49" s="501"/>
      <c r="J49" s="461"/>
      <c r="K49" s="464"/>
      <c r="L49" s="467"/>
      <c r="M49" s="507"/>
      <c r="N49" s="467">
        <f>IF(NOT(ISERROR(MATCH(M49,_xlfn.ANCHORARRAY(F60),0))),L62&amp;"Por favor no seleccionar los criterios de impacto",M49)</f>
        <v>0</v>
      </c>
      <c r="O49" s="464"/>
      <c r="P49" s="467"/>
      <c r="Q49" s="476"/>
      <c r="R49" s="105">
        <v>2</v>
      </c>
      <c r="S49" s="106"/>
      <c r="T49" s="107" t="str">
        <f>IF(OR(U49="Preventivo",U49="Detectivo"),"Probabilidad",IF(U49="Correctivo","Impacto",""))</f>
        <v/>
      </c>
      <c r="U49" s="113"/>
      <c r="V49" s="113"/>
      <c r="W49" s="114" t="str">
        <f t="shared" ref="W49:W53" si="93">IF(AND(U49="Preventivo",V49="Automático"),"50%",IF(AND(U49="Preventivo",V49="Manual"),"40%",IF(AND(U49="Detectivo",V49="Automático"),"40%",IF(AND(U49="Detectivo",V49="Manual"),"30%",IF(AND(U49="Correctivo",V49="Automático"),"35%",IF(AND(U49="Correctivo",V49="Manual"),"25%",""))))))</f>
        <v/>
      </c>
      <c r="X49" s="113"/>
      <c r="Y49" s="113"/>
      <c r="Z49" s="113"/>
      <c r="AA49" s="108" t="str">
        <f>IFERROR(IF(AND(T48="Probabilidad",T49="Probabilidad"),(AC48-(+AC48*W49)),IF(AND(T48="Impacto",T49="Probabilidad"),(L48-(+L48*W49)),IF(T49="Impacto",AC48,""))),"")</f>
        <v/>
      </c>
      <c r="AB49" s="116" t="str">
        <f t="shared" ref="AB49:AB53" si="94">IFERROR(IF(AA49="","",IF(AA49&lt;=0.2,"Muy Baja",IF(AA49&lt;=0.4,"Baja",IF(AA49&lt;=0.6,"Media",IF(AA49&lt;=0.8,"Alta","Muy Alta"))))),"")</f>
        <v/>
      </c>
      <c r="AC49" s="117" t="str">
        <f>+AA49</f>
        <v/>
      </c>
      <c r="AD49" s="116" t="str">
        <f t="shared" ref="AD49:AD53" si="95">IFERROR(IF(AE49="","",IF(AE49&lt;=0.2,"Leve",IF(AE49&lt;=0.4,"Menor",IF(AE49&lt;=0.6,"Moderado",IF(AE49&lt;=0.8,"Mayor","Catastrófico"))))),"")</f>
        <v/>
      </c>
      <c r="AE49" s="117" t="str">
        <f>IFERROR(IF(AND(T48="Impacto",T49="Impacto"),(AE48-(+AE48*W49)),IF(AND(T48="Probabilidad",T49="Impacto"),(P48-(+P48*W49)),IF(T49="Probabilidad",AE48,""))),"")</f>
        <v/>
      </c>
      <c r="AF49" s="118" t="str">
        <f t="shared" ref="AF49:AF53" si="96">IFERROR(IF(OR(AND(AB49="Muy Baja",AD49="Leve"),AND(AB49="Muy Baja",AD49="Menor"),AND(AB49="Baja",AD49="Leve")),"Bajo",IF(OR(AND(AB49="Muy baja",AD49="Moderado"),AND(AB49="Baja",AD49="Menor"),AND(AB49="Baja",AD49="Moderado"),AND(AB49="Media",AD49="Leve"),AND(AB49="Media",AD49="Menor"),AND(AB49="Media",AD49="Moderado"),AND(AB49="Alta",AD49="Leve"),AND(AB49="Alta",AD49="Menor")),"Moderado",IF(OR(AND(AB49="Muy Baja",AD49="Mayor"),AND(AB49="Baja",AD49="Mayor"),AND(AB49="Media",AD49="Mayor"),AND(AB49="Alta",AD49="Moderado"),AND(AB49="Alta",AD49="Mayor"),AND(AB49="Muy Alta",AD49="Leve"),AND(AB49="Muy Alta",AD49="Menor"),AND(AB49="Muy Alta",AD49="Moderado"),AND(AB49="Muy Alta",AD49="Mayor")),"Alto",IF(OR(AND(AB49="Muy Baja",AD49="Catastrófico"),AND(AB49="Baja",AD49="Catastrófico"),AND(AB49="Media",AD49="Catastrófico"),AND(AB49="Alta",AD49="Catastrófico"),AND(AB49="Muy Alta",AD49="Catastrófico")),"Extremo","")))),"")</f>
        <v/>
      </c>
      <c r="AG49" s="119"/>
      <c r="AH49" s="109"/>
      <c r="AI49" s="110"/>
      <c r="AJ49" s="111"/>
      <c r="AK49" s="111"/>
      <c r="AL49" s="109"/>
      <c r="AM49" s="235"/>
      <c r="AN49" s="237"/>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26.25" customHeight="1" x14ac:dyDescent="0.25">
      <c r="A50" s="498"/>
      <c r="B50" s="501"/>
      <c r="C50" s="501"/>
      <c r="D50" s="501"/>
      <c r="E50" s="121"/>
      <c r="F50" s="504"/>
      <c r="G50" s="510"/>
      <c r="H50" s="124"/>
      <c r="I50" s="501"/>
      <c r="J50" s="461"/>
      <c r="K50" s="464"/>
      <c r="L50" s="467"/>
      <c r="M50" s="507"/>
      <c r="N50" s="467">
        <f>IF(NOT(ISERROR(MATCH(M50,_xlfn.ANCHORARRAY(F61),0))),L63&amp;"Por favor no seleccionar los criterios de impacto",M50)</f>
        <v>0</v>
      </c>
      <c r="O50" s="464"/>
      <c r="P50" s="467"/>
      <c r="Q50" s="476"/>
      <c r="R50" s="105">
        <v>3</v>
      </c>
      <c r="S50" s="112"/>
      <c r="T50" s="107" t="str">
        <f t="shared" ref="T50:T53" si="97">IF(OR(U50="Preventivo",U50="Detectivo"),"Probabilidad",IF(U50="Correctivo","Impacto",""))</f>
        <v/>
      </c>
      <c r="U50" s="113"/>
      <c r="V50" s="113"/>
      <c r="W50" s="114" t="str">
        <f t="shared" si="93"/>
        <v/>
      </c>
      <c r="X50" s="113"/>
      <c r="Y50" s="113"/>
      <c r="Z50" s="113"/>
      <c r="AA50" s="108" t="str">
        <f>IFERROR(IF(AND(T49="Probabilidad",T50="Probabilidad"),(AC49-(+AC49*W50)),IF(AND(T49="Impacto",T50="Probabilidad"),(AC48-(+AC48*W50)),IF(T50="Impacto",AC49,""))),"")</f>
        <v/>
      </c>
      <c r="AB50" s="116" t="str">
        <f t="shared" si="94"/>
        <v/>
      </c>
      <c r="AC50" s="117" t="str">
        <f t="shared" ref="AC50:AC53" si="98">+AA50</f>
        <v/>
      </c>
      <c r="AD50" s="116" t="str">
        <f t="shared" si="95"/>
        <v/>
      </c>
      <c r="AE50" s="117" t="str">
        <f t="shared" ref="AE50:AE53" si="99">IFERROR(IF(AND(T49="Impacto",T50="Impacto"),(AE49-(+AE49*W50)),IF(AND(T49="Probabilidad",T50="Impacto"),(AE48-(+AE48*W50)),IF(T50="Probabilidad",AE49,""))),"")</f>
        <v/>
      </c>
      <c r="AF50" s="118" t="str">
        <f t="shared" si="96"/>
        <v/>
      </c>
      <c r="AG50" s="119"/>
      <c r="AH50" s="109"/>
      <c r="AI50" s="110"/>
      <c r="AJ50" s="111"/>
      <c r="AK50" s="111"/>
      <c r="AL50" s="109"/>
      <c r="AM50" s="235"/>
      <c r="AN50" s="237"/>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26.25" customHeight="1" x14ac:dyDescent="0.25">
      <c r="A51" s="498"/>
      <c r="B51" s="501"/>
      <c r="C51" s="501"/>
      <c r="D51" s="501"/>
      <c r="E51" s="121"/>
      <c r="F51" s="504"/>
      <c r="G51" s="510"/>
      <c r="H51" s="124"/>
      <c r="I51" s="501"/>
      <c r="J51" s="461"/>
      <c r="K51" s="464"/>
      <c r="L51" s="467"/>
      <c r="M51" s="507"/>
      <c r="N51" s="467">
        <f>IF(NOT(ISERROR(MATCH(M51,_xlfn.ANCHORARRAY(F62),0))),L64&amp;"Por favor no seleccionar los criterios de impacto",M51)</f>
        <v>0</v>
      </c>
      <c r="O51" s="464"/>
      <c r="P51" s="467"/>
      <c r="Q51" s="476"/>
      <c r="R51" s="105">
        <v>4</v>
      </c>
      <c r="S51" s="106"/>
      <c r="T51" s="107" t="str">
        <f t="shared" si="97"/>
        <v/>
      </c>
      <c r="U51" s="113"/>
      <c r="V51" s="113"/>
      <c r="W51" s="114" t="str">
        <f t="shared" si="93"/>
        <v/>
      </c>
      <c r="X51" s="113"/>
      <c r="Y51" s="113"/>
      <c r="Z51" s="113"/>
      <c r="AA51" s="108" t="str">
        <f t="shared" ref="AA51:AA53" si="100">IFERROR(IF(AND(T50="Probabilidad",T51="Probabilidad"),(AC50-(+AC50*W51)),IF(AND(T50="Impacto",T51="Probabilidad"),(AC49-(+AC49*W51)),IF(T51="Impacto",AC50,""))),"")</f>
        <v/>
      </c>
      <c r="AB51" s="116" t="str">
        <f t="shared" si="94"/>
        <v/>
      </c>
      <c r="AC51" s="117" t="str">
        <f t="shared" si="98"/>
        <v/>
      </c>
      <c r="AD51" s="116" t="str">
        <f t="shared" si="95"/>
        <v/>
      </c>
      <c r="AE51" s="117" t="str">
        <f t="shared" si="99"/>
        <v/>
      </c>
      <c r="AF51" s="118" t="str">
        <f t="shared" si="96"/>
        <v/>
      </c>
      <c r="AG51" s="119"/>
      <c r="AH51" s="109"/>
      <c r="AI51" s="110"/>
      <c r="AJ51" s="111"/>
      <c r="AK51" s="111"/>
      <c r="AL51" s="109"/>
      <c r="AM51" s="235"/>
      <c r="AN51" s="237"/>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26.25" customHeight="1" x14ac:dyDescent="0.25">
      <c r="A52" s="498"/>
      <c r="B52" s="501"/>
      <c r="C52" s="501"/>
      <c r="D52" s="501"/>
      <c r="E52" s="121"/>
      <c r="F52" s="504"/>
      <c r="G52" s="510"/>
      <c r="H52" s="124"/>
      <c r="I52" s="501"/>
      <c r="J52" s="461"/>
      <c r="K52" s="464"/>
      <c r="L52" s="467"/>
      <c r="M52" s="507"/>
      <c r="N52" s="467">
        <f>IF(NOT(ISERROR(MATCH(M52,_xlfn.ANCHORARRAY(F63),0))),L65&amp;"Por favor no seleccionar los criterios de impacto",M52)</f>
        <v>0</v>
      </c>
      <c r="O52" s="464"/>
      <c r="P52" s="467"/>
      <c r="Q52" s="476"/>
      <c r="R52" s="105">
        <v>5</v>
      </c>
      <c r="S52" s="106"/>
      <c r="T52" s="107" t="str">
        <f t="shared" si="97"/>
        <v/>
      </c>
      <c r="U52" s="113"/>
      <c r="V52" s="113"/>
      <c r="W52" s="114" t="str">
        <f t="shared" si="93"/>
        <v/>
      </c>
      <c r="X52" s="113"/>
      <c r="Y52" s="113"/>
      <c r="Z52" s="113"/>
      <c r="AA52" s="108" t="str">
        <f t="shared" si="100"/>
        <v/>
      </c>
      <c r="AB52" s="116" t="str">
        <f t="shared" si="94"/>
        <v/>
      </c>
      <c r="AC52" s="117" t="str">
        <f t="shared" si="98"/>
        <v/>
      </c>
      <c r="AD52" s="116" t="str">
        <f t="shared" si="95"/>
        <v/>
      </c>
      <c r="AE52" s="117" t="str">
        <f t="shared" si="99"/>
        <v/>
      </c>
      <c r="AF52" s="118" t="str">
        <f t="shared" si="96"/>
        <v/>
      </c>
      <c r="AG52" s="119"/>
      <c r="AH52" s="109"/>
      <c r="AI52" s="110"/>
      <c r="AJ52" s="111"/>
      <c r="AK52" s="111"/>
      <c r="AL52" s="109"/>
      <c r="AM52" s="235"/>
      <c r="AN52" s="237"/>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26.25" customHeight="1" x14ac:dyDescent="0.25">
      <c r="A53" s="499"/>
      <c r="B53" s="502"/>
      <c r="C53" s="502"/>
      <c r="D53" s="502"/>
      <c r="E53" s="122"/>
      <c r="F53" s="505"/>
      <c r="G53" s="511"/>
      <c r="H53" s="125"/>
      <c r="I53" s="502"/>
      <c r="J53" s="462"/>
      <c r="K53" s="465"/>
      <c r="L53" s="468"/>
      <c r="M53" s="508"/>
      <c r="N53" s="468">
        <f>IF(NOT(ISERROR(MATCH(M53,_xlfn.ANCHORARRAY(F64),0))),L66&amp;"Por favor no seleccionar los criterios de impacto",M53)</f>
        <v>0</v>
      </c>
      <c r="O53" s="465"/>
      <c r="P53" s="468"/>
      <c r="Q53" s="477"/>
      <c r="R53" s="105">
        <v>6</v>
      </c>
      <c r="S53" s="106"/>
      <c r="T53" s="107" t="str">
        <f t="shared" si="97"/>
        <v/>
      </c>
      <c r="U53" s="113"/>
      <c r="V53" s="113"/>
      <c r="W53" s="114" t="str">
        <f t="shared" si="93"/>
        <v/>
      </c>
      <c r="X53" s="113"/>
      <c r="Y53" s="113"/>
      <c r="Z53" s="113"/>
      <c r="AA53" s="108" t="str">
        <f t="shared" si="100"/>
        <v/>
      </c>
      <c r="AB53" s="116" t="str">
        <f t="shared" si="94"/>
        <v/>
      </c>
      <c r="AC53" s="117" t="str">
        <f t="shared" si="98"/>
        <v/>
      </c>
      <c r="AD53" s="116" t="str">
        <f t="shared" si="95"/>
        <v/>
      </c>
      <c r="AE53" s="117" t="str">
        <f t="shared" si="99"/>
        <v/>
      </c>
      <c r="AF53" s="118" t="str">
        <f t="shared" si="96"/>
        <v/>
      </c>
      <c r="AG53" s="119"/>
      <c r="AH53" s="109"/>
      <c r="AI53" s="110"/>
      <c r="AJ53" s="111"/>
      <c r="AK53" s="111"/>
      <c r="AL53" s="109"/>
      <c r="AM53" s="235"/>
      <c r="AN53" s="237"/>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9.5" customHeight="1" x14ac:dyDescent="0.25">
      <c r="A54" s="497">
        <v>10</v>
      </c>
      <c r="B54" s="500"/>
      <c r="C54" s="500"/>
      <c r="D54" s="500"/>
      <c r="E54" s="120"/>
      <c r="F54" s="503"/>
      <c r="G54" s="509"/>
      <c r="H54" s="123"/>
      <c r="I54" s="500"/>
      <c r="J54" s="460"/>
      <c r="K54" s="463" t="str">
        <f t="shared" ref="K54" si="101">IF(J54&lt;=0,"",IF(J54&lt;=2,"Muy Baja",IF(J54&lt;=24,"Baja",IF(J54&lt;=500,"Media",IF(J54&lt;=5000,"Alta","Muy Alta")))))</f>
        <v/>
      </c>
      <c r="L54" s="466" t="str">
        <f t="shared" ref="L54" si="102">IF(K54="","",IF(K54="Muy Baja",0.2,IF(K54="Baja",0.4,IF(K54="Media",0.6,IF(K54="Alta",0.8,IF(K54="Muy Alta",1,))))))</f>
        <v/>
      </c>
      <c r="M54" s="506"/>
      <c r="N54" s="466">
        <f>IF(NOT(ISERROR(MATCH(M54,'Tabla Impacto'!$B$221:$B$223,0))),'Tabla Impacto'!$F$223&amp;"Por favor no seleccionar los criterios de impacto(Afectación Económica o presupuestal y Pérdida Reputacional)",M54)</f>
        <v>0</v>
      </c>
      <c r="O54" s="463" t="str">
        <f>IF(OR(N54='Tabla Impacto'!$C$11,N54='Tabla Impacto'!$D$11),"Leve",IF(OR(N54='Tabla Impacto'!$C$12,N54='Tabla Impacto'!$D$12),"Menor",IF(OR(N54='Tabla Impacto'!$C$13,N54='Tabla Impacto'!$D$13),"Moderado",IF(OR(N54='Tabla Impacto'!$C$14,N54='Tabla Impacto'!$D$14),"Mayor",IF(OR(N54='Tabla Impacto'!$C$15,N54='Tabla Impacto'!$D$15),"Catastrófico","")))))</f>
        <v/>
      </c>
      <c r="P54" s="466" t="str">
        <f t="shared" ref="P54" si="103">IF(O54="","",IF(O54="Leve",0.2,IF(O54="Menor",0.4,IF(O54="Moderado",0.6,IF(O54="Mayor",0.8,IF(O54="Catastrófico",1,))))))</f>
        <v/>
      </c>
      <c r="Q54" s="475" t="str">
        <f t="shared" ref="Q54" si="104">IF(OR(AND(K54="Muy Baja",O54="Leve"),AND(K54="Muy Baja",O54="Menor"),AND(K54="Baja",O54="Leve")),"Bajo",IF(OR(AND(K54="Muy baja",O54="Moderado"),AND(K54="Baja",O54="Menor"),AND(K54="Baja",O54="Moderado"),AND(K54="Media",O54="Leve"),AND(K54="Media",O54="Menor"),AND(K54="Media",O54="Moderado"),AND(K54="Alta",O54="Leve"),AND(K54="Alta",O54="Menor")),"Moderado",IF(OR(AND(K54="Muy Baja",O54="Mayor"),AND(K54="Baja",O54="Mayor"),AND(K54="Media",O54="Mayor"),AND(K54="Alta",O54="Moderado"),AND(K54="Alta",O54="Mayor"),AND(K54="Muy Alta",O54="Leve"),AND(K54="Muy Alta",O54="Menor"),AND(K54="Muy Alta",O54="Moderado"),AND(K54="Muy Alta",O54="Mayor")),"Alto",IF(OR(AND(K54="Muy Baja",O54="Catastrófico"),AND(K54="Baja",O54="Catastrófico"),AND(K54="Media",O54="Catastrófico"),AND(K54="Alta",O54="Catastrófico"),AND(K54="Muy Alta",O54="Catastrófico")),"Extremo",""))))</f>
        <v/>
      </c>
      <c r="R54" s="105">
        <v>1</v>
      </c>
      <c r="S54" s="106"/>
      <c r="T54" s="107" t="str">
        <f>IF(OR(U54="Preventivo",U54="Detectivo"),"Probabilidad",IF(U54="Correctivo","Impacto",""))</f>
        <v/>
      </c>
      <c r="U54" s="113"/>
      <c r="V54" s="113"/>
      <c r="W54" s="114" t="str">
        <f>IF(AND(U54="Preventivo",V54="Automático"),"50%",IF(AND(U54="Preventivo",V54="Manual"),"40%",IF(AND(U54="Detectivo",V54="Automático"),"40%",IF(AND(U54="Detectivo",V54="Manual"),"30%",IF(AND(U54="Correctivo",V54="Automático"),"35%",IF(AND(U54="Correctivo",V54="Manual"),"25%",""))))))</f>
        <v/>
      </c>
      <c r="X54" s="113"/>
      <c r="Y54" s="113"/>
      <c r="Z54" s="113"/>
      <c r="AA54" s="108" t="str">
        <f>IFERROR(IF(T54="Probabilidad",(L54-(+L54*W54)),IF(T54="Impacto",L54,"")),"")</f>
        <v/>
      </c>
      <c r="AB54" s="116" t="str">
        <f>IFERROR(IF(AA54="","",IF(AA54&lt;=0.2,"Muy Baja",IF(AA54&lt;=0.4,"Baja",IF(AA54&lt;=0.6,"Media",IF(AA54&lt;=0.8,"Alta","Muy Alta"))))),"")</f>
        <v/>
      </c>
      <c r="AC54" s="117" t="str">
        <f>+AA54</f>
        <v/>
      </c>
      <c r="AD54" s="116" t="str">
        <f>IFERROR(IF(AE54="","",IF(AE54&lt;=0.2,"Leve",IF(AE54&lt;=0.4,"Menor",IF(AE54&lt;=0.6,"Moderado",IF(AE54&lt;=0.8,"Mayor","Catastrófico"))))),"")</f>
        <v/>
      </c>
      <c r="AE54" s="117" t="str">
        <f>IFERROR(IF(T54="Impacto",(P54-(+P54*W54)),IF(T54="Probabilidad",P54,"")),"")</f>
        <v/>
      </c>
      <c r="AF54" s="118" t="str">
        <f>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
      </c>
      <c r="AG54" s="119"/>
      <c r="AH54" s="109"/>
      <c r="AI54" s="110"/>
      <c r="AJ54" s="111"/>
      <c r="AK54" s="111"/>
      <c r="AL54" s="109"/>
      <c r="AM54" s="235"/>
      <c r="AN54" s="237"/>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9.5" customHeight="1" x14ac:dyDescent="0.25">
      <c r="A55" s="498"/>
      <c r="B55" s="501"/>
      <c r="C55" s="501"/>
      <c r="D55" s="501"/>
      <c r="E55" s="121"/>
      <c r="F55" s="504"/>
      <c r="G55" s="510"/>
      <c r="H55" s="124"/>
      <c r="I55" s="501"/>
      <c r="J55" s="461"/>
      <c r="K55" s="464"/>
      <c r="L55" s="467"/>
      <c r="M55" s="507"/>
      <c r="N55" s="467">
        <f>IF(NOT(ISERROR(MATCH(M55,_xlfn.ANCHORARRAY(F66),0))),L68&amp;"Por favor no seleccionar los criterios de impacto",M55)</f>
        <v>0</v>
      </c>
      <c r="O55" s="464"/>
      <c r="P55" s="467"/>
      <c r="Q55" s="476"/>
      <c r="R55" s="105">
        <v>2</v>
      </c>
      <c r="S55" s="106"/>
      <c r="T55" s="107" t="str">
        <f>IF(OR(U55="Preventivo",U55="Detectivo"),"Probabilidad",IF(U55="Correctivo","Impacto",""))</f>
        <v/>
      </c>
      <c r="U55" s="113"/>
      <c r="V55" s="113"/>
      <c r="W55" s="114" t="str">
        <f t="shared" ref="W55:W59" si="105">IF(AND(U55="Preventivo",V55="Automático"),"50%",IF(AND(U55="Preventivo",V55="Manual"),"40%",IF(AND(U55="Detectivo",V55="Automático"),"40%",IF(AND(U55="Detectivo",V55="Manual"),"30%",IF(AND(U55="Correctivo",V55="Automático"),"35%",IF(AND(U55="Correctivo",V55="Manual"),"25%",""))))))</f>
        <v/>
      </c>
      <c r="X55" s="113"/>
      <c r="Y55" s="113"/>
      <c r="Z55" s="113"/>
      <c r="AA55" s="108" t="str">
        <f>IFERROR(IF(AND(T54="Probabilidad",T55="Probabilidad"),(AC54-(+AC54*W55)),IF(AND(T54="Impacto",T55="Probabilidad"),(L54-(+L54*W55)),IF(T55="Impacto",AC54,""))),"")</f>
        <v/>
      </c>
      <c r="AB55" s="116" t="str">
        <f t="shared" ref="AB55:AB59" si="106">IFERROR(IF(AA55="","",IF(AA55&lt;=0.2,"Muy Baja",IF(AA55&lt;=0.4,"Baja",IF(AA55&lt;=0.6,"Media",IF(AA55&lt;=0.8,"Alta","Muy Alta"))))),"")</f>
        <v/>
      </c>
      <c r="AC55" s="117" t="str">
        <f>+AA55</f>
        <v/>
      </c>
      <c r="AD55" s="116" t="str">
        <f t="shared" ref="AD55:AD59" si="107">IFERROR(IF(AE55="","",IF(AE55&lt;=0.2,"Leve",IF(AE55&lt;=0.4,"Menor",IF(AE55&lt;=0.6,"Moderado",IF(AE55&lt;=0.8,"Mayor","Catastrófico"))))),"")</f>
        <v/>
      </c>
      <c r="AE55" s="117" t="str">
        <f>IFERROR(IF(AND(T54="Impacto",T55="Impacto"),(AE54-(+AE54*W55)),IF(AND(T54="Probabilidad",T55="Impacto"),(P54-(+P54*W55)),IF(T55="Probabilidad",AE54,""))),"")</f>
        <v/>
      </c>
      <c r="AF55" s="118" t="str">
        <f t="shared" ref="AF55:AF59" si="108">IFERROR(IF(OR(AND(AB55="Muy Baja",AD55="Leve"),AND(AB55="Muy Baja",AD55="Menor"),AND(AB55="Baja",AD55="Leve")),"Bajo",IF(OR(AND(AB55="Muy baja",AD55="Moderado"),AND(AB55="Baja",AD55="Menor"),AND(AB55="Baja",AD55="Moderado"),AND(AB55="Media",AD55="Leve"),AND(AB55="Media",AD55="Menor"),AND(AB55="Media",AD55="Moderado"),AND(AB55="Alta",AD55="Leve"),AND(AB55="Alta",AD55="Menor")),"Moderado",IF(OR(AND(AB55="Muy Baja",AD55="Mayor"),AND(AB55="Baja",AD55="Mayor"),AND(AB55="Media",AD55="Mayor"),AND(AB55="Alta",AD55="Moderado"),AND(AB55="Alta",AD55="Mayor"),AND(AB55="Muy Alta",AD55="Leve"),AND(AB55="Muy Alta",AD55="Menor"),AND(AB55="Muy Alta",AD55="Moderado"),AND(AB55="Muy Alta",AD55="Mayor")),"Alto",IF(OR(AND(AB55="Muy Baja",AD55="Catastrófico"),AND(AB55="Baja",AD55="Catastrófico"),AND(AB55="Media",AD55="Catastrófico"),AND(AB55="Alta",AD55="Catastrófico"),AND(AB55="Muy Alta",AD55="Catastrófico")),"Extremo","")))),"")</f>
        <v/>
      </c>
      <c r="AG55" s="119"/>
      <c r="AH55" s="109"/>
      <c r="AI55" s="110"/>
      <c r="AJ55" s="111"/>
      <c r="AK55" s="111"/>
      <c r="AL55" s="109"/>
      <c r="AM55" s="235"/>
      <c r="AN55" s="238"/>
    </row>
    <row r="56" spans="1:68" ht="19.5" customHeight="1" x14ac:dyDescent="0.25">
      <c r="A56" s="498"/>
      <c r="B56" s="501"/>
      <c r="C56" s="501"/>
      <c r="D56" s="501"/>
      <c r="E56" s="121"/>
      <c r="F56" s="504"/>
      <c r="G56" s="510"/>
      <c r="H56" s="124"/>
      <c r="I56" s="501"/>
      <c r="J56" s="461"/>
      <c r="K56" s="464"/>
      <c r="L56" s="467"/>
      <c r="M56" s="507"/>
      <c r="N56" s="467">
        <f>IF(NOT(ISERROR(MATCH(M56,_xlfn.ANCHORARRAY(F67),0))),L69&amp;"Por favor no seleccionar los criterios de impacto",M56)</f>
        <v>0</v>
      </c>
      <c r="O56" s="464"/>
      <c r="P56" s="467"/>
      <c r="Q56" s="476"/>
      <c r="R56" s="105">
        <v>3</v>
      </c>
      <c r="S56" s="112"/>
      <c r="T56" s="107" t="str">
        <f t="shared" ref="T56:T59" si="109">IF(OR(U56="Preventivo",U56="Detectivo"),"Probabilidad",IF(U56="Correctivo","Impacto",""))</f>
        <v/>
      </c>
      <c r="U56" s="113"/>
      <c r="V56" s="113"/>
      <c r="W56" s="114" t="str">
        <f t="shared" si="105"/>
        <v/>
      </c>
      <c r="X56" s="113"/>
      <c r="Y56" s="113"/>
      <c r="Z56" s="113"/>
      <c r="AA56" s="108" t="str">
        <f>IFERROR(IF(AND(T55="Probabilidad",T56="Probabilidad"),(AC55-(+AC55*W56)),IF(AND(T55="Impacto",T56="Probabilidad"),(AC54-(+AC54*W56)),IF(T56="Impacto",AC55,""))),"")</f>
        <v/>
      </c>
      <c r="AB56" s="116" t="str">
        <f t="shared" si="106"/>
        <v/>
      </c>
      <c r="AC56" s="117" t="str">
        <f t="shared" ref="AC56:AC59" si="110">+AA56</f>
        <v/>
      </c>
      <c r="AD56" s="116" t="str">
        <f t="shared" si="107"/>
        <v/>
      </c>
      <c r="AE56" s="117" t="str">
        <f t="shared" ref="AE56:AE59" si="111">IFERROR(IF(AND(T55="Impacto",T56="Impacto"),(AE55-(+AE55*W56)),IF(AND(T55="Probabilidad",T56="Impacto"),(AE54-(+AE54*W56)),IF(T56="Probabilidad",AE55,""))),"")</f>
        <v/>
      </c>
      <c r="AF56" s="118" t="str">
        <f t="shared" si="108"/>
        <v/>
      </c>
      <c r="AG56" s="119"/>
      <c r="AH56" s="109"/>
      <c r="AI56" s="110"/>
      <c r="AJ56" s="111"/>
      <c r="AK56" s="111"/>
      <c r="AL56" s="109"/>
      <c r="AM56" s="235"/>
      <c r="AN56" s="238"/>
    </row>
    <row r="57" spans="1:68" ht="19.5" customHeight="1" x14ac:dyDescent="0.25">
      <c r="A57" s="498"/>
      <c r="B57" s="501"/>
      <c r="C57" s="501"/>
      <c r="D57" s="501"/>
      <c r="E57" s="121"/>
      <c r="F57" s="504"/>
      <c r="G57" s="510"/>
      <c r="H57" s="124"/>
      <c r="I57" s="501"/>
      <c r="J57" s="461"/>
      <c r="K57" s="464"/>
      <c r="L57" s="467"/>
      <c r="M57" s="507"/>
      <c r="N57" s="467">
        <f>IF(NOT(ISERROR(MATCH(M57,_xlfn.ANCHORARRAY(F68),0))),L70&amp;"Por favor no seleccionar los criterios de impacto",M57)</f>
        <v>0</v>
      </c>
      <c r="O57" s="464"/>
      <c r="P57" s="467"/>
      <c r="Q57" s="476"/>
      <c r="R57" s="105">
        <v>4</v>
      </c>
      <c r="S57" s="106"/>
      <c r="T57" s="107" t="str">
        <f t="shared" si="109"/>
        <v/>
      </c>
      <c r="U57" s="113"/>
      <c r="V57" s="113"/>
      <c r="W57" s="114" t="str">
        <f t="shared" si="105"/>
        <v/>
      </c>
      <c r="X57" s="113"/>
      <c r="Y57" s="113"/>
      <c r="Z57" s="113"/>
      <c r="AA57" s="108" t="str">
        <f t="shared" ref="AA57:AA59" si="112">IFERROR(IF(AND(T56="Probabilidad",T57="Probabilidad"),(AC56-(+AC56*W57)),IF(AND(T56="Impacto",T57="Probabilidad"),(AC55-(+AC55*W57)),IF(T57="Impacto",AC56,""))),"")</f>
        <v/>
      </c>
      <c r="AB57" s="116" t="str">
        <f t="shared" si="106"/>
        <v/>
      </c>
      <c r="AC57" s="117" t="str">
        <f t="shared" si="110"/>
        <v/>
      </c>
      <c r="AD57" s="116" t="str">
        <f t="shared" si="107"/>
        <v/>
      </c>
      <c r="AE57" s="117" t="str">
        <f t="shared" si="111"/>
        <v/>
      </c>
      <c r="AF57" s="118" t="str">
        <f t="shared" si="108"/>
        <v/>
      </c>
      <c r="AG57" s="119"/>
      <c r="AH57" s="109"/>
      <c r="AI57" s="110"/>
      <c r="AJ57" s="111"/>
      <c r="AK57" s="111"/>
      <c r="AL57" s="109"/>
      <c r="AM57" s="235"/>
      <c r="AN57" s="238"/>
    </row>
    <row r="58" spans="1:68" ht="19.5" customHeight="1" x14ac:dyDescent="0.25">
      <c r="A58" s="498"/>
      <c r="B58" s="501"/>
      <c r="C58" s="501"/>
      <c r="D58" s="501"/>
      <c r="E58" s="121"/>
      <c r="F58" s="504"/>
      <c r="G58" s="510"/>
      <c r="H58" s="124"/>
      <c r="I58" s="501"/>
      <c r="J58" s="461"/>
      <c r="K58" s="464"/>
      <c r="L58" s="467"/>
      <c r="M58" s="507"/>
      <c r="N58" s="467">
        <f>IF(NOT(ISERROR(MATCH(M58,_xlfn.ANCHORARRAY(F69),0))),L71&amp;"Por favor no seleccionar los criterios de impacto",M58)</f>
        <v>0</v>
      </c>
      <c r="O58" s="464"/>
      <c r="P58" s="467"/>
      <c r="Q58" s="476"/>
      <c r="R58" s="105">
        <v>5</v>
      </c>
      <c r="S58" s="106"/>
      <c r="T58" s="107" t="str">
        <f t="shared" si="109"/>
        <v/>
      </c>
      <c r="U58" s="113"/>
      <c r="V58" s="113"/>
      <c r="W58" s="114" t="str">
        <f t="shared" si="105"/>
        <v/>
      </c>
      <c r="X58" s="113"/>
      <c r="Y58" s="113"/>
      <c r="Z58" s="113"/>
      <c r="AA58" s="108" t="str">
        <f t="shared" si="112"/>
        <v/>
      </c>
      <c r="AB58" s="116" t="str">
        <f t="shared" si="106"/>
        <v/>
      </c>
      <c r="AC58" s="117" t="str">
        <f t="shared" si="110"/>
        <v/>
      </c>
      <c r="AD58" s="116" t="str">
        <f t="shared" si="107"/>
        <v/>
      </c>
      <c r="AE58" s="117" t="str">
        <f t="shared" si="111"/>
        <v/>
      </c>
      <c r="AF58" s="118" t="str">
        <f t="shared" si="108"/>
        <v/>
      </c>
      <c r="AG58" s="119"/>
      <c r="AH58" s="109"/>
      <c r="AI58" s="110"/>
      <c r="AJ58" s="111"/>
      <c r="AK58" s="111"/>
      <c r="AL58" s="109"/>
      <c r="AM58" s="235"/>
      <c r="AN58" s="238"/>
    </row>
    <row r="59" spans="1:68" ht="19.5" customHeight="1" x14ac:dyDescent="0.25">
      <c r="A59" s="499"/>
      <c r="B59" s="502"/>
      <c r="C59" s="502"/>
      <c r="D59" s="502"/>
      <c r="E59" s="122"/>
      <c r="F59" s="505"/>
      <c r="G59" s="511"/>
      <c r="H59" s="125"/>
      <c r="I59" s="502"/>
      <c r="J59" s="462"/>
      <c r="K59" s="465"/>
      <c r="L59" s="468"/>
      <c r="M59" s="508"/>
      <c r="N59" s="468">
        <f>IF(NOT(ISERROR(MATCH(M59,_xlfn.ANCHORARRAY(F70),0))),L72&amp;"Por favor no seleccionar los criterios de impacto",M59)</f>
        <v>0</v>
      </c>
      <c r="O59" s="465"/>
      <c r="P59" s="468"/>
      <c r="Q59" s="477"/>
      <c r="R59" s="105">
        <v>6</v>
      </c>
      <c r="S59" s="106"/>
      <c r="T59" s="107" t="str">
        <f t="shared" si="109"/>
        <v/>
      </c>
      <c r="U59" s="113"/>
      <c r="V59" s="113"/>
      <c r="W59" s="114" t="str">
        <f t="shared" si="105"/>
        <v/>
      </c>
      <c r="X59" s="113"/>
      <c r="Y59" s="113"/>
      <c r="Z59" s="113"/>
      <c r="AA59" s="108" t="str">
        <f t="shared" si="112"/>
        <v/>
      </c>
      <c r="AB59" s="116" t="str">
        <f t="shared" si="106"/>
        <v/>
      </c>
      <c r="AC59" s="117" t="str">
        <f t="shared" si="110"/>
        <v/>
      </c>
      <c r="AD59" s="116" t="str">
        <f t="shared" si="107"/>
        <v/>
      </c>
      <c r="AE59" s="117" t="str">
        <f t="shared" si="111"/>
        <v/>
      </c>
      <c r="AF59" s="118" t="str">
        <f t="shared" si="108"/>
        <v/>
      </c>
      <c r="AG59" s="119"/>
      <c r="AH59" s="109"/>
      <c r="AI59" s="110"/>
      <c r="AJ59" s="111"/>
      <c r="AK59" s="111"/>
      <c r="AL59" s="109"/>
      <c r="AM59" s="235"/>
      <c r="AN59" s="238"/>
    </row>
    <row r="60" spans="1:68" ht="49.5" customHeight="1" x14ac:dyDescent="0.25">
      <c r="A60" s="6"/>
      <c r="B60" s="494" t="s">
        <v>126</v>
      </c>
      <c r="C60" s="495"/>
      <c r="D60" s="495"/>
      <c r="E60" s="495"/>
      <c r="F60" s="495"/>
      <c r="G60" s="495"/>
      <c r="H60" s="495"/>
      <c r="I60" s="495"/>
      <c r="J60" s="495"/>
      <c r="K60" s="495"/>
      <c r="L60" s="495"/>
      <c r="M60" s="495"/>
      <c r="N60" s="495"/>
      <c r="O60" s="495"/>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5"/>
      <c r="AM60" s="496"/>
    </row>
    <row r="62" spans="1:68" x14ac:dyDescent="0.25">
      <c r="A62" s="1"/>
      <c r="B62" s="24" t="s">
        <v>138</v>
      </c>
      <c r="C62" s="1"/>
      <c r="D62" s="1"/>
      <c r="E62" s="1"/>
      <c r="I62" s="1"/>
    </row>
  </sheetData>
  <dataConsolidate/>
  <mergeCells count="202">
    <mergeCell ref="AN7:AN9"/>
    <mergeCell ref="J21:J23"/>
    <mergeCell ref="K21:K23"/>
    <mergeCell ref="L21:L23"/>
    <mergeCell ref="M21:M23"/>
    <mergeCell ref="N21:N23"/>
    <mergeCell ref="O21:O23"/>
    <mergeCell ref="P21:P23"/>
    <mergeCell ref="Q21:Q23"/>
    <mergeCell ref="N14:N17"/>
    <mergeCell ref="O14:O17"/>
    <mergeCell ref="P14:P17"/>
    <mergeCell ref="Q14:Q17"/>
    <mergeCell ref="M18:M20"/>
    <mergeCell ref="N18:N20"/>
    <mergeCell ref="O18:O20"/>
    <mergeCell ref="L14:L17"/>
    <mergeCell ref="M14:M17"/>
    <mergeCell ref="G54:G59"/>
    <mergeCell ref="I10:I13"/>
    <mergeCell ref="J10:J13"/>
    <mergeCell ref="K10:K13"/>
    <mergeCell ref="I14:I17"/>
    <mergeCell ref="J14:J17"/>
    <mergeCell ref="K14:K17"/>
    <mergeCell ref="H21:H23"/>
    <mergeCell ref="U8:Z8"/>
    <mergeCell ref="P24:P29"/>
    <mergeCell ref="Q24:Q29"/>
    <mergeCell ref="P30:P35"/>
    <mergeCell ref="Q30:Q35"/>
    <mergeCell ref="M36:M41"/>
    <mergeCell ref="N36:N41"/>
    <mergeCell ref="O36:O41"/>
    <mergeCell ref="M30:M35"/>
    <mergeCell ref="N30:N35"/>
    <mergeCell ref="O30:O35"/>
    <mergeCell ref="J24:J29"/>
    <mergeCell ref="K24:K29"/>
    <mergeCell ref="L24:L29"/>
    <mergeCell ref="M24:M29"/>
    <mergeCell ref="J30:J35"/>
    <mergeCell ref="A10:A13"/>
    <mergeCell ref="B10:B13"/>
    <mergeCell ref="C10:C13"/>
    <mergeCell ref="D10:D13"/>
    <mergeCell ref="F10:F13"/>
    <mergeCell ref="Q10:Q13"/>
    <mergeCell ref="L10:L13"/>
    <mergeCell ref="M10:M13"/>
    <mergeCell ref="N10:N13"/>
    <mergeCell ref="O10:O13"/>
    <mergeCell ref="P10:P13"/>
    <mergeCell ref="H10:H13"/>
    <mergeCell ref="G10:G13"/>
    <mergeCell ref="E12:E13"/>
    <mergeCell ref="A4:B4"/>
    <mergeCell ref="A5:B5"/>
    <mergeCell ref="A6:B6"/>
    <mergeCell ref="A8:A9"/>
    <mergeCell ref="I8:I9"/>
    <mergeCell ref="F8:F9"/>
    <mergeCell ref="D8:D9"/>
    <mergeCell ref="C8:C9"/>
    <mergeCell ref="AG8:AG9"/>
    <mergeCell ref="R8:R9"/>
    <mergeCell ref="AF8:AF9"/>
    <mergeCell ref="AE8:AE9"/>
    <mergeCell ref="AA8:AA9"/>
    <mergeCell ref="S8:S9"/>
    <mergeCell ref="AD8:AD9"/>
    <mergeCell ref="AB8:AB9"/>
    <mergeCell ref="AC8:AC9"/>
    <mergeCell ref="J8:J9"/>
    <mergeCell ref="K8:K9"/>
    <mergeCell ref="L8:L9"/>
    <mergeCell ref="O8:O9"/>
    <mergeCell ref="P8:P9"/>
    <mergeCell ref="B8:B9"/>
    <mergeCell ref="Q8:Q9"/>
    <mergeCell ref="I21:I23"/>
    <mergeCell ref="A18:A20"/>
    <mergeCell ref="B18:B20"/>
    <mergeCell ref="C18:C20"/>
    <mergeCell ref="D18:D20"/>
    <mergeCell ref="F18:F20"/>
    <mergeCell ref="H18:H20"/>
    <mergeCell ref="D30:D35"/>
    <mergeCell ref="F30:F35"/>
    <mergeCell ref="I30:I35"/>
    <mergeCell ref="D24:D29"/>
    <mergeCell ref="F24:F29"/>
    <mergeCell ref="I24:I29"/>
    <mergeCell ref="G18:G20"/>
    <mergeCell ref="G21:G23"/>
    <mergeCell ref="G30:G35"/>
    <mergeCell ref="A14:A17"/>
    <mergeCell ref="B14:B17"/>
    <mergeCell ref="C14:C17"/>
    <mergeCell ref="A21:A23"/>
    <mergeCell ref="B21:B23"/>
    <mergeCell ref="C21:C23"/>
    <mergeCell ref="D21:D23"/>
    <mergeCell ref="F21:F23"/>
    <mergeCell ref="G14:G17"/>
    <mergeCell ref="G36:G41"/>
    <mergeCell ref="G42:G47"/>
    <mergeCell ref="A24:A29"/>
    <mergeCell ref="B24:B29"/>
    <mergeCell ref="C24:C29"/>
    <mergeCell ref="A30:A35"/>
    <mergeCell ref="B30:B35"/>
    <mergeCell ref="C30:C35"/>
    <mergeCell ref="P36:P41"/>
    <mergeCell ref="A42:A47"/>
    <mergeCell ref="B42:B47"/>
    <mergeCell ref="C42:C47"/>
    <mergeCell ref="D42:D47"/>
    <mergeCell ref="F42:F47"/>
    <mergeCell ref="A36:A41"/>
    <mergeCell ref="B36:B41"/>
    <mergeCell ref="C36:C41"/>
    <mergeCell ref="D36:D41"/>
    <mergeCell ref="F36:F41"/>
    <mergeCell ref="K30:K35"/>
    <mergeCell ref="L30:L35"/>
    <mergeCell ref="N24:N29"/>
    <mergeCell ref="O24:O29"/>
    <mergeCell ref="G24:G29"/>
    <mergeCell ref="Q36:Q41"/>
    <mergeCell ref="I42:I47"/>
    <mergeCell ref="J42:J47"/>
    <mergeCell ref="K42:K47"/>
    <mergeCell ref="L42:L47"/>
    <mergeCell ref="M42:M47"/>
    <mergeCell ref="I36:I41"/>
    <mergeCell ref="J36:J41"/>
    <mergeCell ref="K36:K41"/>
    <mergeCell ref="L36:L41"/>
    <mergeCell ref="N42:N47"/>
    <mergeCell ref="O42:O47"/>
    <mergeCell ref="P42:P47"/>
    <mergeCell ref="Q42:Q47"/>
    <mergeCell ref="N48:N53"/>
    <mergeCell ref="O48:O53"/>
    <mergeCell ref="A48:A53"/>
    <mergeCell ref="B48:B53"/>
    <mergeCell ref="C48:C53"/>
    <mergeCell ref="D48:D53"/>
    <mergeCell ref="F48:F53"/>
    <mergeCell ref="I48:I53"/>
    <mergeCell ref="J48:J53"/>
    <mergeCell ref="K48:K53"/>
    <mergeCell ref="L48:L53"/>
    <mergeCell ref="G48:G53"/>
    <mergeCell ref="A1:AM2"/>
    <mergeCell ref="A7:J7"/>
    <mergeCell ref="K7:Q7"/>
    <mergeCell ref="R7:Z7"/>
    <mergeCell ref="AA7:AG7"/>
    <mergeCell ref="AH7:AM7"/>
    <mergeCell ref="B60:AM60"/>
    <mergeCell ref="P48:P53"/>
    <mergeCell ref="Q48:Q53"/>
    <mergeCell ref="A54:A59"/>
    <mergeCell ref="B54:B59"/>
    <mergeCell ref="C54:C59"/>
    <mergeCell ref="D54:D59"/>
    <mergeCell ref="F54:F59"/>
    <mergeCell ref="I54:I59"/>
    <mergeCell ref="J54:J59"/>
    <mergeCell ref="K54:K59"/>
    <mergeCell ref="L54:L59"/>
    <mergeCell ref="M54:M59"/>
    <mergeCell ref="N54:N59"/>
    <mergeCell ref="O54:O59"/>
    <mergeCell ref="P54:P59"/>
    <mergeCell ref="Q54:Q59"/>
    <mergeCell ref="M48:M53"/>
    <mergeCell ref="C4:AM4"/>
    <mergeCell ref="C5:AM5"/>
    <mergeCell ref="C6:AM6"/>
    <mergeCell ref="I18:I20"/>
    <mergeCell ref="J18:J20"/>
    <mergeCell ref="K18:K20"/>
    <mergeCell ref="L18:L20"/>
    <mergeCell ref="D14:D17"/>
    <mergeCell ref="F14:F17"/>
    <mergeCell ref="AH8:AH9"/>
    <mergeCell ref="AM8:AM9"/>
    <mergeCell ref="AL8:AL9"/>
    <mergeCell ref="AK8:AK9"/>
    <mergeCell ref="AJ8:AJ9"/>
    <mergeCell ref="AI8:AI9"/>
    <mergeCell ref="M8:M9"/>
    <mergeCell ref="N8:N9"/>
    <mergeCell ref="T8:T9"/>
    <mergeCell ref="P18:P20"/>
    <mergeCell ref="Q18:Q20"/>
    <mergeCell ref="E8:E9"/>
    <mergeCell ref="AH14:AH15"/>
    <mergeCell ref="AI14:AI15"/>
  </mergeCells>
  <conditionalFormatting sqref="K10 AB10:AB59 K14 K18 K21 K24 K30 K36 K42 K48 K54">
    <cfRule type="cellIs" dxfId="18" priority="641" operator="equal">
      <formula>"Muy Alta"</formula>
    </cfRule>
    <cfRule type="cellIs" dxfId="17" priority="642" operator="equal">
      <formula>"Alta"</formula>
    </cfRule>
    <cfRule type="cellIs" dxfId="16" priority="643" operator="equal">
      <formula>"Media"</formula>
    </cfRule>
    <cfRule type="cellIs" dxfId="15" priority="644" operator="equal">
      <formula>"Baja"</formula>
    </cfRule>
    <cfRule type="cellIs" dxfId="14" priority="645" operator="equal">
      <formula>"Muy Baja"</formula>
    </cfRule>
  </conditionalFormatting>
  <conditionalFormatting sqref="N10:N59">
    <cfRule type="containsText" dxfId="13" priority="323" operator="containsText" text="❌">
      <formula>NOT(ISERROR(SEARCH("❌",N10)))</formula>
    </cfRule>
  </conditionalFormatting>
  <conditionalFormatting sqref="O10 AD10:AD59 O14 O18 O21 O24 O30 O36 O42 O48 O54">
    <cfRule type="cellIs" dxfId="12" priority="636" operator="equal">
      <formula>"Catastrófico"</formula>
    </cfRule>
    <cfRule type="cellIs" dxfId="11" priority="637" operator="equal">
      <formula>"Mayor"</formula>
    </cfRule>
    <cfRule type="cellIs" dxfId="10" priority="638" operator="equal">
      <formula>"Moderado"</formula>
    </cfRule>
    <cfRule type="cellIs" dxfId="9" priority="639" operator="equal">
      <formula>"Menor"</formula>
    </cfRule>
    <cfRule type="cellIs" dxfId="8" priority="640" operator="equal">
      <formula>"Leve"</formula>
    </cfRule>
  </conditionalFormatting>
  <conditionalFormatting sqref="Q10 AF10:AF59">
    <cfRule type="cellIs" dxfId="7" priority="632" operator="equal">
      <formula>"Extremo"</formula>
    </cfRule>
    <cfRule type="cellIs" dxfId="6" priority="633" operator="equal">
      <formula>"Alto"</formula>
    </cfRule>
    <cfRule type="cellIs" dxfId="5" priority="634" operator="equal">
      <formula>"Moderado"</formula>
    </cfRule>
    <cfRule type="cellIs" dxfId="4" priority="635" operator="equal">
      <formula>"Bajo"</formula>
    </cfRule>
  </conditionalFormatting>
  <conditionalFormatting sqref="Q14 Q18 Q21 Q24 Q30 Q36 Q42 Q48 Q54">
    <cfRule type="cellIs" dxfId="3" priority="562" operator="equal">
      <formula>"Extremo"</formula>
    </cfRule>
    <cfRule type="cellIs" dxfId="2" priority="563" operator="equal">
      <formula>"Alto"</formula>
    </cfRule>
    <cfRule type="cellIs" dxfId="1" priority="564" operator="equal">
      <formula>"Moderado"</formula>
    </cfRule>
    <cfRule type="cellIs" dxfId="0" priority="565" operator="equal">
      <formula>"Bajo"</formula>
    </cfRule>
  </conditionalFormatting>
  <dataValidations count="1">
    <dataValidation type="list" allowBlank="1" showInputMessage="1" showErrorMessage="1" sqref="G10:G59" xr:uid="{00000000-0002-0000-0400-000000000000}">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5000000}">
          <x14:formula1>
            <xm:f>'Opciones Tratamiento'!$B$9:$B$10</xm:f>
          </x14:formula1>
          <xm:sqref>AM10:AM11 AM13:AM15 AM54:AM55 AM57:AM58 AM51:AM52 AM17:AM18 AM24:AM25 AM27:AM28 AM30:AM31 AM33:AM34 AM36:AM37 AM39:AM40 AM42:AM43 AM45:AM46 AM48:AM49 AM21</xm:sqref>
        </x14:dataValidation>
        <x14:dataValidation type="list" allowBlank="1" showInputMessage="1" showErrorMessage="1" xr:uid="{00000000-0002-0000-0400-000009000000}">
          <x14:formula1>
            <xm:f>'Opciones Tratamiento'!$B$2:$B$5</xm:f>
          </x14:formula1>
          <xm:sqref>AG10 AG26:AG30 AG32:AG36 AG38:AG42 AG44:AG48 AG50:AG54 AG56:AG59 AG20:AG21 AG23:AG24 AG16:AG18 AG12:AG14</xm:sqref>
        </x14:dataValidation>
        <x14:dataValidation type="custom" allowBlank="1" showInputMessage="1" showErrorMessage="1" error="Recuerde que las acciones se generan bajo la medida de mitigar el riesgo" xr:uid="{00000000-0002-0000-0400-00000B000000}">
          <x14:formula1>
            <xm:f>IF(OR(AG10='Opciones Tratamiento'!$B$2,AG10='Opciones Tratamiento'!$B$3,AG10='Opciones Tratamiento'!$B$4),ISBLANK(AG10),ISTEXT(AG10))</xm:f>
          </x14:formula1>
          <xm:sqref>AH24:AH59 AH21 AH16:AH18 AH10:AH14</xm:sqref>
        </x14:dataValidation>
        <x14:dataValidation type="custom" allowBlank="1" showInputMessage="1" showErrorMessage="1" error="Recuerde que las acciones se generan bajo la medida de mitigar el riesgo" xr:uid="{00000000-0002-0000-0400-00000C000000}">
          <x14:formula1>
            <xm:f>IF(OR(AG10='Opciones Tratamiento'!$B$2,AG10='Opciones Tratamiento'!$B$3,AG10='Opciones Tratamiento'!$B$4),ISBLANK(AG10),ISTEXT(AG10))</xm:f>
          </x14:formula1>
          <xm:sqref>AI24:AI59 AI21 AI16:AI18 AI10:AI14</xm:sqref>
        </x14:dataValidation>
        <x14:dataValidation type="custom" allowBlank="1" showInputMessage="1" showErrorMessage="1" error="Recuerde que las acciones se generan bajo la medida de mitigar el riesgo" xr:uid="{00000000-0002-0000-0400-00000D000000}">
          <x14:formula1>
            <xm:f>IF(OR(AG10='Opciones Tratamiento'!$B$2,AG10='Opciones Tratamiento'!$B$3,AG10='Opciones Tratamiento'!$B$4),ISBLANK(AG10),ISTEXT(AG10))</xm:f>
          </x14:formula1>
          <xm:sqref>AJ21 AJ24:AJ59 AJ10:AJ18</xm:sqref>
        </x14:dataValidation>
        <x14:dataValidation type="custom" allowBlank="1" showInputMessage="1" showErrorMessage="1" error="Recuerde que las acciones se generan bajo la medida de mitigar el riesgo" xr:uid="{00000000-0002-0000-0400-00000E000000}">
          <x14:formula1>
            <xm:f>IF(OR(AG10='Opciones Tratamiento'!$B$2,AG10='Opciones Tratamiento'!$B$3,AG10='Opciones Tratamiento'!$B$4),ISBLANK(AG10),ISTEXT(AG10))</xm:f>
          </x14:formula1>
          <xm:sqref>AK21 AK24:AK59 AK10:AK18</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AL21 AL24:AL59 AL10:AL18</xm:sqref>
        </x14:dataValidation>
        <x14:dataValidation type="list" allowBlank="1" showInputMessage="1" showErrorMessage="1" xr:uid="{00000000-0002-0000-0400-000010000000}">
          <x14:formula1>
            <xm:f>'C:\Users\HOME\Downloads\[Formato Matriz de Riesgos 2021 (1).xlsx]Opciones Tratamiento'!#REF!</xm:f>
          </x14:formula1>
          <xm:sqref>AG11 AG15 AG19 AG22 AG25 AG31 AG37 AG43 AG49 AG55</xm:sqref>
        </x14:dataValidation>
        <x14:dataValidation type="list" allowBlank="1" showInputMessage="1" showErrorMessage="1" xr:uid="{00000000-0002-0000-0400-000001000000}">
          <x14:formula1>
            <xm:f>'Tabla Valoración controles'!$D$4:$D$6</xm:f>
          </x14:formula1>
          <xm:sqref>U10:U59</xm:sqref>
        </x14:dataValidation>
        <x14:dataValidation type="list" allowBlank="1" showInputMessage="1" showErrorMessage="1" xr:uid="{00000000-0002-0000-0400-000002000000}">
          <x14:formula1>
            <xm:f>'Tabla Valoración controles'!$D$7:$D$8</xm:f>
          </x14:formula1>
          <xm:sqref>V10:V59</xm:sqref>
        </x14:dataValidation>
        <x14:dataValidation type="list" allowBlank="1" showInputMessage="1" showErrorMessage="1" xr:uid="{00000000-0002-0000-0400-000003000000}">
          <x14:formula1>
            <xm:f>'Tabla Valoración controles'!$D$9:$D$10</xm:f>
          </x14:formula1>
          <xm:sqref>X10:X59</xm:sqref>
        </x14:dataValidation>
        <x14:dataValidation type="list" allowBlank="1" showInputMessage="1" showErrorMessage="1" xr:uid="{00000000-0002-0000-0400-000004000000}">
          <x14:formula1>
            <xm:f>'Tabla Valoración controles'!$D$11:$D$12</xm:f>
          </x14:formula1>
          <xm:sqref>Y10:Y59</xm:sqref>
        </x14:dataValidation>
        <x14:dataValidation type="list" allowBlank="1" showInputMessage="1" showErrorMessage="1" xr:uid="{00000000-0002-0000-0400-000006000000}">
          <x14:formula1>
            <xm:f>'Tabla Valoración controles'!$D$13:$D$14</xm:f>
          </x14:formula1>
          <xm:sqref>Z10:Z59</xm:sqref>
        </x14:dataValidation>
        <x14:dataValidation type="list" allowBlank="1" showInputMessage="1" showErrorMessage="1" xr:uid="{00000000-0002-0000-0400-000007000000}">
          <x14:formula1>
            <xm:f>'Opciones Tratamiento'!$B$13:$B$19</xm:f>
          </x14:formula1>
          <xm:sqref>I10:I59</xm:sqref>
        </x14:dataValidation>
        <x14:dataValidation type="list" allowBlank="1" showInputMessage="1" showErrorMessage="1" xr:uid="{00000000-0002-0000-0400-000008000000}">
          <x14:formula1>
            <xm:f>'Opciones Tratamiento'!$E$2:$E$4</xm:f>
          </x14:formula1>
          <xm:sqref>B10:B59</xm:sqref>
        </x14:dataValidation>
        <x14:dataValidation type="list" allowBlank="1" showInputMessage="1" showErrorMessage="1" xr:uid="{00000000-0002-0000-0400-00000A000000}">
          <x14:formula1>
            <xm:f>'Tabla Impacto'!$F$210:$F$221</xm:f>
          </x14:formula1>
          <xm:sqref>M10:M59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70" zoomScaleNormal="70" workbookViewId="0"/>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638" t="s">
        <v>150</v>
      </c>
      <c r="C2" s="638"/>
      <c r="D2" s="638"/>
      <c r="E2" s="638"/>
      <c r="F2" s="638"/>
      <c r="G2" s="638"/>
      <c r="H2" s="638"/>
      <c r="I2" s="638"/>
      <c r="J2" s="606" t="s">
        <v>2</v>
      </c>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638"/>
      <c r="C3" s="638"/>
      <c r="D3" s="638"/>
      <c r="E3" s="638"/>
      <c r="F3" s="638"/>
      <c r="G3" s="638"/>
      <c r="H3" s="638"/>
      <c r="I3" s="638"/>
      <c r="J3" s="606"/>
      <c r="K3" s="606"/>
      <c r="L3" s="606"/>
      <c r="M3" s="606"/>
      <c r="N3" s="606"/>
      <c r="O3" s="606"/>
      <c r="P3" s="606"/>
      <c r="Q3" s="606"/>
      <c r="R3" s="606"/>
      <c r="S3" s="606"/>
      <c r="T3" s="606"/>
      <c r="U3" s="606"/>
      <c r="V3" s="606"/>
      <c r="W3" s="606"/>
      <c r="X3" s="606"/>
      <c r="Y3" s="606"/>
      <c r="Z3" s="606"/>
      <c r="AA3" s="606"/>
      <c r="AB3" s="606"/>
      <c r="AC3" s="606"/>
      <c r="AD3" s="606"/>
      <c r="AE3" s="606"/>
      <c r="AF3" s="606"/>
      <c r="AG3" s="606"/>
      <c r="AH3" s="606"/>
      <c r="AI3" s="606"/>
      <c r="AJ3" s="606"/>
      <c r="AK3" s="606"/>
      <c r="AL3" s="606"/>
      <c r="AM3" s="606"/>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638"/>
      <c r="C4" s="638"/>
      <c r="D4" s="638"/>
      <c r="E4" s="638"/>
      <c r="F4" s="638"/>
      <c r="G4" s="638"/>
      <c r="H4" s="638"/>
      <c r="I4" s="638"/>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6"/>
      <c r="AK4" s="606"/>
      <c r="AL4" s="606"/>
      <c r="AM4" s="606"/>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553" t="s">
        <v>4</v>
      </c>
      <c r="C6" s="553"/>
      <c r="D6" s="554"/>
      <c r="E6" s="591" t="s">
        <v>111</v>
      </c>
      <c r="F6" s="592"/>
      <c r="G6" s="592"/>
      <c r="H6" s="592"/>
      <c r="I6" s="593"/>
      <c r="J6" s="602" t="str">
        <f>IF(AND('Mapa final'!$K$10="Muy Alta",'Mapa final'!$O$10="Leve"),CONCATENATE("R",'Mapa final'!$A$10),"")</f>
        <v/>
      </c>
      <c r="K6" s="603"/>
      <c r="L6" s="603" t="str">
        <f>IF(AND('Mapa final'!$K$14="Muy Alta",'Mapa final'!$O$14="Leve"),CONCATENATE("R",'Mapa final'!$A$14),"")</f>
        <v/>
      </c>
      <c r="M6" s="603"/>
      <c r="N6" s="603" t="str">
        <f>IF(AND('Mapa final'!$K$18="Muy Alta",'Mapa final'!$O$18="Leve"),CONCATENATE("R",'Mapa final'!$A$18),"")</f>
        <v/>
      </c>
      <c r="O6" s="605"/>
      <c r="P6" s="602" t="str">
        <f>IF(AND('Mapa final'!$K$10="Muy Alta",'Mapa final'!$O$10="Menor"),CONCATENATE("R",'Mapa final'!$A$10),"")</f>
        <v/>
      </c>
      <c r="Q6" s="603"/>
      <c r="R6" s="603" t="str">
        <f>IF(AND('Mapa final'!$K$14="Muy Alta",'Mapa final'!$O$14="Menor"),CONCATENATE("R",'Mapa final'!$A$14),"")</f>
        <v/>
      </c>
      <c r="S6" s="603"/>
      <c r="T6" s="603" t="str">
        <f>IF(AND('Mapa final'!$K$18="Muy Alta",'Mapa final'!$O$18="Menor"),CONCATENATE("R",'Mapa final'!$A$18),"")</f>
        <v/>
      </c>
      <c r="U6" s="605"/>
      <c r="V6" s="602" t="str">
        <f>IF(AND('Mapa final'!$K$10="Muy Alta",'Mapa final'!$O$10="Moderado"),CONCATENATE("R",'Mapa final'!$A$10),"")</f>
        <v/>
      </c>
      <c r="W6" s="603"/>
      <c r="X6" s="603" t="str">
        <f>IF(AND('Mapa final'!$K$14="Muy Alta",'Mapa final'!$O$14="Moderado"),CONCATENATE("R",'Mapa final'!$A$14),"")</f>
        <v/>
      </c>
      <c r="Y6" s="603"/>
      <c r="Z6" s="603" t="str">
        <f>IF(AND('Mapa final'!$K$18="Muy Alta",'Mapa final'!$O$18="Moderado"),CONCATENATE("R",'Mapa final'!$A$18),"")</f>
        <v/>
      </c>
      <c r="AA6" s="605"/>
      <c r="AB6" s="602" t="str">
        <f>IF(AND('Mapa final'!$K$10="Muy Alta",'Mapa final'!$O$10="Mayor"),CONCATENATE("R",'Mapa final'!$A$10),"")</f>
        <v/>
      </c>
      <c r="AC6" s="603"/>
      <c r="AD6" s="603" t="str">
        <f>IF(AND('Mapa final'!$K$14="Muy Alta",'Mapa final'!$O$14="Mayor"),CONCATENATE("R",'Mapa final'!$A$14),"")</f>
        <v/>
      </c>
      <c r="AE6" s="603"/>
      <c r="AF6" s="603" t="str">
        <f>IF(AND('Mapa final'!$K$18="Muy Alta",'Mapa final'!$O$18="Mayor"),CONCATENATE("R",'Mapa final'!$A$18),"")</f>
        <v/>
      </c>
      <c r="AG6" s="605"/>
      <c r="AH6" s="617" t="str">
        <f>IF(AND('Mapa final'!$K$10="Muy Alta",'Mapa final'!$O$10="Catastrófico"),CONCATENATE("R",'Mapa final'!$A$10),"")</f>
        <v/>
      </c>
      <c r="AI6" s="618"/>
      <c r="AJ6" s="618" t="str">
        <f>IF(AND('Mapa final'!$K$14="Muy Alta",'Mapa final'!$O$14="Catastrófico"),CONCATENATE("R",'Mapa final'!$A$14),"")</f>
        <v/>
      </c>
      <c r="AK6" s="618"/>
      <c r="AL6" s="618" t="str">
        <f>IF(AND('Mapa final'!$K$18="Muy Alta",'Mapa final'!$O$18="Catastrófico"),CONCATENATE("R",'Mapa final'!$A$18),"")</f>
        <v/>
      </c>
      <c r="AM6" s="619"/>
      <c r="AO6" s="555" t="s">
        <v>78</v>
      </c>
      <c r="AP6" s="556"/>
      <c r="AQ6" s="556"/>
      <c r="AR6" s="556"/>
      <c r="AS6" s="556"/>
      <c r="AT6" s="55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553"/>
      <c r="C7" s="553"/>
      <c r="D7" s="554"/>
      <c r="E7" s="594"/>
      <c r="F7" s="595"/>
      <c r="G7" s="595"/>
      <c r="H7" s="595"/>
      <c r="I7" s="596"/>
      <c r="J7" s="604"/>
      <c r="K7" s="600"/>
      <c r="L7" s="600"/>
      <c r="M7" s="600"/>
      <c r="N7" s="600"/>
      <c r="O7" s="601"/>
      <c r="P7" s="604"/>
      <c r="Q7" s="600"/>
      <c r="R7" s="600"/>
      <c r="S7" s="600"/>
      <c r="T7" s="600"/>
      <c r="U7" s="601"/>
      <c r="V7" s="604"/>
      <c r="W7" s="600"/>
      <c r="X7" s="600"/>
      <c r="Y7" s="600"/>
      <c r="Z7" s="600"/>
      <c r="AA7" s="601"/>
      <c r="AB7" s="604"/>
      <c r="AC7" s="600"/>
      <c r="AD7" s="600"/>
      <c r="AE7" s="600"/>
      <c r="AF7" s="600"/>
      <c r="AG7" s="601"/>
      <c r="AH7" s="611"/>
      <c r="AI7" s="612"/>
      <c r="AJ7" s="612"/>
      <c r="AK7" s="612"/>
      <c r="AL7" s="612"/>
      <c r="AM7" s="613"/>
      <c r="AN7" s="67"/>
      <c r="AO7" s="558"/>
      <c r="AP7" s="559"/>
      <c r="AQ7" s="559"/>
      <c r="AR7" s="559"/>
      <c r="AS7" s="559"/>
      <c r="AT7" s="560"/>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553"/>
      <c r="C8" s="553"/>
      <c r="D8" s="554"/>
      <c r="E8" s="594"/>
      <c r="F8" s="595"/>
      <c r="G8" s="595"/>
      <c r="H8" s="595"/>
      <c r="I8" s="596"/>
      <c r="J8" s="604" t="str">
        <f>IF(AND('Mapa final'!$K$21="Muy Alta",'Mapa final'!$O$21="Leve"),CONCATENATE("R",'Mapa final'!$A$21),"")</f>
        <v/>
      </c>
      <c r="K8" s="600"/>
      <c r="L8" s="600" t="str">
        <f>IF(AND('Mapa final'!$K$24="Muy Alta",'Mapa final'!$O$24="Leve"),CONCATENATE("R",'Mapa final'!$A$24),"")</f>
        <v/>
      </c>
      <c r="M8" s="600"/>
      <c r="N8" s="600" t="str">
        <f>IF(AND('Mapa final'!$K$30="Muy Alta",'Mapa final'!$O$30="Leve"),CONCATENATE("R",'Mapa final'!$A$30),"")</f>
        <v/>
      </c>
      <c r="O8" s="601"/>
      <c r="P8" s="604" t="str">
        <f>IF(AND('Mapa final'!$K$21="Muy Alta",'Mapa final'!$O$21="Menor"),CONCATENATE("R",'Mapa final'!$A$21),"")</f>
        <v/>
      </c>
      <c r="Q8" s="600"/>
      <c r="R8" s="600" t="str">
        <f>IF(AND('Mapa final'!$K$24="Muy Alta",'Mapa final'!$O$24="Menor"),CONCATENATE("R",'Mapa final'!$A$24),"")</f>
        <v/>
      </c>
      <c r="S8" s="600"/>
      <c r="T8" s="600" t="str">
        <f>IF(AND('Mapa final'!$K$30="Muy Alta",'Mapa final'!$O$30="Menor"),CONCATENATE("R",'Mapa final'!$A$30),"")</f>
        <v/>
      </c>
      <c r="U8" s="601"/>
      <c r="V8" s="604" t="str">
        <f>IF(AND('Mapa final'!$K$21="Muy Alta",'Mapa final'!$O$21="Moderado"),CONCATENATE("R",'Mapa final'!$A$21),"")</f>
        <v/>
      </c>
      <c r="W8" s="600"/>
      <c r="X8" s="600" t="str">
        <f>IF(AND('Mapa final'!$K$24="Muy Alta",'Mapa final'!$O$24="Moderado"),CONCATENATE("R",'Mapa final'!$A$24),"")</f>
        <v/>
      </c>
      <c r="Y8" s="600"/>
      <c r="Z8" s="600" t="str">
        <f>IF(AND('Mapa final'!$K$30="Muy Alta",'Mapa final'!$O$30="Moderado"),CONCATENATE("R",'Mapa final'!$A$30),"")</f>
        <v/>
      </c>
      <c r="AA8" s="601"/>
      <c r="AB8" s="604" t="str">
        <f>IF(AND('Mapa final'!$K$21="Muy Alta",'Mapa final'!$O$21="Mayor"),CONCATENATE("R",'Mapa final'!$A$21),"")</f>
        <v/>
      </c>
      <c r="AC8" s="600"/>
      <c r="AD8" s="600" t="str">
        <f>IF(AND('Mapa final'!$K$24="Muy Alta",'Mapa final'!$O$24="Mayor"),CONCATENATE("R",'Mapa final'!$A$24),"")</f>
        <v/>
      </c>
      <c r="AE8" s="600"/>
      <c r="AF8" s="600" t="str">
        <f>IF(AND('Mapa final'!$K$30="Muy Alta",'Mapa final'!$O$30="Mayor"),CONCATENATE("R",'Mapa final'!$A$30),"")</f>
        <v/>
      </c>
      <c r="AG8" s="601"/>
      <c r="AH8" s="611" t="str">
        <f>IF(AND('Mapa final'!$K$21="Muy Alta",'Mapa final'!$O$21="Catastrófico"),CONCATENATE("R",'Mapa final'!$A$21),"")</f>
        <v/>
      </c>
      <c r="AI8" s="612"/>
      <c r="AJ8" s="612" t="str">
        <f>IF(AND('Mapa final'!$K$24="Muy Alta",'Mapa final'!$O$24="Catastrófico"),CONCATENATE("R",'Mapa final'!$A$24),"")</f>
        <v/>
      </c>
      <c r="AK8" s="612"/>
      <c r="AL8" s="612" t="str">
        <f>IF(AND('Mapa final'!$K$30="Muy Alta",'Mapa final'!$O$30="Catastrófico"),CONCATENATE("R",'Mapa final'!$A$30),"")</f>
        <v/>
      </c>
      <c r="AM8" s="613"/>
      <c r="AN8" s="67"/>
      <c r="AO8" s="558"/>
      <c r="AP8" s="559"/>
      <c r="AQ8" s="559"/>
      <c r="AR8" s="559"/>
      <c r="AS8" s="559"/>
      <c r="AT8" s="560"/>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553"/>
      <c r="C9" s="553"/>
      <c r="D9" s="554"/>
      <c r="E9" s="594"/>
      <c r="F9" s="595"/>
      <c r="G9" s="595"/>
      <c r="H9" s="595"/>
      <c r="I9" s="596"/>
      <c r="J9" s="604"/>
      <c r="K9" s="600"/>
      <c r="L9" s="600"/>
      <c r="M9" s="600"/>
      <c r="N9" s="600"/>
      <c r="O9" s="601"/>
      <c r="P9" s="604"/>
      <c r="Q9" s="600"/>
      <c r="R9" s="600"/>
      <c r="S9" s="600"/>
      <c r="T9" s="600"/>
      <c r="U9" s="601"/>
      <c r="V9" s="604"/>
      <c r="W9" s="600"/>
      <c r="X9" s="600"/>
      <c r="Y9" s="600"/>
      <c r="Z9" s="600"/>
      <c r="AA9" s="601"/>
      <c r="AB9" s="604"/>
      <c r="AC9" s="600"/>
      <c r="AD9" s="600"/>
      <c r="AE9" s="600"/>
      <c r="AF9" s="600"/>
      <c r="AG9" s="601"/>
      <c r="AH9" s="611"/>
      <c r="AI9" s="612"/>
      <c r="AJ9" s="612"/>
      <c r="AK9" s="612"/>
      <c r="AL9" s="612"/>
      <c r="AM9" s="613"/>
      <c r="AN9" s="67"/>
      <c r="AO9" s="558"/>
      <c r="AP9" s="559"/>
      <c r="AQ9" s="559"/>
      <c r="AR9" s="559"/>
      <c r="AS9" s="559"/>
      <c r="AT9" s="560"/>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553"/>
      <c r="C10" s="553"/>
      <c r="D10" s="554"/>
      <c r="E10" s="594"/>
      <c r="F10" s="595"/>
      <c r="G10" s="595"/>
      <c r="H10" s="595"/>
      <c r="I10" s="596"/>
      <c r="J10" s="604" t="str">
        <f>IF(AND('Mapa final'!$K$36="Muy Alta",'Mapa final'!$O$36="Leve"),CONCATENATE("R",'Mapa final'!$A$36),"")</f>
        <v/>
      </c>
      <c r="K10" s="600"/>
      <c r="L10" s="600" t="str">
        <f>IF(AND('Mapa final'!$K$42="Muy Alta",'Mapa final'!$O$42="Leve"),CONCATENATE("R",'Mapa final'!$A$42),"")</f>
        <v/>
      </c>
      <c r="M10" s="600"/>
      <c r="N10" s="600" t="str">
        <f>IF(AND('Mapa final'!$K$48="Muy Alta",'Mapa final'!$O$48="Leve"),CONCATENATE("R",'Mapa final'!$A$48),"")</f>
        <v/>
      </c>
      <c r="O10" s="601"/>
      <c r="P10" s="604" t="str">
        <f>IF(AND('Mapa final'!$K$36="Muy Alta",'Mapa final'!$O$36="Menor"),CONCATENATE("R",'Mapa final'!$A$36),"")</f>
        <v/>
      </c>
      <c r="Q10" s="600"/>
      <c r="R10" s="600" t="str">
        <f>IF(AND('Mapa final'!$K$42="Muy Alta",'Mapa final'!$O$42="Menor"),CONCATENATE("R",'Mapa final'!$A$42),"")</f>
        <v/>
      </c>
      <c r="S10" s="600"/>
      <c r="T10" s="600" t="str">
        <f>IF(AND('Mapa final'!$K$48="Muy Alta",'Mapa final'!$O$48="Menor"),CONCATENATE("R",'Mapa final'!$A$48),"")</f>
        <v/>
      </c>
      <c r="U10" s="601"/>
      <c r="V10" s="604" t="str">
        <f>IF(AND('Mapa final'!$K$36="Muy Alta",'Mapa final'!$O$36="Moderado"),CONCATENATE("R",'Mapa final'!$A$36),"")</f>
        <v/>
      </c>
      <c r="W10" s="600"/>
      <c r="X10" s="600" t="str">
        <f>IF(AND('Mapa final'!$K$42="Muy Alta",'Mapa final'!$O$42="Moderado"),CONCATENATE("R",'Mapa final'!$A$42),"")</f>
        <v/>
      </c>
      <c r="Y10" s="600"/>
      <c r="Z10" s="600" t="str">
        <f>IF(AND('Mapa final'!$K$48="Muy Alta",'Mapa final'!$O$48="Moderado"),CONCATENATE("R",'Mapa final'!$A$48),"")</f>
        <v/>
      </c>
      <c r="AA10" s="601"/>
      <c r="AB10" s="604" t="str">
        <f>IF(AND('Mapa final'!$K$36="Muy Alta",'Mapa final'!$O$36="Mayor"),CONCATENATE("R",'Mapa final'!$A$36),"")</f>
        <v/>
      </c>
      <c r="AC10" s="600"/>
      <c r="AD10" s="600" t="str">
        <f>IF(AND('Mapa final'!$K$42="Muy Alta",'Mapa final'!$O$42="Mayor"),CONCATENATE("R",'Mapa final'!$A$42),"")</f>
        <v/>
      </c>
      <c r="AE10" s="600"/>
      <c r="AF10" s="600" t="str">
        <f>IF(AND('Mapa final'!$K$48="Muy Alta",'Mapa final'!$O$48="Mayor"),CONCATENATE("R",'Mapa final'!$A$48),"")</f>
        <v/>
      </c>
      <c r="AG10" s="601"/>
      <c r="AH10" s="611" t="str">
        <f>IF(AND('Mapa final'!$K$36="Muy Alta",'Mapa final'!$O$36="Catastrófico"),CONCATENATE("R",'Mapa final'!$A$36),"")</f>
        <v/>
      </c>
      <c r="AI10" s="612"/>
      <c r="AJ10" s="612" t="str">
        <f>IF(AND('Mapa final'!$K$42="Muy Alta",'Mapa final'!$O$42="Catastrófico"),CONCATENATE("R",'Mapa final'!$A$42),"")</f>
        <v/>
      </c>
      <c r="AK10" s="612"/>
      <c r="AL10" s="612" t="str">
        <f>IF(AND('Mapa final'!$K$48="Muy Alta",'Mapa final'!$O$48="Catastrófico"),CONCATENATE("R",'Mapa final'!$A$48),"")</f>
        <v/>
      </c>
      <c r="AM10" s="613"/>
      <c r="AN10" s="67"/>
      <c r="AO10" s="558"/>
      <c r="AP10" s="559"/>
      <c r="AQ10" s="559"/>
      <c r="AR10" s="559"/>
      <c r="AS10" s="559"/>
      <c r="AT10" s="560"/>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553"/>
      <c r="C11" s="553"/>
      <c r="D11" s="554"/>
      <c r="E11" s="594"/>
      <c r="F11" s="595"/>
      <c r="G11" s="595"/>
      <c r="H11" s="595"/>
      <c r="I11" s="596"/>
      <c r="J11" s="604"/>
      <c r="K11" s="600"/>
      <c r="L11" s="600"/>
      <c r="M11" s="600"/>
      <c r="N11" s="600"/>
      <c r="O11" s="601"/>
      <c r="P11" s="604"/>
      <c r="Q11" s="600"/>
      <c r="R11" s="600"/>
      <c r="S11" s="600"/>
      <c r="T11" s="600"/>
      <c r="U11" s="601"/>
      <c r="V11" s="604"/>
      <c r="W11" s="600"/>
      <c r="X11" s="600"/>
      <c r="Y11" s="600"/>
      <c r="Z11" s="600"/>
      <c r="AA11" s="601"/>
      <c r="AB11" s="604"/>
      <c r="AC11" s="600"/>
      <c r="AD11" s="600"/>
      <c r="AE11" s="600"/>
      <c r="AF11" s="600"/>
      <c r="AG11" s="601"/>
      <c r="AH11" s="611"/>
      <c r="AI11" s="612"/>
      <c r="AJ11" s="612"/>
      <c r="AK11" s="612"/>
      <c r="AL11" s="612"/>
      <c r="AM11" s="613"/>
      <c r="AN11" s="67"/>
      <c r="AO11" s="558"/>
      <c r="AP11" s="559"/>
      <c r="AQ11" s="559"/>
      <c r="AR11" s="559"/>
      <c r="AS11" s="559"/>
      <c r="AT11" s="560"/>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553"/>
      <c r="C12" s="553"/>
      <c r="D12" s="554"/>
      <c r="E12" s="594"/>
      <c r="F12" s="595"/>
      <c r="G12" s="595"/>
      <c r="H12" s="595"/>
      <c r="I12" s="596"/>
      <c r="J12" s="604" t="str">
        <f>IF(AND('Mapa final'!$K$54="Muy Alta",'Mapa final'!$O$54="Leve"),CONCATENATE("R",'Mapa final'!$A$54),"")</f>
        <v/>
      </c>
      <c r="K12" s="600"/>
      <c r="L12" s="600" t="str">
        <f>IF(AND('Mapa final'!$K$60="Muy Alta",'Mapa final'!$O$60="Leve"),CONCATENATE("R",'Mapa final'!$A$60),"")</f>
        <v/>
      </c>
      <c r="M12" s="600"/>
      <c r="N12" s="600" t="str">
        <f>IF(AND('Mapa final'!$K$66="Muy Alta",'Mapa final'!$O$66="Leve"),CONCATENATE("R",'Mapa final'!$A$66),"")</f>
        <v/>
      </c>
      <c r="O12" s="601"/>
      <c r="P12" s="604" t="str">
        <f>IF(AND('Mapa final'!$K$54="Muy Alta",'Mapa final'!$O$54="Menor"),CONCATENATE("R",'Mapa final'!$A$54),"")</f>
        <v/>
      </c>
      <c r="Q12" s="600"/>
      <c r="R12" s="600" t="str">
        <f>IF(AND('Mapa final'!$K$60="Muy Alta",'Mapa final'!$O$60="Menor"),CONCATENATE("R",'Mapa final'!$A$60),"")</f>
        <v/>
      </c>
      <c r="S12" s="600"/>
      <c r="T12" s="600" t="str">
        <f>IF(AND('Mapa final'!$K$66="Muy Alta",'Mapa final'!$O$66="Menor"),CONCATENATE("R",'Mapa final'!$A$66),"")</f>
        <v/>
      </c>
      <c r="U12" s="601"/>
      <c r="V12" s="604" t="str">
        <f>IF(AND('Mapa final'!$K$54="Muy Alta",'Mapa final'!$O$54="Moderado"),CONCATENATE("R",'Mapa final'!$A$54),"")</f>
        <v/>
      </c>
      <c r="W12" s="600"/>
      <c r="X12" s="600" t="str">
        <f>IF(AND('Mapa final'!$K$60="Muy Alta",'Mapa final'!$O$60="Moderado"),CONCATENATE("R",'Mapa final'!$A$60),"")</f>
        <v/>
      </c>
      <c r="Y12" s="600"/>
      <c r="Z12" s="600" t="str">
        <f>IF(AND('Mapa final'!$K$66="Muy Alta",'Mapa final'!$O$66="Moderado"),CONCATENATE("R",'Mapa final'!$A$66),"")</f>
        <v/>
      </c>
      <c r="AA12" s="601"/>
      <c r="AB12" s="604" t="str">
        <f>IF(AND('Mapa final'!$K$54="Muy Alta",'Mapa final'!$O$54="Mayor"),CONCATENATE("R",'Mapa final'!$A$54),"")</f>
        <v/>
      </c>
      <c r="AC12" s="600"/>
      <c r="AD12" s="600" t="str">
        <f>IF(AND('Mapa final'!$K$60="Muy Alta",'Mapa final'!$O$60="Mayor"),CONCATENATE("R",'Mapa final'!$A$60),"")</f>
        <v/>
      </c>
      <c r="AE12" s="600"/>
      <c r="AF12" s="600" t="str">
        <f>IF(AND('Mapa final'!$K$66="Muy Alta",'Mapa final'!$O$66="Mayor"),CONCATENATE("R",'Mapa final'!$A$66),"")</f>
        <v/>
      </c>
      <c r="AG12" s="601"/>
      <c r="AH12" s="611" t="str">
        <f>IF(AND('Mapa final'!$K$54="Muy Alta",'Mapa final'!$O$54="Catastrófico"),CONCATENATE("R",'Mapa final'!$A$54),"")</f>
        <v/>
      </c>
      <c r="AI12" s="612"/>
      <c r="AJ12" s="612" t="str">
        <f>IF(AND('Mapa final'!$K$60="Muy Alta",'Mapa final'!$O$60="Catastrófico"),CONCATENATE("R",'Mapa final'!$A$60),"")</f>
        <v/>
      </c>
      <c r="AK12" s="612"/>
      <c r="AL12" s="612" t="str">
        <f>IF(AND('Mapa final'!$K$66="Muy Alta",'Mapa final'!$O$66="Catastrófico"),CONCATENATE("R",'Mapa final'!$A$66),"")</f>
        <v/>
      </c>
      <c r="AM12" s="613"/>
      <c r="AN12" s="67"/>
      <c r="AO12" s="558"/>
      <c r="AP12" s="559"/>
      <c r="AQ12" s="559"/>
      <c r="AR12" s="559"/>
      <c r="AS12" s="559"/>
      <c r="AT12" s="560"/>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553"/>
      <c r="C13" s="553"/>
      <c r="D13" s="554"/>
      <c r="E13" s="597"/>
      <c r="F13" s="598"/>
      <c r="G13" s="598"/>
      <c r="H13" s="598"/>
      <c r="I13" s="599"/>
      <c r="J13" s="604"/>
      <c r="K13" s="600"/>
      <c r="L13" s="600"/>
      <c r="M13" s="600"/>
      <c r="N13" s="600"/>
      <c r="O13" s="601"/>
      <c r="P13" s="604"/>
      <c r="Q13" s="600"/>
      <c r="R13" s="600"/>
      <c r="S13" s="600"/>
      <c r="T13" s="600"/>
      <c r="U13" s="601"/>
      <c r="V13" s="604"/>
      <c r="W13" s="600"/>
      <c r="X13" s="600"/>
      <c r="Y13" s="600"/>
      <c r="Z13" s="600"/>
      <c r="AA13" s="601"/>
      <c r="AB13" s="604"/>
      <c r="AC13" s="600"/>
      <c r="AD13" s="600"/>
      <c r="AE13" s="600"/>
      <c r="AF13" s="600"/>
      <c r="AG13" s="601"/>
      <c r="AH13" s="614"/>
      <c r="AI13" s="615"/>
      <c r="AJ13" s="615"/>
      <c r="AK13" s="615"/>
      <c r="AL13" s="615"/>
      <c r="AM13" s="616"/>
      <c r="AN13" s="67"/>
      <c r="AO13" s="561"/>
      <c r="AP13" s="562"/>
      <c r="AQ13" s="562"/>
      <c r="AR13" s="562"/>
      <c r="AS13" s="562"/>
      <c r="AT13" s="563"/>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553"/>
      <c r="C14" s="553"/>
      <c r="D14" s="554"/>
      <c r="E14" s="591" t="s">
        <v>110</v>
      </c>
      <c r="F14" s="592"/>
      <c r="G14" s="592"/>
      <c r="H14" s="592"/>
      <c r="I14" s="592"/>
      <c r="J14" s="626" t="str">
        <f>IF(AND('Mapa final'!$K$10="Alta",'Mapa final'!$O$10="Leve"),CONCATENATE("R",'Mapa final'!$A$10),"")</f>
        <v/>
      </c>
      <c r="K14" s="627"/>
      <c r="L14" s="627" t="str">
        <f>IF(AND('Mapa final'!$K$14="Alta",'Mapa final'!$O$14="Leve"),CONCATENATE("R",'Mapa final'!$A$14),"")</f>
        <v/>
      </c>
      <c r="M14" s="627"/>
      <c r="N14" s="627" t="str">
        <f>IF(AND('Mapa final'!$K$18="Alta",'Mapa final'!$O$18="Leve"),CONCATENATE("R",'Mapa final'!$A$18),"")</f>
        <v/>
      </c>
      <c r="O14" s="628"/>
      <c r="P14" s="626" t="str">
        <f>IF(AND('Mapa final'!$K$10="Alta",'Mapa final'!$O$10="Menor"),CONCATENATE("R",'Mapa final'!$A$10),"")</f>
        <v/>
      </c>
      <c r="Q14" s="627"/>
      <c r="R14" s="627" t="str">
        <f>IF(AND('Mapa final'!$K$14="Alta",'Mapa final'!$O$14="Menor"),CONCATENATE("R",'Mapa final'!$A$14),"")</f>
        <v/>
      </c>
      <c r="S14" s="627"/>
      <c r="T14" s="627" t="str">
        <f>IF(AND('Mapa final'!$K$18="Alta",'Mapa final'!$O$18="Menor"),CONCATENATE("R",'Mapa final'!$A$18),"")</f>
        <v/>
      </c>
      <c r="U14" s="628"/>
      <c r="V14" s="602" t="str">
        <f>IF(AND('Mapa final'!$K$10="Alta",'Mapa final'!$O$10="Moderado"),CONCATENATE("R",'Mapa final'!$A$10),"")</f>
        <v/>
      </c>
      <c r="W14" s="603"/>
      <c r="X14" s="603" t="str">
        <f>IF(AND('Mapa final'!$K$14="Alta",'Mapa final'!$O$14="Moderado"),CONCATENATE("R",'Mapa final'!$A$14),"")</f>
        <v/>
      </c>
      <c r="Y14" s="603"/>
      <c r="Z14" s="603" t="str">
        <f>IF(AND('Mapa final'!$K$18="Alta",'Mapa final'!$O$18="Moderado"),CONCATENATE("R",'Mapa final'!$A$18),"")</f>
        <v/>
      </c>
      <c r="AA14" s="605"/>
      <c r="AB14" s="602" t="str">
        <f>IF(AND('Mapa final'!$K$10="Alta",'Mapa final'!$O$10="Mayor"),CONCATENATE("R",'Mapa final'!$A$10),"")</f>
        <v/>
      </c>
      <c r="AC14" s="603"/>
      <c r="AD14" s="603" t="str">
        <f>IF(AND('Mapa final'!$K$14="Alta",'Mapa final'!$O$14="Mayor"),CONCATENATE("R",'Mapa final'!$A$14),"")</f>
        <v/>
      </c>
      <c r="AE14" s="603"/>
      <c r="AF14" s="603" t="str">
        <f>IF(AND('Mapa final'!$K$18="Alta",'Mapa final'!$O$18="Mayor"),CONCATENATE("R",'Mapa final'!$A$18),"")</f>
        <v/>
      </c>
      <c r="AG14" s="605"/>
      <c r="AH14" s="617" t="str">
        <f>IF(AND('Mapa final'!$K$10="Alta",'Mapa final'!$O$10="Catastrófico"),CONCATENATE("R",'Mapa final'!$A$10),"")</f>
        <v/>
      </c>
      <c r="AI14" s="618"/>
      <c r="AJ14" s="618" t="str">
        <f>IF(AND('Mapa final'!$K$14="Alta",'Mapa final'!$O$14="Catastrófico"),CONCATENATE("R",'Mapa final'!$A$14),"")</f>
        <v/>
      </c>
      <c r="AK14" s="618"/>
      <c r="AL14" s="618" t="str">
        <f>IF(AND('Mapa final'!$K$18="Alta",'Mapa final'!$O$18="Catastrófico"),CONCATENATE("R",'Mapa final'!$A$18),"")</f>
        <v/>
      </c>
      <c r="AM14" s="619"/>
      <c r="AN14" s="67"/>
      <c r="AO14" s="564" t="s">
        <v>79</v>
      </c>
      <c r="AP14" s="565"/>
      <c r="AQ14" s="565"/>
      <c r="AR14" s="565"/>
      <c r="AS14" s="565"/>
      <c r="AT14" s="566"/>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553"/>
      <c r="C15" s="553"/>
      <c r="D15" s="554"/>
      <c r="E15" s="594"/>
      <c r="F15" s="595"/>
      <c r="G15" s="595"/>
      <c r="H15" s="595"/>
      <c r="I15" s="595"/>
      <c r="J15" s="620"/>
      <c r="K15" s="621"/>
      <c r="L15" s="621"/>
      <c r="M15" s="621"/>
      <c r="N15" s="621"/>
      <c r="O15" s="622"/>
      <c r="P15" s="620"/>
      <c r="Q15" s="621"/>
      <c r="R15" s="621"/>
      <c r="S15" s="621"/>
      <c r="T15" s="621"/>
      <c r="U15" s="622"/>
      <c r="V15" s="604"/>
      <c r="W15" s="600"/>
      <c r="X15" s="600"/>
      <c r="Y15" s="600"/>
      <c r="Z15" s="600"/>
      <c r="AA15" s="601"/>
      <c r="AB15" s="604"/>
      <c r="AC15" s="600"/>
      <c r="AD15" s="600"/>
      <c r="AE15" s="600"/>
      <c r="AF15" s="600"/>
      <c r="AG15" s="601"/>
      <c r="AH15" s="611"/>
      <c r="AI15" s="612"/>
      <c r="AJ15" s="612"/>
      <c r="AK15" s="612"/>
      <c r="AL15" s="612"/>
      <c r="AM15" s="613"/>
      <c r="AN15" s="67"/>
      <c r="AO15" s="567"/>
      <c r="AP15" s="568"/>
      <c r="AQ15" s="568"/>
      <c r="AR15" s="568"/>
      <c r="AS15" s="568"/>
      <c r="AT15" s="569"/>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553"/>
      <c r="C16" s="553"/>
      <c r="D16" s="554"/>
      <c r="E16" s="594"/>
      <c r="F16" s="595"/>
      <c r="G16" s="595"/>
      <c r="H16" s="595"/>
      <c r="I16" s="595"/>
      <c r="J16" s="620" t="str">
        <f>IF(AND('Mapa final'!$K$21="Alta",'Mapa final'!$O$21="Leve"),CONCATENATE("R",'Mapa final'!$A$21),"")</f>
        <v/>
      </c>
      <c r="K16" s="621"/>
      <c r="L16" s="621" t="str">
        <f>IF(AND('Mapa final'!$K$24="Alta",'Mapa final'!$O$24="Leve"),CONCATENATE("R",'Mapa final'!$A$24),"")</f>
        <v/>
      </c>
      <c r="M16" s="621"/>
      <c r="N16" s="621" t="str">
        <f>IF(AND('Mapa final'!$K$30="Alta",'Mapa final'!$O$30="Leve"),CONCATENATE("R",'Mapa final'!$A$30),"")</f>
        <v/>
      </c>
      <c r="O16" s="622"/>
      <c r="P16" s="620" t="str">
        <f>IF(AND('Mapa final'!$K$21="Alta",'Mapa final'!$O$21="Menor"),CONCATENATE("R",'Mapa final'!$A$21),"")</f>
        <v/>
      </c>
      <c r="Q16" s="621"/>
      <c r="R16" s="621" t="str">
        <f>IF(AND('Mapa final'!$K$24="Alta",'Mapa final'!$O$24="Menor"),CONCATENATE("R",'Mapa final'!$A$24),"")</f>
        <v/>
      </c>
      <c r="S16" s="621"/>
      <c r="T16" s="621" t="str">
        <f>IF(AND('Mapa final'!$K$30="Alta",'Mapa final'!$O$30="Menor"),CONCATENATE("R",'Mapa final'!$A$30),"")</f>
        <v/>
      </c>
      <c r="U16" s="622"/>
      <c r="V16" s="604" t="str">
        <f>IF(AND('Mapa final'!$K$21="Alta",'Mapa final'!$O$21="Moderado"),CONCATENATE("R",'Mapa final'!$A$21),"")</f>
        <v/>
      </c>
      <c r="W16" s="600"/>
      <c r="X16" s="600" t="str">
        <f>IF(AND('Mapa final'!$K$24="Alta",'Mapa final'!$O$24="Moderado"),CONCATENATE("R",'Mapa final'!$A$24),"")</f>
        <v/>
      </c>
      <c r="Y16" s="600"/>
      <c r="Z16" s="600" t="str">
        <f>IF(AND('Mapa final'!$K$30="Alta",'Mapa final'!$O$30="Moderado"),CONCATENATE("R",'Mapa final'!$A$30),"")</f>
        <v/>
      </c>
      <c r="AA16" s="601"/>
      <c r="AB16" s="604" t="str">
        <f>IF(AND('Mapa final'!$K$21="Alta",'Mapa final'!$O$21="Mayor"),CONCATENATE("R",'Mapa final'!$A$21),"")</f>
        <v/>
      </c>
      <c r="AC16" s="600"/>
      <c r="AD16" s="600" t="str">
        <f>IF(AND('Mapa final'!$K$24="Alta",'Mapa final'!$O$24="Mayor"),CONCATENATE("R",'Mapa final'!$A$24),"")</f>
        <v/>
      </c>
      <c r="AE16" s="600"/>
      <c r="AF16" s="600" t="str">
        <f>IF(AND('Mapa final'!$K$30="Alta",'Mapa final'!$O$30="Mayor"),CONCATENATE("R",'Mapa final'!$A$30),"")</f>
        <v/>
      </c>
      <c r="AG16" s="601"/>
      <c r="AH16" s="611" t="str">
        <f>IF(AND('Mapa final'!$K$21="Alta",'Mapa final'!$O$21="Catastrófico"),CONCATENATE("R",'Mapa final'!$A$21),"")</f>
        <v/>
      </c>
      <c r="AI16" s="612"/>
      <c r="AJ16" s="612" t="str">
        <f>IF(AND('Mapa final'!$K$24="Alta",'Mapa final'!$O$24="Catastrófico"),CONCATENATE("R",'Mapa final'!$A$24),"")</f>
        <v/>
      </c>
      <c r="AK16" s="612"/>
      <c r="AL16" s="612" t="str">
        <f>IF(AND('Mapa final'!$K$30="Alta",'Mapa final'!$O$30="Catastrófico"),CONCATENATE("R",'Mapa final'!$A$30),"")</f>
        <v/>
      </c>
      <c r="AM16" s="613"/>
      <c r="AN16" s="67"/>
      <c r="AO16" s="567"/>
      <c r="AP16" s="568"/>
      <c r="AQ16" s="568"/>
      <c r="AR16" s="568"/>
      <c r="AS16" s="568"/>
      <c r="AT16" s="569"/>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553"/>
      <c r="C17" s="553"/>
      <c r="D17" s="554"/>
      <c r="E17" s="594"/>
      <c r="F17" s="595"/>
      <c r="G17" s="595"/>
      <c r="H17" s="595"/>
      <c r="I17" s="595"/>
      <c r="J17" s="620"/>
      <c r="K17" s="621"/>
      <c r="L17" s="621"/>
      <c r="M17" s="621"/>
      <c r="N17" s="621"/>
      <c r="O17" s="622"/>
      <c r="P17" s="620"/>
      <c r="Q17" s="621"/>
      <c r="R17" s="621"/>
      <c r="S17" s="621"/>
      <c r="T17" s="621"/>
      <c r="U17" s="622"/>
      <c r="V17" s="604"/>
      <c r="W17" s="600"/>
      <c r="X17" s="600"/>
      <c r="Y17" s="600"/>
      <c r="Z17" s="600"/>
      <c r="AA17" s="601"/>
      <c r="AB17" s="604"/>
      <c r="AC17" s="600"/>
      <c r="AD17" s="600"/>
      <c r="AE17" s="600"/>
      <c r="AF17" s="600"/>
      <c r="AG17" s="601"/>
      <c r="AH17" s="611"/>
      <c r="AI17" s="612"/>
      <c r="AJ17" s="612"/>
      <c r="AK17" s="612"/>
      <c r="AL17" s="612"/>
      <c r="AM17" s="613"/>
      <c r="AN17" s="67"/>
      <c r="AO17" s="567"/>
      <c r="AP17" s="568"/>
      <c r="AQ17" s="568"/>
      <c r="AR17" s="568"/>
      <c r="AS17" s="568"/>
      <c r="AT17" s="569"/>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553"/>
      <c r="C18" s="553"/>
      <c r="D18" s="554"/>
      <c r="E18" s="594"/>
      <c r="F18" s="595"/>
      <c r="G18" s="595"/>
      <c r="H18" s="595"/>
      <c r="I18" s="595"/>
      <c r="J18" s="620" t="str">
        <f>IF(AND('Mapa final'!$K$36="Alta",'Mapa final'!$O$36="Leve"),CONCATENATE("R",'Mapa final'!$A$36),"")</f>
        <v/>
      </c>
      <c r="K18" s="621"/>
      <c r="L18" s="621" t="str">
        <f>IF(AND('Mapa final'!$K$42="Alta",'Mapa final'!$O$42="Leve"),CONCATENATE("R",'Mapa final'!$A$42),"")</f>
        <v/>
      </c>
      <c r="M18" s="621"/>
      <c r="N18" s="621" t="str">
        <f>IF(AND('Mapa final'!$K$48="Alta",'Mapa final'!$O$48="Leve"),CONCATENATE("R",'Mapa final'!$A$48),"")</f>
        <v/>
      </c>
      <c r="O18" s="622"/>
      <c r="P18" s="620" t="str">
        <f>IF(AND('Mapa final'!$K$36="Alta",'Mapa final'!$O$36="Menor"),CONCATENATE("R",'Mapa final'!$A$36),"")</f>
        <v/>
      </c>
      <c r="Q18" s="621"/>
      <c r="R18" s="621" t="str">
        <f>IF(AND('Mapa final'!$K$42="Alta",'Mapa final'!$O$42="Menor"),CONCATENATE("R",'Mapa final'!$A$42),"")</f>
        <v/>
      </c>
      <c r="S18" s="621"/>
      <c r="T18" s="621" t="str">
        <f>IF(AND('Mapa final'!$K$48="Alta",'Mapa final'!$O$48="Menor"),CONCATENATE("R",'Mapa final'!$A$48),"")</f>
        <v/>
      </c>
      <c r="U18" s="622"/>
      <c r="V18" s="604" t="str">
        <f>IF(AND('Mapa final'!$K$36="Alta",'Mapa final'!$O$36="Moderado"),CONCATENATE("R",'Mapa final'!$A$36),"")</f>
        <v/>
      </c>
      <c r="W18" s="600"/>
      <c r="X18" s="600" t="str">
        <f>IF(AND('Mapa final'!$K$42="Alta",'Mapa final'!$O$42="Moderado"),CONCATENATE("R",'Mapa final'!$A$42),"")</f>
        <v/>
      </c>
      <c r="Y18" s="600"/>
      <c r="Z18" s="600" t="str">
        <f>IF(AND('Mapa final'!$K$48="Alta",'Mapa final'!$O$48="Moderado"),CONCATENATE("R",'Mapa final'!$A$48),"")</f>
        <v/>
      </c>
      <c r="AA18" s="601"/>
      <c r="AB18" s="604" t="str">
        <f>IF(AND('Mapa final'!$K$36="Alta",'Mapa final'!$O$36="Mayor"),CONCATENATE("R",'Mapa final'!$A$36),"")</f>
        <v/>
      </c>
      <c r="AC18" s="600"/>
      <c r="AD18" s="600" t="str">
        <f>IF(AND('Mapa final'!$K$42="Alta",'Mapa final'!$O$42="Mayor"),CONCATENATE("R",'Mapa final'!$A$42),"")</f>
        <v/>
      </c>
      <c r="AE18" s="600"/>
      <c r="AF18" s="600" t="str">
        <f>IF(AND('Mapa final'!$K$48="Alta",'Mapa final'!$O$48="Mayor"),CONCATENATE("R",'Mapa final'!$A$48),"")</f>
        <v/>
      </c>
      <c r="AG18" s="601"/>
      <c r="AH18" s="611" t="str">
        <f>IF(AND('Mapa final'!$K$36="Alta",'Mapa final'!$O$36="Catastrófico"),CONCATENATE("R",'Mapa final'!$A$36),"")</f>
        <v/>
      </c>
      <c r="AI18" s="612"/>
      <c r="AJ18" s="612" t="str">
        <f>IF(AND('Mapa final'!$K$42="Alta",'Mapa final'!$O$42="Catastrófico"),CONCATENATE("R",'Mapa final'!$A$42),"")</f>
        <v/>
      </c>
      <c r="AK18" s="612"/>
      <c r="AL18" s="612" t="str">
        <f>IF(AND('Mapa final'!$K$48="Alta",'Mapa final'!$O$48="Catastrófico"),CONCATENATE("R",'Mapa final'!$A$48),"")</f>
        <v/>
      </c>
      <c r="AM18" s="613"/>
      <c r="AN18" s="67"/>
      <c r="AO18" s="567"/>
      <c r="AP18" s="568"/>
      <c r="AQ18" s="568"/>
      <c r="AR18" s="568"/>
      <c r="AS18" s="568"/>
      <c r="AT18" s="569"/>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553"/>
      <c r="C19" s="553"/>
      <c r="D19" s="554"/>
      <c r="E19" s="594"/>
      <c r="F19" s="595"/>
      <c r="G19" s="595"/>
      <c r="H19" s="595"/>
      <c r="I19" s="595"/>
      <c r="J19" s="620"/>
      <c r="K19" s="621"/>
      <c r="L19" s="621"/>
      <c r="M19" s="621"/>
      <c r="N19" s="621"/>
      <c r="O19" s="622"/>
      <c r="P19" s="620"/>
      <c r="Q19" s="621"/>
      <c r="R19" s="621"/>
      <c r="S19" s="621"/>
      <c r="T19" s="621"/>
      <c r="U19" s="622"/>
      <c r="V19" s="604"/>
      <c r="W19" s="600"/>
      <c r="X19" s="600"/>
      <c r="Y19" s="600"/>
      <c r="Z19" s="600"/>
      <c r="AA19" s="601"/>
      <c r="AB19" s="604"/>
      <c r="AC19" s="600"/>
      <c r="AD19" s="600"/>
      <c r="AE19" s="600"/>
      <c r="AF19" s="600"/>
      <c r="AG19" s="601"/>
      <c r="AH19" s="611"/>
      <c r="AI19" s="612"/>
      <c r="AJ19" s="612"/>
      <c r="AK19" s="612"/>
      <c r="AL19" s="612"/>
      <c r="AM19" s="613"/>
      <c r="AN19" s="67"/>
      <c r="AO19" s="567"/>
      <c r="AP19" s="568"/>
      <c r="AQ19" s="568"/>
      <c r="AR19" s="568"/>
      <c r="AS19" s="568"/>
      <c r="AT19" s="569"/>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553"/>
      <c r="C20" s="553"/>
      <c r="D20" s="554"/>
      <c r="E20" s="594"/>
      <c r="F20" s="595"/>
      <c r="G20" s="595"/>
      <c r="H20" s="595"/>
      <c r="I20" s="595"/>
      <c r="J20" s="620" t="str">
        <f>IF(AND('Mapa final'!$K$54="Alta",'Mapa final'!$O$54="Leve"),CONCATENATE("R",'Mapa final'!$A$54),"")</f>
        <v/>
      </c>
      <c r="K20" s="621"/>
      <c r="L20" s="621" t="str">
        <f>IF(AND('Mapa final'!$K$60="Alta",'Mapa final'!$O$60="Leve"),CONCATENATE("R",'Mapa final'!$A$60),"")</f>
        <v/>
      </c>
      <c r="M20" s="621"/>
      <c r="N20" s="621" t="str">
        <f>IF(AND('Mapa final'!$K$66="Alta",'Mapa final'!$O$66="Leve"),CONCATENATE("R",'Mapa final'!$A$66),"")</f>
        <v/>
      </c>
      <c r="O20" s="622"/>
      <c r="P20" s="620" t="str">
        <f>IF(AND('Mapa final'!$K$54="Alta",'Mapa final'!$O$54="Menor"),CONCATENATE("R",'Mapa final'!$A$54),"")</f>
        <v/>
      </c>
      <c r="Q20" s="621"/>
      <c r="R20" s="621" t="str">
        <f>IF(AND('Mapa final'!$K$60="Alta",'Mapa final'!$O$60="Menor"),CONCATENATE("R",'Mapa final'!$A$60),"")</f>
        <v/>
      </c>
      <c r="S20" s="621"/>
      <c r="T20" s="621" t="str">
        <f>IF(AND('Mapa final'!$K$66="Alta",'Mapa final'!$O$66="Menor"),CONCATENATE("R",'Mapa final'!$A$66),"")</f>
        <v/>
      </c>
      <c r="U20" s="622"/>
      <c r="V20" s="604" t="str">
        <f>IF(AND('Mapa final'!$K$54="Alta",'Mapa final'!$O$54="Moderado"),CONCATENATE("R",'Mapa final'!$A$54),"")</f>
        <v/>
      </c>
      <c r="W20" s="600"/>
      <c r="X20" s="600" t="str">
        <f>IF(AND('Mapa final'!$K$60="Alta",'Mapa final'!$O$60="Moderado"),CONCATENATE("R",'Mapa final'!$A$60),"")</f>
        <v/>
      </c>
      <c r="Y20" s="600"/>
      <c r="Z20" s="600" t="str">
        <f>IF(AND('Mapa final'!$K$66="Alta",'Mapa final'!$O$66="Moderado"),CONCATENATE("R",'Mapa final'!$A$66),"")</f>
        <v/>
      </c>
      <c r="AA20" s="601"/>
      <c r="AB20" s="604" t="str">
        <f>IF(AND('Mapa final'!$K$54="Alta",'Mapa final'!$O$54="Mayor"),CONCATENATE("R",'Mapa final'!$A$54),"")</f>
        <v/>
      </c>
      <c r="AC20" s="600"/>
      <c r="AD20" s="600" t="str">
        <f>IF(AND('Mapa final'!$K$60="Alta",'Mapa final'!$O$60="Mayor"),CONCATENATE("R",'Mapa final'!$A$60),"")</f>
        <v/>
      </c>
      <c r="AE20" s="600"/>
      <c r="AF20" s="600" t="str">
        <f>IF(AND('Mapa final'!$K$66="Alta",'Mapa final'!$O$66="Mayor"),CONCATENATE("R",'Mapa final'!$A$66),"")</f>
        <v/>
      </c>
      <c r="AG20" s="601"/>
      <c r="AH20" s="611" t="str">
        <f>IF(AND('Mapa final'!$K$54="Alta",'Mapa final'!$O$54="Catastrófico"),CONCATENATE("R",'Mapa final'!$A$54),"")</f>
        <v/>
      </c>
      <c r="AI20" s="612"/>
      <c r="AJ20" s="612" t="str">
        <f>IF(AND('Mapa final'!$K$60="Alta",'Mapa final'!$O$60="Catastrófico"),CONCATENATE("R",'Mapa final'!$A$60),"")</f>
        <v/>
      </c>
      <c r="AK20" s="612"/>
      <c r="AL20" s="612" t="str">
        <f>IF(AND('Mapa final'!$K$66="Alta",'Mapa final'!$O$66="Catastrófico"),CONCATENATE("R",'Mapa final'!$A$66),"")</f>
        <v/>
      </c>
      <c r="AM20" s="613"/>
      <c r="AN20" s="67"/>
      <c r="AO20" s="567"/>
      <c r="AP20" s="568"/>
      <c r="AQ20" s="568"/>
      <c r="AR20" s="568"/>
      <c r="AS20" s="568"/>
      <c r="AT20" s="569"/>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553"/>
      <c r="C21" s="553"/>
      <c r="D21" s="554"/>
      <c r="E21" s="597"/>
      <c r="F21" s="598"/>
      <c r="G21" s="598"/>
      <c r="H21" s="598"/>
      <c r="I21" s="598"/>
      <c r="J21" s="623"/>
      <c r="K21" s="624"/>
      <c r="L21" s="624"/>
      <c r="M21" s="624"/>
      <c r="N21" s="624"/>
      <c r="O21" s="625"/>
      <c r="P21" s="623"/>
      <c r="Q21" s="624"/>
      <c r="R21" s="624"/>
      <c r="S21" s="624"/>
      <c r="T21" s="624"/>
      <c r="U21" s="625"/>
      <c r="V21" s="608"/>
      <c r="W21" s="609"/>
      <c r="X21" s="609"/>
      <c r="Y21" s="609"/>
      <c r="Z21" s="609"/>
      <c r="AA21" s="610"/>
      <c r="AB21" s="608"/>
      <c r="AC21" s="609"/>
      <c r="AD21" s="609"/>
      <c r="AE21" s="609"/>
      <c r="AF21" s="609"/>
      <c r="AG21" s="610"/>
      <c r="AH21" s="614"/>
      <c r="AI21" s="615"/>
      <c r="AJ21" s="615"/>
      <c r="AK21" s="615"/>
      <c r="AL21" s="615"/>
      <c r="AM21" s="616"/>
      <c r="AN21" s="67"/>
      <c r="AO21" s="570"/>
      <c r="AP21" s="571"/>
      <c r="AQ21" s="571"/>
      <c r="AR21" s="571"/>
      <c r="AS21" s="571"/>
      <c r="AT21" s="572"/>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553"/>
      <c r="C22" s="553"/>
      <c r="D22" s="554"/>
      <c r="E22" s="591" t="s">
        <v>112</v>
      </c>
      <c r="F22" s="592"/>
      <c r="G22" s="592"/>
      <c r="H22" s="592"/>
      <c r="I22" s="593"/>
      <c r="J22" s="626" t="str">
        <f>IF(AND('Mapa final'!$K$10="Media",'Mapa final'!$O$10="Leve"),CONCATENATE("R",'Mapa final'!$A$10),"")</f>
        <v>R1</v>
      </c>
      <c r="K22" s="627"/>
      <c r="L22" s="627" t="str">
        <f>IF(AND('Mapa final'!$K$14="Media",'Mapa final'!$O$14="Leve"),CONCATENATE("R",'Mapa final'!$A$14),"")</f>
        <v>R2</v>
      </c>
      <c r="M22" s="627"/>
      <c r="N22" s="627" t="str">
        <f>IF(AND('Mapa final'!$K$18="Media",'Mapa final'!$O$18="Leve"),CONCATENATE("R",'Mapa final'!$A$18),"")</f>
        <v/>
      </c>
      <c r="O22" s="628"/>
      <c r="P22" s="626" t="str">
        <f>IF(AND('Mapa final'!$K$10="Media",'Mapa final'!$O$10="Menor"),CONCATENATE("R",'Mapa final'!$A$10),"")</f>
        <v/>
      </c>
      <c r="Q22" s="627"/>
      <c r="R22" s="627" t="str">
        <f>IF(AND('Mapa final'!$K$14="Media",'Mapa final'!$O$14="Menor"),CONCATENATE("R",'Mapa final'!$A$14),"")</f>
        <v/>
      </c>
      <c r="S22" s="627"/>
      <c r="T22" s="627" t="str">
        <f>IF(AND('Mapa final'!$K$18="Media",'Mapa final'!$O$18="Menor"),CONCATENATE("R",'Mapa final'!$A$18),"")</f>
        <v/>
      </c>
      <c r="U22" s="628"/>
      <c r="V22" s="626" t="str">
        <f>IF(AND('Mapa final'!$K$10="Media",'Mapa final'!$O$10="Moderado"),CONCATENATE("R",'Mapa final'!$A$10),"")</f>
        <v/>
      </c>
      <c r="W22" s="627"/>
      <c r="X22" s="627" t="str">
        <f>IF(AND('Mapa final'!$K$14="Media",'Mapa final'!$O$14="Moderado"),CONCATENATE("R",'Mapa final'!$A$14),"")</f>
        <v/>
      </c>
      <c r="Y22" s="627"/>
      <c r="Z22" s="627" t="str">
        <f>IF(AND('Mapa final'!$K$18="Media",'Mapa final'!$O$18="Moderado"),CONCATENATE("R",'Mapa final'!$A$18),"")</f>
        <v/>
      </c>
      <c r="AA22" s="628"/>
      <c r="AB22" s="602" t="str">
        <f>IF(AND('Mapa final'!$K$10="Media",'Mapa final'!$O$10="Mayor"),CONCATENATE("R",'Mapa final'!$A$10),"")</f>
        <v/>
      </c>
      <c r="AC22" s="603"/>
      <c r="AD22" s="603" t="str">
        <f>IF(AND('Mapa final'!$K$14="Media",'Mapa final'!$O$14="Mayor"),CONCATENATE("R",'Mapa final'!$A$14),"")</f>
        <v/>
      </c>
      <c r="AE22" s="603"/>
      <c r="AF22" s="603" t="str">
        <f>IF(AND('Mapa final'!$K$18="Media",'Mapa final'!$O$18="Mayor"),CONCATENATE("R",'Mapa final'!$A$18),"")</f>
        <v/>
      </c>
      <c r="AG22" s="605"/>
      <c r="AH22" s="617" t="str">
        <f>IF(AND('Mapa final'!$K$10="Media",'Mapa final'!$O$10="Catastrófico"),CONCATENATE("R",'Mapa final'!$A$10),"")</f>
        <v/>
      </c>
      <c r="AI22" s="618"/>
      <c r="AJ22" s="618" t="str">
        <f>IF(AND('Mapa final'!$K$14="Media",'Mapa final'!$O$14="Catastrófico"),CONCATENATE("R",'Mapa final'!$A$14),"")</f>
        <v/>
      </c>
      <c r="AK22" s="618"/>
      <c r="AL22" s="618" t="str">
        <f>IF(AND('Mapa final'!$K$18="Media",'Mapa final'!$O$18="Catastrófico"),CONCATENATE("R",'Mapa final'!$A$18),"")</f>
        <v/>
      </c>
      <c r="AM22" s="619"/>
      <c r="AN22" s="67"/>
      <c r="AO22" s="573" t="s">
        <v>80</v>
      </c>
      <c r="AP22" s="574"/>
      <c r="AQ22" s="574"/>
      <c r="AR22" s="574"/>
      <c r="AS22" s="574"/>
      <c r="AT22" s="575"/>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553"/>
      <c r="C23" s="553"/>
      <c r="D23" s="554"/>
      <c r="E23" s="594"/>
      <c r="F23" s="595"/>
      <c r="G23" s="595"/>
      <c r="H23" s="595"/>
      <c r="I23" s="596"/>
      <c r="J23" s="620"/>
      <c r="K23" s="621"/>
      <c r="L23" s="621"/>
      <c r="M23" s="621"/>
      <c r="N23" s="621"/>
      <c r="O23" s="622"/>
      <c r="P23" s="620"/>
      <c r="Q23" s="621"/>
      <c r="R23" s="621"/>
      <c r="S23" s="621"/>
      <c r="T23" s="621"/>
      <c r="U23" s="622"/>
      <c r="V23" s="620"/>
      <c r="W23" s="621"/>
      <c r="X23" s="621"/>
      <c r="Y23" s="621"/>
      <c r="Z23" s="621"/>
      <c r="AA23" s="622"/>
      <c r="AB23" s="604"/>
      <c r="AC23" s="600"/>
      <c r="AD23" s="600"/>
      <c r="AE23" s="600"/>
      <c r="AF23" s="600"/>
      <c r="AG23" s="601"/>
      <c r="AH23" s="611"/>
      <c r="AI23" s="612"/>
      <c r="AJ23" s="612"/>
      <c r="AK23" s="612"/>
      <c r="AL23" s="612"/>
      <c r="AM23" s="613"/>
      <c r="AN23" s="67"/>
      <c r="AO23" s="576"/>
      <c r="AP23" s="577"/>
      <c r="AQ23" s="577"/>
      <c r="AR23" s="577"/>
      <c r="AS23" s="577"/>
      <c r="AT23" s="578"/>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553"/>
      <c r="C24" s="553"/>
      <c r="D24" s="554"/>
      <c r="E24" s="594"/>
      <c r="F24" s="595"/>
      <c r="G24" s="595"/>
      <c r="H24" s="595"/>
      <c r="I24" s="596"/>
      <c r="J24" s="620" t="str">
        <f>IF(AND('Mapa final'!$K$21="Media",'Mapa final'!$O$21="Leve"),CONCATENATE("R",'Mapa final'!$A$21),"")</f>
        <v/>
      </c>
      <c r="K24" s="621"/>
      <c r="L24" s="621" t="str">
        <f>IF(AND('Mapa final'!$K$24="Media",'Mapa final'!$O$24="Leve"),CONCATENATE("R",'Mapa final'!$A$24),"")</f>
        <v/>
      </c>
      <c r="M24" s="621"/>
      <c r="N24" s="621" t="str">
        <f>IF(AND('Mapa final'!$K$30="Media",'Mapa final'!$O$30="Leve"),CONCATENATE("R",'Mapa final'!$A$30),"")</f>
        <v/>
      </c>
      <c r="O24" s="622"/>
      <c r="P24" s="620" t="str">
        <f>IF(AND('Mapa final'!$K$21="Media",'Mapa final'!$O$21="Menor"),CONCATENATE("R",'Mapa final'!$A$21),"")</f>
        <v>R4</v>
      </c>
      <c r="Q24" s="621"/>
      <c r="R24" s="621" t="str">
        <f>IF(AND('Mapa final'!$K$24="Media",'Mapa final'!$O$24="Menor"),CONCATENATE("R",'Mapa final'!$A$24),"")</f>
        <v/>
      </c>
      <c r="S24" s="621"/>
      <c r="T24" s="621" t="str">
        <f>IF(AND('Mapa final'!$K$30="Media",'Mapa final'!$O$30="Menor"),CONCATENATE("R",'Mapa final'!$A$30),"")</f>
        <v/>
      </c>
      <c r="U24" s="622"/>
      <c r="V24" s="620" t="str">
        <f>IF(AND('Mapa final'!$K$21="Media",'Mapa final'!$O$21="Moderado"),CONCATENATE("R",'Mapa final'!$A$21),"")</f>
        <v/>
      </c>
      <c r="W24" s="621"/>
      <c r="X24" s="621" t="str">
        <f>IF(AND('Mapa final'!$K$24="Media",'Mapa final'!$O$24="Moderado"),CONCATENATE("R",'Mapa final'!$A$24),"")</f>
        <v/>
      </c>
      <c r="Y24" s="621"/>
      <c r="Z24" s="621" t="str">
        <f>IF(AND('Mapa final'!$K$30="Media",'Mapa final'!$O$30="Moderado"),CONCATENATE("R",'Mapa final'!$A$30),"")</f>
        <v/>
      </c>
      <c r="AA24" s="622"/>
      <c r="AB24" s="604" t="str">
        <f>IF(AND('Mapa final'!$K$21="Media",'Mapa final'!$O$21="Mayor"),CONCATENATE("R",'Mapa final'!$A$21),"")</f>
        <v/>
      </c>
      <c r="AC24" s="600"/>
      <c r="AD24" s="600" t="str">
        <f>IF(AND('Mapa final'!$K$24="Media",'Mapa final'!$O$24="Mayor"),CONCATENATE("R",'Mapa final'!$A$24),"")</f>
        <v/>
      </c>
      <c r="AE24" s="600"/>
      <c r="AF24" s="600" t="str">
        <f>IF(AND('Mapa final'!$K$30="Media",'Mapa final'!$O$30="Mayor"),CONCATENATE("R",'Mapa final'!$A$30),"")</f>
        <v/>
      </c>
      <c r="AG24" s="601"/>
      <c r="AH24" s="611" t="str">
        <f>IF(AND('Mapa final'!$K$21="Media",'Mapa final'!$O$21="Catastrófico"),CONCATENATE("R",'Mapa final'!$A$21),"")</f>
        <v/>
      </c>
      <c r="AI24" s="612"/>
      <c r="AJ24" s="612" t="str">
        <f>IF(AND('Mapa final'!$K$24="Media",'Mapa final'!$O$24="Catastrófico"),CONCATENATE("R",'Mapa final'!$A$24),"")</f>
        <v/>
      </c>
      <c r="AK24" s="612"/>
      <c r="AL24" s="612" t="str">
        <f>IF(AND('Mapa final'!$K$30="Media",'Mapa final'!$O$30="Catastrófico"),CONCATENATE("R",'Mapa final'!$A$30),"")</f>
        <v/>
      </c>
      <c r="AM24" s="613"/>
      <c r="AN24" s="67"/>
      <c r="AO24" s="576"/>
      <c r="AP24" s="577"/>
      <c r="AQ24" s="577"/>
      <c r="AR24" s="577"/>
      <c r="AS24" s="577"/>
      <c r="AT24" s="578"/>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553"/>
      <c r="C25" s="553"/>
      <c r="D25" s="554"/>
      <c r="E25" s="594"/>
      <c r="F25" s="595"/>
      <c r="G25" s="595"/>
      <c r="H25" s="595"/>
      <c r="I25" s="596"/>
      <c r="J25" s="620"/>
      <c r="K25" s="621"/>
      <c r="L25" s="621"/>
      <c r="M25" s="621"/>
      <c r="N25" s="621"/>
      <c r="O25" s="622"/>
      <c r="P25" s="620"/>
      <c r="Q25" s="621"/>
      <c r="R25" s="621"/>
      <c r="S25" s="621"/>
      <c r="T25" s="621"/>
      <c r="U25" s="622"/>
      <c r="V25" s="620"/>
      <c r="W25" s="621"/>
      <c r="X25" s="621"/>
      <c r="Y25" s="621"/>
      <c r="Z25" s="621"/>
      <c r="AA25" s="622"/>
      <c r="AB25" s="604"/>
      <c r="AC25" s="600"/>
      <c r="AD25" s="600"/>
      <c r="AE25" s="600"/>
      <c r="AF25" s="600"/>
      <c r="AG25" s="601"/>
      <c r="AH25" s="611"/>
      <c r="AI25" s="612"/>
      <c r="AJ25" s="612"/>
      <c r="AK25" s="612"/>
      <c r="AL25" s="612"/>
      <c r="AM25" s="613"/>
      <c r="AN25" s="67"/>
      <c r="AO25" s="576"/>
      <c r="AP25" s="577"/>
      <c r="AQ25" s="577"/>
      <c r="AR25" s="577"/>
      <c r="AS25" s="577"/>
      <c r="AT25" s="578"/>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553"/>
      <c r="C26" s="553"/>
      <c r="D26" s="554"/>
      <c r="E26" s="594"/>
      <c r="F26" s="595"/>
      <c r="G26" s="595"/>
      <c r="H26" s="595"/>
      <c r="I26" s="596"/>
      <c r="J26" s="620" t="str">
        <f>IF(AND('Mapa final'!$K$36="Media",'Mapa final'!$O$36="Leve"),CONCATENATE("R",'Mapa final'!$A$36),"")</f>
        <v/>
      </c>
      <c r="K26" s="621"/>
      <c r="L26" s="621" t="str">
        <f>IF(AND('Mapa final'!$K$42="Media",'Mapa final'!$O$42="Leve"),CONCATENATE("R",'Mapa final'!$A$42),"")</f>
        <v/>
      </c>
      <c r="M26" s="621"/>
      <c r="N26" s="621" t="str">
        <f>IF(AND('Mapa final'!$K$48="Media",'Mapa final'!$O$48="Leve"),CONCATENATE("R",'Mapa final'!$A$48),"")</f>
        <v/>
      </c>
      <c r="O26" s="622"/>
      <c r="P26" s="620" t="str">
        <f>IF(AND('Mapa final'!$K$36="Media",'Mapa final'!$O$36="Menor"),CONCATENATE("R",'Mapa final'!$A$36),"")</f>
        <v/>
      </c>
      <c r="Q26" s="621"/>
      <c r="R26" s="621" t="str">
        <f>IF(AND('Mapa final'!$K$42="Media",'Mapa final'!$O$42="Menor"),CONCATENATE("R",'Mapa final'!$A$42),"")</f>
        <v/>
      </c>
      <c r="S26" s="621"/>
      <c r="T26" s="621" t="str">
        <f>IF(AND('Mapa final'!$K$48="Media",'Mapa final'!$O$48="Menor"),CONCATENATE("R",'Mapa final'!$A$48),"")</f>
        <v/>
      </c>
      <c r="U26" s="622"/>
      <c r="V26" s="620" t="str">
        <f>IF(AND('Mapa final'!$K$36="Media",'Mapa final'!$O$36="Moderado"),CONCATENATE("R",'Mapa final'!$A$36),"")</f>
        <v/>
      </c>
      <c r="W26" s="621"/>
      <c r="X26" s="621" t="str">
        <f>IF(AND('Mapa final'!$K$42="Media",'Mapa final'!$O$42="Moderado"),CONCATENATE("R",'Mapa final'!$A$42),"")</f>
        <v/>
      </c>
      <c r="Y26" s="621"/>
      <c r="Z26" s="621" t="str">
        <f>IF(AND('Mapa final'!$K$48="Media",'Mapa final'!$O$48="Moderado"),CONCATENATE("R",'Mapa final'!$A$48),"")</f>
        <v/>
      </c>
      <c r="AA26" s="622"/>
      <c r="AB26" s="604" t="str">
        <f>IF(AND('Mapa final'!$K$36="Media",'Mapa final'!$O$36="Mayor"),CONCATENATE("R",'Mapa final'!$A$36),"")</f>
        <v/>
      </c>
      <c r="AC26" s="600"/>
      <c r="AD26" s="600" t="str">
        <f>IF(AND('Mapa final'!$K$42="Media",'Mapa final'!$O$42="Mayor"),CONCATENATE("R",'Mapa final'!$A$42),"")</f>
        <v/>
      </c>
      <c r="AE26" s="600"/>
      <c r="AF26" s="600" t="str">
        <f>IF(AND('Mapa final'!$K$48="Media",'Mapa final'!$O$48="Mayor"),CONCATENATE("R",'Mapa final'!$A$48),"")</f>
        <v/>
      </c>
      <c r="AG26" s="601"/>
      <c r="AH26" s="611" t="str">
        <f>IF(AND('Mapa final'!$K$36="Media",'Mapa final'!$O$36="Catastrófico"),CONCATENATE("R",'Mapa final'!$A$36),"")</f>
        <v/>
      </c>
      <c r="AI26" s="612"/>
      <c r="AJ26" s="612" t="str">
        <f>IF(AND('Mapa final'!$K$42="Media",'Mapa final'!$O$42="Catastrófico"),CONCATENATE("R",'Mapa final'!$A$42),"")</f>
        <v/>
      </c>
      <c r="AK26" s="612"/>
      <c r="AL26" s="612" t="str">
        <f>IF(AND('Mapa final'!$K$48="Media",'Mapa final'!$O$48="Catastrófico"),CONCATENATE("R",'Mapa final'!$A$48),"")</f>
        <v/>
      </c>
      <c r="AM26" s="613"/>
      <c r="AN26" s="67"/>
      <c r="AO26" s="576"/>
      <c r="AP26" s="577"/>
      <c r="AQ26" s="577"/>
      <c r="AR26" s="577"/>
      <c r="AS26" s="577"/>
      <c r="AT26" s="578"/>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553"/>
      <c r="C27" s="553"/>
      <c r="D27" s="554"/>
      <c r="E27" s="594"/>
      <c r="F27" s="595"/>
      <c r="G27" s="595"/>
      <c r="H27" s="595"/>
      <c r="I27" s="596"/>
      <c r="J27" s="620"/>
      <c r="K27" s="621"/>
      <c r="L27" s="621"/>
      <c r="M27" s="621"/>
      <c r="N27" s="621"/>
      <c r="O27" s="622"/>
      <c r="P27" s="620"/>
      <c r="Q27" s="621"/>
      <c r="R27" s="621"/>
      <c r="S27" s="621"/>
      <c r="T27" s="621"/>
      <c r="U27" s="622"/>
      <c r="V27" s="620"/>
      <c r="W27" s="621"/>
      <c r="X27" s="621"/>
      <c r="Y27" s="621"/>
      <c r="Z27" s="621"/>
      <c r="AA27" s="622"/>
      <c r="AB27" s="604"/>
      <c r="AC27" s="600"/>
      <c r="AD27" s="600"/>
      <c r="AE27" s="600"/>
      <c r="AF27" s="600"/>
      <c r="AG27" s="601"/>
      <c r="AH27" s="611"/>
      <c r="AI27" s="612"/>
      <c r="AJ27" s="612"/>
      <c r="AK27" s="612"/>
      <c r="AL27" s="612"/>
      <c r="AM27" s="613"/>
      <c r="AN27" s="67"/>
      <c r="AO27" s="576"/>
      <c r="AP27" s="577"/>
      <c r="AQ27" s="577"/>
      <c r="AR27" s="577"/>
      <c r="AS27" s="577"/>
      <c r="AT27" s="578"/>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553"/>
      <c r="C28" s="553"/>
      <c r="D28" s="554"/>
      <c r="E28" s="594"/>
      <c r="F28" s="595"/>
      <c r="G28" s="595"/>
      <c r="H28" s="595"/>
      <c r="I28" s="596"/>
      <c r="J28" s="620" t="str">
        <f>IF(AND('Mapa final'!$K$54="Media",'Mapa final'!$O$54="Leve"),CONCATENATE("R",'Mapa final'!$A$54),"")</f>
        <v/>
      </c>
      <c r="K28" s="621"/>
      <c r="L28" s="621" t="str">
        <f>IF(AND('Mapa final'!$K$60="Media",'Mapa final'!$O$60="Leve"),CONCATENATE("R",'Mapa final'!$A$60),"")</f>
        <v/>
      </c>
      <c r="M28" s="621"/>
      <c r="N28" s="621" t="str">
        <f>IF(AND('Mapa final'!$K$66="Media",'Mapa final'!$O$66="Leve"),CONCATENATE("R",'Mapa final'!$A$66),"")</f>
        <v/>
      </c>
      <c r="O28" s="622"/>
      <c r="P28" s="620" t="str">
        <f>IF(AND('Mapa final'!$K$54="Media",'Mapa final'!$O$54="Menor"),CONCATENATE("R",'Mapa final'!$A$54),"")</f>
        <v/>
      </c>
      <c r="Q28" s="621"/>
      <c r="R28" s="621" t="str">
        <f>IF(AND('Mapa final'!$K$60="Media",'Mapa final'!$O$60="Menor"),CONCATENATE("R",'Mapa final'!$A$60),"")</f>
        <v/>
      </c>
      <c r="S28" s="621"/>
      <c r="T28" s="621" t="str">
        <f>IF(AND('Mapa final'!$K$66="Media",'Mapa final'!$O$66="Menor"),CONCATENATE("R",'Mapa final'!$A$66),"")</f>
        <v/>
      </c>
      <c r="U28" s="622"/>
      <c r="V28" s="620" t="str">
        <f>IF(AND('Mapa final'!$K$54="Media",'Mapa final'!$O$54="Moderado"),CONCATENATE("R",'Mapa final'!$A$54),"")</f>
        <v/>
      </c>
      <c r="W28" s="621"/>
      <c r="X28" s="621" t="str">
        <f>IF(AND('Mapa final'!$K$60="Media",'Mapa final'!$O$60="Moderado"),CONCATENATE("R",'Mapa final'!$A$60),"")</f>
        <v/>
      </c>
      <c r="Y28" s="621"/>
      <c r="Z28" s="621" t="str">
        <f>IF(AND('Mapa final'!$K$66="Media",'Mapa final'!$O$66="Moderado"),CONCATENATE("R",'Mapa final'!$A$66),"")</f>
        <v/>
      </c>
      <c r="AA28" s="622"/>
      <c r="AB28" s="604" t="str">
        <f>IF(AND('Mapa final'!$K$54="Media",'Mapa final'!$O$54="Mayor"),CONCATENATE("R",'Mapa final'!$A$54),"")</f>
        <v/>
      </c>
      <c r="AC28" s="600"/>
      <c r="AD28" s="600" t="str">
        <f>IF(AND('Mapa final'!$K$60="Media",'Mapa final'!$O$60="Mayor"),CONCATENATE("R",'Mapa final'!$A$60),"")</f>
        <v/>
      </c>
      <c r="AE28" s="600"/>
      <c r="AF28" s="600" t="str">
        <f>IF(AND('Mapa final'!$K$66="Media",'Mapa final'!$O$66="Mayor"),CONCATENATE("R",'Mapa final'!$A$66),"")</f>
        <v/>
      </c>
      <c r="AG28" s="601"/>
      <c r="AH28" s="611" t="str">
        <f>IF(AND('Mapa final'!$K$54="Media",'Mapa final'!$O$54="Catastrófico"),CONCATENATE("R",'Mapa final'!$A$54),"")</f>
        <v/>
      </c>
      <c r="AI28" s="612"/>
      <c r="AJ28" s="612" t="str">
        <f>IF(AND('Mapa final'!$K$60="Media",'Mapa final'!$O$60="Catastrófico"),CONCATENATE("R",'Mapa final'!$A$60),"")</f>
        <v/>
      </c>
      <c r="AK28" s="612"/>
      <c r="AL28" s="612" t="str">
        <f>IF(AND('Mapa final'!$K$66="Media",'Mapa final'!$O$66="Catastrófico"),CONCATENATE("R",'Mapa final'!$A$66),"")</f>
        <v/>
      </c>
      <c r="AM28" s="613"/>
      <c r="AN28" s="67"/>
      <c r="AO28" s="576"/>
      <c r="AP28" s="577"/>
      <c r="AQ28" s="577"/>
      <c r="AR28" s="577"/>
      <c r="AS28" s="577"/>
      <c r="AT28" s="578"/>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553"/>
      <c r="C29" s="553"/>
      <c r="D29" s="554"/>
      <c r="E29" s="597"/>
      <c r="F29" s="598"/>
      <c r="G29" s="598"/>
      <c r="H29" s="598"/>
      <c r="I29" s="599"/>
      <c r="J29" s="620"/>
      <c r="K29" s="621"/>
      <c r="L29" s="621"/>
      <c r="M29" s="621"/>
      <c r="N29" s="621"/>
      <c r="O29" s="622"/>
      <c r="P29" s="623"/>
      <c r="Q29" s="624"/>
      <c r="R29" s="624"/>
      <c r="S29" s="624"/>
      <c r="T29" s="624"/>
      <c r="U29" s="625"/>
      <c r="V29" s="623"/>
      <c r="W29" s="624"/>
      <c r="X29" s="624"/>
      <c r="Y29" s="624"/>
      <c r="Z29" s="624"/>
      <c r="AA29" s="625"/>
      <c r="AB29" s="608"/>
      <c r="AC29" s="609"/>
      <c r="AD29" s="609"/>
      <c r="AE29" s="609"/>
      <c r="AF29" s="609"/>
      <c r="AG29" s="610"/>
      <c r="AH29" s="614"/>
      <c r="AI29" s="615"/>
      <c r="AJ29" s="615"/>
      <c r="AK29" s="615"/>
      <c r="AL29" s="615"/>
      <c r="AM29" s="616"/>
      <c r="AN29" s="67"/>
      <c r="AO29" s="579"/>
      <c r="AP29" s="580"/>
      <c r="AQ29" s="580"/>
      <c r="AR29" s="580"/>
      <c r="AS29" s="580"/>
      <c r="AT29" s="581"/>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553"/>
      <c r="C30" s="553"/>
      <c r="D30" s="554"/>
      <c r="E30" s="591" t="s">
        <v>109</v>
      </c>
      <c r="F30" s="592"/>
      <c r="G30" s="592"/>
      <c r="H30" s="592"/>
      <c r="I30" s="592"/>
      <c r="J30" s="635" t="str">
        <f>IF(AND('Mapa final'!$K$10="Baja",'Mapa final'!$O$10="Leve"),CONCATENATE("R",'Mapa final'!$A$10),"")</f>
        <v/>
      </c>
      <c r="K30" s="636"/>
      <c r="L30" s="636" t="str">
        <f>IF(AND('Mapa final'!$K$14="Baja",'Mapa final'!$O$14="Leve"),CONCATENATE("R",'Mapa final'!$A$14),"")</f>
        <v/>
      </c>
      <c r="M30" s="636"/>
      <c r="N30" s="636" t="str">
        <f>IF(AND('Mapa final'!$K$18="Baja",'Mapa final'!$O$18="Leve"),CONCATENATE("R",'Mapa final'!$A$18),"")</f>
        <v/>
      </c>
      <c r="O30" s="637"/>
      <c r="P30" s="627" t="str">
        <f>IF(AND('Mapa final'!$K$10="Baja",'Mapa final'!$O$10="Menor"),CONCATENATE("R",'Mapa final'!$A$10),"")</f>
        <v/>
      </c>
      <c r="Q30" s="627"/>
      <c r="R30" s="627" t="str">
        <f>IF(AND('Mapa final'!$K$14="Baja",'Mapa final'!$O$14="Menor"),CONCATENATE("R",'Mapa final'!$A$14),"")</f>
        <v/>
      </c>
      <c r="S30" s="627"/>
      <c r="T30" s="627" t="str">
        <f>IF(AND('Mapa final'!$K$18="Baja",'Mapa final'!$O$18="Menor"),CONCATENATE("R",'Mapa final'!$A$18),"")</f>
        <v/>
      </c>
      <c r="U30" s="628"/>
      <c r="V30" s="626" t="str">
        <f>IF(AND('Mapa final'!$K$10="Baja",'Mapa final'!$O$10="Moderado"),CONCATENATE("R",'Mapa final'!$A$10),"")</f>
        <v/>
      </c>
      <c r="W30" s="627"/>
      <c r="X30" s="627" t="str">
        <f>IF(AND('Mapa final'!$K$14="Baja",'Mapa final'!$O$14="Moderado"),CONCATENATE("R",'Mapa final'!$A$14),"")</f>
        <v/>
      </c>
      <c r="Y30" s="627"/>
      <c r="Z30" s="627" t="str">
        <f>IF(AND('Mapa final'!$K$18="Baja",'Mapa final'!$O$18="Moderado"),CONCATENATE("R",'Mapa final'!$A$18),"")</f>
        <v/>
      </c>
      <c r="AA30" s="628"/>
      <c r="AB30" s="602" t="str">
        <f>IF(AND('Mapa final'!$K$10="Baja",'Mapa final'!$O$10="Mayor"),CONCATENATE("R",'Mapa final'!$A$10),"")</f>
        <v/>
      </c>
      <c r="AC30" s="603"/>
      <c r="AD30" s="603" t="str">
        <f>IF(AND('Mapa final'!$K$14="Baja",'Mapa final'!$O$14="Mayor"),CONCATENATE("R",'Mapa final'!$A$14),"")</f>
        <v/>
      </c>
      <c r="AE30" s="603"/>
      <c r="AF30" s="603" t="str">
        <f>IF(AND('Mapa final'!$K$18="Baja",'Mapa final'!$O$18="Mayor"),CONCATENATE("R",'Mapa final'!$A$18),"")</f>
        <v/>
      </c>
      <c r="AG30" s="605"/>
      <c r="AH30" s="617" t="str">
        <f>IF(AND('Mapa final'!$K$10="Baja",'Mapa final'!$O$10="Catastrófico"),CONCATENATE("R",'Mapa final'!$A$10),"")</f>
        <v/>
      </c>
      <c r="AI30" s="618"/>
      <c r="AJ30" s="618" t="str">
        <f>IF(AND('Mapa final'!$K$14="Baja",'Mapa final'!$O$14="Catastrófico"),CONCATENATE("R",'Mapa final'!$A$14),"")</f>
        <v/>
      </c>
      <c r="AK30" s="618"/>
      <c r="AL30" s="618" t="str">
        <f>IF(AND('Mapa final'!$K$18="Baja",'Mapa final'!$O$18="Catastrófico"),CONCATENATE("R",'Mapa final'!$A$18),"")</f>
        <v/>
      </c>
      <c r="AM30" s="619"/>
      <c r="AN30" s="67"/>
      <c r="AO30" s="582" t="s">
        <v>81</v>
      </c>
      <c r="AP30" s="583"/>
      <c r="AQ30" s="583"/>
      <c r="AR30" s="583"/>
      <c r="AS30" s="583"/>
      <c r="AT30" s="584"/>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553"/>
      <c r="C31" s="553"/>
      <c r="D31" s="554"/>
      <c r="E31" s="594"/>
      <c r="F31" s="595"/>
      <c r="G31" s="595"/>
      <c r="H31" s="595"/>
      <c r="I31" s="595"/>
      <c r="J31" s="631"/>
      <c r="K31" s="629"/>
      <c r="L31" s="629"/>
      <c r="M31" s="629"/>
      <c r="N31" s="629"/>
      <c r="O31" s="630"/>
      <c r="P31" s="621"/>
      <c r="Q31" s="621"/>
      <c r="R31" s="621"/>
      <c r="S31" s="621"/>
      <c r="T31" s="621"/>
      <c r="U31" s="622"/>
      <c r="V31" s="620"/>
      <c r="W31" s="621"/>
      <c r="X31" s="621"/>
      <c r="Y31" s="621"/>
      <c r="Z31" s="621"/>
      <c r="AA31" s="622"/>
      <c r="AB31" s="604"/>
      <c r="AC31" s="600"/>
      <c r="AD31" s="600"/>
      <c r="AE31" s="600"/>
      <c r="AF31" s="600"/>
      <c r="AG31" s="601"/>
      <c r="AH31" s="611"/>
      <c r="AI31" s="612"/>
      <c r="AJ31" s="612"/>
      <c r="AK31" s="612"/>
      <c r="AL31" s="612"/>
      <c r="AM31" s="613"/>
      <c r="AN31" s="67"/>
      <c r="AO31" s="585"/>
      <c r="AP31" s="586"/>
      <c r="AQ31" s="586"/>
      <c r="AR31" s="586"/>
      <c r="AS31" s="586"/>
      <c r="AT31" s="58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553"/>
      <c r="C32" s="553"/>
      <c r="D32" s="554"/>
      <c r="E32" s="594"/>
      <c r="F32" s="595"/>
      <c r="G32" s="595"/>
      <c r="H32" s="595"/>
      <c r="I32" s="595"/>
      <c r="J32" s="631" t="str">
        <f>IF(AND('Mapa final'!$K$21="Baja",'Mapa final'!$O$21="Leve"),CONCATENATE("R",'Mapa final'!$A$21),"")</f>
        <v/>
      </c>
      <c r="K32" s="629"/>
      <c r="L32" s="629" t="str">
        <f>IF(AND('Mapa final'!$K$24="Baja",'Mapa final'!$O$24="Leve"),CONCATENATE("R",'Mapa final'!$A$24),"")</f>
        <v/>
      </c>
      <c r="M32" s="629"/>
      <c r="N32" s="629" t="str">
        <f>IF(AND('Mapa final'!$K$30="Baja",'Mapa final'!$O$30="Leve"),CONCATENATE("R",'Mapa final'!$A$30),"")</f>
        <v/>
      </c>
      <c r="O32" s="630"/>
      <c r="P32" s="621" t="str">
        <f>IF(AND('Mapa final'!$K$21="Baja",'Mapa final'!$O$21="Menor"),CONCATENATE("R",'Mapa final'!$A$21),"")</f>
        <v/>
      </c>
      <c r="Q32" s="621"/>
      <c r="R32" s="621" t="str">
        <f>IF(AND('Mapa final'!$K$24="Baja",'Mapa final'!$O$24="Menor"),CONCATENATE("R",'Mapa final'!$A$24),"")</f>
        <v/>
      </c>
      <c r="S32" s="621"/>
      <c r="T32" s="621" t="str">
        <f>IF(AND('Mapa final'!$K$30="Baja",'Mapa final'!$O$30="Menor"),CONCATENATE("R",'Mapa final'!$A$30),"")</f>
        <v/>
      </c>
      <c r="U32" s="622"/>
      <c r="V32" s="620" t="str">
        <f>IF(AND('Mapa final'!$K$21="Baja",'Mapa final'!$O$21="Moderado"),CONCATENATE("R",'Mapa final'!$A$21),"")</f>
        <v/>
      </c>
      <c r="W32" s="621"/>
      <c r="X32" s="621" t="str">
        <f>IF(AND('Mapa final'!$K$24="Baja",'Mapa final'!$O$24="Moderado"),CONCATENATE("R",'Mapa final'!$A$24),"")</f>
        <v/>
      </c>
      <c r="Y32" s="621"/>
      <c r="Z32" s="621" t="str">
        <f>IF(AND('Mapa final'!$K$30="Baja",'Mapa final'!$O$30="Moderado"),CONCATENATE("R",'Mapa final'!$A$30),"")</f>
        <v/>
      </c>
      <c r="AA32" s="622"/>
      <c r="AB32" s="604" t="str">
        <f>IF(AND('Mapa final'!$K$21="Baja",'Mapa final'!$O$21="Mayor"),CONCATENATE("R",'Mapa final'!$A$21),"")</f>
        <v/>
      </c>
      <c r="AC32" s="600"/>
      <c r="AD32" s="600" t="str">
        <f>IF(AND('Mapa final'!$K$24="Baja",'Mapa final'!$O$24="Mayor"),CONCATENATE("R",'Mapa final'!$A$24),"")</f>
        <v/>
      </c>
      <c r="AE32" s="600"/>
      <c r="AF32" s="600" t="str">
        <f>IF(AND('Mapa final'!$K$30="Baja",'Mapa final'!$O$30="Mayor"),CONCATENATE("R",'Mapa final'!$A$30),"")</f>
        <v/>
      </c>
      <c r="AG32" s="601"/>
      <c r="AH32" s="611" t="str">
        <f>IF(AND('Mapa final'!$K$21="Baja",'Mapa final'!$O$21="Catastrófico"),CONCATENATE("R",'Mapa final'!$A$21),"")</f>
        <v/>
      </c>
      <c r="AI32" s="612"/>
      <c r="AJ32" s="612" t="str">
        <f>IF(AND('Mapa final'!$K$24="Baja",'Mapa final'!$O$24="Catastrófico"),CONCATENATE("R",'Mapa final'!$A$24),"")</f>
        <v/>
      </c>
      <c r="AK32" s="612"/>
      <c r="AL32" s="612" t="str">
        <f>IF(AND('Mapa final'!$K$30="Baja",'Mapa final'!$O$30="Catastrófico"),CONCATENATE("R",'Mapa final'!$A$30),"")</f>
        <v/>
      </c>
      <c r="AM32" s="613"/>
      <c r="AN32" s="67"/>
      <c r="AO32" s="585"/>
      <c r="AP32" s="586"/>
      <c r="AQ32" s="586"/>
      <c r="AR32" s="586"/>
      <c r="AS32" s="586"/>
      <c r="AT32" s="58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553"/>
      <c r="C33" s="553"/>
      <c r="D33" s="554"/>
      <c r="E33" s="594"/>
      <c r="F33" s="595"/>
      <c r="G33" s="595"/>
      <c r="H33" s="595"/>
      <c r="I33" s="595"/>
      <c r="J33" s="631"/>
      <c r="K33" s="629"/>
      <c r="L33" s="629"/>
      <c r="M33" s="629"/>
      <c r="N33" s="629"/>
      <c r="O33" s="630"/>
      <c r="P33" s="621"/>
      <c r="Q33" s="621"/>
      <c r="R33" s="621"/>
      <c r="S33" s="621"/>
      <c r="T33" s="621"/>
      <c r="U33" s="622"/>
      <c r="V33" s="620"/>
      <c r="W33" s="621"/>
      <c r="X33" s="621"/>
      <c r="Y33" s="621"/>
      <c r="Z33" s="621"/>
      <c r="AA33" s="622"/>
      <c r="AB33" s="604"/>
      <c r="AC33" s="600"/>
      <c r="AD33" s="600"/>
      <c r="AE33" s="600"/>
      <c r="AF33" s="600"/>
      <c r="AG33" s="601"/>
      <c r="AH33" s="611"/>
      <c r="AI33" s="612"/>
      <c r="AJ33" s="612"/>
      <c r="AK33" s="612"/>
      <c r="AL33" s="612"/>
      <c r="AM33" s="613"/>
      <c r="AN33" s="67"/>
      <c r="AO33" s="585"/>
      <c r="AP33" s="586"/>
      <c r="AQ33" s="586"/>
      <c r="AR33" s="586"/>
      <c r="AS33" s="586"/>
      <c r="AT33" s="58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553"/>
      <c r="C34" s="553"/>
      <c r="D34" s="554"/>
      <c r="E34" s="594"/>
      <c r="F34" s="595"/>
      <c r="G34" s="595"/>
      <c r="H34" s="595"/>
      <c r="I34" s="595"/>
      <c r="J34" s="631" t="str">
        <f>IF(AND('Mapa final'!$K$36="Baja",'Mapa final'!$O$36="Leve"),CONCATENATE("R",'Mapa final'!$A$36),"")</f>
        <v/>
      </c>
      <c r="K34" s="629"/>
      <c r="L34" s="629" t="str">
        <f>IF(AND('Mapa final'!$K$42="Baja",'Mapa final'!$O$42="Leve"),CONCATENATE("R",'Mapa final'!$A$42),"")</f>
        <v/>
      </c>
      <c r="M34" s="629"/>
      <c r="N34" s="629" t="str">
        <f>IF(AND('Mapa final'!$K$48="Baja",'Mapa final'!$O$48="Leve"),CONCATENATE("R",'Mapa final'!$A$48),"")</f>
        <v/>
      </c>
      <c r="O34" s="630"/>
      <c r="P34" s="621" t="str">
        <f>IF(AND('Mapa final'!$K$36="Baja",'Mapa final'!$O$36="Menor"),CONCATENATE("R",'Mapa final'!$A$36),"")</f>
        <v/>
      </c>
      <c r="Q34" s="621"/>
      <c r="R34" s="621" t="str">
        <f>IF(AND('Mapa final'!$K$42="Baja",'Mapa final'!$O$42="Menor"),CONCATENATE("R",'Mapa final'!$A$42),"")</f>
        <v/>
      </c>
      <c r="S34" s="621"/>
      <c r="T34" s="621" t="str">
        <f>IF(AND('Mapa final'!$K$48="Baja",'Mapa final'!$O$48="Menor"),CONCATENATE("R",'Mapa final'!$A$48),"")</f>
        <v/>
      </c>
      <c r="U34" s="622"/>
      <c r="V34" s="620" t="str">
        <f>IF(AND('Mapa final'!$K$36="Baja",'Mapa final'!$O$36="Moderado"),CONCATENATE("R",'Mapa final'!$A$36),"")</f>
        <v/>
      </c>
      <c r="W34" s="621"/>
      <c r="X34" s="621" t="str">
        <f>IF(AND('Mapa final'!$K$42="Baja",'Mapa final'!$O$42="Moderado"),CONCATENATE("R",'Mapa final'!$A$42),"")</f>
        <v/>
      </c>
      <c r="Y34" s="621"/>
      <c r="Z34" s="621" t="str">
        <f>IF(AND('Mapa final'!$K$48="Baja",'Mapa final'!$O$48="Moderado"),CONCATENATE("R",'Mapa final'!$A$48),"")</f>
        <v/>
      </c>
      <c r="AA34" s="622"/>
      <c r="AB34" s="604" t="str">
        <f>IF(AND('Mapa final'!$K$36="Baja",'Mapa final'!$O$36="Mayor"),CONCATENATE("R",'Mapa final'!$A$36),"")</f>
        <v/>
      </c>
      <c r="AC34" s="600"/>
      <c r="AD34" s="600" t="str">
        <f>IF(AND('Mapa final'!$K$42="Baja",'Mapa final'!$O$42="Mayor"),CONCATENATE("R",'Mapa final'!$A$42),"")</f>
        <v/>
      </c>
      <c r="AE34" s="600"/>
      <c r="AF34" s="600" t="str">
        <f>IF(AND('Mapa final'!$K$48="Baja",'Mapa final'!$O$48="Mayor"),CONCATENATE("R",'Mapa final'!$A$48),"")</f>
        <v/>
      </c>
      <c r="AG34" s="601"/>
      <c r="AH34" s="611" t="str">
        <f>IF(AND('Mapa final'!$K$36="Baja",'Mapa final'!$O$36="Catastrófico"),CONCATENATE("R",'Mapa final'!$A$36),"")</f>
        <v/>
      </c>
      <c r="AI34" s="612"/>
      <c r="AJ34" s="612" t="str">
        <f>IF(AND('Mapa final'!$K$42="Baja",'Mapa final'!$O$42="Catastrófico"),CONCATENATE("R",'Mapa final'!$A$42),"")</f>
        <v/>
      </c>
      <c r="AK34" s="612"/>
      <c r="AL34" s="612" t="str">
        <f>IF(AND('Mapa final'!$K$48="Baja",'Mapa final'!$O$48="Catastrófico"),CONCATENATE("R",'Mapa final'!$A$48),"")</f>
        <v/>
      </c>
      <c r="AM34" s="613"/>
      <c r="AN34" s="67"/>
      <c r="AO34" s="585"/>
      <c r="AP34" s="586"/>
      <c r="AQ34" s="586"/>
      <c r="AR34" s="586"/>
      <c r="AS34" s="586"/>
      <c r="AT34" s="58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553"/>
      <c r="C35" s="553"/>
      <c r="D35" s="554"/>
      <c r="E35" s="594"/>
      <c r="F35" s="595"/>
      <c r="G35" s="595"/>
      <c r="H35" s="595"/>
      <c r="I35" s="595"/>
      <c r="J35" s="631"/>
      <c r="K35" s="629"/>
      <c r="L35" s="629"/>
      <c r="M35" s="629"/>
      <c r="N35" s="629"/>
      <c r="O35" s="630"/>
      <c r="P35" s="621"/>
      <c r="Q35" s="621"/>
      <c r="R35" s="621"/>
      <c r="S35" s="621"/>
      <c r="T35" s="621"/>
      <c r="U35" s="622"/>
      <c r="V35" s="620"/>
      <c r="W35" s="621"/>
      <c r="X35" s="621"/>
      <c r="Y35" s="621"/>
      <c r="Z35" s="621"/>
      <c r="AA35" s="622"/>
      <c r="AB35" s="604"/>
      <c r="AC35" s="600"/>
      <c r="AD35" s="600"/>
      <c r="AE35" s="600"/>
      <c r="AF35" s="600"/>
      <c r="AG35" s="601"/>
      <c r="AH35" s="611"/>
      <c r="AI35" s="612"/>
      <c r="AJ35" s="612"/>
      <c r="AK35" s="612"/>
      <c r="AL35" s="612"/>
      <c r="AM35" s="613"/>
      <c r="AN35" s="67"/>
      <c r="AO35" s="585"/>
      <c r="AP35" s="586"/>
      <c r="AQ35" s="586"/>
      <c r="AR35" s="586"/>
      <c r="AS35" s="586"/>
      <c r="AT35" s="58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553"/>
      <c r="C36" s="553"/>
      <c r="D36" s="554"/>
      <c r="E36" s="594"/>
      <c r="F36" s="595"/>
      <c r="G36" s="595"/>
      <c r="H36" s="595"/>
      <c r="I36" s="595"/>
      <c r="J36" s="631" t="str">
        <f>IF(AND('Mapa final'!$K$54="Baja",'Mapa final'!$O$54="Leve"),CONCATENATE("R",'Mapa final'!$A$54),"")</f>
        <v/>
      </c>
      <c r="K36" s="629"/>
      <c r="L36" s="629" t="str">
        <f>IF(AND('Mapa final'!$K$60="Baja",'Mapa final'!$O$60="Leve"),CONCATENATE("R",'Mapa final'!$A$60),"")</f>
        <v/>
      </c>
      <c r="M36" s="629"/>
      <c r="N36" s="629" t="str">
        <f>IF(AND('Mapa final'!$K$66="Baja",'Mapa final'!$O$66="Leve"),CONCATENATE("R",'Mapa final'!$A$66),"")</f>
        <v/>
      </c>
      <c r="O36" s="630"/>
      <c r="P36" s="621" t="str">
        <f>IF(AND('Mapa final'!$K$54="Baja",'Mapa final'!$O$54="Menor"),CONCATENATE("R",'Mapa final'!$A$54),"")</f>
        <v/>
      </c>
      <c r="Q36" s="621"/>
      <c r="R36" s="621" t="str">
        <f>IF(AND('Mapa final'!$K$60="Baja",'Mapa final'!$O$60="Menor"),CONCATENATE("R",'Mapa final'!$A$60),"")</f>
        <v/>
      </c>
      <c r="S36" s="621"/>
      <c r="T36" s="621" t="str">
        <f>IF(AND('Mapa final'!$K$66="Baja",'Mapa final'!$O$66="Menor"),CONCATENATE("R",'Mapa final'!$A$66),"")</f>
        <v/>
      </c>
      <c r="U36" s="622"/>
      <c r="V36" s="620" t="str">
        <f>IF(AND('Mapa final'!$K$54="Baja",'Mapa final'!$O$54="Moderado"),CONCATENATE("R",'Mapa final'!$A$54),"")</f>
        <v/>
      </c>
      <c r="W36" s="621"/>
      <c r="X36" s="621" t="str">
        <f>IF(AND('Mapa final'!$K$60="Baja",'Mapa final'!$O$60="Moderado"),CONCATENATE("R",'Mapa final'!$A$60),"")</f>
        <v/>
      </c>
      <c r="Y36" s="621"/>
      <c r="Z36" s="621" t="str">
        <f>IF(AND('Mapa final'!$K$66="Baja",'Mapa final'!$O$66="Moderado"),CONCATENATE("R",'Mapa final'!$A$66),"")</f>
        <v/>
      </c>
      <c r="AA36" s="622"/>
      <c r="AB36" s="604" t="str">
        <f>IF(AND('Mapa final'!$K$54="Baja",'Mapa final'!$O$54="Mayor"),CONCATENATE("R",'Mapa final'!$A$54),"")</f>
        <v/>
      </c>
      <c r="AC36" s="600"/>
      <c r="AD36" s="600" t="str">
        <f>IF(AND('Mapa final'!$K$60="Baja",'Mapa final'!$O$60="Mayor"),CONCATENATE("R",'Mapa final'!$A$60),"")</f>
        <v/>
      </c>
      <c r="AE36" s="600"/>
      <c r="AF36" s="600" t="str">
        <f>IF(AND('Mapa final'!$K$66="Baja",'Mapa final'!$O$66="Mayor"),CONCATENATE("R",'Mapa final'!$A$66),"")</f>
        <v/>
      </c>
      <c r="AG36" s="601"/>
      <c r="AH36" s="611" t="str">
        <f>IF(AND('Mapa final'!$K$54="Baja",'Mapa final'!$O$54="Catastrófico"),CONCATENATE("R",'Mapa final'!$A$54),"")</f>
        <v/>
      </c>
      <c r="AI36" s="612"/>
      <c r="AJ36" s="612" t="str">
        <f>IF(AND('Mapa final'!$K$60="Baja",'Mapa final'!$O$60="Catastrófico"),CONCATENATE("R",'Mapa final'!$A$60),"")</f>
        <v/>
      </c>
      <c r="AK36" s="612"/>
      <c r="AL36" s="612" t="str">
        <f>IF(AND('Mapa final'!$K$66="Baja",'Mapa final'!$O$66="Catastrófico"),CONCATENATE("R",'Mapa final'!$A$66),"")</f>
        <v/>
      </c>
      <c r="AM36" s="613"/>
      <c r="AN36" s="67"/>
      <c r="AO36" s="585"/>
      <c r="AP36" s="586"/>
      <c r="AQ36" s="586"/>
      <c r="AR36" s="586"/>
      <c r="AS36" s="586"/>
      <c r="AT36" s="58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553"/>
      <c r="C37" s="553"/>
      <c r="D37" s="554"/>
      <c r="E37" s="597"/>
      <c r="F37" s="598"/>
      <c r="G37" s="598"/>
      <c r="H37" s="598"/>
      <c r="I37" s="598"/>
      <c r="J37" s="632"/>
      <c r="K37" s="633"/>
      <c r="L37" s="633"/>
      <c r="M37" s="633"/>
      <c r="N37" s="633"/>
      <c r="O37" s="634"/>
      <c r="P37" s="624"/>
      <c r="Q37" s="624"/>
      <c r="R37" s="624"/>
      <c r="S37" s="624"/>
      <c r="T37" s="624"/>
      <c r="U37" s="625"/>
      <c r="V37" s="623"/>
      <c r="W37" s="624"/>
      <c r="X37" s="624"/>
      <c r="Y37" s="624"/>
      <c r="Z37" s="624"/>
      <c r="AA37" s="625"/>
      <c r="AB37" s="608"/>
      <c r="AC37" s="609"/>
      <c r="AD37" s="609"/>
      <c r="AE37" s="609"/>
      <c r="AF37" s="609"/>
      <c r="AG37" s="610"/>
      <c r="AH37" s="614"/>
      <c r="AI37" s="615"/>
      <c r="AJ37" s="615"/>
      <c r="AK37" s="615"/>
      <c r="AL37" s="615"/>
      <c r="AM37" s="616"/>
      <c r="AN37" s="67"/>
      <c r="AO37" s="588"/>
      <c r="AP37" s="589"/>
      <c r="AQ37" s="589"/>
      <c r="AR37" s="589"/>
      <c r="AS37" s="589"/>
      <c r="AT37" s="590"/>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553"/>
      <c r="C38" s="553"/>
      <c r="D38" s="554"/>
      <c r="E38" s="591" t="s">
        <v>108</v>
      </c>
      <c r="F38" s="592"/>
      <c r="G38" s="592"/>
      <c r="H38" s="592"/>
      <c r="I38" s="593"/>
      <c r="J38" s="635" t="str">
        <f>IF(AND('Mapa final'!$K$10="Muy Baja",'Mapa final'!$O$10="Leve"),CONCATENATE("R",'Mapa final'!$A$10),"")</f>
        <v/>
      </c>
      <c r="K38" s="636"/>
      <c r="L38" s="636" t="str">
        <f>IF(AND('Mapa final'!$K$14="Muy Baja",'Mapa final'!$O$14="Leve"),CONCATENATE("R",'Mapa final'!$A$14),"")</f>
        <v/>
      </c>
      <c r="M38" s="636"/>
      <c r="N38" s="636" t="str">
        <f>IF(AND('Mapa final'!$K$18="Muy Baja",'Mapa final'!$O$18="Leve"),CONCATENATE("R",'Mapa final'!$A$18),"")</f>
        <v/>
      </c>
      <c r="O38" s="637"/>
      <c r="P38" s="635" t="str">
        <f>IF(AND('Mapa final'!$K$10="Muy Baja",'Mapa final'!$O$10="Menor"),CONCATENATE("R",'Mapa final'!$A$10),"")</f>
        <v/>
      </c>
      <c r="Q38" s="636"/>
      <c r="R38" s="636" t="str">
        <f>IF(AND('Mapa final'!$K$14="Muy Baja",'Mapa final'!$O$14="Menor"),CONCATENATE("R",'Mapa final'!$A$14),"")</f>
        <v/>
      </c>
      <c r="S38" s="636"/>
      <c r="T38" s="636" t="str">
        <f>IF(AND('Mapa final'!$K$18="Muy Baja",'Mapa final'!$O$18="Menor"),CONCATENATE("R",'Mapa final'!$A$18),"")</f>
        <v/>
      </c>
      <c r="U38" s="637"/>
      <c r="V38" s="626" t="str">
        <f>IF(AND('Mapa final'!$K$10="Muy Baja",'Mapa final'!$O$10="Moderado"),CONCATENATE("R",'Mapa final'!$A$10),"")</f>
        <v/>
      </c>
      <c r="W38" s="627"/>
      <c r="X38" s="627" t="str">
        <f>IF(AND('Mapa final'!$K$14="Muy Baja",'Mapa final'!$O$14="Moderado"),CONCATENATE("R",'Mapa final'!$A$14),"")</f>
        <v/>
      </c>
      <c r="Y38" s="627"/>
      <c r="Z38" s="627" t="str">
        <f>IF(AND('Mapa final'!$K$18="Muy Baja",'Mapa final'!$O$18="Moderado"),CONCATENATE("R",'Mapa final'!$A$18),"")</f>
        <v/>
      </c>
      <c r="AA38" s="628"/>
      <c r="AB38" s="602" t="str">
        <f>IF(AND('Mapa final'!$K$10="Muy Baja",'Mapa final'!$O$10="Mayor"),CONCATENATE("R",'Mapa final'!$A$10),"")</f>
        <v/>
      </c>
      <c r="AC38" s="603"/>
      <c r="AD38" s="603" t="str">
        <f>IF(AND('Mapa final'!$K$14="Muy Baja",'Mapa final'!$O$14="Mayor"),CONCATENATE("R",'Mapa final'!$A$14),"")</f>
        <v/>
      </c>
      <c r="AE38" s="603"/>
      <c r="AF38" s="603" t="str">
        <f>IF(AND('Mapa final'!$K$18="Muy Baja",'Mapa final'!$O$18="Mayor"),CONCATENATE("R",'Mapa final'!$A$18),"")</f>
        <v/>
      </c>
      <c r="AG38" s="605"/>
      <c r="AH38" s="617" t="str">
        <f>IF(AND('Mapa final'!$K$10="Muy Baja",'Mapa final'!$O$10="Catastrófico"),CONCATENATE("R",'Mapa final'!$A$10),"")</f>
        <v/>
      </c>
      <c r="AI38" s="618"/>
      <c r="AJ38" s="618" t="str">
        <f>IF(AND('Mapa final'!$K$14="Muy Baja",'Mapa final'!$O$14="Catastrófico"),CONCATENATE("R",'Mapa final'!$A$14),"")</f>
        <v/>
      </c>
      <c r="AK38" s="618"/>
      <c r="AL38" s="618" t="str">
        <f>IF(AND('Mapa final'!$K$18="Muy Baja",'Mapa final'!$O$18="Catastrófico"),CONCATENATE("R",'Mapa final'!$A$18),"")</f>
        <v/>
      </c>
      <c r="AM38" s="619"/>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553"/>
      <c r="C39" s="553"/>
      <c r="D39" s="554"/>
      <c r="E39" s="594"/>
      <c r="F39" s="595"/>
      <c r="G39" s="595"/>
      <c r="H39" s="595"/>
      <c r="I39" s="596"/>
      <c r="J39" s="631"/>
      <c r="K39" s="629"/>
      <c r="L39" s="629"/>
      <c r="M39" s="629"/>
      <c r="N39" s="629"/>
      <c r="O39" s="630"/>
      <c r="P39" s="631"/>
      <c r="Q39" s="629"/>
      <c r="R39" s="629"/>
      <c r="S39" s="629"/>
      <c r="T39" s="629"/>
      <c r="U39" s="630"/>
      <c r="V39" s="620"/>
      <c r="W39" s="621"/>
      <c r="X39" s="621"/>
      <c r="Y39" s="621"/>
      <c r="Z39" s="621"/>
      <c r="AA39" s="622"/>
      <c r="AB39" s="604"/>
      <c r="AC39" s="600"/>
      <c r="AD39" s="600"/>
      <c r="AE39" s="600"/>
      <c r="AF39" s="600"/>
      <c r="AG39" s="601"/>
      <c r="AH39" s="611"/>
      <c r="AI39" s="612"/>
      <c r="AJ39" s="612"/>
      <c r="AK39" s="612"/>
      <c r="AL39" s="612"/>
      <c r="AM39" s="613"/>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553"/>
      <c r="C40" s="553"/>
      <c r="D40" s="554"/>
      <c r="E40" s="594"/>
      <c r="F40" s="595"/>
      <c r="G40" s="595"/>
      <c r="H40" s="595"/>
      <c r="I40" s="596"/>
      <c r="J40" s="631" t="str">
        <f>IF(AND('Mapa final'!$K$21="Muy Baja",'Mapa final'!$O$21="Leve"),CONCATENATE("R",'Mapa final'!$A$21),"")</f>
        <v/>
      </c>
      <c r="K40" s="629"/>
      <c r="L40" s="629" t="str">
        <f>IF(AND('Mapa final'!$K$24="Muy Baja",'Mapa final'!$O$24="Leve"),CONCATENATE("R",'Mapa final'!$A$24),"")</f>
        <v/>
      </c>
      <c r="M40" s="629"/>
      <c r="N40" s="629" t="str">
        <f>IF(AND('Mapa final'!$K$30="Muy Baja",'Mapa final'!$O$30="Leve"),CONCATENATE("R",'Mapa final'!$A$30),"")</f>
        <v/>
      </c>
      <c r="O40" s="630"/>
      <c r="P40" s="631" t="str">
        <f>IF(AND('Mapa final'!$K$21="Muy Baja",'Mapa final'!$O$21="Menor"),CONCATENATE("R",'Mapa final'!$A$21),"")</f>
        <v/>
      </c>
      <c r="Q40" s="629"/>
      <c r="R40" s="629" t="str">
        <f>IF(AND('Mapa final'!$K$24="Muy Baja",'Mapa final'!$O$24="Menor"),CONCATENATE("R",'Mapa final'!$A$24),"")</f>
        <v/>
      </c>
      <c r="S40" s="629"/>
      <c r="T40" s="629" t="str">
        <f>IF(AND('Mapa final'!$K$30="Muy Baja",'Mapa final'!$O$30="Menor"),CONCATENATE("R",'Mapa final'!$A$30),"")</f>
        <v/>
      </c>
      <c r="U40" s="630"/>
      <c r="V40" s="620" t="str">
        <f>IF(AND('Mapa final'!$K$21="Muy Baja",'Mapa final'!$O$21="Moderado"),CONCATENATE("R",'Mapa final'!$A$21),"")</f>
        <v/>
      </c>
      <c r="W40" s="621"/>
      <c r="X40" s="621" t="str">
        <f>IF(AND('Mapa final'!$K$24="Muy Baja",'Mapa final'!$O$24="Moderado"),CONCATENATE("R",'Mapa final'!$A$24),"")</f>
        <v/>
      </c>
      <c r="Y40" s="621"/>
      <c r="Z40" s="621" t="str">
        <f>IF(AND('Mapa final'!$K$30="Muy Baja",'Mapa final'!$O$30="Moderado"),CONCATENATE("R",'Mapa final'!$A$30),"")</f>
        <v/>
      </c>
      <c r="AA40" s="622"/>
      <c r="AB40" s="604" t="str">
        <f>IF(AND('Mapa final'!$K$21="Muy Baja",'Mapa final'!$O$21="Mayor"),CONCATENATE("R",'Mapa final'!$A$21),"")</f>
        <v/>
      </c>
      <c r="AC40" s="600"/>
      <c r="AD40" s="600" t="str">
        <f>IF(AND('Mapa final'!$K$24="Muy Baja",'Mapa final'!$O$24="Mayor"),CONCATENATE("R",'Mapa final'!$A$24),"")</f>
        <v/>
      </c>
      <c r="AE40" s="600"/>
      <c r="AF40" s="600" t="str">
        <f>IF(AND('Mapa final'!$K$30="Muy Baja",'Mapa final'!$O$30="Mayor"),CONCATENATE("R",'Mapa final'!$A$30),"")</f>
        <v/>
      </c>
      <c r="AG40" s="601"/>
      <c r="AH40" s="611" t="str">
        <f>IF(AND('Mapa final'!$K$21="Muy Baja",'Mapa final'!$O$21="Catastrófico"),CONCATENATE("R",'Mapa final'!$A$21),"")</f>
        <v/>
      </c>
      <c r="AI40" s="612"/>
      <c r="AJ40" s="612" t="str">
        <f>IF(AND('Mapa final'!$K$24="Muy Baja",'Mapa final'!$O$24="Catastrófico"),CONCATENATE("R",'Mapa final'!$A$24),"")</f>
        <v/>
      </c>
      <c r="AK40" s="612"/>
      <c r="AL40" s="612" t="str">
        <f>IF(AND('Mapa final'!$K$30="Muy Baja",'Mapa final'!$O$30="Catastrófico"),CONCATENATE("R",'Mapa final'!$A$30),"")</f>
        <v/>
      </c>
      <c r="AM40" s="613"/>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553"/>
      <c r="C41" s="553"/>
      <c r="D41" s="554"/>
      <c r="E41" s="594"/>
      <c r="F41" s="595"/>
      <c r="G41" s="595"/>
      <c r="H41" s="595"/>
      <c r="I41" s="596"/>
      <c r="J41" s="631"/>
      <c r="K41" s="629"/>
      <c r="L41" s="629"/>
      <c r="M41" s="629"/>
      <c r="N41" s="629"/>
      <c r="O41" s="630"/>
      <c r="P41" s="631"/>
      <c r="Q41" s="629"/>
      <c r="R41" s="629"/>
      <c r="S41" s="629"/>
      <c r="T41" s="629"/>
      <c r="U41" s="630"/>
      <c r="V41" s="620"/>
      <c r="W41" s="621"/>
      <c r="X41" s="621"/>
      <c r="Y41" s="621"/>
      <c r="Z41" s="621"/>
      <c r="AA41" s="622"/>
      <c r="AB41" s="604"/>
      <c r="AC41" s="600"/>
      <c r="AD41" s="600"/>
      <c r="AE41" s="600"/>
      <c r="AF41" s="600"/>
      <c r="AG41" s="601"/>
      <c r="AH41" s="611"/>
      <c r="AI41" s="612"/>
      <c r="AJ41" s="612"/>
      <c r="AK41" s="612"/>
      <c r="AL41" s="612"/>
      <c r="AM41" s="613"/>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553"/>
      <c r="C42" s="553"/>
      <c r="D42" s="554"/>
      <c r="E42" s="594"/>
      <c r="F42" s="595"/>
      <c r="G42" s="595"/>
      <c r="H42" s="595"/>
      <c r="I42" s="596"/>
      <c r="J42" s="631" t="str">
        <f>IF(AND('Mapa final'!$K$36="Muy Baja",'Mapa final'!$O$36="Leve"),CONCATENATE("R",'Mapa final'!$A$36),"")</f>
        <v/>
      </c>
      <c r="K42" s="629"/>
      <c r="L42" s="629" t="str">
        <f>IF(AND('Mapa final'!$K$42="Muy Baja",'Mapa final'!$O$42="Leve"),CONCATENATE("R",'Mapa final'!$A$42),"")</f>
        <v/>
      </c>
      <c r="M42" s="629"/>
      <c r="N42" s="629" t="str">
        <f>IF(AND('Mapa final'!$K$48="Muy Baja",'Mapa final'!$O$48="Leve"),CONCATENATE("R",'Mapa final'!$A$48),"")</f>
        <v/>
      </c>
      <c r="O42" s="630"/>
      <c r="P42" s="631" t="str">
        <f>IF(AND('Mapa final'!$K$36="Muy Baja",'Mapa final'!$O$36="Menor"),CONCATENATE("R",'Mapa final'!$A$36),"")</f>
        <v/>
      </c>
      <c r="Q42" s="629"/>
      <c r="R42" s="629" t="str">
        <f>IF(AND('Mapa final'!$K$42="Muy Baja",'Mapa final'!$O$42="Menor"),CONCATENATE("R",'Mapa final'!$A$42),"")</f>
        <v/>
      </c>
      <c r="S42" s="629"/>
      <c r="T42" s="629" t="str">
        <f>IF(AND('Mapa final'!$K$48="Muy Baja",'Mapa final'!$O$48="Menor"),CONCATENATE("R",'Mapa final'!$A$48),"")</f>
        <v/>
      </c>
      <c r="U42" s="630"/>
      <c r="V42" s="620" t="str">
        <f>IF(AND('Mapa final'!$K$36="Muy Baja",'Mapa final'!$O$36="Moderado"),CONCATENATE("R",'Mapa final'!$A$36),"")</f>
        <v/>
      </c>
      <c r="W42" s="621"/>
      <c r="X42" s="621" t="str">
        <f>IF(AND('Mapa final'!$K$42="Muy Baja",'Mapa final'!$O$42="Moderado"),CONCATENATE("R",'Mapa final'!$A$42),"")</f>
        <v/>
      </c>
      <c r="Y42" s="621"/>
      <c r="Z42" s="621" t="str">
        <f>IF(AND('Mapa final'!$K$48="Muy Baja",'Mapa final'!$O$48="Moderado"),CONCATENATE("R",'Mapa final'!$A$48),"")</f>
        <v/>
      </c>
      <c r="AA42" s="622"/>
      <c r="AB42" s="604" t="str">
        <f>IF(AND('Mapa final'!$K$36="Muy Baja",'Mapa final'!$O$36="Mayor"),CONCATENATE("R",'Mapa final'!$A$36),"")</f>
        <v/>
      </c>
      <c r="AC42" s="600"/>
      <c r="AD42" s="600" t="str">
        <f>IF(AND('Mapa final'!$K$42="Muy Baja",'Mapa final'!$O$42="Mayor"),CONCATENATE("R",'Mapa final'!$A$42),"")</f>
        <v/>
      </c>
      <c r="AE42" s="600"/>
      <c r="AF42" s="600" t="str">
        <f>IF(AND('Mapa final'!$K$48="Muy Baja",'Mapa final'!$O$48="Mayor"),CONCATENATE("R",'Mapa final'!$A$48),"")</f>
        <v/>
      </c>
      <c r="AG42" s="601"/>
      <c r="AH42" s="611" t="str">
        <f>IF(AND('Mapa final'!$K$36="Muy Baja",'Mapa final'!$O$36="Catastrófico"),CONCATENATE("R",'Mapa final'!$A$36),"")</f>
        <v/>
      </c>
      <c r="AI42" s="612"/>
      <c r="AJ42" s="612" t="str">
        <f>IF(AND('Mapa final'!$K$42="Muy Baja",'Mapa final'!$O$42="Catastrófico"),CONCATENATE("R",'Mapa final'!$A$42),"")</f>
        <v/>
      </c>
      <c r="AK42" s="612"/>
      <c r="AL42" s="612" t="str">
        <f>IF(AND('Mapa final'!$K$48="Muy Baja",'Mapa final'!$O$48="Catastrófico"),CONCATENATE("R",'Mapa final'!$A$48),"")</f>
        <v/>
      </c>
      <c r="AM42" s="613"/>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553"/>
      <c r="C43" s="553"/>
      <c r="D43" s="554"/>
      <c r="E43" s="594"/>
      <c r="F43" s="595"/>
      <c r="G43" s="595"/>
      <c r="H43" s="595"/>
      <c r="I43" s="596"/>
      <c r="J43" s="631"/>
      <c r="K43" s="629"/>
      <c r="L43" s="629"/>
      <c r="M43" s="629"/>
      <c r="N43" s="629"/>
      <c r="O43" s="630"/>
      <c r="P43" s="631"/>
      <c r="Q43" s="629"/>
      <c r="R43" s="629"/>
      <c r="S43" s="629"/>
      <c r="T43" s="629"/>
      <c r="U43" s="630"/>
      <c r="V43" s="620"/>
      <c r="W43" s="621"/>
      <c r="X43" s="621"/>
      <c r="Y43" s="621"/>
      <c r="Z43" s="621"/>
      <c r="AA43" s="622"/>
      <c r="AB43" s="604"/>
      <c r="AC43" s="600"/>
      <c r="AD43" s="600"/>
      <c r="AE43" s="600"/>
      <c r="AF43" s="600"/>
      <c r="AG43" s="601"/>
      <c r="AH43" s="611"/>
      <c r="AI43" s="612"/>
      <c r="AJ43" s="612"/>
      <c r="AK43" s="612"/>
      <c r="AL43" s="612"/>
      <c r="AM43" s="613"/>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553"/>
      <c r="C44" s="553"/>
      <c r="D44" s="554"/>
      <c r="E44" s="594"/>
      <c r="F44" s="595"/>
      <c r="G44" s="595"/>
      <c r="H44" s="595"/>
      <c r="I44" s="596"/>
      <c r="J44" s="631" t="str">
        <f>IF(AND('Mapa final'!$K$54="Muy Baja",'Mapa final'!$O$54="Leve"),CONCATENATE("R",'Mapa final'!$A$54),"")</f>
        <v/>
      </c>
      <c r="K44" s="629"/>
      <c r="L44" s="629" t="str">
        <f>IF(AND('Mapa final'!$K$60="Muy Baja",'Mapa final'!$O$60="Leve"),CONCATENATE("R",'Mapa final'!$A$60),"")</f>
        <v/>
      </c>
      <c r="M44" s="629"/>
      <c r="N44" s="629" t="str">
        <f>IF(AND('Mapa final'!$K$66="Muy Baja",'Mapa final'!$O$66="Leve"),CONCATENATE("R",'Mapa final'!$A$66),"")</f>
        <v/>
      </c>
      <c r="O44" s="630"/>
      <c r="P44" s="631" t="str">
        <f>IF(AND('Mapa final'!$K$54="Muy Baja",'Mapa final'!$O$54="Menor"),CONCATENATE("R",'Mapa final'!$A$54),"")</f>
        <v/>
      </c>
      <c r="Q44" s="629"/>
      <c r="R44" s="629" t="str">
        <f>IF(AND('Mapa final'!$K$60="Muy Baja",'Mapa final'!$O$60="Menor"),CONCATENATE("R",'Mapa final'!$A$60),"")</f>
        <v/>
      </c>
      <c r="S44" s="629"/>
      <c r="T44" s="629" t="str">
        <f>IF(AND('Mapa final'!$K$66="Muy Baja",'Mapa final'!$O$66="Menor"),CONCATENATE("R",'Mapa final'!$A$66),"")</f>
        <v/>
      </c>
      <c r="U44" s="630"/>
      <c r="V44" s="620" t="str">
        <f>IF(AND('Mapa final'!$K$54="Muy Baja",'Mapa final'!$O$54="Moderado"),CONCATENATE("R",'Mapa final'!$A$54),"")</f>
        <v/>
      </c>
      <c r="W44" s="621"/>
      <c r="X44" s="621" t="str">
        <f>IF(AND('Mapa final'!$K$60="Muy Baja",'Mapa final'!$O$60="Moderado"),CONCATENATE("R",'Mapa final'!$A$60),"")</f>
        <v/>
      </c>
      <c r="Y44" s="621"/>
      <c r="Z44" s="621" t="str">
        <f>IF(AND('Mapa final'!$K$66="Muy Baja",'Mapa final'!$O$66="Moderado"),CONCATENATE("R",'Mapa final'!$A$66),"")</f>
        <v/>
      </c>
      <c r="AA44" s="622"/>
      <c r="AB44" s="604" t="str">
        <f>IF(AND('Mapa final'!$K$54="Muy Baja",'Mapa final'!$O$54="Mayor"),CONCATENATE("R",'Mapa final'!$A$54),"")</f>
        <v/>
      </c>
      <c r="AC44" s="600"/>
      <c r="AD44" s="600" t="str">
        <f>IF(AND('Mapa final'!$K$60="Muy Baja",'Mapa final'!$O$60="Mayor"),CONCATENATE("R",'Mapa final'!$A$60),"")</f>
        <v/>
      </c>
      <c r="AE44" s="600"/>
      <c r="AF44" s="600" t="str">
        <f>IF(AND('Mapa final'!$K$66="Muy Baja",'Mapa final'!$O$66="Mayor"),CONCATENATE("R",'Mapa final'!$A$66),"")</f>
        <v/>
      </c>
      <c r="AG44" s="601"/>
      <c r="AH44" s="611" t="str">
        <f>IF(AND('Mapa final'!$K$54="Muy Baja",'Mapa final'!$O$54="Catastrófico"),CONCATENATE("R",'Mapa final'!$A$54),"")</f>
        <v/>
      </c>
      <c r="AI44" s="612"/>
      <c r="AJ44" s="612" t="str">
        <f>IF(AND('Mapa final'!$K$60="Muy Baja",'Mapa final'!$O$60="Catastrófico"),CONCATENATE("R",'Mapa final'!$A$60),"")</f>
        <v/>
      </c>
      <c r="AK44" s="612"/>
      <c r="AL44" s="612" t="str">
        <f>IF(AND('Mapa final'!$K$66="Muy Baja",'Mapa final'!$O$66="Catastrófico"),CONCATENATE("R",'Mapa final'!$A$66),"")</f>
        <v/>
      </c>
      <c r="AM44" s="613"/>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553"/>
      <c r="C45" s="553"/>
      <c r="D45" s="554"/>
      <c r="E45" s="597"/>
      <c r="F45" s="598"/>
      <c r="G45" s="598"/>
      <c r="H45" s="598"/>
      <c r="I45" s="599"/>
      <c r="J45" s="632"/>
      <c r="K45" s="633"/>
      <c r="L45" s="633"/>
      <c r="M45" s="633"/>
      <c r="N45" s="633"/>
      <c r="O45" s="634"/>
      <c r="P45" s="632"/>
      <c r="Q45" s="633"/>
      <c r="R45" s="633"/>
      <c r="S45" s="633"/>
      <c r="T45" s="633"/>
      <c r="U45" s="634"/>
      <c r="V45" s="623"/>
      <c r="W45" s="624"/>
      <c r="X45" s="624"/>
      <c r="Y45" s="624"/>
      <c r="Z45" s="624"/>
      <c r="AA45" s="625"/>
      <c r="AB45" s="608"/>
      <c r="AC45" s="609"/>
      <c r="AD45" s="609"/>
      <c r="AE45" s="609"/>
      <c r="AF45" s="609"/>
      <c r="AG45" s="610"/>
      <c r="AH45" s="614"/>
      <c r="AI45" s="615"/>
      <c r="AJ45" s="615"/>
      <c r="AK45" s="615"/>
      <c r="AL45" s="615"/>
      <c r="AM45" s="616"/>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91" t="s">
        <v>107</v>
      </c>
      <c r="K46" s="592"/>
      <c r="L46" s="592"/>
      <c r="M46" s="592"/>
      <c r="N46" s="592"/>
      <c r="O46" s="593"/>
      <c r="P46" s="591" t="s">
        <v>106</v>
      </c>
      <c r="Q46" s="592"/>
      <c r="R46" s="592"/>
      <c r="S46" s="592"/>
      <c r="T46" s="592"/>
      <c r="U46" s="593"/>
      <c r="V46" s="591" t="s">
        <v>105</v>
      </c>
      <c r="W46" s="592"/>
      <c r="X46" s="592"/>
      <c r="Y46" s="592"/>
      <c r="Z46" s="592"/>
      <c r="AA46" s="593"/>
      <c r="AB46" s="591" t="s">
        <v>104</v>
      </c>
      <c r="AC46" s="607"/>
      <c r="AD46" s="592"/>
      <c r="AE46" s="592"/>
      <c r="AF46" s="592"/>
      <c r="AG46" s="593"/>
      <c r="AH46" s="591" t="s">
        <v>103</v>
      </c>
      <c r="AI46" s="592"/>
      <c r="AJ46" s="592"/>
      <c r="AK46" s="592"/>
      <c r="AL46" s="592"/>
      <c r="AM46" s="593"/>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94"/>
      <c r="K47" s="595"/>
      <c r="L47" s="595"/>
      <c r="M47" s="595"/>
      <c r="N47" s="595"/>
      <c r="O47" s="596"/>
      <c r="P47" s="594"/>
      <c r="Q47" s="595"/>
      <c r="R47" s="595"/>
      <c r="S47" s="595"/>
      <c r="T47" s="595"/>
      <c r="U47" s="596"/>
      <c r="V47" s="594"/>
      <c r="W47" s="595"/>
      <c r="X47" s="595"/>
      <c r="Y47" s="595"/>
      <c r="Z47" s="595"/>
      <c r="AA47" s="596"/>
      <c r="AB47" s="594"/>
      <c r="AC47" s="595"/>
      <c r="AD47" s="595"/>
      <c r="AE47" s="595"/>
      <c r="AF47" s="595"/>
      <c r="AG47" s="596"/>
      <c r="AH47" s="594"/>
      <c r="AI47" s="595"/>
      <c r="AJ47" s="595"/>
      <c r="AK47" s="595"/>
      <c r="AL47" s="595"/>
      <c r="AM47" s="596"/>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94"/>
      <c r="K48" s="595"/>
      <c r="L48" s="595"/>
      <c r="M48" s="595"/>
      <c r="N48" s="595"/>
      <c r="O48" s="596"/>
      <c r="P48" s="594"/>
      <c r="Q48" s="595"/>
      <c r="R48" s="595"/>
      <c r="S48" s="595"/>
      <c r="T48" s="595"/>
      <c r="U48" s="596"/>
      <c r="V48" s="594"/>
      <c r="W48" s="595"/>
      <c r="X48" s="595"/>
      <c r="Y48" s="595"/>
      <c r="Z48" s="595"/>
      <c r="AA48" s="596"/>
      <c r="AB48" s="594"/>
      <c r="AC48" s="595"/>
      <c r="AD48" s="595"/>
      <c r="AE48" s="595"/>
      <c r="AF48" s="595"/>
      <c r="AG48" s="596"/>
      <c r="AH48" s="594"/>
      <c r="AI48" s="595"/>
      <c r="AJ48" s="595"/>
      <c r="AK48" s="595"/>
      <c r="AL48" s="595"/>
      <c r="AM48" s="596"/>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94"/>
      <c r="K49" s="595"/>
      <c r="L49" s="595"/>
      <c r="M49" s="595"/>
      <c r="N49" s="595"/>
      <c r="O49" s="596"/>
      <c r="P49" s="594"/>
      <c r="Q49" s="595"/>
      <c r="R49" s="595"/>
      <c r="S49" s="595"/>
      <c r="T49" s="595"/>
      <c r="U49" s="596"/>
      <c r="V49" s="594"/>
      <c r="W49" s="595"/>
      <c r="X49" s="595"/>
      <c r="Y49" s="595"/>
      <c r="Z49" s="595"/>
      <c r="AA49" s="596"/>
      <c r="AB49" s="594"/>
      <c r="AC49" s="595"/>
      <c r="AD49" s="595"/>
      <c r="AE49" s="595"/>
      <c r="AF49" s="595"/>
      <c r="AG49" s="596"/>
      <c r="AH49" s="594"/>
      <c r="AI49" s="595"/>
      <c r="AJ49" s="595"/>
      <c r="AK49" s="595"/>
      <c r="AL49" s="595"/>
      <c r="AM49" s="596"/>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94"/>
      <c r="K50" s="595"/>
      <c r="L50" s="595"/>
      <c r="M50" s="595"/>
      <c r="N50" s="595"/>
      <c r="O50" s="596"/>
      <c r="P50" s="594"/>
      <c r="Q50" s="595"/>
      <c r="R50" s="595"/>
      <c r="S50" s="595"/>
      <c r="T50" s="595"/>
      <c r="U50" s="596"/>
      <c r="V50" s="594"/>
      <c r="W50" s="595"/>
      <c r="X50" s="595"/>
      <c r="Y50" s="595"/>
      <c r="Z50" s="595"/>
      <c r="AA50" s="596"/>
      <c r="AB50" s="594"/>
      <c r="AC50" s="595"/>
      <c r="AD50" s="595"/>
      <c r="AE50" s="595"/>
      <c r="AF50" s="595"/>
      <c r="AG50" s="596"/>
      <c r="AH50" s="594"/>
      <c r="AI50" s="595"/>
      <c r="AJ50" s="595"/>
      <c r="AK50" s="595"/>
      <c r="AL50" s="595"/>
      <c r="AM50" s="596"/>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97"/>
      <c r="K51" s="598"/>
      <c r="L51" s="598"/>
      <c r="M51" s="598"/>
      <c r="N51" s="598"/>
      <c r="O51" s="599"/>
      <c r="P51" s="597"/>
      <c r="Q51" s="598"/>
      <c r="R51" s="598"/>
      <c r="S51" s="598"/>
      <c r="T51" s="598"/>
      <c r="U51" s="599"/>
      <c r="V51" s="597"/>
      <c r="W51" s="598"/>
      <c r="X51" s="598"/>
      <c r="Y51" s="598"/>
      <c r="Z51" s="598"/>
      <c r="AA51" s="599"/>
      <c r="AB51" s="597"/>
      <c r="AC51" s="598"/>
      <c r="AD51" s="598"/>
      <c r="AE51" s="598"/>
      <c r="AF51" s="598"/>
      <c r="AG51" s="599"/>
      <c r="AH51" s="597"/>
      <c r="AI51" s="598"/>
      <c r="AJ51" s="598"/>
      <c r="AK51" s="598"/>
      <c r="AL51" s="598"/>
      <c r="AM51" s="599"/>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topLeftCell="A14" zoomScale="40" zoomScaleNormal="40" workbookViewId="0">
      <selection activeCell="E36" sqref="E36:I45"/>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664" t="s">
        <v>149</v>
      </c>
      <c r="C2" s="665"/>
      <c r="D2" s="665"/>
      <c r="E2" s="665"/>
      <c r="F2" s="665"/>
      <c r="G2" s="665"/>
      <c r="H2" s="665"/>
      <c r="I2" s="665"/>
      <c r="J2" s="606" t="s">
        <v>2</v>
      </c>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65"/>
      <c r="C3" s="665"/>
      <c r="D3" s="665"/>
      <c r="E3" s="665"/>
      <c r="F3" s="665"/>
      <c r="G3" s="665"/>
      <c r="H3" s="665"/>
      <c r="I3" s="665"/>
      <c r="J3" s="606"/>
      <c r="K3" s="606"/>
      <c r="L3" s="606"/>
      <c r="M3" s="606"/>
      <c r="N3" s="606"/>
      <c r="O3" s="606"/>
      <c r="P3" s="606"/>
      <c r="Q3" s="606"/>
      <c r="R3" s="606"/>
      <c r="S3" s="606"/>
      <c r="T3" s="606"/>
      <c r="U3" s="606"/>
      <c r="V3" s="606"/>
      <c r="W3" s="606"/>
      <c r="X3" s="606"/>
      <c r="Y3" s="606"/>
      <c r="Z3" s="606"/>
      <c r="AA3" s="606"/>
      <c r="AB3" s="606"/>
      <c r="AC3" s="606"/>
      <c r="AD3" s="606"/>
      <c r="AE3" s="606"/>
      <c r="AF3" s="606"/>
      <c r="AG3" s="606"/>
      <c r="AH3" s="606"/>
      <c r="AI3" s="606"/>
      <c r="AJ3" s="606"/>
      <c r="AK3" s="606"/>
      <c r="AL3" s="606"/>
      <c r="AM3" s="606"/>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65"/>
      <c r="C4" s="665"/>
      <c r="D4" s="665"/>
      <c r="E4" s="665"/>
      <c r="F4" s="665"/>
      <c r="G4" s="665"/>
      <c r="H4" s="665"/>
      <c r="I4" s="665"/>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6"/>
      <c r="AK4" s="606"/>
      <c r="AL4" s="606"/>
      <c r="AM4" s="606"/>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553" t="s">
        <v>4</v>
      </c>
      <c r="C6" s="553"/>
      <c r="D6" s="554"/>
      <c r="E6" s="648" t="s">
        <v>111</v>
      </c>
      <c r="F6" s="649"/>
      <c r="G6" s="649"/>
      <c r="H6" s="649"/>
      <c r="I6" s="666"/>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e">
        <f>IF(AND('Mapa final'!#REF!="Muy Alta",'Mapa final'!#REF!="Leve"),CONCATENATE("R1C",'Mapa final'!#REF!),"")</f>
        <v>#REF!</v>
      </c>
      <c r="O6" s="32" t="e">
        <f>IF(AND('Mapa final'!#REF!="Muy Alta",'Mapa final'!#REF!="Leve"),CONCATENATE("R1C",'Mapa final'!#REF!),"")</f>
        <v>#REF!</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e">
        <f>IF(AND('Mapa final'!#REF!="Muy Alta",'Mapa final'!#REF!="Menor"),CONCATENATE("R1C",'Mapa final'!#REF!),"")</f>
        <v>#REF!</v>
      </c>
      <c r="U6" s="32" t="e">
        <f>IF(AND('Mapa final'!#REF!="Muy Alta",'Mapa final'!#REF!="Menor"),CONCATENATE("R1C",'Mapa final'!#REF!),"")</f>
        <v>#REF!</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e">
        <f>IF(AND('Mapa final'!#REF!="Muy Alta",'Mapa final'!#REF!="Moderado"),CONCATENATE("R1C",'Mapa final'!#REF!),"")</f>
        <v>#REF!</v>
      </c>
      <c r="AA6" s="32" t="e">
        <f>IF(AND('Mapa final'!#REF!="Muy Alta",'Mapa final'!#REF!="Moderado"),CONCATENATE("R1C",'Mapa final'!#REF!),"")</f>
        <v>#REF!</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e">
        <f>IF(AND('Mapa final'!#REF!="Muy Alta",'Mapa final'!#REF!="Mayor"),CONCATENATE("R1C",'Mapa final'!#REF!),"")</f>
        <v>#REF!</v>
      </c>
      <c r="AG6" s="32" t="e">
        <f>IF(AND('Mapa final'!#REF!="Muy Alta",'Mapa final'!#REF!="Mayor"),CONCATENATE("R1C",'Mapa final'!#REF!),"")</f>
        <v>#REF!</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e">
        <f>IF(AND('Mapa final'!#REF!="Muy Alta",'Mapa final'!#REF!="Catastrófico"),CONCATENATE("R1C",'Mapa final'!#REF!),"")</f>
        <v>#REF!</v>
      </c>
      <c r="AM6" s="35" t="e">
        <f>IF(AND('Mapa final'!#REF!="Muy Alta",'Mapa final'!#REF!="Catastrófico"),CONCATENATE("R1C",'Mapa final'!#REF!),"")</f>
        <v>#REF!</v>
      </c>
      <c r="AN6" s="67"/>
      <c r="AO6" s="655" t="s">
        <v>78</v>
      </c>
      <c r="AP6" s="656"/>
      <c r="AQ6" s="656"/>
      <c r="AR6" s="656"/>
      <c r="AS6" s="656"/>
      <c r="AT6" s="65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553"/>
      <c r="C7" s="553"/>
      <c r="D7" s="554"/>
      <c r="E7" s="652"/>
      <c r="F7" s="651"/>
      <c r="G7" s="651"/>
      <c r="H7" s="651"/>
      <c r="I7" s="667"/>
      <c r="J7" s="36" t="str">
        <f>IF(AND('Mapa final'!$AB$14="Muy Alta",'Mapa final'!$AD$14="Leve"),CONCATENATE("R2C",'Mapa final'!$R$14),"")</f>
        <v/>
      </c>
      <c r="K7" s="37" t="str">
        <f>IF(AND('Mapa final'!$AB$15="Muy Alta",'Mapa final'!$AD$15="Leve"),CONCATENATE("R2C",'Mapa final'!$R$15),"")</f>
        <v/>
      </c>
      <c r="L7" s="37" t="str">
        <f>IF(AND('Mapa final'!$AB$16="Muy Alta",'Mapa final'!$AD$16="Leve"),CONCATENATE("R2C",'Mapa final'!$R$16),"")</f>
        <v/>
      </c>
      <c r="M7" s="37" t="str">
        <f>IF(AND('Mapa final'!$AB$17="Muy Alta",'Mapa final'!$AD$17="Leve"),CONCATENATE("R2C",'Mapa final'!$R$17),"")</f>
        <v/>
      </c>
      <c r="N7" s="37" t="e">
        <f>IF(AND('Mapa final'!#REF!="Muy Alta",'Mapa final'!#REF!="Leve"),CONCATENATE("R2C",'Mapa final'!#REF!),"")</f>
        <v>#REF!</v>
      </c>
      <c r="O7" s="38" t="e">
        <f>IF(AND('Mapa final'!#REF!="Muy Alta",'Mapa final'!#REF!="Leve"),CONCATENATE("R2C",'Mapa final'!#REF!),"")</f>
        <v>#REF!</v>
      </c>
      <c r="P7" s="36" t="str">
        <f>IF(AND('Mapa final'!$AB$14="Muy Alta",'Mapa final'!$AD$14="Menor"),CONCATENATE("R2C",'Mapa final'!$R$14),"")</f>
        <v/>
      </c>
      <c r="Q7" s="37" t="str">
        <f>IF(AND('Mapa final'!$AB$15="Muy Alta",'Mapa final'!$AD$15="Menor"),CONCATENATE("R2C",'Mapa final'!$R$15),"")</f>
        <v/>
      </c>
      <c r="R7" s="37" t="str">
        <f>IF(AND('Mapa final'!$AB$16="Muy Alta",'Mapa final'!$AD$16="Menor"),CONCATENATE("R2C",'Mapa final'!$R$16),"")</f>
        <v/>
      </c>
      <c r="S7" s="37" t="str">
        <f>IF(AND('Mapa final'!$AB$17="Muy Alta",'Mapa final'!$AD$17="Menor"),CONCATENATE("R2C",'Mapa final'!$R$17),"")</f>
        <v/>
      </c>
      <c r="T7" s="37" t="e">
        <f>IF(AND('Mapa final'!#REF!="Muy Alta",'Mapa final'!#REF!="Menor"),CONCATENATE("R2C",'Mapa final'!#REF!),"")</f>
        <v>#REF!</v>
      </c>
      <c r="U7" s="38" t="e">
        <f>IF(AND('Mapa final'!#REF!="Muy Alta",'Mapa final'!#REF!="Menor"),CONCATENATE("R2C",'Mapa final'!#REF!),"")</f>
        <v>#REF!</v>
      </c>
      <c r="V7" s="36" t="str">
        <f>IF(AND('Mapa final'!$AB$14="Muy Alta",'Mapa final'!$AD$14="Moderado"),CONCATENATE("R2C",'Mapa final'!$R$14),"")</f>
        <v/>
      </c>
      <c r="W7" s="37" t="str">
        <f>IF(AND('Mapa final'!$AB$15="Muy Alta",'Mapa final'!$AD$15="Moderado"),CONCATENATE("R2C",'Mapa final'!$R$15),"")</f>
        <v/>
      </c>
      <c r="X7" s="37" t="str">
        <f>IF(AND('Mapa final'!$AB$16="Muy Alta",'Mapa final'!$AD$16="Moderado"),CONCATENATE("R2C",'Mapa final'!$R$16),"")</f>
        <v/>
      </c>
      <c r="Y7" s="37" t="str">
        <f>IF(AND('Mapa final'!$AB$17="Muy Alta",'Mapa final'!$AD$17="Moderado"),CONCATENATE("R2C",'Mapa final'!$R$17),"")</f>
        <v/>
      </c>
      <c r="Z7" s="37" t="e">
        <f>IF(AND('Mapa final'!#REF!="Muy Alta",'Mapa final'!#REF!="Moderado"),CONCATENATE("R2C",'Mapa final'!#REF!),"")</f>
        <v>#REF!</v>
      </c>
      <c r="AA7" s="38" t="e">
        <f>IF(AND('Mapa final'!#REF!="Muy Alta",'Mapa final'!#REF!="Moderado"),CONCATENATE("R2C",'Mapa final'!#REF!),"")</f>
        <v>#REF!</v>
      </c>
      <c r="AB7" s="36" t="str">
        <f>IF(AND('Mapa final'!$AB$14="Muy Alta",'Mapa final'!$AD$14="Mayor"),CONCATENATE("R2C",'Mapa final'!$R$14),"")</f>
        <v/>
      </c>
      <c r="AC7" s="37" t="str">
        <f>IF(AND('Mapa final'!$AB$15="Muy Alta",'Mapa final'!$AD$15="Mayor"),CONCATENATE("R2C",'Mapa final'!$R$15),"")</f>
        <v/>
      </c>
      <c r="AD7" s="37" t="str">
        <f>IF(AND('Mapa final'!$AB$16="Muy Alta",'Mapa final'!$AD$16="Mayor"),CONCATENATE("R2C",'Mapa final'!$R$16),"")</f>
        <v/>
      </c>
      <c r="AE7" s="37" t="str">
        <f>IF(AND('Mapa final'!$AB$17="Muy Alta",'Mapa final'!$AD$17="Mayor"),CONCATENATE("R2C",'Mapa final'!$R$17),"")</f>
        <v/>
      </c>
      <c r="AF7" s="37" t="e">
        <f>IF(AND('Mapa final'!#REF!="Muy Alta",'Mapa final'!#REF!="Mayor"),CONCATENATE("R2C",'Mapa final'!#REF!),"")</f>
        <v>#REF!</v>
      </c>
      <c r="AG7" s="38" t="e">
        <f>IF(AND('Mapa final'!#REF!="Muy Alta",'Mapa final'!#REF!="Mayor"),CONCATENATE("R2C",'Mapa final'!#REF!),"")</f>
        <v>#REF!</v>
      </c>
      <c r="AH7" s="39" t="str">
        <f>IF(AND('Mapa final'!$AB$14="Muy Alta",'Mapa final'!$AD$14="Catastrófico"),CONCATENATE("R2C",'Mapa final'!$R$14),"")</f>
        <v/>
      </c>
      <c r="AI7" s="40" t="str">
        <f>IF(AND('Mapa final'!$AB$15="Muy Alta",'Mapa final'!$AD$15="Catastrófico"),CONCATENATE("R2C",'Mapa final'!$R$15),"")</f>
        <v/>
      </c>
      <c r="AJ7" s="40" t="str">
        <f>IF(AND('Mapa final'!$AB$16="Muy Alta",'Mapa final'!$AD$16="Catastrófico"),CONCATENATE("R2C",'Mapa final'!$R$16),"")</f>
        <v/>
      </c>
      <c r="AK7" s="40" t="str">
        <f>IF(AND('Mapa final'!$AB$17="Muy Alta",'Mapa final'!$AD$17="Catastrófico"),CONCATENATE("R2C",'Mapa final'!$R$17),"")</f>
        <v/>
      </c>
      <c r="AL7" s="40" t="e">
        <f>IF(AND('Mapa final'!#REF!="Muy Alta",'Mapa final'!#REF!="Catastrófico"),CONCATENATE("R2C",'Mapa final'!#REF!),"")</f>
        <v>#REF!</v>
      </c>
      <c r="AM7" s="41" t="e">
        <f>IF(AND('Mapa final'!#REF!="Muy Alta",'Mapa final'!#REF!="Catastrófico"),CONCATENATE("R2C",'Mapa final'!#REF!),"")</f>
        <v>#REF!</v>
      </c>
      <c r="AN7" s="67"/>
      <c r="AO7" s="658"/>
      <c r="AP7" s="659"/>
      <c r="AQ7" s="659"/>
      <c r="AR7" s="659"/>
      <c r="AS7" s="659"/>
      <c r="AT7" s="660"/>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553"/>
      <c r="C8" s="553"/>
      <c r="D8" s="554"/>
      <c r="E8" s="652"/>
      <c r="F8" s="651"/>
      <c r="G8" s="651"/>
      <c r="H8" s="651"/>
      <c r="I8" s="667"/>
      <c r="J8" s="36" t="str">
        <f>IF(AND('Mapa final'!$AB$18="Muy Alta",'Mapa final'!$AD$18="Leve"),CONCATENATE("R3C",'Mapa final'!$R$18),"")</f>
        <v/>
      </c>
      <c r="K8" s="37" t="str">
        <f>IF(AND('Mapa final'!$AB$19="Muy Alta",'Mapa final'!$AD$19="Leve"),CONCATENATE("R3C",'Mapa final'!$R$19),"")</f>
        <v/>
      </c>
      <c r="L8" s="37" t="e">
        <f>IF(AND('Mapa final'!#REF!="Muy Alta",'Mapa final'!#REF!="Leve"),CONCATENATE("R3C",'Mapa final'!#REF!),"")</f>
        <v>#REF!</v>
      </c>
      <c r="M8" s="37" t="e">
        <f>IF(AND('Mapa final'!#REF!="Muy Alta",'Mapa final'!#REF!="Leve"),CONCATENATE("R3C",'Mapa final'!#REF!),"")</f>
        <v>#REF!</v>
      </c>
      <c r="N8" s="37" t="e">
        <f>IF(AND('Mapa final'!#REF!="Muy Alta",'Mapa final'!#REF!="Leve"),CONCATENATE("R3C",'Mapa final'!#REF!),"")</f>
        <v>#REF!</v>
      </c>
      <c r="O8" s="38" t="str">
        <f>IF(AND('Mapa final'!$AB$20="Muy Alta",'Mapa final'!$AD$20="Leve"),CONCATENATE("R3C",'Mapa final'!$R$20),"")</f>
        <v/>
      </c>
      <c r="P8" s="36" t="str">
        <f>IF(AND('Mapa final'!$AB$18="Muy Alta",'Mapa final'!$AD$18="Menor"),CONCATENATE("R3C",'Mapa final'!$R$18),"")</f>
        <v/>
      </c>
      <c r="Q8" s="37" t="str">
        <f>IF(AND('Mapa final'!$AB$19="Muy Alta",'Mapa final'!$AD$19="Menor"),CONCATENATE("R3C",'Mapa final'!$R$19),"")</f>
        <v/>
      </c>
      <c r="R8" s="37" t="e">
        <f>IF(AND('Mapa final'!#REF!="Muy Alta",'Mapa final'!#REF!="Menor"),CONCATENATE("R3C",'Mapa final'!#REF!),"")</f>
        <v>#REF!</v>
      </c>
      <c r="S8" s="37" t="e">
        <f>IF(AND('Mapa final'!#REF!="Muy Alta",'Mapa final'!#REF!="Menor"),CONCATENATE("R3C",'Mapa final'!#REF!),"")</f>
        <v>#REF!</v>
      </c>
      <c r="T8" s="37" t="e">
        <f>IF(AND('Mapa final'!#REF!="Muy Alta",'Mapa final'!#REF!="Menor"),CONCATENATE("R3C",'Mapa final'!#REF!),"")</f>
        <v>#REF!</v>
      </c>
      <c r="U8" s="38" t="str">
        <f>IF(AND('Mapa final'!$AB$20="Muy Alta",'Mapa final'!$AD$20="Menor"),CONCATENATE("R3C",'Mapa final'!$R$20),"")</f>
        <v/>
      </c>
      <c r="V8" s="36" t="str">
        <f>IF(AND('Mapa final'!$AB$18="Muy Alta",'Mapa final'!$AD$18="Moderado"),CONCATENATE("R3C",'Mapa final'!$R$18),"")</f>
        <v/>
      </c>
      <c r="W8" s="37" t="str">
        <f>IF(AND('Mapa final'!$AB$19="Muy Alta",'Mapa final'!$AD$19="Moderado"),CONCATENATE("R3C",'Mapa final'!$R$19),"")</f>
        <v/>
      </c>
      <c r="X8" s="37" t="e">
        <f>IF(AND('Mapa final'!#REF!="Muy Alta",'Mapa final'!#REF!="Moderado"),CONCATENATE("R3C",'Mapa final'!#REF!),"")</f>
        <v>#REF!</v>
      </c>
      <c r="Y8" s="37" t="e">
        <f>IF(AND('Mapa final'!#REF!="Muy Alta",'Mapa final'!#REF!="Moderado"),CONCATENATE("R3C",'Mapa final'!#REF!),"")</f>
        <v>#REF!</v>
      </c>
      <c r="Z8" s="37" t="e">
        <f>IF(AND('Mapa final'!#REF!="Muy Alta",'Mapa final'!#REF!="Moderado"),CONCATENATE("R3C",'Mapa final'!#REF!),"")</f>
        <v>#REF!</v>
      </c>
      <c r="AA8" s="38" t="str">
        <f>IF(AND('Mapa final'!$AB$20="Muy Alta",'Mapa final'!$AD$20="Moderado"),CONCATENATE("R3C",'Mapa final'!$R$20),"")</f>
        <v/>
      </c>
      <c r="AB8" s="36" t="str">
        <f>IF(AND('Mapa final'!$AB$18="Muy Alta",'Mapa final'!$AD$18="Mayor"),CONCATENATE("R3C",'Mapa final'!$R$18),"")</f>
        <v/>
      </c>
      <c r="AC8" s="37" t="str">
        <f>IF(AND('Mapa final'!$AB$19="Muy Alta",'Mapa final'!$AD$19="Mayor"),CONCATENATE("R3C",'Mapa final'!$R$19),"")</f>
        <v/>
      </c>
      <c r="AD8" s="37" t="e">
        <f>IF(AND('Mapa final'!#REF!="Muy Alta",'Mapa final'!#REF!="Mayor"),CONCATENATE("R3C",'Mapa final'!#REF!),"")</f>
        <v>#REF!</v>
      </c>
      <c r="AE8" s="37" t="e">
        <f>IF(AND('Mapa final'!#REF!="Muy Alta",'Mapa final'!#REF!="Mayor"),CONCATENATE("R3C",'Mapa final'!#REF!),"")</f>
        <v>#REF!</v>
      </c>
      <c r="AF8" s="37" t="e">
        <f>IF(AND('Mapa final'!#REF!="Muy Alta",'Mapa final'!#REF!="Mayor"),CONCATENATE("R3C",'Mapa final'!#REF!),"")</f>
        <v>#REF!</v>
      </c>
      <c r="AG8" s="38" t="str">
        <f>IF(AND('Mapa final'!$AB$20="Muy Alta",'Mapa final'!$AD$20="Mayor"),CONCATENATE("R3C",'Mapa final'!$R$20),"")</f>
        <v/>
      </c>
      <c r="AH8" s="39" t="str">
        <f>IF(AND('Mapa final'!$AB$18="Muy Alta",'Mapa final'!$AD$18="Catastrófico"),CONCATENATE("R3C",'Mapa final'!$R$18),"")</f>
        <v/>
      </c>
      <c r="AI8" s="40" t="str">
        <f>IF(AND('Mapa final'!$AB$19="Muy Alta",'Mapa final'!$AD$19="Catastrófico"),CONCATENATE("R3C",'Mapa final'!$R$19),"")</f>
        <v/>
      </c>
      <c r="AJ8" s="40" t="e">
        <f>IF(AND('Mapa final'!#REF!="Muy Alta",'Mapa final'!#REF!="Catastrófico"),CONCATENATE("R3C",'Mapa final'!#REF!),"")</f>
        <v>#REF!</v>
      </c>
      <c r="AK8" s="40" t="e">
        <f>IF(AND('Mapa final'!#REF!="Muy Alta",'Mapa final'!#REF!="Catastrófico"),CONCATENATE("R3C",'Mapa final'!#REF!),"")</f>
        <v>#REF!</v>
      </c>
      <c r="AL8" s="40" t="e">
        <f>IF(AND('Mapa final'!#REF!="Muy Alta",'Mapa final'!#REF!="Catastrófico"),CONCATENATE("R3C",'Mapa final'!#REF!),"")</f>
        <v>#REF!</v>
      </c>
      <c r="AM8" s="41" t="str">
        <f>IF(AND('Mapa final'!$AB$20="Muy Alta",'Mapa final'!$AD$20="Catastrófico"),CONCATENATE("R3C",'Mapa final'!$R$20),"")</f>
        <v/>
      </c>
      <c r="AN8" s="67"/>
      <c r="AO8" s="658"/>
      <c r="AP8" s="659"/>
      <c r="AQ8" s="659"/>
      <c r="AR8" s="659"/>
      <c r="AS8" s="659"/>
      <c r="AT8" s="660"/>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553"/>
      <c r="C9" s="553"/>
      <c r="D9" s="554"/>
      <c r="E9" s="652"/>
      <c r="F9" s="651"/>
      <c r="G9" s="651"/>
      <c r="H9" s="651"/>
      <c r="I9" s="667"/>
      <c r="J9" s="36" t="str">
        <f>IF(AND('Mapa final'!$AB$21="Muy Alta",'Mapa final'!$AD$21="Leve"),CONCATENATE("R4C",'Mapa final'!$R$21),"")</f>
        <v/>
      </c>
      <c r="K9" s="37" t="str">
        <f>IF(AND('Mapa final'!$AB$22="Muy Alta",'Mapa final'!$AD$22="Leve"),CONCATENATE("R4C",'Mapa final'!$R$22),"")</f>
        <v/>
      </c>
      <c r="L9" s="37" t="str">
        <f>IF(AND('Mapa final'!$AB$23="Muy Alta",'Mapa final'!$AD$23="Leve"),CONCATENATE("R4C",'Mapa final'!$R$23),"")</f>
        <v/>
      </c>
      <c r="M9" s="37" t="e">
        <f>IF(AND('Mapa final'!#REF!="Muy Alta",'Mapa final'!#REF!="Leve"),CONCATENATE("R4C",'Mapa final'!#REF!),"")</f>
        <v>#REF!</v>
      </c>
      <c r="N9" s="37" t="e">
        <f>IF(AND('Mapa final'!#REF!="Muy Alta",'Mapa final'!#REF!="Leve"),CONCATENATE("R4C",'Mapa final'!#REF!),"")</f>
        <v>#REF!</v>
      </c>
      <c r="O9" s="38" t="e">
        <f>IF(AND('Mapa final'!#REF!="Muy Alta",'Mapa final'!#REF!="Leve"),CONCATENATE("R4C",'Mapa final'!#REF!),"")</f>
        <v>#REF!</v>
      </c>
      <c r="P9" s="36" t="str">
        <f>IF(AND('Mapa final'!$AB$21="Muy Alta",'Mapa final'!$AD$21="Menor"),CONCATENATE("R4C",'Mapa final'!$R$21),"")</f>
        <v/>
      </c>
      <c r="Q9" s="37" t="str">
        <f>IF(AND('Mapa final'!$AB$22="Muy Alta",'Mapa final'!$AD$22="Menor"),CONCATENATE("R4C",'Mapa final'!$R$22),"")</f>
        <v/>
      </c>
      <c r="R9" s="37" t="str">
        <f>IF(AND('Mapa final'!$AB$23="Muy Alta",'Mapa final'!$AD$23="Menor"),CONCATENATE("R4C",'Mapa final'!$R$23),"")</f>
        <v/>
      </c>
      <c r="S9" s="37" t="e">
        <f>IF(AND('Mapa final'!#REF!="Muy Alta",'Mapa final'!#REF!="Menor"),CONCATENATE("R4C",'Mapa final'!#REF!),"")</f>
        <v>#REF!</v>
      </c>
      <c r="T9" s="37" t="e">
        <f>IF(AND('Mapa final'!#REF!="Muy Alta",'Mapa final'!#REF!="Menor"),CONCATENATE("R4C",'Mapa final'!#REF!),"")</f>
        <v>#REF!</v>
      </c>
      <c r="U9" s="38" t="e">
        <f>IF(AND('Mapa final'!#REF!="Muy Alta",'Mapa final'!#REF!="Menor"),CONCATENATE("R4C",'Mapa final'!#REF!),"")</f>
        <v>#REF!</v>
      </c>
      <c r="V9" s="36" t="str">
        <f>IF(AND('Mapa final'!$AB$21="Muy Alta",'Mapa final'!$AD$21="Moderado"),CONCATENATE("R4C",'Mapa final'!$R$21),"")</f>
        <v/>
      </c>
      <c r="W9" s="37" t="str">
        <f>IF(AND('Mapa final'!$AB$22="Muy Alta",'Mapa final'!$AD$22="Moderado"),CONCATENATE("R4C",'Mapa final'!$R$22),"")</f>
        <v/>
      </c>
      <c r="X9" s="37" t="str">
        <f>IF(AND('Mapa final'!$AB$23="Muy Alta",'Mapa final'!$AD$23="Moderado"),CONCATENATE("R4C",'Mapa final'!$R$23),"")</f>
        <v/>
      </c>
      <c r="Y9" s="37" t="e">
        <f>IF(AND('Mapa final'!#REF!="Muy Alta",'Mapa final'!#REF!="Moderado"),CONCATENATE("R4C",'Mapa final'!#REF!),"")</f>
        <v>#REF!</v>
      </c>
      <c r="Z9" s="37" t="e">
        <f>IF(AND('Mapa final'!#REF!="Muy Alta",'Mapa final'!#REF!="Moderado"),CONCATENATE("R4C",'Mapa final'!#REF!),"")</f>
        <v>#REF!</v>
      </c>
      <c r="AA9" s="38" t="e">
        <f>IF(AND('Mapa final'!#REF!="Muy Alta",'Mapa final'!#REF!="Moderado"),CONCATENATE("R4C",'Mapa final'!#REF!),"")</f>
        <v>#REF!</v>
      </c>
      <c r="AB9" s="36" t="str">
        <f>IF(AND('Mapa final'!$AB$21="Muy Alta",'Mapa final'!$AD$21="Mayor"),CONCATENATE("R4C",'Mapa final'!$R$21),"")</f>
        <v/>
      </c>
      <c r="AC9" s="37" t="str">
        <f>IF(AND('Mapa final'!$AB$22="Muy Alta",'Mapa final'!$AD$22="Mayor"),CONCATENATE("R4C",'Mapa final'!$R$22),"")</f>
        <v/>
      </c>
      <c r="AD9" s="37" t="str">
        <f>IF(AND('Mapa final'!$AB$23="Muy Alta",'Mapa final'!$AD$23="Mayor"),CONCATENATE("R4C",'Mapa final'!$R$23),"")</f>
        <v/>
      </c>
      <c r="AE9" s="37" t="e">
        <f>IF(AND('Mapa final'!#REF!="Muy Alta",'Mapa final'!#REF!="Mayor"),CONCATENATE("R4C",'Mapa final'!#REF!),"")</f>
        <v>#REF!</v>
      </c>
      <c r="AF9" s="37" t="e">
        <f>IF(AND('Mapa final'!#REF!="Muy Alta",'Mapa final'!#REF!="Mayor"),CONCATENATE("R4C",'Mapa final'!#REF!),"")</f>
        <v>#REF!</v>
      </c>
      <c r="AG9" s="38" t="e">
        <f>IF(AND('Mapa final'!#REF!="Muy Alta",'Mapa final'!#REF!="Mayor"),CONCATENATE("R4C",'Mapa final'!#REF!),"")</f>
        <v>#REF!</v>
      </c>
      <c r="AH9" s="39" t="str">
        <f>IF(AND('Mapa final'!$AB$21="Muy Alta",'Mapa final'!$AD$21="Catastrófico"),CONCATENATE("R4C",'Mapa final'!$R$21),"")</f>
        <v/>
      </c>
      <c r="AI9" s="40" t="str">
        <f>IF(AND('Mapa final'!$AB$22="Muy Alta",'Mapa final'!$AD$22="Catastrófico"),CONCATENATE("R4C",'Mapa final'!$R$22),"")</f>
        <v/>
      </c>
      <c r="AJ9" s="40" t="str">
        <f>IF(AND('Mapa final'!$AB$23="Muy Alta",'Mapa final'!$AD$23="Catastrófico"),CONCATENATE("R4C",'Mapa final'!$R$23),"")</f>
        <v/>
      </c>
      <c r="AK9" s="40" t="e">
        <f>IF(AND('Mapa final'!#REF!="Muy Alta",'Mapa final'!#REF!="Catastrófico"),CONCATENATE("R4C",'Mapa final'!#REF!),"")</f>
        <v>#REF!</v>
      </c>
      <c r="AL9" s="40" t="e">
        <f>IF(AND('Mapa final'!#REF!="Muy Alta",'Mapa final'!#REF!="Catastrófico"),CONCATENATE("R4C",'Mapa final'!#REF!),"")</f>
        <v>#REF!</v>
      </c>
      <c r="AM9" s="41" t="e">
        <f>IF(AND('Mapa final'!#REF!="Muy Alta",'Mapa final'!#REF!="Catastrófico"),CONCATENATE("R4C",'Mapa final'!#REF!),"")</f>
        <v>#REF!</v>
      </c>
      <c r="AN9" s="67"/>
      <c r="AO9" s="658"/>
      <c r="AP9" s="659"/>
      <c r="AQ9" s="659"/>
      <c r="AR9" s="659"/>
      <c r="AS9" s="659"/>
      <c r="AT9" s="660"/>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553"/>
      <c r="C10" s="553"/>
      <c r="D10" s="554"/>
      <c r="E10" s="652"/>
      <c r="F10" s="651"/>
      <c r="G10" s="651"/>
      <c r="H10" s="651"/>
      <c r="I10" s="667"/>
      <c r="J10" s="36" t="str">
        <f>IF(AND('Mapa final'!$AB$24="Muy Alta",'Mapa final'!$AD$24="Leve"),CONCATENATE("R5C",'Mapa final'!$R$24),"")</f>
        <v/>
      </c>
      <c r="K10" s="37" t="str">
        <f>IF(AND('Mapa final'!$AB$25="Muy Alta",'Mapa final'!$AD$25="Leve"),CONCATENATE("R5C",'Mapa final'!$R$25),"")</f>
        <v/>
      </c>
      <c r="L10" s="37" t="str">
        <f>IF(AND('Mapa final'!$AB$26="Muy Alta",'Mapa final'!$AD$26="Leve"),CONCATENATE("R5C",'Mapa final'!$R$26),"")</f>
        <v/>
      </c>
      <c r="M10" s="37" t="str">
        <f>IF(AND('Mapa final'!$AB$27="Muy Alta",'Mapa final'!$AD$27="Leve"),CONCATENATE("R5C",'Mapa final'!$R$27),"")</f>
        <v/>
      </c>
      <c r="N10" s="37" t="str">
        <f>IF(AND('Mapa final'!$AB$28="Muy Alta",'Mapa final'!$AD$28="Leve"),CONCATENATE("R5C",'Mapa final'!$R$28),"")</f>
        <v/>
      </c>
      <c r="O10" s="38" t="str">
        <f>IF(AND('Mapa final'!$AB$29="Muy Alta",'Mapa final'!$AD$29="Leve"),CONCATENATE("R5C",'Mapa final'!$R$29),"")</f>
        <v/>
      </c>
      <c r="P10" s="36" t="str">
        <f>IF(AND('Mapa final'!$AB$24="Muy Alta",'Mapa final'!$AD$24="Menor"),CONCATENATE("R5C",'Mapa final'!$R$24),"")</f>
        <v/>
      </c>
      <c r="Q10" s="37" t="str">
        <f>IF(AND('Mapa final'!$AB$25="Muy Alta",'Mapa final'!$AD$25="Menor"),CONCATENATE("R5C",'Mapa final'!$R$25),"")</f>
        <v/>
      </c>
      <c r="R10" s="37" t="str">
        <f>IF(AND('Mapa final'!$AB$26="Muy Alta",'Mapa final'!$AD$26="Menor"),CONCATENATE("R5C",'Mapa final'!$R$26),"")</f>
        <v/>
      </c>
      <c r="S10" s="37" t="str">
        <f>IF(AND('Mapa final'!$AB$27="Muy Alta",'Mapa final'!$AD$27="Menor"),CONCATENATE("R5C",'Mapa final'!$R$27),"")</f>
        <v/>
      </c>
      <c r="T10" s="37" t="str">
        <f>IF(AND('Mapa final'!$AB$28="Muy Alta",'Mapa final'!$AD$28="Menor"),CONCATENATE("R5C",'Mapa final'!$R$28),"")</f>
        <v/>
      </c>
      <c r="U10" s="38" t="str">
        <f>IF(AND('Mapa final'!$AB$29="Muy Alta",'Mapa final'!$AD$29="Menor"),CONCATENATE("R5C",'Mapa final'!$R$29),"")</f>
        <v/>
      </c>
      <c r="V10" s="36" t="str">
        <f>IF(AND('Mapa final'!$AB$24="Muy Alta",'Mapa final'!$AD$24="Moderado"),CONCATENATE("R5C",'Mapa final'!$R$24),"")</f>
        <v/>
      </c>
      <c r="W10" s="37" t="str">
        <f>IF(AND('Mapa final'!$AB$25="Muy Alta",'Mapa final'!$AD$25="Moderado"),CONCATENATE("R5C",'Mapa final'!$R$25),"")</f>
        <v/>
      </c>
      <c r="X10" s="37" t="str">
        <f>IF(AND('Mapa final'!$AB$26="Muy Alta",'Mapa final'!$AD$26="Moderado"),CONCATENATE("R5C",'Mapa final'!$R$26),"")</f>
        <v/>
      </c>
      <c r="Y10" s="37" t="str">
        <f>IF(AND('Mapa final'!$AB$27="Muy Alta",'Mapa final'!$AD$27="Moderado"),CONCATENATE("R5C",'Mapa final'!$R$27),"")</f>
        <v/>
      </c>
      <c r="Z10" s="37" t="str">
        <f>IF(AND('Mapa final'!$AB$28="Muy Alta",'Mapa final'!$AD$28="Moderado"),CONCATENATE("R5C",'Mapa final'!$R$28),"")</f>
        <v/>
      </c>
      <c r="AA10" s="38" t="str">
        <f>IF(AND('Mapa final'!$AB$29="Muy Alta",'Mapa final'!$AD$29="Moderado"),CONCATENATE("R5C",'Mapa final'!$R$29),"")</f>
        <v/>
      </c>
      <c r="AB10" s="36" t="str">
        <f>IF(AND('Mapa final'!$AB$24="Muy Alta",'Mapa final'!$AD$24="Mayor"),CONCATENATE("R5C",'Mapa final'!$R$24),"")</f>
        <v/>
      </c>
      <c r="AC10" s="37" t="str">
        <f>IF(AND('Mapa final'!$AB$25="Muy Alta",'Mapa final'!$AD$25="Mayor"),CONCATENATE("R5C",'Mapa final'!$R$25),"")</f>
        <v/>
      </c>
      <c r="AD10" s="37" t="str">
        <f>IF(AND('Mapa final'!$AB$26="Muy Alta",'Mapa final'!$AD$26="Mayor"),CONCATENATE("R5C",'Mapa final'!$R$26),"")</f>
        <v/>
      </c>
      <c r="AE10" s="37" t="str">
        <f>IF(AND('Mapa final'!$AB$27="Muy Alta",'Mapa final'!$AD$27="Mayor"),CONCATENATE("R5C",'Mapa final'!$R$27),"")</f>
        <v/>
      </c>
      <c r="AF10" s="37" t="str">
        <f>IF(AND('Mapa final'!$AB$28="Muy Alta",'Mapa final'!$AD$28="Mayor"),CONCATENATE("R5C",'Mapa final'!$R$28),"")</f>
        <v/>
      </c>
      <c r="AG10" s="38" t="str">
        <f>IF(AND('Mapa final'!$AB$29="Muy Alta",'Mapa final'!$AD$29="Mayor"),CONCATENATE("R5C",'Mapa final'!$R$29),"")</f>
        <v/>
      </c>
      <c r="AH10" s="39" t="str">
        <f>IF(AND('Mapa final'!$AB$24="Muy Alta",'Mapa final'!$AD$24="Catastrófico"),CONCATENATE("R5C",'Mapa final'!$R$24),"")</f>
        <v/>
      </c>
      <c r="AI10" s="40" t="str">
        <f>IF(AND('Mapa final'!$AB$25="Muy Alta",'Mapa final'!$AD$25="Catastrófico"),CONCATENATE("R5C",'Mapa final'!$R$25),"")</f>
        <v/>
      </c>
      <c r="AJ10" s="40" t="str">
        <f>IF(AND('Mapa final'!$AB$26="Muy Alta",'Mapa final'!$AD$26="Catastrófico"),CONCATENATE("R5C",'Mapa final'!$R$26),"")</f>
        <v/>
      </c>
      <c r="AK10" s="40" t="str">
        <f>IF(AND('Mapa final'!$AB$27="Muy Alta",'Mapa final'!$AD$27="Catastrófico"),CONCATENATE("R5C",'Mapa final'!$R$27),"")</f>
        <v/>
      </c>
      <c r="AL10" s="40" t="str">
        <f>IF(AND('Mapa final'!$AB$28="Muy Alta",'Mapa final'!$AD$28="Catastrófico"),CONCATENATE("R5C",'Mapa final'!$R$28),"")</f>
        <v/>
      </c>
      <c r="AM10" s="41" t="str">
        <f>IF(AND('Mapa final'!$AB$29="Muy Alta",'Mapa final'!$AD$29="Catastrófico"),CONCATENATE("R5C",'Mapa final'!$R$29),"")</f>
        <v/>
      </c>
      <c r="AN10" s="67"/>
      <c r="AO10" s="658"/>
      <c r="AP10" s="659"/>
      <c r="AQ10" s="659"/>
      <c r="AR10" s="659"/>
      <c r="AS10" s="659"/>
      <c r="AT10" s="660"/>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553"/>
      <c r="C11" s="553"/>
      <c r="D11" s="554"/>
      <c r="E11" s="652"/>
      <c r="F11" s="651"/>
      <c r="G11" s="651"/>
      <c r="H11" s="651"/>
      <c r="I11" s="667"/>
      <c r="J11" s="36" t="str">
        <f>IF(AND('Mapa final'!$AB$30="Muy Alta",'Mapa final'!$AD$30="Leve"),CONCATENATE("R6C",'Mapa final'!$R$30),"")</f>
        <v/>
      </c>
      <c r="K11" s="37" t="str">
        <f>IF(AND('Mapa final'!$AB$31="Muy Alta",'Mapa final'!$AD$31="Leve"),CONCATENATE("R6C",'Mapa final'!$R$31),"")</f>
        <v/>
      </c>
      <c r="L11" s="37" t="str">
        <f>IF(AND('Mapa final'!$AB$32="Muy Alta",'Mapa final'!$AD$32="Leve"),CONCATENATE("R6C",'Mapa final'!$R$32),"")</f>
        <v/>
      </c>
      <c r="M11" s="37" t="str">
        <f>IF(AND('Mapa final'!$AB$33="Muy Alta",'Mapa final'!$AD$33="Leve"),CONCATENATE("R6C",'Mapa final'!$R$33),"")</f>
        <v/>
      </c>
      <c r="N11" s="37" t="str">
        <f>IF(AND('Mapa final'!$AB$34="Muy Alta",'Mapa final'!$AD$34="Leve"),CONCATENATE("R6C",'Mapa final'!$R$34),"")</f>
        <v/>
      </c>
      <c r="O11" s="38" t="str">
        <f>IF(AND('Mapa final'!$AB$35="Muy Alta",'Mapa final'!$AD$35="Leve"),CONCATENATE("R6C",'Mapa final'!$R$35),"")</f>
        <v/>
      </c>
      <c r="P11" s="36" t="str">
        <f>IF(AND('Mapa final'!$AB$30="Muy Alta",'Mapa final'!$AD$30="Menor"),CONCATENATE("R6C",'Mapa final'!$R$30),"")</f>
        <v/>
      </c>
      <c r="Q11" s="37" t="str">
        <f>IF(AND('Mapa final'!$AB$31="Muy Alta",'Mapa final'!$AD$31="Menor"),CONCATENATE("R6C",'Mapa final'!$R$31),"")</f>
        <v/>
      </c>
      <c r="R11" s="37" t="str">
        <f>IF(AND('Mapa final'!$AB$32="Muy Alta",'Mapa final'!$AD$32="Menor"),CONCATENATE("R6C",'Mapa final'!$R$32),"")</f>
        <v/>
      </c>
      <c r="S11" s="37" t="str">
        <f>IF(AND('Mapa final'!$AB$33="Muy Alta",'Mapa final'!$AD$33="Menor"),CONCATENATE("R6C",'Mapa final'!$R$33),"")</f>
        <v/>
      </c>
      <c r="T11" s="37" t="str">
        <f>IF(AND('Mapa final'!$AB$34="Muy Alta",'Mapa final'!$AD$34="Menor"),CONCATENATE("R6C",'Mapa final'!$R$34),"")</f>
        <v/>
      </c>
      <c r="U11" s="38" t="str">
        <f>IF(AND('Mapa final'!$AB$35="Muy Alta",'Mapa final'!$AD$35="Menor"),CONCATENATE("R6C",'Mapa final'!$R$35),"")</f>
        <v/>
      </c>
      <c r="V11" s="36" t="str">
        <f>IF(AND('Mapa final'!$AB$30="Muy Alta",'Mapa final'!$AD$30="Moderado"),CONCATENATE("R6C",'Mapa final'!$R$30),"")</f>
        <v/>
      </c>
      <c r="W11" s="37" t="str">
        <f>IF(AND('Mapa final'!$AB$31="Muy Alta",'Mapa final'!$AD$31="Moderado"),CONCATENATE("R6C",'Mapa final'!$R$31),"")</f>
        <v/>
      </c>
      <c r="X11" s="37" t="str">
        <f>IF(AND('Mapa final'!$AB$32="Muy Alta",'Mapa final'!$AD$32="Moderado"),CONCATENATE("R6C",'Mapa final'!$R$32),"")</f>
        <v/>
      </c>
      <c r="Y11" s="37" t="str">
        <f>IF(AND('Mapa final'!$AB$33="Muy Alta",'Mapa final'!$AD$33="Moderado"),CONCATENATE("R6C",'Mapa final'!$R$33),"")</f>
        <v/>
      </c>
      <c r="Z11" s="37" t="str">
        <f>IF(AND('Mapa final'!$AB$34="Muy Alta",'Mapa final'!$AD$34="Moderado"),CONCATENATE("R6C",'Mapa final'!$R$34),"")</f>
        <v/>
      </c>
      <c r="AA11" s="38" t="str">
        <f>IF(AND('Mapa final'!$AB$35="Muy Alta",'Mapa final'!$AD$35="Moderado"),CONCATENATE("R6C",'Mapa final'!$R$35),"")</f>
        <v/>
      </c>
      <c r="AB11" s="36" t="str">
        <f>IF(AND('Mapa final'!$AB$30="Muy Alta",'Mapa final'!$AD$30="Mayor"),CONCATENATE("R6C",'Mapa final'!$R$30),"")</f>
        <v/>
      </c>
      <c r="AC11" s="37" t="str">
        <f>IF(AND('Mapa final'!$AB$31="Muy Alta",'Mapa final'!$AD$31="Mayor"),CONCATENATE("R6C",'Mapa final'!$R$31),"")</f>
        <v/>
      </c>
      <c r="AD11" s="37" t="str">
        <f>IF(AND('Mapa final'!$AB$32="Muy Alta",'Mapa final'!$AD$32="Mayor"),CONCATENATE("R6C",'Mapa final'!$R$32),"")</f>
        <v/>
      </c>
      <c r="AE11" s="37" t="str">
        <f>IF(AND('Mapa final'!$AB$33="Muy Alta",'Mapa final'!$AD$33="Mayor"),CONCATENATE("R6C",'Mapa final'!$R$33),"")</f>
        <v/>
      </c>
      <c r="AF11" s="37" t="str">
        <f>IF(AND('Mapa final'!$AB$34="Muy Alta",'Mapa final'!$AD$34="Mayor"),CONCATENATE("R6C",'Mapa final'!$R$34),"")</f>
        <v/>
      </c>
      <c r="AG11" s="38" t="str">
        <f>IF(AND('Mapa final'!$AB$35="Muy Alta",'Mapa final'!$AD$35="Mayor"),CONCATENATE("R6C",'Mapa final'!$R$35),"")</f>
        <v/>
      </c>
      <c r="AH11" s="39" t="str">
        <f>IF(AND('Mapa final'!$AB$30="Muy Alta",'Mapa final'!$AD$30="Catastrófico"),CONCATENATE("R6C",'Mapa final'!$R$30),"")</f>
        <v/>
      </c>
      <c r="AI11" s="40" t="str">
        <f>IF(AND('Mapa final'!$AB$31="Muy Alta",'Mapa final'!$AD$31="Catastrófico"),CONCATENATE("R6C",'Mapa final'!$R$31),"")</f>
        <v/>
      </c>
      <c r="AJ11" s="40" t="str">
        <f>IF(AND('Mapa final'!$AB$32="Muy Alta",'Mapa final'!$AD$32="Catastrófico"),CONCATENATE("R6C",'Mapa final'!$R$32),"")</f>
        <v/>
      </c>
      <c r="AK11" s="40" t="str">
        <f>IF(AND('Mapa final'!$AB$33="Muy Alta",'Mapa final'!$AD$33="Catastrófico"),CONCATENATE("R6C",'Mapa final'!$R$33),"")</f>
        <v/>
      </c>
      <c r="AL11" s="40" t="str">
        <f>IF(AND('Mapa final'!$AB$34="Muy Alta",'Mapa final'!$AD$34="Catastrófico"),CONCATENATE("R6C",'Mapa final'!$R$34),"")</f>
        <v/>
      </c>
      <c r="AM11" s="41" t="str">
        <f>IF(AND('Mapa final'!$AB$35="Muy Alta",'Mapa final'!$AD$35="Catastrófico"),CONCATENATE("R6C",'Mapa final'!$R$35),"")</f>
        <v/>
      </c>
      <c r="AN11" s="67"/>
      <c r="AO11" s="658"/>
      <c r="AP11" s="659"/>
      <c r="AQ11" s="659"/>
      <c r="AR11" s="659"/>
      <c r="AS11" s="659"/>
      <c r="AT11" s="660"/>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553"/>
      <c r="C12" s="553"/>
      <c r="D12" s="554"/>
      <c r="E12" s="652"/>
      <c r="F12" s="651"/>
      <c r="G12" s="651"/>
      <c r="H12" s="651"/>
      <c r="I12" s="667"/>
      <c r="J12" s="36" t="str">
        <f>IF(AND('Mapa final'!$AB$36="Muy Alta",'Mapa final'!$AD$36="Leve"),CONCATENATE("R7C",'Mapa final'!$R$36),"")</f>
        <v/>
      </c>
      <c r="K12" s="37" t="str">
        <f>IF(AND('Mapa final'!$AB$37="Muy Alta",'Mapa final'!$AD$37="Leve"),CONCATENATE("R7C",'Mapa final'!$R$37),"")</f>
        <v/>
      </c>
      <c r="L12" s="37" t="str">
        <f>IF(AND('Mapa final'!$AB$38="Muy Alta",'Mapa final'!$AD$38="Leve"),CONCATENATE("R7C",'Mapa final'!$R$38),"")</f>
        <v/>
      </c>
      <c r="M12" s="37" t="str">
        <f>IF(AND('Mapa final'!$AB$39="Muy Alta",'Mapa final'!$AD$39="Leve"),CONCATENATE("R7C",'Mapa final'!$R$39),"")</f>
        <v/>
      </c>
      <c r="N12" s="37" t="str">
        <f>IF(AND('Mapa final'!$AB$40="Muy Alta",'Mapa final'!$AD$40="Leve"),CONCATENATE("R7C",'Mapa final'!$R$40),"")</f>
        <v/>
      </c>
      <c r="O12" s="38" t="str">
        <f>IF(AND('Mapa final'!$AB$41="Muy Alta",'Mapa final'!$AD$41="Leve"),CONCATENATE("R7C",'Mapa final'!$R$41),"")</f>
        <v/>
      </c>
      <c r="P12" s="36" t="str">
        <f>IF(AND('Mapa final'!$AB$36="Muy Alta",'Mapa final'!$AD$36="Menor"),CONCATENATE("R7C",'Mapa final'!$R$36),"")</f>
        <v/>
      </c>
      <c r="Q12" s="37" t="str">
        <f>IF(AND('Mapa final'!$AB$37="Muy Alta",'Mapa final'!$AD$37="Menor"),CONCATENATE("R7C",'Mapa final'!$R$37),"")</f>
        <v/>
      </c>
      <c r="R12" s="37" t="str">
        <f>IF(AND('Mapa final'!$AB$38="Muy Alta",'Mapa final'!$AD$38="Menor"),CONCATENATE("R7C",'Mapa final'!$R$38),"")</f>
        <v/>
      </c>
      <c r="S12" s="37" t="str">
        <f>IF(AND('Mapa final'!$AB$39="Muy Alta",'Mapa final'!$AD$39="Menor"),CONCATENATE("R7C",'Mapa final'!$R$39),"")</f>
        <v/>
      </c>
      <c r="T12" s="37" t="str">
        <f>IF(AND('Mapa final'!$AB$40="Muy Alta",'Mapa final'!$AD$40="Menor"),CONCATENATE("R7C",'Mapa final'!$R$40),"")</f>
        <v/>
      </c>
      <c r="U12" s="38" t="str">
        <f>IF(AND('Mapa final'!$AB$41="Muy Alta",'Mapa final'!$AD$41="Menor"),CONCATENATE("R7C",'Mapa final'!$R$41),"")</f>
        <v/>
      </c>
      <c r="V12" s="36" t="str">
        <f>IF(AND('Mapa final'!$AB$36="Muy Alta",'Mapa final'!$AD$36="Moderado"),CONCATENATE("R7C",'Mapa final'!$R$36),"")</f>
        <v/>
      </c>
      <c r="W12" s="37" t="str">
        <f>IF(AND('Mapa final'!$AB$37="Muy Alta",'Mapa final'!$AD$37="Moderado"),CONCATENATE("R7C",'Mapa final'!$R$37),"")</f>
        <v/>
      </c>
      <c r="X12" s="37" t="str">
        <f>IF(AND('Mapa final'!$AB$38="Muy Alta",'Mapa final'!$AD$38="Moderado"),CONCATENATE("R7C",'Mapa final'!$R$38),"")</f>
        <v/>
      </c>
      <c r="Y12" s="37" t="str">
        <f>IF(AND('Mapa final'!$AB$39="Muy Alta",'Mapa final'!$AD$39="Moderado"),CONCATENATE("R7C",'Mapa final'!$R$39),"")</f>
        <v/>
      </c>
      <c r="Z12" s="37" t="str">
        <f>IF(AND('Mapa final'!$AB$40="Muy Alta",'Mapa final'!$AD$40="Moderado"),CONCATENATE("R7C",'Mapa final'!$R$40),"")</f>
        <v/>
      </c>
      <c r="AA12" s="38" t="str">
        <f>IF(AND('Mapa final'!$AB$41="Muy Alta",'Mapa final'!$AD$41="Moderado"),CONCATENATE("R7C",'Mapa final'!$R$41),"")</f>
        <v/>
      </c>
      <c r="AB12" s="36" t="str">
        <f>IF(AND('Mapa final'!$AB$36="Muy Alta",'Mapa final'!$AD$36="Mayor"),CONCATENATE("R7C",'Mapa final'!$R$36),"")</f>
        <v/>
      </c>
      <c r="AC12" s="37" t="str">
        <f>IF(AND('Mapa final'!$AB$37="Muy Alta",'Mapa final'!$AD$37="Mayor"),CONCATENATE("R7C",'Mapa final'!$R$37),"")</f>
        <v/>
      </c>
      <c r="AD12" s="37" t="str">
        <f>IF(AND('Mapa final'!$AB$38="Muy Alta",'Mapa final'!$AD$38="Mayor"),CONCATENATE("R7C",'Mapa final'!$R$38),"")</f>
        <v/>
      </c>
      <c r="AE12" s="37" t="str">
        <f>IF(AND('Mapa final'!$AB$39="Muy Alta",'Mapa final'!$AD$39="Mayor"),CONCATENATE("R7C",'Mapa final'!$R$39),"")</f>
        <v/>
      </c>
      <c r="AF12" s="37" t="str">
        <f>IF(AND('Mapa final'!$AB$40="Muy Alta",'Mapa final'!$AD$40="Mayor"),CONCATENATE("R7C",'Mapa final'!$R$40),"")</f>
        <v/>
      </c>
      <c r="AG12" s="38" t="str">
        <f>IF(AND('Mapa final'!$AB$41="Muy Alta",'Mapa final'!$AD$41="Mayor"),CONCATENATE("R7C",'Mapa final'!$R$41),"")</f>
        <v/>
      </c>
      <c r="AH12" s="39" t="str">
        <f>IF(AND('Mapa final'!$AB$36="Muy Alta",'Mapa final'!$AD$36="Catastrófico"),CONCATENATE("R7C",'Mapa final'!$R$36),"")</f>
        <v/>
      </c>
      <c r="AI12" s="40" t="str">
        <f>IF(AND('Mapa final'!$AB$37="Muy Alta",'Mapa final'!$AD$37="Catastrófico"),CONCATENATE("R7C",'Mapa final'!$R$37),"")</f>
        <v/>
      </c>
      <c r="AJ12" s="40" t="str">
        <f>IF(AND('Mapa final'!$AB$38="Muy Alta",'Mapa final'!$AD$38="Catastrófico"),CONCATENATE("R7C",'Mapa final'!$R$38),"")</f>
        <v/>
      </c>
      <c r="AK12" s="40" t="str">
        <f>IF(AND('Mapa final'!$AB$39="Muy Alta",'Mapa final'!$AD$39="Catastrófico"),CONCATENATE("R7C",'Mapa final'!$R$39),"")</f>
        <v/>
      </c>
      <c r="AL12" s="40" t="str">
        <f>IF(AND('Mapa final'!$AB$40="Muy Alta",'Mapa final'!$AD$40="Catastrófico"),CONCATENATE("R7C",'Mapa final'!$R$40),"")</f>
        <v/>
      </c>
      <c r="AM12" s="41" t="str">
        <f>IF(AND('Mapa final'!$AB$41="Muy Alta",'Mapa final'!$AD$41="Catastrófico"),CONCATENATE("R7C",'Mapa final'!$R$41),"")</f>
        <v/>
      </c>
      <c r="AN12" s="67"/>
      <c r="AO12" s="658"/>
      <c r="AP12" s="659"/>
      <c r="AQ12" s="659"/>
      <c r="AR12" s="659"/>
      <c r="AS12" s="659"/>
      <c r="AT12" s="660"/>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553"/>
      <c r="C13" s="553"/>
      <c r="D13" s="554"/>
      <c r="E13" s="652"/>
      <c r="F13" s="651"/>
      <c r="G13" s="651"/>
      <c r="H13" s="651"/>
      <c r="I13" s="667"/>
      <c r="J13" s="36" t="str">
        <f>IF(AND('Mapa final'!$AB$42="Muy Alta",'Mapa final'!$AD$42="Leve"),CONCATENATE("R8C",'Mapa final'!$R$42),"")</f>
        <v/>
      </c>
      <c r="K13" s="37" t="str">
        <f>IF(AND('Mapa final'!$AB$43="Muy Alta",'Mapa final'!$AD$43="Leve"),CONCATENATE("R8C",'Mapa final'!$R$43),"")</f>
        <v/>
      </c>
      <c r="L13" s="37" t="str">
        <f>IF(AND('Mapa final'!$AB$44="Muy Alta",'Mapa final'!$AD$44="Leve"),CONCATENATE("R8C",'Mapa final'!$R$44),"")</f>
        <v/>
      </c>
      <c r="M13" s="37" t="str">
        <f>IF(AND('Mapa final'!$AB$45="Muy Alta",'Mapa final'!$AD$45="Leve"),CONCATENATE("R8C",'Mapa final'!$R$45),"")</f>
        <v/>
      </c>
      <c r="N13" s="37" t="str">
        <f>IF(AND('Mapa final'!$AB$46="Muy Alta",'Mapa final'!$AD$46="Leve"),CONCATENATE("R8C",'Mapa final'!$R$46),"")</f>
        <v/>
      </c>
      <c r="O13" s="38" t="str">
        <f>IF(AND('Mapa final'!$AB$47="Muy Alta",'Mapa final'!$AD$47="Leve"),CONCATENATE("R8C",'Mapa final'!$R$47),"")</f>
        <v/>
      </c>
      <c r="P13" s="36" t="str">
        <f>IF(AND('Mapa final'!$AB$42="Muy Alta",'Mapa final'!$AD$42="Menor"),CONCATENATE("R8C",'Mapa final'!$R$42),"")</f>
        <v/>
      </c>
      <c r="Q13" s="37" t="str">
        <f>IF(AND('Mapa final'!$AB$43="Muy Alta",'Mapa final'!$AD$43="Menor"),CONCATENATE("R8C",'Mapa final'!$R$43),"")</f>
        <v/>
      </c>
      <c r="R13" s="37" t="str">
        <f>IF(AND('Mapa final'!$AB$44="Muy Alta",'Mapa final'!$AD$44="Menor"),CONCATENATE("R8C",'Mapa final'!$R$44),"")</f>
        <v/>
      </c>
      <c r="S13" s="37" t="str">
        <f>IF(AND('Mapa final'!$AB$45="Muy Alta",'Mapa final'!$AD$45="Menor"),CONCATENATE("R8C",'Mapa final'!$R$45),"")</f>
        <v/>
      </c>
      <c r="T13" s="37" t="str">
        <f>IF(AND('Mapa final'!$AB$46="Muy Alta",'Mapa final'!$AD$46="Menor"),CONCATENATE("R8C",'Mapa final'!$R$46),"")</f>
        <v/>
      </c>
      <c r="U13" s="38" t="str">
        <f>IF(AND('Mapa final'!$AB$47="Muy Alta",'Mapa final'!$AD$47="Menor"),CONCATENATE("R8C",'Mapa final'!$R$47),"")</f>
        <v/>
      </c>
      <c r="V13" s="36" t="str">
        <f>IF(AND('Mapa final'!$AB$42="Muy Alta",'Mapa final'!$AD$42="Moderado"),CONCATENATE("R8C",'Mapa final'!$R$42),"")</f>
        <v/>
      </c>
      <c r="W13" s="37" t="str">
        <f>IF(AND('Mapa final'!$AB$43="Muy Alta",'Mapa final'!$AD$43="Moderado"),CONCATENATE("R8C",'Mapa final'!$R$43),"")</f>
        <v/>
      </c>
      <c r="X13" s="37" t="str">
        <f>IF(AND('Mapa final'!$AB$44="Muy Alta",'Mapa final'!$AD$44="Moderado"),CONCATENATE("R8C",'Mapa final'!$R$44),"")</f>
        <v/>
      </c>
      <c r="Y13" s="37" t="str">
        <f>IF(AND('Mapa final'!$AB$45="Muy Alta",'Mapa final'!$AD$45="Moderado"),CONCATENATE("R8C",'Mapa final'!$R$45),"")</f>
        <v/>
      </c>
      <c r="Z13" s="37" t="str">
        <f>IF(AND('Mapa final'!$AB$46="Muy Alta",'Mapa final'!$AD$46="Moderado"),CONCATENATE("R8C",'Mapa final'!$R$46),"")</f>
        <v/>
      </c>
      <c r="AA13" s="38" t="str">
        <f>IF(AND('Mapa final'!$AB$47="Muy Alta",'Mapa final'!$AD$47="Moderado"),CONCATENATE("R8C",'Mapa final'!$R$47),"")</f>
        <v/>
      </c>
      <c r="AB13" s="36" t="str">
        <f>IF(AND('Mapa final'!$AB$42="Muy Alta",'Mapa final'!$AD$42="Mayor"),CONCATENATE("R8C",'Mapa final'!$R$42),"")</f>
        <v/>
      </c>
      <c r="AC13" s="37" t="str">
        <f>IF(AND('Mapa final'!$AB$43="Muy Alta",'Mapa final'!$AD$43="Mayor"),CONCATENATE("R8C",'Mapa final'!$R$43),"")</f>
        <v/>
      </c>
      <c r="AD13" s="37" t="str">
        <f>IF(AND('Mapa final'!$AB$44="Muy Alta",'Mapa final'!$AD$44="Mayor"),CONCATENATE("R8C",'Mapa final'!$R$44),"")</f>
        <v/>
      </c>
      <c r="AE13" s="37" t="str">
        <f>IF(AND('Mapa final'!$AB$45="Muy Alta",'Mapa final'!$AD$45="Mayor"),CONCATENATE("R8C",'Mapa final'!$R$45),"")</f>
        <v/>
      </c>
      <c r="AF13" s="37" t="str">
        <f>IF(AND('Mapa final'!$AB$46="Muy Alta",'Mapa final'!$AD$46="Mayor"),CONCATENATE("R8C",'Mapa final'!$R$46),"")</f>
        <v/>
      </c>
      <c r="AG13" s="38" t="str">
        <f>IF(AND('Mapa final'!$AB$47="Muy Alta",'Mapa final'!$AD$47="Mayor"),CONCATENATE("R8C",'Mapa final'!$R$47),"")</f>
        <v/>
      </c>
      <c r="AH13" s="39" t="str">
        <f>IF(AND('Mapa final'!$AB$42="Muy Alta",'Mapa final'!$AD$42="Catastrófico"),CONCATENATE("R8C",'Mapa final'!$R$42),"")</f>
        <v/>
      </c>
      <c r="AI13" s="40" t="str">
        <f>IF(AND('Mapa final'!$AB$43="Muy Alta",'Mapa final'!$AD$43="Catastrófico"),CONCATENATE("R8C",'Mapa final'!$R$43),"")</f>
        <v/>
      </c>
      <c r="AJ13" s="40" t="str">
        <f>IF(AND('Mapa final'!$AB$44="Muy Alta",'Mapa final'!$AD$44="Catastrófico"),CONCATENATE("R8C",'Mapa final'!$R$44),"")</f>
        <v/>
      </c>
      <c r="AK13" s="40" t="str">
        <f>IF(AND('Mapa final'!$AB$45="Muy Alta",'Mapa final'!$AD$45="Catastrófico"),CONCATENATE("R8C",'Mapa final'!$R$45),"")</f>
        <v/>
      </c>
      <c r="AL13" s="40" t="str">
        <f>IF(AND('Mapa final'!$AB$46="Muy Alta",'Mapa final'!$AD$46="Catastrófico"),CONCATENATE("R8C",'Mapa final'!$R$46),"")</f>
        <v/>
      </c>
      <c r="AM13" s="41" t="str">
        <f>IF(AND('Mapa final'!$AB$47="Muy Alta",'Mapa final'!$AD$47="Catastrófico"),CONCATENATE("R8C",'Mapa final'!$R$47),"")</f>
        <v/>
      </c>
      <c r="AN13" s="67"/>
      <c r="AO13" s="658"/>
      <c r="AP13" s="659"/>
      <c r="AQ13" s="659"/>
      <c r="AR13" s="659"/>
      <c r="AS13" s="659"/>
      <c r="AT13" s="660"/>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553"/>
      <c r="C14" s="553"/>
      <c r="D14" s="554"/>
      <c r="E14" s="652"/>
      <c r="F14" s="651"/>
      <c r="G14" s="651"/>
      <c r="H14" s="651"/>
      <c r="I14" s="667"/>
      <c r="J14" s="36" t="str">
        <f>IF(AND('Mapa final'!$AB$48="Muy Alta",'Mapa final'!$AD$48="Leve"),CONCATENATE("R9C",'Mapa final'!$R$48),"")</f>
        <v/>
      </c>
      <c r="K14" s="37" t="str">
        <f>IF(AND('Mapa final'!$AB$49="Muy Alta",'Mapa final'!$AD$49="Leve"),CONCATENATE("R9C",'Mapa final'!$R$49),"")</f>
        <v/>
      </c>
      <c r="L14" s="37" t="str">
        <f>IF(AND('Mapa final'!$AB$50="Muy Alta",'Mapa final'!$AD$50="Leve"),CONCATENATE("R9C",'Mapa final'!$R$50),"")</f>
        <v/>
      </c>
      <c r="M14" s="37" t="str">
        <f>IF(AND('Mapa final'!$AB$51="Muy Alta",'Mapa final'!$AD$51="Leve"),CONCATENATE("R9C",'Mapa final'!$R$51),"")</f>
        <v/>
      </c>
      <c r="N14" s="37" t="str">
        <f>IF(AND('Mapa final'!$AB$52="Muy Alta",'Mapa final'!$AD$52="Leve"),CONCATENATE("R9C",'Mapa final'!$R$52),"")</f>
        <v/>
      </c>
      <c r="O14" s="38" t="str">
        <f>IF(AND('Mapa final'!$AB$53="Muy Alta",'Mapa final'!$AD$53="Leve"),CONCATENATE("R9C",'Mapa final'!$R$53),"")</f>
        <v/>
      </c>
      <c r="P14" s="36" t="str">
        <f>IF(AND('Mapa final'!$AB$48="Muy Alta",'Mapa final'!$AD$48="Menor"),CONCATENATE("R9C",'Mapa final'!$R$48),"")</f>
        <v/>
      </c>
      <c r="Q14" s="37" t="str">
        <f>IF(AND('Mapa final'!$AB$49="Muy Alta",'Mapa final'!$AD$49="Menor"),CONCATENATE("R9C",'Mapa final'!$R$49),"")</f>
        <v/>
      </c>
      <c r="R14" s="37" t="str">
        <f>IF(AND('Mapa final'!$AB$50="Muy Alta",'Mapa final'!$AD$50="Menor"),CONCATENATE("R9C",'Mapa final'!$R$50),"")</f>
        <v/>
      </c>
      <c r="S14" s="37" t="str">
        <f>IF(AND('Mapa final'!$AB$51="Muy Alta",'Mapa final'!$AD$51="Menor"),CONCATENATE("R9C",'Mapa final'!$R$51),"")</f>
        <v/>
      </c>
      <c r="T14" s="37" t="str">
        <f>IF(AND('Mapa final'!$AB$52="Muy Alta",'Mapa final'!$AD$52="Menor"),CONCATENATE("R9C",'Mapa final'!$R$52),"")</f>
        <v/>
      </c>
      <c r="U14" s="38" t="str">
        <f>IF(AND('Mapa final'!$AB$53="Muy Alta",'Mapa final'!$AD$53="Menor"),CONCATENATE("R9C",'Mapa final'!$R$53),"")</f>
        <v/>
      </c>
      <c r="V14" s="36" t="str">
        <f>IF(AND('Mapa final'!$AB$48="Muy Alta",'Mapa final'!$AD$48="Moderado"),CONCATENATE("R9C",'Mapa final'!$R$48),"")</f>
        <v/>
      </c>
      <c r="W14" s="37" t="str">
        <f>IF(AND('Mapa final'!$AB$49="Muy Alta",'Mapa final'!$AD$49="Moderado"),CONCATENATE("R9C",'Mapa final'!$R$49),"")</f>
        <v/>
      </c>
      <c r="X14" s="37" t="str">
        <f>IF(AND('Mapa final'!$AB$50="Muy Alta",'Mapa final'!$AD$50="Moderado"),CONCATENATE("R9C",'Mapa final'!$R$50),"")</f>
        <v/>
      </c>
      <c r="Y14" s="37" t="str">
        <f>IF(AND('Mapa final'!$AB$51="Muy Alta",'Mapa final'!$AD$51="Moderado"),CONCATENATE("R9C",'Mapa final'!$R$51),"")</f>
        <v/>
      </c>
      <c r="Z14" s="37" t="str">
        <f>IF(AND('Mapa final'!$AB$52="Muy Alta",'Mapa final'!$AD$52="Moderado"),CONCATENATE("R9C",'Mapa final'!$R$52),"")</f>
        <v/>
      </c>
      <c r="AA14" s="38" t="str">
        <f>IF(AND('Mapa final'!$AB$53="Muy Alta",'Mapa final'!$AD$53="Moderado"),CONCATENATE("R9C",'Mapa final'!$R$53),"")</f>
        <v/>
      </c>
      <c r="AB14" s="36" t="str">
        <f>IF(AND('Mapa final'!$AB$48="Muy Alta",'Mapa final'!$AD$48="Mayor"),CONCATENATE("R9C",'Mapa final'!$R$48),"")</f>
        <v/>
      </c>
      <c r="AC14" s="37" t="str">
        <f>IF(AND('Mapa final'!$AB$49="Muy Alta",'Mapa final'!$AD$49="Mayor"),CONCATENATE("R9C",'Mapa final'!$R$49),"")</f>
        <v/>
      </c>
      <c r="AD14" s="37" t="str">
        <f>IF(AND('Mapa final'!$AB$50="Muy Alta",'Mapa final'!$AD$50="Mayor"),CONCATENATE("R9C",'Mapa final'!$R$50),"")</f>
        <v/>
      </c>
      <c r="AE14" s="37" t="str">
        <f>IF(AND('Mapa final'!$AB$51="Muy Alta",'Mapa final'!$AD$51="Mayor"),CONCATENATE("R9C",'Mapa final'!$R$51),"")</f>
        <v/>
      </c>
      <c r="AF14" s="37" t="str">
        <f>IF(AND('Mapa final'!$AB$52="Muy Alta",'Mapa final'!$AD$52="Mayor"),CONCATENATE("R9C",'Mapa final'!$R$52),"")</f>
        <v/>
      </c>
      <c r="AG14" s="38" t="str">
        <f>IF(AND('Mapa final'!$AB$53="Muy Alta",'Mapa final'!$AD$53="Mayor"),CONCATENATE("R9C",'Mapa final'!$R$53),"")</f>
        <v/>
      </c>
      <c r="AH14" s="39" t="str">
        <f>IF(AND('Mapa final'!$AB$48="Muy Alta",'Mapa final'!$AD$48="Catastrófico"),CONCATENATE("R9C",'Mapa final'!$R$48),"")</f>
        <v/>
      </c>
      <c r="AI14" s="40" t="str">
        <f>IF(AND('Mapa final'!$AB$49="Muy Alta",'Mapa final'!$AD$49="Catastrófico"),CONCATENATE("R9C",'Mapa final'!$R$49),"")</f>
        <v/>
      </c>
      <c r="AJ14" s="40" t="str">
        <f>IF(AND('Mapa final'!$AB$50="Muy Alta",'Mapa final'!$AD$50="Catastrófico"),CONCATENATE("R9C",'Mapa final'!$R$50),"")</f>
        <v/>
      </c>
      <c r="AK14" s="40" t="str">
        <f>IF(AND('Mapa final'!$AB$51="Muy Alta",'Mapa final'!$AD$51="Catastrófico"),CONCATENATE("R9C",'Mapa final'!$R$51),"")</f>
        <v/>
      </c>
      <c r="AL14" s="40" t="str">
        <f>IF(AND('Mapa final'!$AB$52="Muy Alta",'Mapa final'!$AD$52="Catastrófico"),CONCATENATE("R9C",'Mapa final'!$R$52),"")</f>
        <v/>
      </c>
      <c r="AM14" s="41" t="str">
        <f>IF(AND('Mapa final'!$AB$53="Muy Alta",'Mapa final'!$AD$53="Catastrófico"),CONCATENATE("R9C",'Mapa final'!$R$53),"")</f>
        <v/>
      </c>
      <c r="AN14" s="67"/>
      <c r="AO14" s="658"/>
      <c r="AP14" s="659"/>
      <c r="AQ14" s="659"/>
      <c r="AR14" s="659"/>
      <c r="AS14" s="659"/>
      <c r="AT14" s="660"/>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553"/>
      <c r="C15" s="553"/>
      <c r="D15" s="554"/>
      <c r="E15" s="653"/>
      <c r="F15" s="654"/>
      <c r="G15" s="654"/>
      <c r="H15" s="654"/>
      <c r="I15" s="668"/>
      <c r="J15" s="42" t="str">
        <f>IF(AND('Mapa final'!$AB$54="Muy Alta",'Mapa final'!$AD$54="Leve"),CONCATENATE("R10C",'Mapa final'!$R$54),"")</f>
        <v/>
      </c>
      <c r="K15" s="43" t="str">
        <f>IF(AND('Mapa final'!$AB$55="Muy Alta",'Mapa final'!$AD$55="Leve"),CONCATENATE("R10C",'Mapa final'!$R$55),"")</f>
        <v/>
      </c>
      <c r="L15" s="43" t="str">
        <f>IF(AND('Mapa final'!$AB$56="Muy Alta",'Mapa final'!$AD$56="Leve"),CONCATENATE("R10C",'Mapa final'!$R$56),"")</f>
        <v/>
      </c>
      <c r="M15" s="43" t="str">
        <f>IF(AND('Mapa final'!$AB$57="Muy Alta",'Mapa final'!$AD$57="Leve"),CONCATENATE("R10C",'Mapa final'!$R$57),"")</f>
        <v/>
      </c>
      <c r="N15" s="43" t="str">
        <f>IF(AND('Mapa final'!$AB$58="Muy Alta",'Mapa final'!$AD$58="Leve"),CONCATENATE("R10C",'Mapa final'!$R$58),"")</f>
        <v/>
      </c>
      <c r="O15" s="44" t="str">
        <f>IF(AND('Mapa final'!$AB$59="Muy Alta",'Mapa final'!$AD$59="Leve"),CONCATENATE("R10C",'Mapa final'!$R$59),"")</f>
        <v/>
      </c>
      <c r="P15" s="36" t="str">
        <f>IF(AND('Mapa final'!$AB$54="Muy Alta",'Mapa final'!$AD$54="Menor"),CONCATENATE("R10C",'Mapa final'!$R$54),"")</f>
        <v/>
      </c>
      <c r="Q15" s="37" t="str">
        <f>IF(AND('Mapa final'!$AB$55="Muy Alta",'Mapa final'!$AD$55="Menor"),CONCATENATE("R10C",'Mapa final'!$R$55),"")</f>
        <v/>
      </c>
      <c r="R15" s="37" t="str">
        <f>IF(AND('Mapa final'!$AB$56="Muy Alta",'Mapa final'!$AD$56="Menor"),CONCATENATE("R10C",'Mapa final'!$R$56),"")</f>
        <v/>
      </c>
      <c r="S15" s="37" t="str">
        <f>IF(AND('Mapa final'!$AB$57="Muy Alta",'Mapa final'!$AD$57="Menor"),CONCATENATE("R10C",'Mapa final'!$R$57),"")</f>
        <v/>
      </c>
      <c r="T15" s="37" t="str">
        <f>IF(AND('Mapa final'!$AB$58="Muy Alta",'Mapa final'!$AD$58="Menor"),CONCATENATE("R10C",'Mapa final'!$R$58),"")</f>
        <v/>
      </c>
      <c r="U15" s="38" t="str">
        <f>IF(AND('Mapa final'!$AB$59="Muy Alta",'Mapa final'!$AD$59="Menor"),CONCATENATE("R10C",'Mapa final'!$R$59),"")</f>
        <v/>
      </c>
      <c r="V15" s="42" t="str">
        <f>IF(AND('Mapa final'!$AB$54="Muy Alta",'Mapa final'!$AD$54="Moderado"),CONCATENATE("R10C",'Mapa final'!$R$54),"")</f>
        <v/>
      </c>
      <c r="W15" s="43" t="str">
        <f>IF(AND('Mapa final'!$AB$55="Muy Alta",'Mapa final'!$AD$55="Moderado"),CONCATENATE("R10C",'Mapa final'!$R$55),"")</f>
        <v/>
      </c>
      <c r="X15" s="43" t="str">
        <f>IF(AND('Mapa final'!$AB$56="Muy Alta",'Mapa final'!$AD$56="Moderado"),CONCATENATE("R10C",'Mapa final'!$R$56),"")</f>
        <v/>
      </c>
      <c r="Y15" s="43" t="str">
        <f>IF(AND('Mapa final'!$AB$57="Muy Alta",'Mapa final'!$AD$57="Moderado"),CONCATENATE("R10C",'Mapa final'!$R$57),"")</f>
        <v/>
      </c>
      <c r="Z15" s="43" t="str">
        <f>IF(AND('Mapa final'!$AB$58="Muy Alta",'Mapa final'!$AD$58="Moderado"),CONCATENATE("R10C",'Mapa final'!$R$58),"")</f>
        <v/>
      </c>
      <c r="AA15" s="44" t="str">
        <f>IF(AND('Mapa final'!$AB$59="Muy Alta",'Mapa final'!$AD$59="Moderado"),CONCATENATE("R10C",'Mapa final'!$R$59),"")</f>
        <v/>
      </c>
      <c r="AB15" s="36" t="str">
        <f>IF(AND('Mapa final'!$AB$54="Muy Alta",'Mapa final'!$AD$54="Mayor"),CONCATENATE("R10C",'Mapa final'!$R$54),"")</f>
        <v/>
      </c>
      <c r="AC15" s="37" t="str">
        <f>IF(AND('Mapa final'!$AB$55="Muy Alta",'Mapa final'!$AD$55="Mayor"),CONCATENATE("R10C",'Mapa final'!$R$55),"")</f>
        <v/>
      </c>
      <c r="AD15" s="37" t="str">
        <f>IF(AND('Mapa final'!$AB$56="Muy Alta",'Mapa final'!$AD$56="Mayor"),CONCATENATE("R10C",'Mapa final'!$R$56),"")</f>
        <v/>
      </c>
      <c r="AE15" s="37" t="str">
        <f>IF(AND('Mapa final'!$AB$57="Muy Alta",'Mapa final'!$AD$57="Mayor"),CONCATENATE("R10C",'Mapa final'!$R$57),"")</f>
        <v/>
      </c>
      <c r="AF15" s="37" t="str">
        <f>IF(AND('Mapa final'!$AB$58="Muy Alta",'Mapa final'!$AD$58="Mayor"),CONCATENATE("R10C",'Mapa final'!$R$58),"")</f>
        <v/>
      </c>
      <c r="AG15" s="38" t="str">
        <f>IF(AND('Mapa final'!$AB$59="Muy Alta",'Mapa final'!$AD$59="Mayor"),CONCATENATE("R10C",'Mapa final'!$R$59),"")</f>
        <v/>
      </c>
      <c r="AH15" s="45" t="str">
        <f>IF(AND('Mapa final'!$AB$54="Muy Alta",'Mapa final'!$AD$54="Catastrófico"),CONCATENATE("R10C",'Mapa final'!$R$54),"")</f>
        <v/>
      </c>
      <c r="AI15" s="46" t="str">
        <f>IF(AND('Mapa final'!$AB$55="Muy Alta",'Mapa final'!$AD$55="Catastrófico"),CONCATENATE("R10C",'Mapa final'!$R$55),"")</f>
        <v/>
      </c>
      <c r="AJ15" s="46" t="str">
        <f>IF(AND('Mapa final'!$AB$56="Muy Alta",'Mapa final'!$AD$56="Catastrófico"),CONCATENATE("R10C",'Mapa final'!$R$56),"")</f>
        <v/>
      </c>
      <c r="AK15" s="46" t="str">
        <f>IF(AND('Mapa final'!$AB$57="Muy Alta",'Mapa final'!$AD$57="Catastrófico"),CONCATENATE("R10C",'Mapa final'!$R$57),"")</f>
        <v/>
      </c>
      <c r="AL15" s="46" t="str">
        <f>IF(AND('Mapa final'!$AB$58="Muy Alta",'Mapa final'!$AD$58="Catastrófico"),CONCATENATE("R10C",'Mapa final'!$R$58),"")</f>
        <v/>
      </c>
      <c r="AM15" s="47" t="str">
        <f>IF(AND('Mapa final'!$AB$59="Muy Alta",'Mapa final'!$AD$59="Catastrófico"),CONCATENATE("R10C",'Mapa final'!$R$59),"")</f>
        <v/>
      </c>
      <c r="AN15" s="67"/>
      <c r="AO15" s="661"/>
      <c r="AP15" s="662"/>
      <c r="AQ15" s="662"/>
      <c r="AR15" s="662"/>
      <c r="AS15" s="662"/>
      <c r="AT15" s="663"/>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553"/>
      <c r="C16" s="553"/>
      <c r="D16" s="554"/>
      <c r="E16" s="648" t="s">
        <v>110</v>
      </c>
      <c r="F16" s="649"/>
      <c r="G16" s="649"/>
      <c r="H16" s="649"/>
      <c r="I16" s="649"/>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e">
        <f>IF(AND('Mapa final'!#REF!="Alta",'Mapa final'!#REF!="Leve"),CONCATENATE("R1C",'Mapa final'!#REF!),"")</f>
        <v>#REF!</v>
      </c>
      <c r="O16" s="50" t="e">
        <f>IF(AND('Mapa final'!#REF!="Alta",'Mapa final'!#REF!="Leve"),CONCATENATE("R1C",'Mapa final'!#REF!),"")</f>
        <v>#REF!</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e">
        <f>IF(AND('Mapa final'!#REF!="Alta",'Mapa final'!#REF!="Menor"),CONCATENATE("R1C",'Mapa final'!#REF!),"")</f>
        <v>#REF!</v>
      </c>
      <c r="U16" s="50" t="e">
        <f>IF(AND('Mapa final'!#REF!="Alta",'Mapa final'!#REF!="Menor"),CONCATENATE("R1C",'Mapa final'!#REF!),"")</f>
        <v>#REF!</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e">
        <f>IF(AND('Mapa final'!#REF!="Alta",'Mapa final'!#REF!="Moderado"),CONCATENATE("R1C",'Mapa final'!#REF!),"")</f>
        <v>#REF!</v>
      </c>
      <c r="AA16" s="32" t="e">
        <f>IF(AND('Mapa final'!#REF!="Alta",'Mapa final'!#REF!="Moderado"),CONCATENATE("R1C",'Mapa final'!#REF!),"")</f>
        <v>#REF!</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e">
        <f>IF(AND('Mapa final'!#REF!="Alta",'Mapa final'!#REF!="Mayor"),CONCATENATE("R1C",'Mapa final'!#REF!),"")</f>
        <v>#REF!</v>
      </c>
      <c r="AG16" s="32" t="e">
        <f>IF(AND('Mapa final'!#REF!="Alta",'Mapa final'!#REF!="Mayor"),CONCATENATE("R1C",'Mapa final'!#REF!),"")</f>
        <v>#REF!</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e">
        <f>IF(AND('Mapa final'!#REF!="Alta",'Mapa final'!#REF!="Catastrófico"),CONCATENATE("R1C",'Mapa final'!#REF!),"")</f>
        <v>#REF!</v>
      </c>
      <c r="AM16" s="35" t="e">
        <f>IF(AND('Mapa final'!#REF!="Alta",'Mapa final'!#REF!="Catastrófico"),CONCATENATE("R1C",'Mapa final'!#REF!),"")</f>
        <v>#REF!</v>
      </c>
      <c r="AN16" s="67"/>
      <c r="AO16" s="639" t="s">
        <v>79</v>
      </c>
      <c r="AP16" s="640"/>
      <c r="AQ16" s="640"/>
      <c r="AR16" s="640"/>
      <c r="AS16" s="640"/>
      <c r="AT16" s="641"/>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553"/>
      <c r="C17" s="553"/>
      <c r="D17" s="554"/>
      <c r="E17" s="650"/>
      <c r="F17" s="651"/>
      <c r="G17" s="651"/>
      <c r="H17" s="651"/>
      <c r="I17" s="651"/>
      <c r="J17" s="51" t="str">
        <f>IF(AND('Mapa final'!$AB$14="Alta",'Mapa final'!$AD$14="Leve"),CONCATENATE("R2C",'Mapa final'!$R$14),"")</f>
        <v/>
      </c>
      <c r="K17" s="52" t="str">
        <f>IF(AND('Mapa final'!$AB$15="Alta",'Mapa final'!$AD$15="Leve"),CONCATENATE("R2C",'Mapa final'!$R$15),"")</f>
        <v/>
      </c>
      <c r="L17" s="52" t="str">
        <f>IF(AND('Mapa final'!$AB$16="Alta",'Mapa final'!$AD$16="Leve"),CONCATENATE("R2C",'Mapa final'!$R$16),"")</f>
        <v/>
      </c>
      <c r="M17" s="52" t="str">
        <f>IF(AND('Mapa final'!$AB$17="Alta",'Mapa final'!$AD$17="Leve"),CONCATENATE("R2C",'Mapa final'!$R$17),"")</f>
        <v/>
      </c>
      <c r="N17" s="52" t="e">
        <f>IF(AND('Mapa final'!#REF!="Alta",'Mapa final'!#REF!="Leve"),CONCATENATE("R2C",'Mapa final'!#REF!),"")</f>
        <v>#REF!</v>
      </c>
      <c r="O17" s="53" t="e">
        <f>IF(AND('Mapa final'!#REF!="Alta",'Mapa final'!#REF!="Leve"),CONCATENATE("R2C",'Mapa final'!#REF!),"")</f>
        <v>#REF!</v>
      </c>
      <c r="P17" s="51" t="str">
        <f>IF(AND('Mapa final'!$AB$14="Alta",'Mapa final'!$AD$14="Menor"),CONCATENATE("R2C",'Mapa final'!$R$14),"")</f>
        <v/>
      </c>
      <c r="Q17" s="52" t="str">
        <f>IF(AND('Mapa final'!$AB$15="Alta",'Mapa final'!$AD$15="Menor"),CONCATENATE("R2C",'Mapa final'!$R$15),"")</f>
        <v/>
      </c>
      <c r="R17" s="52" t="str">
        <f>IF(AND('Mapa final'!$AB$16="Alta",'Mapa final'!$AD$16="Menor"),CONCATENATE("R2C",'Mapa final'!$R$16),"")</f>
        <v/>
      </c>
      <c r="S17" s="52" t="str">
        <f>IF(AND('Mapa final'!$AB$17="Alta",'Mapa final'!$AD$17="Menor"),CONCATENATE("R2C",'Mapa final'!$R$17),"")</f>
        <v/>
      </c>
      <c r="T17" s="52" t="e">
        <f>IF(AND('Mapa final'!#REF!="Alta",'Mapa final'!#REF!="Menor"),CONCATENATE("R2C",'Mapa final'!#REF!),"")</f>
        <v>#REF!</v>
      </c>
      <c r="U17" s="53" t="e">
        <f>IF(AND('Mapa final'!#REF!="Alta",'Mapa final'!#REF!="Menor"),CONCATENATE("R2C",'Mapa final'!#REF!),"")</f>
        <v>#REF!</v>
      </c>
      <c r="V17" s="36" t="str">
        <f>IF(AND('Mapa final'!$AB$14="Alta",'Mapa final'!$AD$14="Moderado"),CONCATENATE("R2C",'Mapa final'!$R$14),"")</f>
        <v/>
      </c>
      <c r="W17" s="37" t="str">
        <f>IF(AND('Mapa final'!$AB$15="Alta",'Mapa final'!$AD$15="Moderado"),CONCATENATE("R2C",'Mapa final'!$R$15),"")</f>
        <v/>
      </c>
      <c r="X17" s="37" t="str">
        <f>IF(AND('Mapa final'!$AB$16="Alta",'Mapa final'!$AD$16="Moderado"),CONCATENATE("R2C",'Mapa final'!$R$16),"")</f>
        <v/>
      </c>
      <c r="Y17" s="37" t="str">
        <f>IF(AND('Mapa final'!$AB$17="Alta",'Mapa final'!$AD$17="Moderado"),CONCATENATE("R2C",'Mapa final'!$R$17),"")</f>
        <v/>
      </c>
      <c r="Z17" s="37" t="e">
        <f>IF(AND('Mapa final'!#REF!="Alta",'Mapa final'!#REF!="Moderado"),CONCATENATE("R2C",'Mapa final'!#REF!),"")</f>
        <v>#REF!</v>
      </c>
      <c r="AA17" s="38" t="e">
        <f>IF(AND('Mapa final'!#REF!="Alta",'Mapa final'!#REF!="Moderado"),CONCATENATE("R2C",'Mapa final'!#REF!),"")</f>
        <v>#REF!</v>
      </c>
      <c r="AB17" s="36" t="str">
        <f>IF(AND('Mapa final'!$AB$14="Alta",'Mapa final'!$AD$14="Mayor"),CONCATENATE("R2C",'Mapa final'!$R$14),"")</f>
        <v/>
      </c>
      <c r="AC17" s="37" t="str">
        <f>IF(AND('Mapa final'!$AB$15="Alta",'Mapa final'!$AD$15="Mayor"),CONCATENATE("R2C",'Mapa final'!$R$15),"")</f>
        <v/>
      </c>
      <c r="AD17" s="37" t="str">
        <f>IF(AND('Mapa final'!$AB$16="Alta",'Mapa final'!$AD$16="Mayor"),CONCATENATE("R2C",'Mapa final'!$R$16),"")</f>
        <v/>
      </c>
      <c r="AE17" s="37" t="str">
        <f>IF(AND('Mapa final'!$AB$17="Alta",'Mapa final'!$AD$17="Mayor"),CONCATENATE("R2C",'Mapa final'!$R$17),"")</f>
        <v/>
      </c>
      <c r="AF17" s="37" t="e">
        <f>IF(AND('Mapa final'!#REF!="Alta",'Mapa final'!#REF!="Mayor"),CONCATENATE("R2C",'Mapa final'!#REF!),"")</f>
        <v>#REF!</v>
      </c>
      <c r="AG17" s="38" t="e">
        <f>IF(AND('Mapa final'!#REF!="Alta",'Mapa final'!#REF!="Mayor"),CONCATENATE("R2C",'Mapa final'!#REF!),"")</f>
        <v>#REF!</v>
      </c>
      <c r="AH17" s="39" t="str">
        <f>IF(AND('Mapa final'!$AB$14="Alta",'Mapa final'!$AD$14="Catastrófico"),CONCATENATE("R2C",'Mapa final'!$R$14),"")</f>
        <v/>
      </c>
      <c r="AI17" s="40" t="str">
        <f>IF(AND('Mapa final'!$AB$15="Alta",'Mapa final'!$AD$15="Catastrófico"),CONCATENATE("R2C",'Mapa final'!$R$15),"")</f>
        <v/>
      </c>
      <c r="AJ17" s="40" t="str">
        <f>IF(AND('Mapa final'!$AB$16="Alta",'Mapa final'!$AD$16="Catastrófico"),CONCATENATE("R2C",'Mapa final'!$R$16),"")</f>
        <v/>
      </c>
      <c r="AK17" s="40" t="str">
        <f>IF(AND('Mapa final'!$AB$17="Alta",'Mapa final'!$AD$17="Catastrófico"),CONCATENATE("R2C",'Mapa final'!$R$17),"")</f>
        <v/>
      </c>
      <c r="AL17" s="40" t="e">
        <f>IF(AND('Mapa final'!#REF!="Alta",'Mapa final'!#REF!="Catastrófico"),CONCATENATE("R2C",'Mapa final'!#REF!),"")</f>
        <v>#REF!</v>
      </c>
      <c r="AM17" s="41" t="e">
        <f>IF(AND('Mapa final'!#REF!="Alta",'Mapa final'!#REF!="Catastrófico"),CONCATENATE("R2C",'Mapa final'!#REF!),"")</f>
        <v>#REF!</v>
      </c>
      <c r="AN17" s="67"/>
      <c r="AO17" s="642"/>
      <c r="AP17" s="643"/>
      <c r="AQ17" s="643"/>
      <c r="AR17" s="643"/>
      <c r="AS17" s="643"/>
      <c r="AT17" s="644"/>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553"/>
      <c r="C18" s="553"/>
      <c r="D18" s="554"/>
      <c r="E18" s="652"/>
      <c r="F18" s="651"/>
      <c r="G18" s="651"/>
      <c r="H18" s="651"/>
      <c r="I18" s="651"/>
      <c r="J18" s="51" t="str">
        <f>IF(AND('Mapa final'!$AB$18="Alta",'Mapa final'!$AD$18="Leve"),CONCATENATE("R3C",'Mapa final'!$R$18),"")</f>
        <v/>
      </c>
      <c r="K18" s="52" t="str">
        <f>IF(AND('Mapa final'!$AB$19="Alta",'Mapa final'!$AD$19="Leve"),CONCATENATE("R3C",'Mapa final'!$R$19),"")</f>
        <v/>
      </c>
      <c r="L18" s="52" t="e">
        <f>IF(AND('Mapa final'!#REF!="Alta",'Mapa final'!#REF!="Leve"),CONCATENATE("R3C",'Mapa final'!#REF!),"")</f>
        <v>#REF!</v>
      </c>
      <c r="M18" s="52" t="e">
        <f>IF(AND('Mapa final'!#REF!="Alta",'Mapa final'!#REF!="Leve"),CONCATENATE("R3C",'Mapa final'!#REF!),"")</f>
        <v>#REF!</v>
      </c>
      <c r="N18" s="52" t="e">
        <f>IF(AND('Mapa final'!#REF!="Alta",'Mapa final'!#REF!="Leve"),CONCATENATE("R3C",'Mapa final'!#REF!),"")</f>
        <v>#REF!</v>
      </c>
      <c r="O18" s="53" t="str">
        <f>IF(AND('Mapa final'!$AB$20="Alta",'Mapa final'!$AD$20="Leve"),CONCATENATE("R3C",'Mapa final'!$R$20),"")</f>
        <v/>
      </c>
      <c r="P18" s="51" t="str">
        <f>IF(AND('Mapa final'!$AB$18="Alta",'Mapa final'!$AD$18="Menor"),CONCATENATE("R3C",'Mapa final'!$R$18),"")</f>
        <v/>
      </c>
      <c r="Q18" s="52" t="str">
        <f>IF(AND('Mapa final'!$AB$19="Alta",'Mapa final'!$AD$19="Menor"),CONCATENATE("R3C",'Mapa final'!$R$19),"")</f>
        <v/>
      </c>
      <c r="R18" s="52" t="e">
        <f>IF(AND('Mapa final'!#REF!="Alta",'Mapa final'!#REF!="Menor"),CONCATENATE("R3C",'Mapa final'!#REF!),"")</f>
        <v>#REF!</v>
      </c>
      <c r="S18" s="52" t="e">
        <f>IF(AND('Mapa final'!#REF!="Alta",'Mapa final'!#REF!="Menor"),CONCATENATE("R3C",'Mapa final'!#REF!),"")</f>
        <v>#REF!</v>
      </c>
      <c r="T18" s="52" t="e">
        <f>IF(AND('Mapa final'!#REF!="Alta",'Mapa final'!#REF!="Menor"),CONCATENATE("R3C",'Mapa final'!#REF!),"")</f>
        <v>#REF!</v>
      </c>
      <c r="U18" s="53" t="str">
        <f>IF(AND('Mapa final'!$AB$20="Alta",'Mapa final'!$AD$20="Menor"),CONCATENATE("R3C",'Mapa final'!$R$20),"")</f>
        <v/>
      </c>
      <c r="V18" s="36" t="str">
        <f>IF(AND('Mapa final'!$AB$18="Alta",'Mapa final'!$AD$18="Moderado"),CONCATENATE("R3C",'Mapa final'!$R$18),"")</f>
        <v/>
      </c>
      <c r="W18" s="37" t="str">
        <f>IF(AND('Mapa final'!$AB$19="Alta",'Mapa final'!$AD$19="Moderado"),CONCATENATE("R3C",'Mapa final'!$R$19),"")</f>
        <v/>
      </c>
      <c r="X18" s="37" t="e">
        <f>IF(AND('Mapa final'!#REF!="Alta",'Mapa final'!#REF!="Moderado"),CONCATENATE("R3C",'Mapa final'!#REF!),"")</f>
        <v>#REF!</v>
      </c>
      <c r="Y18" s="37" t="e">
        <f>IF(AND('Mapa final'!#REF!="Alta",'Mapa final'!#REF!="Moderado"),CONCATENATE("R3C",'Mapa final'!#REF!),"")</f>
        <v>#REF!</v>
      </c>
      <c r="Z18" s="37" t="e">
        <f>IF(AND('Mapa final'!#REF!="Alta",'Mapa final'!#REF!="Moderado"),CONCATENATE("R3C",'Mapa final'!#REF!),"")</f>
        <v>#REF!</v>
      </c>
      <c r="AA18" s="38" t="str">
        <f>IF(AND('Mapa final'!$AB$20="Alta",'Mapa final'!$AD$20="Moderado"),CONCATENATE("R3C",'Mapa final'!$R$20),"")</f>
        <v/>
      </c>
      <c r="AB18" s="36" t="str">
        <f>IF(AND('Mapa final'!$AB$18="Alta",'Mapa final'!$AD$18="Mayor"),CONCATENATE("R3C",'Mapa final'!$R$18),"")</f>
        <v/>
      </c>
      <c r="AC18" s="37" t="str">
        <f>IF(AND('Mapa final'!$AB$19="Alta",'Mapa final'!$AD$19="Mayor"),CONCATENATE("R3C",'Mapa final'!$R$19),"")</f>
        <v/>
      </c>
      <c r="AD18" s="37" t="e">
        <f>IF(AND('Mapa final'!#REF!="Alta",'Mapa final'!#REF!="Mayor"),CONCATENATE("R3C",'Mapa final'!#REF!),"")</f>
        <v>#REF!</v>
      </c>
      <c r="AE18" s="37" t="e">
        <f>IF(AND('Mapa final'!#REF!="Alta",'Mapa final'!#REF!="Mayor"),CONCATENATE("R3C",'Mapa final'!#REF!),"")</f>
        <v>#REF!</v>
      </c>
      <c r="AF18" s="37" t="e">
        <f>IF(AND('Mapa final'!#REF!="Alta",'Mapa final'!#REF!="Mayor"),CONCATENATE("R3C",'Mapa final'!#REF!),"")</f>
        <v>#REF!</v>
      </c>
      <c r="AG18" s="38" t="str">
        <f>IF(AND('Mapa final'!$AB$20="Alta",'Mapa final'!$AD$20="Mayor"),CONCATENATE("R3C",'Mapa final'!$R$20),"")</f>
        <v/>
      </c>
      <c r="AH18" s="39" t="str">
        <f>IF(AND('Mapa final'!$AB$18="Alta",'Mapa final'!$AD$18="Catastrófico"),CONCATENATE("R3C",'Mapa final'!$R$18),"")</f>
        <v/>
      </c>
      <c r="AI18" s="40" t="str">
        <f>IF(AND('Mapa final'!$AB$19="Alta",'Mapa final'!$AD$19="Catastrófico"),CONCATENATE("R3C",'Mapa final'!$R$19),"")</f>
        <v/>
      </c>
      <c r="AJ18" s="40" t="e">
        <f>IF(AND('Mapa final'!#REF!="Alta",'Mapa final'!#REF!="Catastrófico"),CONCATENATE("R3C",'Mapa final'!#REF!),"")</f>
        <v>#REF!</v>
      </c>
      <c r="AK18" s="40" t="e">
        <f>IF(AND('Mapa final'!#REF!="Alta",'Mapa final'!#REF!="Catastrófico"),CONCATENATE("R3C",'Mapa final'!#REF!),"")</f>
        <v>#REF!</v>
      </c>
      <c r="AL18" s="40" t="e">
        <f>IF(AND('Mapa final'!#REF!="Alta",'Mapa final'!#REF!="Catastrófico"),CONCATENATE("R3C",'Mapa final'!#REF!),"")</f>
        <v>#REF!</v>
      </c>
      <c r="AM18" s="41" t="str">
        <f>IF(AND('Mapa final'!$AB$20="Alta",'Mapa final'!$AD$20="Catastrófico"),CONCATENATE("R3C",'Mapa final'!$R$20),"")</f>
        <v/>
      </c>
      <c r="AN18" s="67"/>
      <c r="AO18" s="642"/>
      <c r="AP18" s="643"/>
      <c r="AQ18" s="643"/>
      <c r="AR18" s="643"/>
      <c r="AS18" s="643"/>
      <c r="AT18" s="644"/>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553"/>
      <c r="C19" s="553"/>
      <c r="D19" s="554"/>
      <c r="E19" s="652"/>
      <c r="F19" s="651"/>
      <c r="G19" s="651"/>
      <c r="H19" s="651"/>
      <c r="I19" s="651"/>
      <c r="J19" s="51" t="str">
        <f>IF(AND('Mapa final'!$AB$21="Alta",'Mapa final'!$AD$21="Leve"),CONCATENATE("R4C",'Mapa final'!$R$21),"")</f>
        <v/>
      </c>
      <c r="K19" s="52" t="str">
        <f>IF(AND('Mapa final'!$AB$22="Alta",'Mapa final'!$AD$22="Leve"),CONCATENATE("R4C",'Mapa final'!$R$22),"")</f>
        <v/>
      </c>
      <c r="L19" s="52" t="str">
        <f>IF(AND('Mapa final'!$AB$23="Alta",'Mapa final'!$AD$23="Leve"),CONCATENATE("R4C",'Mapa final'!$R$23),"")</f>
        <v/>
      </c>
      <c r="M19" s="52" t="e">
        <f>IF(AND('Mapa final'!#REF!="Alta",'Mapa final'!#REF!="Leve"),CONCATENATE("R4C",'Mapa final'!#REF!),"")</f>
        <v>#REF!</v>
      </c>
      <c r="N19" s="52" t="e">
        <f>IF(AND('Mapa final'!#REF!="Alta",'Mapa final'!#REF!="Leve"),CONCATENATE("R4C",'Mapa final'!#REF!),"")</f>
        <v>#REF!</v>
      </c>
      <c r="O19" s="53" t="e">
        <f>IF(AND('Mapa final'!#REF!="Alta",'Mapa final'!#REF!="Leve"),CONCATENATE("R4C",'Mapa final'!#REF!),"")</f>
        <v>#REF!</v>
      </c>
      <c r="P19" s="51" t="str">
        <f>IF(AND('Mapa final'!$AB$21="Alta",'Mapa final'!$AD$21="Menor"),CONCATENATE("R4C",'Mapa final'!$R$21),"")</f>
        <v/>
      </c>
      <c r="Q19" s="52" t="str">
        <f>IF(AND('Mapa final'!$AB$22="Alta",'Mapa final'!$AD$22="Menor"),CONCATENATE("R4C",'Mapa final'!$R$22),"")</f>
        <v/>
      </c>
      <c r="R19" s="52" t="str">
        <f>IF(AND('Mapa final'!$AB$23="Alta",'Mapa final'!$AD$23="Menor"),CONCATENATE("R4C",'Mapa final'!$R$23),"")</f>
        <v/>
      </c>
      <c r="S19" s="52" t="e">
        <f>IF(AND('Mapa final'!#REF!="Alta",'Mapa final'!#REF!="Menor"),CONCATENATE("R4C",'Mapa final'!#REF!),"")</f>
        <v>#REF!</v>
      </c>
      <c r="T19" s="52" t="e">
        <f>IF(AND('Mapa final'!#REF!="Alta",'Mapa final'!#REF!="Menor"),CONCATENATE("R4C",'Mapa final'!#REF!),"")</f>
        <v>#REF!</v>
      </c>
      <c r="U19" s="53" t="e">
        <f>IF(AND('Mapa final'!#REF!="Alta",'Mapa final'!#REF!="Menor"),CONCATENATE("R4C",'Mapa final'!#REF!),"")</f>
        <v>#REF!</v>
      </c>
      <c r="V19" s="36" t="str">
        <f>IF(AND('Mapa final'!$AB$21="Alta",'Mapa final'!$AD$21="Moderado"),CONCATENATE("R4C",'Mapa final'!$R$21),"")</f>
        <v/>
      </c>
      <c r="W19" s="37" t="str">
        <f>IF(AND('Mapa final'!$AB$22="Alta",'Mapa final'!$AD$22="Moderado"),CONCATENATE("R4C",'Mapa final'!$R$22),"")</f>
        <v/>
      </c>
      <c r="X19" s="37" t="str">
        <f>IF(AND('Mapa final'!$AB$23="Alta",'Mapa final'!$AD$23="Moderado"),CONCATENATE("R4C",'Mapa final'!$R$23),"")</f>
        <v/>
      </c>
      <c r="Y19" s="37" t="e">
        <f>IF(AND('Mapa final'!#REF!="Alta",'Mapa final'!#REF!="Moderado"),CONCATENATE("R4C",'Mapa final'!#REF!),"")</f>
        <v>#REF!</v>
      </c>
      <c r="Z19" s="37" t="e">
        <f>IF(AND('Mapa final'!#REF!="Alta",'Mapa final'!#REF!="Moderado"),CONCATENATE("R4C",'Mapa final'!#REF!),"")</f>
        <v>#REF!</v>
      </c>
      <c r="AA19" s="38" t="e">
        <f>IF(AND('Mapa final'!#REF!="Alta",'Mapa final'!#REF!="Moderado"),CONCATENATE("R4C",'Mapa final'!#REF!),"")</f>
        <v>#REF!</v>
      </c>
      <c r="AB19" s="36" t="str">
        <f>IF(AND('Mapa final'!$AB$21="Alta",'Mapa final'!$AD$21="Mayor"),CONCATENATE("R4C",'Mapa final'!$R$21),"")</f>
        <v/>
      </c>
      <c r="AC19" s="37" t="str">
        <f>IF(AND('Mapa final'!$AB$22="Alta",'Mapa final'!$AD$22="Mayor"),CONCATENATE("R4C",'Mapa final'!$R$22),"")</f>
        <v/>
      </c>
      <c r="AD19" s="37" t="str">
        <f>IF(AND('Mapa final'!$AB$23="Alta",'Mapa final'!$AD$23="Mayor"),CONCATENATE("R4C",'Mapa final'!$R$23),"")</f>
        <v/>
      </c>
      <c r="AE19" s="37" t="e">
        <f>IF(AND('Mapa final'!#REF!="Alta",'Mapa final'!#REF!="Mayor"),CONCATENATE("R4C",'Mapa final'!#REF!),"")</f>
        <v>#REF!</v>
      </c>
      <c r="AF19" s="37" t="e">
        <f>IF(AND('Mapa final'!#REF!="Alta",'Mapa final'!#REF!="Mayor"),CONCATENATE("R4C",'Mapa final'!#REF!),"")</f>
        <v>#REF!</v>
      </c>
      <c r="AG19" s="38" t="e">
        <f>IF(AND('Mapa final'!#REF!="Alta",'Mapa final'!#REF!="Mayor"),CONCATENATE("R4C",'Mapa final'!#REF!),"")</f>
        <v>#REF!</v>
      </c>
      <c r="AH19" s="39" t="str">
        <f>IF(AND('Mapa final'!$AB$21="Alta",'Mapa final'!$AD$21="Catastrófico"),CONCATENATE("R4C",'Mapa final'!$R$21),"")</f>
        <v/>
      </c>
      <c r="AI19" s="40" t="str">
        <f>IF(AND('Mapa final'!$AB$22="Alta",'Mapa final'!$AD$22="Catastrófico"),CONCATENATE("R4C",'Mapa final'!$R$22),"")</f>
        <v/>
      </c>
      <c r="AJ19" s="40" t="str">
        <f>IF(AND('Mapa final'!$AB$23="Alta",'Mapa final'!$AD$23="Catastrófico"),CONCATENATE("R4C",'Mapa final'!$R$23),"")</f>
        <v/>
      </c>
      <c r="AK19" s="40" t="e">
        <f>IF(AND('Mapa final'!#REF!="Alta",'Mapa final'!#REF!="Catastrófico"),CONCATENATE("R4C",'Mapa final'!#REF!),"")</f>
        <v>#REF!</v>
      </c>
      <c r="AL19" s="40" t="e">
        <f>IF(AND('Mapa final'!#REF!="Alta",'Mapa final'!#REF!="Catastrófico"),CONCATENATE("R4C",'Mapa final'!#REF!),"")</f>
        <v>#REF!</v>
      </c>
      <c r="AM19" s="41" t="e">
        <f>IF(AND('Mapa final'!#REF!="Alta",'Mapa final'!#REF!="Catastrófico"),CONCATENATE("R4C",'Mapa final'!#REF!),"")</f>
        <v>#REF!</v>
      </c>
      <c r="AN19" s="67"/>
      <c r="AO19" s="642"/>
      <c r="AP19" s="643"/>
      <c r="AQ19" s="643"/>
      <c r="AR19" s="643"/>
      <c r="AS19" s="643"/>
      <c r="AT19" s="644"/>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553"/>
      <c r="C20" s="553"/>
      <c r="D20" s="554"/>
      <c r="E20" s="652"/>
      <c r="F20" s="651"/>
      <c r="G20" s="651"/>
      <c r="H20" s="651"/>
      <c r="I20" s="651"/>
      <c r="J20" s="51" t="str">
        <f>IF(AND('Mapa final'!$AB$24="Alta",'Mapa final'!$AD$24="Leve"),CONCATENATE("R5C",'Mapa final'!$R$24),"")</f>
        <v/>
      </c>
      <c r="K20" s="52" t="str">
        <f>IF(AND('Mapa final'!$AB$25="Alta",'Mapa final'!$AD$25="Leve"),CONCATENATE("R5C",'Mapa final'!$R$25),"")</f>
        <v/>
      </c>
      <c r="L20" s="52" t="str">
        <f>IF(AND('Mapa final'!$AB$26="Alta",'Mapa final'!$AD$26="Leve"),CONCATENATE("R5C",'Mapa final'!$R$26),"")</f>
        <v/>
      </c>
      <c r="M20" s="52" t="str">
        <f>IF(AND('Mapa final'!$AB$27="Alta",'Mapa final'!$AD$27="Leve"),CONCATENATE("R5C",'Mapa final'!$R$27),"")</f>
        <v/>
      </c>
      <c r="N20" s="52" t="str">
        <f>IF(AND('Mapa final'!$AB$28="Alta",'Mapa final'!$AD$28="Leve"),CONCATENATE("R5C",'Mapa final'!$R$28),"")</f>
        <v/>
      </c>
      <c r="O20" s="53" t="str">
        <f>IF(AND('Mapa final'!$AB$29="Alta",'Mapa final'!$AD$29="Leve"),CONCATENATE("R5C",'Mapa final'!$R$29),"")</f>
        <v/>
      </c>
      <c r="P20" s="51" t="str">
        <f>IF(AND('Mapa final'!$AB$24="Alta",'Mapa final'!$AD$24="Menor"),CONCATENATE("R5C",'Mapa final'!$R$24),"")</f>
        <v/>
      </c>
      <c r="Q20" s="52" t="str">
        <f>IF(AND('Mapa final'!$AB$25="Alta",'Mapa final'!$AD$25="Menor"),CONCATENATE("R5C",'Mapa final'!$R$25),"")</f>
        <v/>
      </c>
      <c r="R20" s="52" t="str">
        <f>IF(AND('Mapa final'!$AB$26="Alta",'Mapa final'!$AD$26="Menor"),CONCATENATE("R5C",'Mapa final'!$R$26),"")</f>
        <v/>
      </c>
      <c r="S20" s="52" t="str">
        <f>IF(AND('Mapa final'!$AB$27="Alta",'Mapa final'!$AD$27="Menor"),CONCATENATE("R5C",'Mapa final'!$R$27),"")</f>
        <v/>
      </c>
      <c r="T20" s="52" t="str">
        <f>IF(AND('Mapa final'!$AB$28="Alta",'Mapa final'!$AD$28="Menor"),CONCATENATE("R5C",'Mapa final'!$R$28),"")</f>
        <v/>
      </c>
      <c r="U20" s="53" t="str">
        <f>IF(AND('Mapa final'!$AB$29="Alta",'Mapa final'!$AD$29="Menor"),CONCATENATE("R5C",'Mapa final'!$R$29),"")</f>
        <v/>
      </c>
      <c r="V20" s="36" t="str">
        <f>IF(AND('Mapa final'!$AB$24="Alta",'Mapa final'!$AD$24="Moderado"),CONCATENATE("R5C",'Mapa final'!$R$24),"")</f>
        <v/>
      </c>
      <c r="W20" s="37" t="str">
        <f>IF(AND('Mapa final'!$AB$25="Alta",'Mapa final'!$AD$25="Moderado"),CONCATENATE("R5C",'Mapa final'!$R$25),"")</f>
        <v/>
      </c>
      <c r="X20" s="37" t="str">
        <f>IF(AND('Mapa final'!$AB$26="Alta",'Mapa final'!$AD$26="Moderado"),CONCATENATE("R5C",'Mapa final'!$R$26),"")</f>
        <v/>
      </c>
      <c r="Y20" s="37" t="str">
        <f>IF(AND('Mapa final'!$AB$27="Alta",'Mapa final'!$AD$27="Moderado"),CONCATENATE("R5C",'Mapa final'!$R$27),"")</f>
        <v/>
      </c>
      <c r="Z20" s="37" t="str">
        <f>IF(AND('Mapa final'!$AB$28="Alta",'Mapa final'!$AD$28="Moderado"),CONCATENATE("R5C",'Mapa final'!$R$28),"")</f>
        <v/>
      </c>
      <c r="AA20" s="38" t="str">
        <f>IF(AND('Mapa final'!$AB$29="Alta",'Mapa final'!$AD$29="Moderado"),CONCATENATE("R5C",'Mapa final'!$R$29),"")</f>
        <v/>
      </c>
      <c r="AB20" s="36" t="str">
        <f>IF(AND('Mapa final'!$AB$24="Alta",'Mapa final'!$AD$24="Mayor"),CONCATENATE("R5C",'Mapa final'!$R$24),"")</f>
        <v/>
      </c>
      <c r="AC20" s="37" t="str">
        <f>IF(AND('Mapa final'!$AB$25="Alta",'Mapa final'!$AD$25="Mayor"),CONCATENATE("R5C",'Mapa final'!$R$25),"")</f>
        <v/>
      </c>
      <c r="AD20" s="37" t="str">
        <f>IF(AND('Mapa final'!$AB$26="Alta",'Mapa final'!$AD$26="Mayor"),CONCATENATE("R5C",'Mapa final'!$R$26),"")</f>
        <v/>
      </c>
      <c r="AE20" s="37" t="str">
        <f>IF(AND('Mapa final'!$AB$27="Alta",'Mapa final'!$AD$27="Mayor"),CONCATENATE("R5C",'Mapa final'!$R$27),"")</f>
        <v/>
      </c>
      <c r="AF20" s="37" t="str">
        <f>IF(AND('Mapa final'!$AB$28="Alta",'Mapa final'!$AD$28="Mayor"),CONCATENATE("R5C",'Mapa final'!$R$28),"")</f>
        <v/>
      </c>
      <c r="AG20" s="38" t="str">
        <f>IF(AND('Mapa final'!$AB$29="Alta",'Mapa final'!$AD$29="Mayor"),CONCATENATE("R5C",'Mapa final'!$R$29),"")</f>
        <v/>
      </c>
      <c r="AH20" s="39" t="str">
        <f>IF(AND('Mapa final'!$AB$24="Alta",'Mapa final'!$AD$24="Catastrófico"),CONCATENATE("R5C",'Mapa final'!$R$24),"")</f>
        <v/>
      </c>
      <c r="AI20" s="40" t="str">
        <f>IF(AND('Mapa final'!$AB$25="Alta",'Mapa final'!$AD$25="Catastrófico"),CONCATENATE("R5C",'Mapa final'!$R$25),"")</f>
        <v/>
      </c>
      <c r="AJ20" s="40" t="str">
        <f>IF(AND('Mapa final'!$AB$26="Alta",'Mapa final'!$AD$26="Catastrófico"),CONCATENATE("R5C",'Mapa final'!$R$26),"")</f>
        <v/>
      </c>
      <c r="AK20" s="40" t="str">
        <f>IF(AND('Mapa final'!$AB$27="Alta",'Mapa final'!$AD$27="Catastrófico"),CONCATENATE("R5C",'Mapa final'!$R$27),"")</f>
        <v/>
      </c>
      <c r="AL20" s="40" t="str">
        <f>IF(AND('Mapa final'!$AB$28="Alta",'Mapa final'!$AD$28="Catastrófico"),CONCATENATE("R5C",'Mapa final'!$R$28),"")</f>
        <v/>
      </c>
      <c r="AM20" s="41" t="str">
        <f>IF(AND('Mapa final'!$AB$29="Alta",'Mapa final'!$AD$29="Catastrófico"),CONCATENATE("R5C",'Mapa final'!$R$29),"")</f>
        <v/>
      </c>
      <c r="AN20" s="67"/>
      <c r="AO20" s="642"/>
      <c r="AP20" s="643"/>
      <c r="AQ20" s="643"/>
      <c r="AR20" s="643"/>
      <c r="AS20" s="643"/>
      <c r="AT20" s="644"/>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553"/>
      <c r="C21" s="553"/>
      <c r="D21" s="554"/>
      <c r="E21" s="652"/>
      <c r="F21" s="651"/>
      <c r="G21" s="651"/>
      <c r="H21" s="651"/>
      <c r="I21" s="651"/>
      <c r="J21" s="51" t="str">
        <f>IF(AND('Mapa final'!$AB$30="Alta",'Mapa final'!$AD$30="Leve"),CONCATENATE("R6C",'Mapa final'!$R$30),"")</f>
        <v/>
      </c>
      <c r="K21" s="52" t="str">
        <f>IF(AND('Mapa final'!$AB$31="Alta",'Mapa final'!$AD$31="Leve"),CONCATENATE("R6C",'Mapa final'!$R$31),"")</f>
        <v/>
      </c>
      <c r="L21" s="52" t="str">
        <f>IF(AND('Mapa final'!$AB$32="Alta",'Mapa final'!$AD$32="Leve"),CONCATENATE("R6C",'Mapa final'!$R$32),"")</f>
        <v/>
      </c>
      <c r="M21" s="52" t="str">
        <f>IF(AND('Mapa final'!$AB$33="Alta",'Mapa final'!$AD$33="Leve"),CONCATENATE("R6C",'Mapa final'!$R$33),"")</f>
        <v/>
      </c>
      <c r="N21" s="52" t="str">
        <f>IF(AND('Mapa final'!$AB$34="Alta",'Mapa final'!$AD$34="Leve"),CONCATENATE("R6C",'Mapa final'!$R$34),"")</f>
        <v/>
      </c>
      <c r="O21" s="53" t="str">
        <f>IF(AND('Mapa final'!$AB$35="Alta",'Mapa final'!$AD$35="Leve"),CONCATENATE("R6C",'Mapa final'!$R$35),"")</f>
        <v/>
      </c>
      <c r="P21" s="51" t="str">
        <f>IF(AND('Mapa final'!$AB$30="Alta",'Mapa final'!$AD$30="Menor"),CONCATENATE("R6C",'Mapa final'!$R$30),"")</f>
        <v/>
      </c>
      <c r="Q21" s="52" t="str">
        <f>IF(AND('Mapa final'!$AB$31="Alta",'Mapa final'!$AD$31="Menor"),CONCATENATE("R6C",'Mapa final'!$R$31),"")</f>
        <v/>
      </c>
      <c r="R21" s="52" t="str">
        <f>IF(AND('Mapa final'!$AB$32="Alta",'Mapa final'!$AD$32="Menor"),CONCATENATE("R6C",'Mapa final'!$R$32),"")</f>
        <v/>
      </c>
      <c r="S21" s="52" t="str">
        <f>IF(AND('Mapa final'!$AB$33="Alta",'Mapa final'!$AD$33="Menor"),CONCATENATE("R6C",'Mapa final'!$R$33),"")</f>
        <v/>
      </c>
      <c r="T21" s="52" t="str">
        <f>IF(AND('Mapa final'!$AB$34="Alta",'Mapa final'!$AD$34="Menor"),CONCATENATE("R6C",'Mapa final'!$R$34),"")</f>
        <v/>
      </c>
      <c r="U21" s="53" t="str">
        <f>IF(AND('Mapa final'!$AB$35="Alta",'Mapa final'!$AD$35="Menor"),CONCATENATE("R6C",'Mapa final'!$R$35),"")</f>
        <v/>
      </c>
      <c r="V21" s="36" t="str">
        <f>IF(AND('Mapa final'!$AB$30="Alta",'Mapa final'!$AD$30="Moderado"),CONCATENATE("R6C",'Mapa final'!$R$30),"")</f>
        <v/>
      </c>
      <c r="W21" s="37" t="str">
        <f>IF(AND('Mapa final'!$AB$31="Alta",'Mapa final'!$AD$31="Moderado"),CONCATENATE("R6C",'Mapa final'!$R$31),"")</f>
        <v/>
      </c>
      <c r="X21" s="37" t="str">
        <f>IF(AND('Mapa final'!$AB$32="Alta",'Mapa final'!$AD$32="Moderado"),CONCATENATE("R6C",'Mapa final'!$R$32),"")</f>
        <v/>
      </c>
      <c r="Y21" s="37" t="str">
        <f>IF(AND('Mapa final'!$AB$33="Alta",'Mapa final'!$AD$33="Moderado"),CONCATENATE("R6C",'Mapa final'!$R$33),"")</f>
        <v/>
      </c>
      <c r="Z21" s="37" t="str">
        <f>IF(AND('Mapa final'!$AB$34="Alta",'Mapa final'!$AD$34="Moderado"),CONCATENATE("R6C",'Mapa final'!$R$34),"")</f>
        <v/>
      </c>
      <c r="AA21" s="38" t="str">
        <f>IF(AND('Mapa final'!$AB$35="Alta",'Mapa final'!$AD$35="Moderado"),CONCATENATE("R6C",'Mapa final'!$R$35),"")</f>
        <v/>
      </c>
      <c r="AB21" s="36" t="str">
        <f>IF(AND('Mapa final'!$AB$30="Alta",'Mapa final'!$AD$30="Mayor"),CONCATENATE("R6C",'Mapa final'!$R$30),"")</f>
        <v/>
      </c>
      <c r="AC21" s="37" t="str">
        <f>IF(AND('Mapa final'!$AB$31="Alta",'Mapa final'!$AD$31="Mayor"),CONCATENATE("R6C",'Mapa final'!$R$31),"")</f>
        <v/>
      </c>
      <c r="AD21" s="37" t="str">
        <f>IF(AND('Mapa final'!$AB$32="Alta",'Mapa final'!$AD$32="Mayor"),CONCATENATE("R6C",'Mapa final'!$R$32),"")</f>
        <v/>
      </c>
      <c r="AE21" s="37" t="str">
        <f>IF(AND('Mapa final'!$AB$33="Alta",'Mapa final'!$AD$33="Mayor"),CONCATENATE("R6C",'Mapa final'!$R$33),"")</f>
        <v/>
      </c>
      <c r="AF21" s="37" t="str">
        <f>IF(AND('Mapa final'!$AB$34="Alta",'Mapa final'!$AD$34="Mayor"),CONCATENATE("R6C",'Mapa final'!$R$34),"")</f>
        <v/>
      </c>
      <c r="AG21" s="38" t="str">
        <f>IF(AND('Mapa final'!$AB$35="Alta",'Mapa final'!$AD$35="Mayor"),CONCATENATE("R6C",'Mapa final'!$R$35),"")</f>
        <v/>
      </c>
      <c r="AH21" s="39" t="str">
        <f>IF(AND('Mapa final'!$AB$30="Alta",'Mapa final'!$AD$30="Catastrófico"),CONCATENATE("R6C",'Mapa final'!$R$30),"")</f>
        <v/>
      </c>
      <c r="AI21" s="40" t="str">
        <f>IF(AND('Mapa final'!$AB$31="Alta",'Mapa final'!$AD$31="Catastrófico"),CONCATENATE("R6C",'Mapa final'!$R$31),"")</f>
        <v/>
      </c>
      <c r="AJ21" s="40" t="str">
        <f>IF(AND('Mapa final'!$AB$32="Alta",'Mapa final'!$AD$32="Catastrófico"),CONCATENATE("R6C",'Mapa final'!$R$32),"")</f>
        <v/>
      </c>
      <c r="AK21" s="40" t="str">
        <f>IF(AND('Mapa final'!$AB$33="Alta",'Mapa final'!$AD$33="Catastrófico"),CONCATENATE("R6C",'Mapa final'!$R$33),"")</f>
        <v/>
      </c>
      <c r="AL21" s="40" t="str">
        <f>IF(AND('Mapa final'!$AB$34="Alta",'Mapa final'!$AD$34="Catastrófico"),CONCATENATE("R6C",'Mapa final'!$R$34),"")</f>
        <v/>
      </c>
      <c r="AM21" s="41" t="str">
        <f>IF(AND('Mapa final'!$AB$35="Alta",'Mapa final'!$AD$35="Catastrófico"),CONCATENATE("R6C",'Mapa final'!$R$35),"")</f>
        <v/>
      </c>
      <c r="AN21" s="67"/>
      <c r="AO21" s="642"/>
      <c r="AP21" s="643"/>
      <c r="AQ21" s="643"/>
      <c r="AR21" s="643"/>
      <c r="AS21" s="643"/>
      <c r="AT21" s="644"/>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553"/>
      <c r="C22" s="553"/>
      <c r="D22" s="554"/>
      <c r="E22" s="652"/>
      <c r="F22" s="651"/>
      <c r="G22" s="651"/>
      <c r="H22" s="651"/>
      <c r="I22" s="651"/>
      <c r="J22" s="51" t="str">
        <f>IF(AND('Mapa final'!$AB$36="Alta",'Mapa final'!$AD$36="Leve"),CONCATENATE("R7C",'Mapa final'!$R$36),"")</f>
        <v/>
      </c>
      <c r="K22" s="52" t="str">
        <f>IF(AND('Mapa final'!$AB$37="Alta",'Mapa final'!$AD$37="Leve"),CONCATENATE("R7C",'Mapa final'!$R$37),"")</f>
        <v/>
      </c>
      <c r="L22" s="52" t="str">
        <f>IF(AND('Mapa final'!$AB$38="Alta",'Mapa final'!$AD$38="Leve"),CONCATENATE("R7C",'Mapa final'!$R$38),"")</f>
        <v/>
      </c>
      <c r="M22" s="52" t="str">
        <f>IF(AND('Mapa final'!$AB$39="Alta",'Mapa final'!$AD$39="Leve"),CONCATENATE("R7C",'Mapa final'!$R$39),"")</f>
        <v/>
      </c>
      <c r="N22" s="52" t="str">
        <f>IF(AND('Mapa final'!$AB$40="Alta",'Mapa final'!$AD$40="Leve"),CONCATENATE("R7C",'Mapa final'!$R$40),"")</f>
        <v/>
      </c>
      <c r="O22" s="53" t="str">
        <f>IF(AND('Mapa final'!$AB$41="Alta",'Mapa final'!$AD$41="Leve"),CONCATENATE("R7C",'Mapa final'!$R$41),"")</f>
        <v/>
      </c>
      <c r="P22" s="51" t="str">
        <f>IF(AND('Mapa final'!$AB$36="Alta",'Mapa final'!$AD$36="Menor"),CONCATENATE("R7C",'Mapa final'!$R$36),"")</f>
        <v/>
      </c>
      <c r="Q22" s="52" t="str">
        <f>IF(AND('Mapa final'!$AB$37="Alta",'Mapa final'!$AD$37="Menor"),CONCATENATE("R7C",'Mapa final'!$R$37),"")</f>
        <v/>
      </c>
      <c r="R22" s="52" t="str">
        <f>IF(AND('Mapa final'!$AB$38="Alta",'Mapa final'!$AD$38="Menor"),CONCATENATE("R7C",'Mapa final'!$R$38),"")</f>
        <v/>
      </c>
      <c r="S22" s="52" t="str">
        <f>IF(AND('Mapa final'!$AB$39="Alta",'Mapa final'!$AD$39="Menor"),CONCATENATE("R7C",'Mapa final'!$R$39),"")</f>
        <v/>
      </c>
      <c r="T22" s="52" t="str">
        <f>IF(AND('Mapa final'!$AB$40="Alta",'Mapa final'!$AD$40="Menor"),CONCATENATE("R7C",'Mapa final'!$R$40),"")</f>
        <v/>
      </c>
      <c r="U22" s="53" t="str">
        <f>IF(AND('Mapa final'!$AB$41="Alta",'Mapa final'!$AD$41="Menor"),CONCATENATE("R7C",'Mapa final'!$R$41),"")</f>
        <v/>
      </c>
      <c r="V22" s="36" t="str">
        <f>IF(AND('Mapa final'!$AB$36="Alta",'Mapa final'!$AD$36="Moderado"),CONCATENATE("R7C",'Mapa final'!$R$36),"")</f>
        <v/>
      </c>
      <c r="W22" s="37" t="str">
        <f>IF(AND('Mapa final'!$AB$37="Alta",'Mapa final'!$AD$37="Moderado"),CONCATENATE("R7C",'Mapa final'!$R$37),"")</f>
        <v/>
      </c>
      <c r="X22" s="37" t="str">
        <f>IF(AND('Mapa final'!$AB$38="Alta",'Mapa final'!$AD$38="Moderado"),CONCATENATE("R7C",'Mapa final'!$R$38),"")</f>
        <v/>
      </c>
      <c r="Y22" s="37" t="str">
        <f>IF(AND('Mapa final'!$AB$39="Alta",'Mapa final'!$AD$39="Moderado"),CONCATENATE("R7C",'Mapa final'!$R$39),"")</f>
        <v/>
      </c>
      <c r="Z22" s="37" t="str">
        <f>IF(AND('Mapa final'!$AB$40="Alta",'Mapa final'!$AD$40="Moderado"),CONCATENATE("R7C",'Mapa final'!$R$40),"")</f>
        <v/>
      </c>
      <c r="AA22" s="38" t="str">
        <f>IF(AND('Mapa final'!$AB$41="Alta",'Mapa final'!$AD$41="Moderado"),CONCATENATE("R7C",'Mapa final'!$R$41),"")</f>
        <v/>
      </c>
      <c r="AB22" s="36" t="str">
        <f>IF(AND('Mapa final'!$AB$36="Alta",'Mapa final'!$AD$36="Mayor"),CONCATENATE("R7C",'Mapa final'!$R$36),"")</f>
        <v/>
      </c>
      <c r="AC22" s="37" t="str">
        <f>IF(AND('Mapa final'!$AB$37="Alta",'Mapa final'!$AD$37="Mayor"),CONCATENATE("R7C",'Mapa final'!$R$37),"")</f>
        <v/>
      </c>
      <c r="AD22" s="37" t="str">
        <f>IF(AND('Mapa final'!$AB$38="Alta",'Mapa final'!$AD$38="Mayor"),CONCATENATE("R7C",'Mapa final'!$R$38),"")</f>
        <v/>
      </c>
      <c r="AE22" s="37" t="str">
        <f>IF(AND('Mapa final'!$AB$39="Alta",'Mapa final'!$AD$39="Mayor"),CONCATENATE("R7C",'Mapa final'!$R$39),"")</f>
        <v/>
      </c>
      <c r="AF22" s="37" t="str">
        <f>IF(AND('Mapa final'!$AB$40="Alta",'Mapa final'!$AD$40="Mayor"),CONCATENATE("R7C",'Mapa final'!$R$40),"")</f>
        <v/>
      </c>
      <c r="AG22" s="38" t="str">
        <f>IF(AND('Mapa final'!$AB$41="Alta",'Mapa final'!$AD$41="Mayor"),CONCATENATE("R7C",'Mapa final'!$R$41),"")</f>
        <v/>
      </c>
      <c r="AH22" s="39" t="str">
        <f>IF(AND('Mapa final'!$AB$36="Alta",'Mapa final'!$AD$36="Catastrófico"),CONCATENATE("R7C",'Mapa final'!$R$36),"")</f>
        <v/>
      </c>
      <c r="AI22" s="40" t="str">
        <f>IF(AND('Mapa final'!$AB$37="Alta",'Mapa final'!$AD$37="Catastrófico"),CONCATENATE("R7C",'Mapa final'!$R$37),"")</f>
        <v/>
      </c>
      <c r="AJ22" s="40" t="str">
        <f>IF(AND('Mapa final'!$AB$38="Alta",'Mapa final'!$AD$38="Catastrófico"),CONCATENATE("R7C",'Mapa final'!$R$38),"")</f>
        <v/>
      </c>
      <c r="AK22" s="40" t="str">
        <f>IF(AND('Mapa final'!$AB$39="Alta",'Mapa final'!$AD$39="Catastrófico"),CONCATENATE("R7C",'Mapa final'!$R$39),"")</f>
        <v/>
      </c>
      <c r="AL22" s="40" t="str">
        <f>IF(AND('Mapa final'!$AB$40="Alta",'Mapa final'!$AD$40="Catastrófico"),CONCATENATE("R7C",'Mapa final'!$R$40),"")</f>
        <v/>
      </c>
      <c r="AM22" s="41" t="str">
        <f>IF(AND('Mapa final'!$AB$41="Alta",'Mapa final'!$AD$41="Catastrófico"),CONCATENATE("R7C",'Mapa final'!$R$41),"")</f>
        <v/>
      </c>
      <c r="AN22" s="67"/>
      <c r="AO22" s="642"/>
      <c r="AP22" s="643"/>
      <c r="AQ22" s="643"/>
      <c r="AR22" s="643"/>
      <c r="AS22" s="643"/>
      <c r="AT22" s="644"/>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553"/>
      <c r="C23" s="553"/>
      <c r="D23" s="554"/>
      <c r="E23" s="652"/>
      <c r="F23" s="651"/>
      <c r="G23" s="651"/>
      <c r="H23" s="651"/>
      <c r="I23" s="651"/>
      <c r="J23" s="51" t="str">
        <f>IF(AND('Mapa final'!$AB$42="Alta",'Mapa final'!$AD$42="Leve"),CONCATENATE("R8C",'Mapa final'!$R$42),"")</f>
        <v/>
      </c>
      <c r="K23" s="52" t="str">
        <f>IF(AND('Mapa final'!$AB$43="Alta",'Mapa final'!$AD$43="Leve"),CONCATENATE("R8C",'Mapa final'!$R$43),"")</f>
        <v/>
      </c>
      <c r="L23" s="52" t="str">
        <f>IF(AND('Mapa final'!$AB$44="Alta",'Mapa final'!$AD$44="Leve"),CONCATENATE("R8C",'Mapa final'!$R$44),"")</f>
        <v/>
      </c>
      <c r="M23" s="52" t="str">
        <f>IF(AND('Mapa final'!$AB$45="Alta",'Mapa final'!$AD$45="Leve"),CONCATENATE("R8C",'Mapa final'!$R$45),"")</f>
        <v/>
      </c>
      <c r="N23" s="52" t="str">
        <f>IF(AND('Mapa final'!$AB$46="Alta",'Mapa final'!$AD$46="Leve"),CONCATENATE("R8C",'Mapa final'!$R$46),"")</f>
        <v/>
      </c>
      <c r="O23" s="53" t="str">
        <f>IF(AND('Mapa final'!$AB$47="Alta",'Mapa final'!$AD$47="Leve"),CONCATENATE("R8C",'Mapa final'!$R$47),"")</f>
        <v/>
      </c>
      <c r="P23" s="51" t="str">
        <f>IF(AND('Mapa final'!$AB$42="Alta",'Mapa final'!$AD$42="Menor"),CONCATENATE("R8C",'Mapa final'!$R$42),"")</f>
        <v/>
      </c>
      <c r="Q23" s="52" t="str">
        <f>IF(AND('Mapa final'!$AB$43="Alta",'Mapa final'!$AD$43="Menor"),CONCATENATE("R8C",'Mapa final'!$R$43),"")</f>
        <v/>
      </c>
      <c r="R23" s="52" t="str">
        <f>IF(AND('Mapa final'!$AB$44="Alta",'Mapa final'!$AD$44="Menor"),CONCATENATE("R8C",'Mapa final'!$R$44),"")</f>
        <v/>
      </c>
      <c r="S23" s="52" t="str">
        <f>IF(AND('Mapa final'!$AB$45="Alta",'Mapa final'!$AD$45="Menor"),CONCATENATE("R8C",'Mapa final'!$R$45),"")</f>
        <v/>
      </c>
      <c r="T23" s="52" t="str">
        <f>IF(AND('Mapa final'!$AB$46="Alta",'Mapa final'!$AD$46="Menor"),CONCATENATE("R8C",'Mapa final'!$R$46),"")</f>
        <v/>
      </c>
      <c r="U23" s="53" t="str">
        <f>IF(AND('Mapa final'!$AB$47="Alta",'Mapa final'!$AD$47="Menor"),CONCATENATE("R8C",'Mapa final'!$R$47),"")</f>
        <v/>
      </c>
      <c r="V23" s="36" t="str">
        <f>IF(AND('Mapa final'!$AB$42="Alta",'Mapa final'!$AD$42="Moderado"),CONCATENATE("R8C",'Mapa final'!$R$42),"")</f>
        <v/>
      </c>
      <c r="W23" s="37" t="str">
        <f>IF(AND('Mapa final'!$AB$43="Alta",'Mapa final'!$AD$43="Moderado"),CONCATENATE("R8C",'Mapa final'!$R$43),"")</f>
        <v/>
      </c>
      <c r="X23" s="37" t="str">
        <f>IF(AND('Mapa final'!$AB$44="Alta",'Mapa final'!$AD$44="Moderado"),CONCATENATE("R8C",'Mapa final'!$R$44),"")</f>
        <v/>
      </c>
      <c r="Y23" s="37" t="str">
        <f>IF(AND('Mapa final'!$AB$45="Alta",'Mapa final'!$AD$45="Moderado"),CONCATENATE("R8C",'Mapa final'!$R$45),"")</f>
        <v/>
      </c>
      <c r="Z23" s="37" t="str">
        <f>IF(AND('Mapa final'!$AB$46="Alta",'Mapa final'!$AD$46="Moderado"),CONCATENATE("R8C",'Mapa final'!$R$46),"")</f>
        <v/>
      </c>
      <c r="AA23" s="38" t="str">
        <f>IF(AND('Mapa final'!$AB$47="Alta",'Mapa final'!$AD$47="Moderado"),CONCATENATE("R8C",'Mapa final'!$R$47),"")</f>
        <v/>
      </c>
      <c r="AB23" s="36" t="str">
        <f>IF(AND('Mapa final'!$AB$42="Alta",'Mapa final'!$AD$42="Mayor"),CONCATENATE("R8C",'Mapa final'!$R$42),"")</f>
        <v/>
      </c>
      <c r="AC23" s="37" t="str">
        <f>IF(AND('Mapa final'!$AB$43="Alta",'Mapa final'!$AD$43="Mayor"),CONCATENATE("R8C",'Mapa final'!$R$43),"")</f>
        <v/>
      </c>
      <c r="AD23" s="37" t="str">
        <f>IF(AND('Mapa final'!$AB$44="Alta",'Mapa final'!$AD$44="Mayor"),CONCATENATE("R8C",'Mapa final'!$R$44),"")</f>
        <v/>
      </c>
      <c r="AE23" s="37" t="str">
        <f>IF(AND('Mapa final'!$AB$45="Alta",'Mapa final'!$AD$45="Mayor"),CONCATENATE("R8C",'Mapa final'!$R$45),"")</f>
        <v/>
      </c>
      <c r="AF23" s="37" t="str">
        <f>IF(AND('Mapa final'!$AB$46="Alta",'Mapa final'!$AD$46="Mayor"),CONCATENATE("R8C",'Mapa final'!$R$46),"")</f>
        <v/>
      </c>
      <c r="AG23" s="38" t="str">
        <f>IF(AND('Mapa final'!$AB$47="Alta",'Mapa final'!$AD$47="Mayor"),CONCATENATE("R8C",'Mapa final'!$R$47),"")</f>
        <v/>
      </c>
      <c r="AH23" s="39" t="str">
        <f>IF(AND('Mapa final'!$AB$42="Alta",'Mapa final'!$AD$42="Catastrófico"),CONCATENATE("R8C",'Mapa final'!$R$42),"")</f>
        <v/>
      </c>
      <c r="AI23" s="40" t="str">
        <f>IF(AND('Mapa final'!$AB$43="Alta",'Mapa final'!$AD$43="Catastrófico"),CONCATENATE("R8C",'Mapa final'!$R$43),"")</f>
        <v/>
      </c>
      <c r="AJ23" s="40" t="str">
        <f>IF(AND('Mapa final'!$AB$44="Alta",'Mapa final'!$AD$44="Catastrófico"),CONCATENATE("R8C",'Mapa final'!$R$44),"")</f>
        <v/>
      </c>
      <c r="AK23" s="40" t="str">
        <f>IF(AND('Mapa final'!$AB$45="Alta",'Mapa final'!$AD$45="Catastrófico"),CONCATENATE("R8C",'Mapa final'!$R$45),"")</f>
        <v/>
      </c>
      <c r="AL23" s="40" t="str">
        <f>IF(AND('Mapa final'!$AB$46="Alta",'Mapa final'!$AD$46="Catastrófico"),CONCATENATE("R8C",'Mapa final'!$R$46),"")</f>
        <v/>
      </c>
      <c r="AM23" s="41" t="str">
        <f>IF(AND('Mapa final'!$AB$47="Alta",'Mapa final'!$AD$47="Catastrófico"),CONCATENATE("R8C",'Mapa final'!$R$47),"")</f>
        <v/>
      </c>
      <c r="AN23" s="67"/>
      <c r="AO23" s="642"/>
      <c r="AP23" s="643"/>
      <c r="AQ23" s="643"/>
      <c r="AR23" s="643"/>
      <c r="AS23" s="643"/>
      <c r="AT23" s="644"/>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553"/>
      <c r="C24" s="553"/>
      <c r="D24" s="554"/>
      <c r="E24" s="652"/>
      <c r="F24" s="651"/>
      <c r="G24" s="651"/>
      <c r="H24" s="651"/>
      <c r="I24" s="651"/>
      <c r="J24" s="51" t="str">
        <f>IF(AND('Mapa final'!$AB$48="Alta",'Mapa final'!$AD$48="Leve"),CONCATENATE("R9C",'Mapa final'!$R$48),"")</f>
        <v/>
      </c>
      <c r="K24" s="52" t="str">
        <f>IF(AND('Mapa final'!$AB$49="Alta",'Mapa final'!$AD$49="Leve"),CONCATENATE("R9C",'Mapa final'!$R$49),"")</f>
        <v/>
      </c>
      <c r="L24" s="52" t="str">
        <f>IF(AND('Mapa final'!$AB$50="Alta",'Mapa final'!$AD$50="Leve"),CONCATENATE("R9C",'Mapa final'!$R$50),"")</f>
        <v/>
      </c>
      <c r="M24" s="52" t="str">
        <f>IF(AND('Mapa final'!$AB$51="Alta",'Mapa final'!$AD$51="Leve"),CONCATENATE("R9C",'Mapa final'!$R$51),"")</f>
        <v/>
      </c>
      <c r="N24" s="52" t="str">
        <f>IF(AND('Mapa final'!$AB$52="Alta",'Mapa final'!$AD$52="Leve"),CONCATENATE("R9C",'Mapa final'!$R$52),"")</f>
        <v/>
      </c>
      <c r="O24" s="53" t="str">
        <f>IF(AND('Mapa final'!$AB$53="Alta",'Mapa final'!$AD$53="Leve"),CONCATENATE("R9C",'Mapa final'!$R$53),"")</f>
        <v/>
      </c>
      <c r="P24" s="51" t="str">
        <f>IF(AND('Mapa final'!$AB$48="Alta",'Mapa final'!$AD$48="Menor"),CONCATENATE("R9C",'Mapa final'!$R$48),"")</f>
        <v/>
      </c>
      <c r="Q24" s="52" t="str">
        <f>IF(AND('Mapa final'!$AB$49="Alta",'Mapa final'!$AD$49="Menor"),CONCATENATE("R9C",'Mapa final'!$R$49),"")</f>
        <v/>
      </c>
      <c r="R24" s="52" t="str">
        <f>IF(AND('Mapa final'!$AB$50="Alta",'Mapa final'!$AD$50="Menor"),CONCATENATE("R9C",'Mapa final'!$R$50),"")</f>
        <v/>
      </c>
      <c r="S24" s="52" t="str">
        <f>IF(AND('Mapa final'!$AB$51="Alta",'Mapa final'!$AD$51="Menor"),CONCATENATE("R9C",'Mapa final'!$R$51),"")</f>
        <v/>
      </c>
      <c r="T24" s="52" t="str">
        <f>IF(AND('Mapa final'!$AB$52="Alta",'Mapa final'!$AD$52="Menor"),CONCATENATE("R9C",'Mapa final'!$R$52),"")</f>
        <v/>
      </c>
      <c r="U24" s="53" t="str">
        <f>IF(AND('Mapa final'!$AB$53="Alta",'Mapa final'!$AD$53="Menor"),CONCATENATE("R9C",'Mapa final'!$R$53),"")</f>
        <v/>
      </c>
      <c r="V24" s="36" t="str">
        <f>IF(AND('Mapa final'!$AB$48="Alta",'Mapa final'!$AD$48="Moderado"),CONCATENATE("R9C",'Mapa final'!$R$48),"")</f>
        <v/>
      </c>
      <c r="W24" s="37" t="str">
        <f>IF(AND('Mapa final'!$AB$49="Alta",'Mapa final'!$AD$49="Moderado"),CONCATENATE("R9C",'Mapa final'!$R$49),"")</f>
        <v/>
      </c>
      <c r="X24" s="37" t="str">
        <f>IF(AND('Mapa final'!$AB$50="Alta",'Mapa final'!$AD$50="Moderado"),CONCATENATE("R9C",'Mapa final'!$R$50),"")</f>
        <v/>
      </c>
      <c r="Y24" s="37" t="str">
        <f>IF(AND('Mapa final'!$AB$51="Alta",'Mapa final'!$AD$51="Moderado"),CONCATENATE("R9C",'Mapa final'!$R$51),"")</f>
        <v/>
      </c>
      <c r="Z24" s="37" t="str">
        <f>IF(AND('Mapa final'!$AB$52="Alta",'Mapa final'!$AD$52="Moderado"),CONCATENATE("R9C",'Mapa final'!$R$52),"")</f>
        <v/>
      </c>
      <c r="AA24" s="38" t="str">
        <f>IF(AND('Mapa final'!$AB$53="Alta",'Mapa final'!$AD$53="Moderado"),CONCATENATE("R9C",'Mapa final'!$R$53),"")</f>
        <v/>
      </c>
      <c r="AB24" s="36" t="str">
        <f>IF(AND('Mapa final'!$AB$48="Alta",'Mapa final'!$AD$48="Mayor"),CONCATENATE("R9C",'Mapa final'!$R$48),"")</f>
        <v/>
      </c>
      <c r="AC24" s="37" t="str">
        <f>IF(AND('Mapa final'!$AB$49="Alta",'Mapa final'!$AD$49="Mayor"),CONCATENATE("R9C",'Mapa final'!$R$49),"")</f>
        <v/>
      </c>
      <c r="AD24" s="37" t="str">
        <f>IF(AND('Mapa final'!$AB$50="Alta",'Mapa final'!$AD$50="Mayor"),CONCATENATE("R9C",'Mapa final'!$R$50),"")</f>
        <v/>
      </c>
      <c r="AE24" s="37" t="str">
        <f>IF(AND('Mapa final'!$AB$51="Alta",'Mapa final'!$AD$51="Mayor"),CONCATENATE("R9C",'Mapa final'!$R$51),"")</f>
        <v/>
      </c>
      <c r="AF24" s="37" t="str">
        <f>IF(AND('Mapa final'!$AB$52="Alta",'Mapa final'!$AD$52="Mayor"),CONCATENATE("R9C",'Mapa final'!$R$52),"")</f>
        <v/>
      </c>
      <c r="AG24" s="38" t="str">
        <f>IF(AND('Mapa final'!$AB$53="Alta",'Mapa final'!$AD$53="Mayor"),CONCATENATE("R9C",'Mapa final'!$R$53),"")</f>
        <v/>
      </c>
      <c r="AH24" s="39" t="str">
        <f>IF(AND('Mapa final'!$AB$48="Alta",'Mapa final'!$AD$48="Catastrófico"),CONCATENATE("R9C",'Mapa final'!$R$48),"")</f>
        <v/>
      </c>
      <c r="AI24" s="40" t="str">
        <f>IF(AND('Mapa final'!$AB$49="Alta",'Mapa final'!$AD$49="Catastrófico"),CONCATENATE("R9C",'Mapa final'!$R$49),"")</f>
        <v/>
      </c>
      <c r="AJ24" s="40" t="str">
        <f>IF(AND('Mapa final'!$AB$50="Alta",'Mapa final'!$AD$50="Catastrófico"),CONCATENATE("R9C",'Mapa final'!$R$50),"")</f>
        <v/>
      </c>
      <c r="AK24" s="40" t="str">
        <f>IF(AND('Mapa final'!$AB$51="Alta",'Mapa final'!$AD$51="Catastrófico"),CONCATENATE("R9C",'Mapa final'!$R$51),"")</f>
        <v/>
      </c>
      <c r="AL24" s="40" t="str">
        <f>IF(AND('Mapa final'!$AB$52="Alta",'Mapa final'!$AD$52="Catastrófico"),CONCATENATE("R9C",'Mapa final'!$R$52),"")</f>
        <v/>
      </c>
      <c r="AM24" s="41" t="str">
        <f>IF(AND('Mapa final'!$AB$53="Alta",'Mapa final'!$AD$53="Catastrófico"),CONCATENATE("R9C",'Mapa final'!$R$53),"")</f>
        <v/>
      </c>
      <c r="AN24" s="67"/>
      <c r="AO24" s="642"/>
      <c r="AP24" s="643"/>
      <c r="AQ24" s="643"/>
      <c r="AR24" s="643"/>
      <c r="AS24" s="643"/>
      <c r="AT24" s="644"/>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553"/>
      <c r="C25" s="553"/>
      <c r="D25" s="554"/>
      <c r="E25" s="653"/>
      <c r="F25" s="654"/>
      <c r="G25" s="654"/>
      <c r="H25" s="654"/>
      <c r="I25" s="654"/>
      <c r="J25" s="54" t="str">
        <f>IF(AND('Mapa final'!$AB$54="Alta",'Mapa final'!$AD$54="Leve"),CONCATENATE("R10C",'Mapa final'!$R$54),"")</f>
        <v/>
      </c>
      <c r="K25" s="55" t="str">
        <f>IF(AND('Mapa final'!$AB$55="Alta",'Mapa final'!$AD$55="Leve"),CONCATENATE("R10C",'Mapa final'!$R$55),"")</f>
        <v/>
      </c>
      <c r="L25" s="55" t="str">
        <f>IF(AND('Mapa final'!$AB$56="Alta",'Mapa final'!$AD$56="Leve"),CONCATENATE("R10C",'Mapa final'!$R$56),"")</f>
        <v/>
      </c>
      <c r="M25" s="55" t="str">
        <f>IF(AND('Mapa final'!$AB$57="Alta",'Mapa final'!$AD$57="Leve"),CONCATENATE("R10C",'Mapa final'!$R$57),"")</f>
        <v/>
      </c>
      <c r="N25" s="55" t="str">
        <f>IF(AND('Mapa final'!$AB$58="Alta",'Mapa final'!$AD$58="Leve"),CONCATENATE("R10C",'Mapa final'!$R$58),"")</f>
        <v/>
      </c>
      <c r="O25" s="56" t="str">
        <f>IF(AND('Mapa final'!$AB$59="Alta",'Mapa final'!$AD$59="Leve"),CONCATENATE("R10C",'Mapa final'!$R$59),"")</f>
        <v/>
      </c>
      <c r="P25" s="54" t="str">
        <f>IF(AND('Mapa final'!$AB$54="Alta",'Mapa final'!$AD$54="Menor"),CONCATENATE("R10C",'Mapa final'!$R$54),"")</f>
        <v/>
      </c>
      <c r="Q25" s="55" t="str">
        <f>IF(AND('Mapa final'!$AB$55="Alta",'Mapa final'!$AD$55="Menor"),CONCATENATE("R10C",'Mapa final'!$R$55),"")</f>
        <v/>
      </c>
      <c r="R25" s="55" t="str">
        <f>IF(AND('Mapa final'!$AB$56="Alta",'Mapa final'!$AD$56="Menor"),CONCATENATE("R10C",'Mapa final'!$R$56),"")</f>
        <v/>
      </c>
      <c r="S25" s="55" t="str">
        <f>IF(AND('Mapa final'!$AB$57="Alta",'Mapa final'!$AD$57="Menor"),CONCATENATE("R10C",'Mapa final'!$R$57),"")</f>
        <v/>
      </c>
      <c r="T25" s="55" t="str">
        <f>IF(AND('Mapa final'!$AB$58="Alta",'Mapa final'!$AD$58="Menor"),CONCATENATE("R10C",'Mapa final'!$R$58),"")</f>
        <v/>
      </c>
      <c r="U25" s="56" t="str">
        <f>IF(AND('Mapa final'!$AB$59="Alta",'Mapa final'!$AD$59="Menor"),CONCATENATE("R10C",'Mapa final'!$R$59),"")</f>
        <v/>
      </c>
      <c r="V25" s="42" t="str">
        <f>IF(AND('Mapa final'!$AB$54="Alta",'Mapa final'!$AD$54="Moderado"),CONCATENATE("R10C",'Mapa final'!$R$54),"")</f>
        <v/>
      </c>
      <c r="W25" s="43" t="str">
        <f>IF(AND('Mapa final'!$AB$55="Alta",'Mapa final'!$AD$55="Moderado"),CONCATENATE("R10C",'Mapa final'!$R$55),"")</f>
        <v/>
      </c>
      <c r="X25" s="43" t="str">
        <f>IF(AND('Mapa final'!$AB$56="Alta",'Mapa final'!$AD$56="Moderado"),CONCATENATE("R10C",'Mapa final'!$R$56),"")</f>
        <v/>
      </c>
      <c r="Y25" s="43" t="str">
        <f>IF(AND('Mapa final'!$AB$57="Alta",'Mapa final'!$AD$57="Moderado"),CONCATENATE("R10C",'Mapa final'!$R$57),"")</f>
        <v/>
      </c>
      <c r="Z25" s="43" t="str">
        <f>IF(AND('Mapa final'!$AB$58="Alta",'Mapa final'!$AD$58="Moderado"),CONCATENATE("R10C",'Mapa final'!$R$58),"")</f>
        <v/>
      </c>
      <c r="AA25" s="44" t="str">
        <f>IF(AND('Mapa final'!$AB$59="Alta",'Mapa final'!$AD$59="Moderado"),CONCATENATE("R10C",'Mapa final'!$R$59),"")</f>
        <v/>
      </c>
      <c r="AB25" s="42" t="str">
        <f>IF(AND('Mapa final'!$AB$54="Alta",'Mapa final'!$AD$54="Mayor"),CONCATENATE("R10C",'Mapa final'!$R$54),"")</f>
        <v/>
      </c>
      <c r="AC25" s="43" t="str">
        <f>IF(AND('Mapa final'!$AB$55="Alta",'Mapa final'!$AD$55="Mayor"),CONCATENATE("R10C",'Mapa final'!$R$55),"")</f>
        <v/>
      </c>
      <c r="AD25" s="43" t="str">
        <f>IF(AND('Mapa final'!$AB$56="Alta",'Mapa final'!$AD$56="Mayor"),CONCATENATE("R10C",'Mapa final'!$R$56),"")</f>
        <v/>
      </c>
      <c r="AE25" s="43" t="str">
        <f>IF(AND('Mapa final'!$AB$57="Alta",'Mapa final'!$AD$57="Mayor"),CONCATENATE("R10C",'Mapa final'!$R$57),"")</f>
        <v/>
      </c>
      <c r="AF25" s="43" t="str">
        <f>IF(AND('Mapa final'!$AB$58="Alta",'Mapa final'!$AD$58="Mayor"),CONCATENATE("R10C",'Mapa final'!$R$58),"")</f>
        <v/>
      </c>
      <c r="AG25" s="44" t="str">
        <f>IF(AND('Mapa final'!$AB$59="Alta",'Mapa final'!$AD$59="Mayor"),CONCATENATE("R10C",'Mapa final'!$R$59),"")</f>
        <v/>
      </c>
      <c r="AH25" s="45" t="str">
        <f>IF(AND('Mapa final'!$AB$54="Alta",'Mapa final'!$AD$54="Catastrófico"),CONCATENATE("R10C",'Mapa final'!$R$54),"")</f>
        <v/>
      </c>
      <c r="AI25" s="46" t="str">
        <f>IF(AND('Mapa final'!$AB$55="Alta",'Mapa final'!$AD$55="Catastrófico"),CONCATENATE("R10C",'Mapa final'!$R$55),"")</f>
        <v/>
      </c>
      <c r="AJ25" s="46" t="str">
        <f>IF(AND('Mapa final'!$AB$56="Alta",'Mapa final'!$AD$56="Catastrófico"),CONCATENATE("R10C",'Mapa final'!$R$56),"")</f>
        <v/>
      </c>
      <c r="AK25" s="46" t="str">
        <f>IF(AND('Mapa final'!$AB$57="Alta",'Mapa final'!$AD$57="Catastrófico"),CONCATENATE("R10C",'Mapa final'!$R$57),"")</f>
        <v/>
      </c>
      <c r="AL25" s="46" t="str">
        <f>IF(AND('Mapa final'!$AB$58="Alta",'Mapa final'!$AD$58="Catastrófico"),CONCATENATE("R10C",'Mapa final'!$R$58),"")</f>
        <v/>
      </c>
      <c r="AM25" s="47" t="str">
        <f>IF(AND('Mapa final'!$AB$59="Alta",'Mapa final'!$AD$59="Catastrófico"),CONCATENATE("R10C",'Mapa final'!$R$59),"")</f>
        <v/>
      </c>
      <c r="AN25" s="67"/>
      <c r="AO25" s="645"/>
      <c r="AP25" s="646"/>
      <c r="AQ25" s="646"/>
      <c r="AR25" s="646"/>
      <c r="AS25" s="646"/>
      <c r="AT25" s="64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553"/>
      <c r="C26" s="553"/>
      <c r="D26" s="554"/>
      <c r="E26" s="648" t="s">
        <v>112</v>
      </c>
      <c r="F26" s="649"/>
      <c r="G26" s="649"/>
      <c r="H26" s="649"/>
      <c r="I26" s="666"/>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e">
        <f>IF(AND('Mapa final'!#REF!="Media",'Mapa final'!#REF!="Leve"),CONCATENATE("R1C",'Mapa final'!#REF!),"")</f>
        <v>#REF!</v>
      </c>
      <c r="O26" s="50" t="e">
        <f>IF(AND('Mapa final'!#REF!="Media",'Mapa final'!#REF!="Leve"),CONCATENATE("R1C",'Mapa final'!#REF!),"")</f>
        <v>#REF!</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str">
        <f>IF(AND('Mapa final'!$AB$13="Media",'Mapa final'!$AD$13="Menor"),CONCATENATE("R1C",'Mapa final'!$R$13),"")</f>
        <v/>
      </c>
      <c r="T26" s="49" t="e">
        <f>IF(AND('Mapa final'!#REF!="Media",'Mapa final'!#REF!="Menor"),CONCATENATE("R1C",'Mapa final'!#REF!),"")</f>
        <v>#REF!</v>
      </c>
      <c r="U26" s="50" t="e">
        <f>IF(AND('Mapa final'!#REF!="Media",'Mapa final'!#REF!="Menor"),CONCATENATE("R1C",'Mapa final'!#REF!),"")</f>
        <v>#REF!</v>
      </c>
      <c r="V26" s="48" t="str">
        <f>IF(AND('Mapa final'!$AB$10="Media",'Mapa final'!$AD$10="Moderado"),CONCATENATE("R1C",'Mapa final'!$R$10),"")</f>
        <v/>
      </c>
      <c r="W26" s="49" t="str">
        <f>IF(AND('Mapa final'!$AB$11="Media",'Mapa final'!$AD$11="Moderado"),CONCATENATE("R1C",'Mapa final'!$R$11),"")</f>
        <v/>
      </c>
      <c r="X26" s="49" t="str">
        <f>IF(AND('Mapa final'!$AB$12="Media",'Mapa final'!$AD$12="Moderado"),CONCATENATE("R1C",'Mapa final'!$R$12),"")</f>
        <v/>
      </c>
      <c r="Y26" s="49" t="str">
        <f>IF(AND('Mapa final'!$AB$13="Media",'Mapa final'!$AD$13="Moderado"),CONCATENATE("R1C",'Mapa final'!$R$13),"")</f>
        <v/>
      </c>
      <c r="Z26" s="49" t="e">
        <f>IF(AND('Mapa final'!#REF!="Media",'Mapa final'!#REF!="Moderado"),CONCATENATE("R1C",'Mapa final'!#REF!),"")</f>
        <v>#REF!</v>
      </c>
      <c r="AA26" s="50" t="e">
        <f>IF(AND('Mapa final'!#REF!="Media",'Mapa final'!#REF!="Moderado"),CONCATENATE("R1C",'Mapa final'!#REF!),"")</f>
        <v>#REF!</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e">
        <f>IF(AND('Mapa final'!#REF!="Media",'Mapa final'!#REF!="Mayor"),CONCATENATE("R1C",'Mapa final'!#REF!),"")</f>
        <v>#REF!</v>
      </c>
      <c r="AG26" s="32" t="e">
        <f>IF(AND('Mapa final'!#REF!="Media",'Mapa final'!#REF!="Mayor"),CONCATENATE("R1C",'Mapa final'!#REF!),"")</f>
        <v>#REF!</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e">
        <f>IF(AND('Mapa final'!#REF!="Media",'Mapa final'!#REF!="Catastrófico"),CONCATENATE("R1C",'Mapa final'!#REF!),"")</f>
        <v>#REF!</v>
      </c>
      <c r="AM26" s="35" t="e">
        <f>IF(AND('Mapa final'!#REF!="Media",'Mapa final'!#REF!="Catastrófico"),CONCATENATE("R1C",'Mapa final'!#REF!),"")</f>
        <v>#REF!</v>
      </c>
      <c r="AN26" s="67"/>
      <c r="AO26" s="678" t="s">
        <v>80</v>
      </c>
      <c r="AP26" s="679"/>
      <c r="AQ26" s="679"/>
      <c r="AR26" s="679"/>
      <c r="AS26" s="679"/>
      <c r="AT26" s="680"/>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553"/>
      <c r="C27" s="553"/>
      <c r="D27" s="554"/>
      <c r="E27" s="650"/>
      <c r="F27" s="651"/>
      <c r="G27" s="651"/>
      <c r="H27" s="651"/>
      <c r="I27" s="667"/>
      <c r="J27" s="51" t="str">
        <f>IF(AND('Mapa final'!$AB$14="Media",'Mapa final'!$AD$14="Leve"),CONCATENATE("R2C",'Mapa final'!$R$14),"")</f>
        <v/>
      </c>
      <c r="K27" s="52" t="str">
        <f>IF(AND('Mapa final'!$AB$15="Media",'Mapa final'!$AD$15="Leve"),CONCATENATE("R2C",'Mapa final'!$R$15),"")</f>
        <v/>
      </c>
      <c r="L27" s="52" t="str">
        <f>IF(AND('Mapa final'!$AB$16="Media",'Mapa final'!$AD$16="Leve"),CONCATENATE("R2C",'Mapa final'!$R$16),"")</f>
        <v/>
      </c>
      <c r="M27" s="52" t="str">
        <f>IF(AND('Mapa final'!$AB$17="Media",'Mapa final'!$AD$17="Leve"),CONCATENATE("R2C",'Mapa final'!$R$17),"")</f>
        <v/>
      </c>
      <c r="N27" s="52" t="e">
        <f>IF(AND('Mapa final'!#REF!="Media",'Mapa final'!#REF!="Leve"),CONCATENATE("R2C",'Mapa final'!#REF!),"")</f>
        <v>#REF!</v>
      </c>
      <c r="O27" s="53" t="e">
        <f>IF(AND('Mapa final'!#REF!="Media",'Mapa final'!#REF!="Leve"),CONCATENATE("R2C",'Mapa final'!#REF!),"")</f>
        <v>#REF!</v>
      </c>
      <c r="P27" s="51" t="str">
        <f>IF(AND('Mapa final'!$AB$14="Media",'Mapa final'!$AD$14="Menor"),CONCATENATE("R2C",'Mapa final'!$R$14),"")</f>
        <v/>
      </c>
      <c r="Q27" s="52" t="str">
        <f>IF(AND('Mapa final'!$AB$15="Media",'Mapa final'!$AD$15="Menor"),CONCATENATE("R2C",'Mapa final'!$R$15),"")</f>
        <v/>
      </c>
      <c r="R27" s="52" t="str">
        <f>IF(AND('Mapa final'!$AB$16="Media",'Mapa final'!$AD$16="Menor"),CONCATENATE("R2C",'Mapa final'!$R$16),"")</f>
        <v/>
      </c>
      <c r="S27" s="52" t="str">
        <f>IF(AND('Mapa final'!$AB$17="Media",'Mapa final'!$AD$17="Menor"),CONCATENATE("R2C",'Mapa final'!$R$17),"")</f>
        <v/>
      </c>
      <c r="T27" s="52" t="e">
        <f>IF(AND('Mapa final'!#REF!="Media",'Mapa final'!#REF!="Menor"),CONCATENATE("R2C",'Mapa final'!#REF!),"")</f>
        <v>#REF!</v>
      </c>
      <c r="U27" s="53" t="e">
        <f>IF(AND('Mapa final'!#REF!="Media",'Mapa final'!#REF!="Menor"),CONCATENATE("R2C",'Mapa final'!#REF!),"")</f>
        <v>#REF!</v>
      </c>
      <c r="V27" s="51" t="str">
        <f>IF(AND('Mapa final'!$AB$14="Media",'Mapa final'!$AD$14="Moderado"),CONCATENATE("R2C",'Mapa final'!$R$14),"")</f>
        <v/>
      </c>
      <c r="W27" s="52" t="str">
        <f>IF(AND('Mapa final'!$AB$15="Media",'Mapa final'!$AD$15="Moderado"),CONCATENATE("R2C",'Mapa final'!$R$15),"")</f>
        <v/>
      </c>
      <c r="X27" s="52" t="str">
        <f>IF(AND('Mapa final'!$AB$16="Media",'Mapa final'!$AD$16="Moderado"),CONCATENATE("R2C",'Mapa final'!$R$16),"")</f>
        <v/>
      </c>
      <c r="Y27" s="52" t="str">
        <f>IF(AND('Mapa final'!$AB$17="Media",'Mapa final'!$AD$17="Moderado"),CONCATENATE("R2C",'Mapa final'!$R$17),"")</f>
        <v/>
      </c>
      <c r="Z27" s="52" t="e">
        <f>IF(AND('Mapa final'!#REF!="Media",'Mapa final'!#REF!="Moderado"),CONCATENATE("R2C",'Mapa final'!#REF!),"")</f>
        <v>#REF!</v>
      </c>
      <c r="AA27" s="53" t="e">
        <f>IF(AND('Mapa final'!#REF!="Media",'Mapa final'!#REF!="Moderado"),CONCATENATE("R2C",'Mapa final'!#REF!),"")</f>
        <v>#REF!</v>
      </c>
      <c r="AB27" s="36" t="str">
        <f>IF(AND('Mapa final'!$AB$14="Media",'Mapa final'!$AD$14="Mayor"),CONCATENATE("R2C",'Mapa final'!$R$14),"")</f>
        <v/>
      </c>
      <c r="AC27" s="37" t="str">
        <f>IF(AND('Mapa final'!$AB$15="Media",'Mapa final'!$AD$15="Mayor"),CONCATENATE("R2C",'Mapa final'!$R$15),"")</f>
        <v/>
      </c>
      <c r="AD27" s="37" t="str">
        <f>IF(AND('Mapa final'!$AB$16="Media",'Mapa final'!$AD$16="Mayor"),CONCATENATE("R2C",'Mapa final'!$R$16),"")</f>
        <v/>
      </c>
      <c r="AE27" s="37" t="str">
        <f>IF(AND('Mapa final'!$AB$17="Media",'Mapa final'!$AD$17="Mayor"),CONCATENATE("R2C",'Mapa final'!$R$17),"")</f>
        <v/>
      </c>
      <c r="AF27" s="37" t="e">
        <f>IF(AND('Mapa final'!#REF!="Media",'Mapa final'!#REF!="Mayor"),CONCATENATE("R2C",'Mapa final'!#REF!),"")</f>
        <v>#REF!</v>
      </c>
      <c r="AG27" s="38" t="e">
        <f>IF(AND('Mapa final'!#REF!="Media",'Mapa final'!#REF!="Mayor"),CONCATENATE("R2C",'Mapa final'!#REF!),"")</f>
        <v>#REF!</v>
      </c>
      <c r="AH27" s="39" t="str">
        <f>IF(AND('Mapa final'!$AB$14="Media",'Mapa final'!$AD$14="Catastrófico"),CONCATENATE("R2C",'Mapa final'!$R$14),"")</f>
        <v/>
      </c>
      <c r="AI27" s="40" t="str">
        <f>IF(AND('Mapa final'!$AB$15="Media",'Mapa final'!$AD$15="Catastrófico"),CONCATENATE("R2C",'Mapa final'!$R$15),"")</f>
        <v/>
      </c>
      <c r="AJ27" s="40" t="str">
        <f>IF(AND('Mapa final'!$AB$16="Media",'Mapa final'!$AD$16="Catastrófico"),CONCATENATE("R2C",'Mapa final'!$R$16),"")</f>
        <v/>
      </c>
      <c r="AK27" s="40" t="str">
        <f>IF(AND('Mapa final'!$AB$17="Media",'Mapa final'!$AD$17="Catastrófico"),CONCATENATE("R2C",'Mapa final'!$R$17),"")</f>
        <v/>
      </c>
      <c r="AL27" s="40" t="e">
        <f>IF(AND('Mapa final'!#REF!="Media",'Mapa final'!#REF!="Catastrófico"),CONCATENATE("R2C",'Mapa final'!#REF!),"")</f>
        <v>#REF!</v>
      </c>
      <c r="AM27" s="41" t="e">
        <f>IF(AND('Mapa final'!#REF!="Media",'Mapa final'!#REF!="Catastrófico"),CONCATENATE("R2C",'Mapa final'!#REF!),"")</f>
        <v>#REF!</v>
      </c>
      <c r="AN27" s="67"/>
      <c r="AO27" s="681"/>
      <c r="AP27" s="682"/>
      <c r="AQ27" s="682"/>
      <c r="AR27" s="682"/>
      <c r="AS27" s="682"/>
      <c r="AT27" s="683"/>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553"/>
      <c r="C28" s="553"/>
      <c r="D28" s="554"/>
      <c r="E28" s="652"/>
      <c r="F28" s="651"/>
      <c r="G28" s="651"/>
      <c r="H28" s="651"/>
      <c r="I28" s="667"/>
      <c r="J28" s="51" t="str">
        <f>IF(AND('Mapa final'!$AB$18="Media",'Mapa final'!$AD$18="Leve"),CONCATENATE("R3C",'Mapa final'!$R$18),"")</f>
        <v/>
      </c>
      <c r="K28" s="52" t="str">
        <f>IF(AND('Mapa final'!$AB$19="Media",'Mapa final'!$AD$19="Leve"),CONCATENATE("R3C",'Mapa final'!$R$19),"")</f>
        <v/>
      </c>
      <c r="L28" s="52" t="e">
        <f>IF(AND('Mapa final'!#REF!="Media",'Mapa final'!#REF!="Leve"),CONCATENATE("R3C",'Mapa final'!#REF!),"")</f>
        <v>#REF!</v>
      </c>
      <c r="M28" s="52" t="e">
        <f>IF(AND('Mapa final'!#REF!="Media",'Mapa final'!#REF!="Leve"),CONCATENATE("R3C",'Mapa final'!#REF!),"")</f>
        <v>#REF!</v>
      </c>
      <c r="N28" s="52" t="e">
        <f>IF(AND('Mapa final'!#REF!="Media",'Mapa final'!#REF!="Leve"),CONCATENATE("R3C",'Mapa final'!#REF!),"")</f>
        <v>#REF!</v>
      </c>
      <c r="O28" s="53" t="str">
        <f>IF(AND('Mapa final'!$AB$20="Media",'Mapa final'!$AD$20="Leve"),CONCATENATE("R3C",'Mapa final'!$R$20),"")</f>
        <v/>
      </c>
      <c r="P28" s="51" t="str">
        <f>IF(AND('Mapa final'!$AB$18="Media",'Mapa final'!$AD$18="Menor"),CONCATENATE("R3C",'Mapa final'!$R$18),"")</f>
        <v/>
      </c>
      <c r="Q28" s="52" t="str">
        <f>IF(AND('Mapa final'!$AB$19="Media",'Mapa final'!$AD$19="Menor"),CONCATENATE("R3C",'Mapa final'!$R$19),"")</f>
        <v/>
      </c>
      <c r="R28" s="52" t="e">
        <f>IF(AND('Mapa final'!#REF!="Media",'Mapa final'!#REF!="Menor"),CONCATENATE("R3C",'Mapa final'!#REF!),"")</f>
        <v>#REF!</v>
      </c>
      <c r="S28" s="52" t="e">
        <f>IF(AND('Mapa final'!#REF!="Media",'Mapa final'!#REF!="Menor"),CONCATENATE("R3C",'Mapa final'!#REF!),"")</f>
        <v>#REF!</v>
      </c>
      <c r="T28" s="52" t="e">
        <f>IF(AND('Mapa final'!#REF!="Media",'Mapa final'!#REF!="Menor"),CONCATENATE("R3C",'Mapa final'!#REF!),"")</f>
        <v>#REF!</v>
      </c>
      <c r="U28" s="53" t="str">
        <f>IF(AND('Mapa final'!$AB$20="Media",'Mapa final'!$AD$20="Menor"),CONCATENATE("R3C",'Mapa final'!$R$20),"")</f>
        <v/>
      </c>
      <c r="V28" s="51" t="str">
        <f>IF(AND('Mapa final'!$AB$18="Media",'Mapa final'!$AD$18="Moderado"),CONCATENATE("R3C",'Mapa final'!$R$18),"")</f>
        <v/>
      </c>
      <c r="W28" s="52" t="str">
        <f>IF(AND('Mapa final'!$AB$19="Media",'Mapa final'!$AD$19="Moderado"),CONCATENATE("R3C",'Mapa final'!$R$19),"")</f>
        <v/>
      </c>
      <c r="X28" s="52" t="e">
        <f>IF(AND('Mapa final'!#REF!="Media",'Mapa final'!#REF!="Moderado"),CONCATENATE("R3C",'Mapa final'!#REF!),"")</f>
        <v>#REF!</v>
      </c>
      <c r="Y28" s="52" t="e">
        <f>IF(AND('Mapa final'!#REF!="Media",'Mapa final'!#REF!="Moderado"),CONCATENATE("R3C",'Mapa final'!#REF!),"")</f>
        <v>#REF!</v>
      </c>
      <c r="Z28" s="52" t="e">
        <f>IF(AND('Mapa final'!#REF!="Media",'Mapa final'!#REF!="Moderado"),CONCATENATE("R3C",'Mapa final'!#REF!),"")</f>
        <v>#REF!</v>
      </c>
      <c r="AA28" s="53" t="str">
        <f>IF(AND('Mapa final'!$AB$20="Media",'Mapa final'!$AD$20="Moderado"),CONCATENATE("R3C",'Mapa final'!$R$20),"")</f>
        <v/>
      </c>
      <c r="AB28" s="36" t="str">
        <f>IF(AND('Mapa final'!$AB$18="Media",'Mapa final'!$AD$18="Mayor"),CONCATENATE("R3C",'Mapa final'!$R$18),"")</f>
        <v/>
      </c>
      <c r="AC28" s="37" t="str">
        <f>IF(AND('Mapa final'!$AB$19="Media",'Mapa final'!$AD$19="Mayor"),CONCATENATE("R3C",'Mapa final'!$R$19),"")</f>
        <v/>
      </c>
      <c r="AD28" s="37" t="e">
        <f>IF(AND('Mapa final'!#REF!="Media",'Mapa final'!#REF!="Mayor"),CONCATENATE("R3C",'Mapa final'!#REF!),"")</f>
        <v>#REF!</v>
      </c>
      <c r="AE28" s="37" t="e">
        <f>IF(AND('Mapa final'!#REF!="Media",'Mapa final'!#REF!="Mayor"),CONCATENATE("R3C",'Mapa final'!#REF!),"")</f>
        <v>#REF!</v>
      </c>
      <c r="AF28" s="37" t="e">
        <f>IF(AND('Mapa final'!#REF!="Media",'Mapa final'!#REF!="Mayor"),CONCATENATE("R3C",'Mapa final'!#REF!),"")</f>
        <v>#REF!</v>
      </c>
      <c r="AG28" s="38" t="str">
        <f>IF(AND('Mapa final'!$AB$20="Media",'Mapa final'!$AD$20="Mayor"),CONCATENATE("R3C",'Mapa final'!$R$20),"")</f>
        <v/>
      </c>
      <c r="AH28" s="39" t="str">
        <f>IF(AND('Mapa final'!$AB$18="Media",'Mapa final'!$AD$18="Catastrófico"),CONCATENATE("R3C",'Mapa final'!$R$18),"")</f>
        <v/>
      </c>
      <c r="AI28" s="40" t="str">
        <f>IF(AND('Mapa final'!$AB$19="Media",'Mapa final'!$AD$19="Catastrófico"),CONCATENATE("R3C",'Mapa final'!$R$19),"")</f>
        <v/>
      </c>
      <c r="AJ28" s="40" t="e">
        <f>IF(AND('Mapa final'!#REF!="Media",'Mapa final'!#REF!="Catastrófico"),CONCATENATE("R3C",'Mapa final'!#REF!),"")</f>
        <v>#REF!</v>
      </c>
      <c r="AK28" s="40" t="e">
        <f>IF(AND('Mapa final'!#REF!="Media",'Mapa final'!#REF!="Catastrófico"),CONCATENATE("R3C",'Mapa final'!#REF!),"")</f>
        <v>#REF!</v>
      </c>
      <c r="AL28" s="40" t="e">
        <f>IF(AND('Mapa final'!#REF!="Media",'Mapa final'!#REF!="Catastrófico"),CONCATENATE("R3C",'Mapa final'!#REF!),"")</f>
        <v>#REF!</v>
      </c>
      <c r="AM28" s="41" t="str">
        <f>IF(AND('Mapa final'!$AB$20="Media",'Mapa final'!$AD$20="Catastrófico"),CONCATENATE("R3C",'Mapa final'!$R$20),"")</f>
        <v/>
      </c>
      <c r="AN28" s="67"/>
      <c r="AO28" s="681"/>
      <c r="AP28" s="682"/>
      <c r="AQ28" s="682"/>
      <c r="AR28" s="682"/>
      <c r="AS28" s="682"/>
      <c r="AT28" s="683"/>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553"/>
      <c r="C29" s="553"/>
      <c r="D29" s="554"/>
      <c r="E29" s="652"/>
      <c r="F29" s="651"/>
      <c r="G29" s="651"/>
      <c r="H29" s="651"/>
      <c r="I29" s="667"/>
      <c r="J29" s="51" t="str">
        <f>IF(AND('Mapa final'!$AB$21="Media",'Mapa final'!$AD$21="Leve"),CONCATENATE("R4C",'Mapa final'!$R$21),"")</f>
        <v/>
      </c>
      <c r="K29" s="52" t="str">
        <f>IF(AND('Mapa final'!$AB$22="Media",'Mapa final'!$AD$22="Leve"),CONCATENATE("R4C",'Mapa final'!$R$22),"")</f>
        <v/>
      </c>
      <c r="L29" s="52" t="str">
        <f>IF(AND('Mapa final'!$AB$23="Media",'Mapa final'!$AD$23="Leve"),CONCATENATE("R4C",'Mapa final'!$R$23),"")</f>
        <v/>
      </c>
      <c r="M29" s="52" t="e">
        <f>IF(AND('Mapa final'!#REF!="Media",'Mapa final'!#REF!="Leve"),CONCATENATE("R4C",'Mapa final'!#REF!),"")</f>
        <v>#REF!</v>
      </c>
      <c r="N29" s="52" t="e">
        <f>IF(AND('Mapa final'!#REF!="Media",'Mapa final'!#REF!="Leve"),CONCATENATE("R4C",'Mapa final'!#REF!),"")</f>
        <v>#REF!</v>
      </c>
      <c r="O29" s="53" t="e">
        <f>IF(AND('Mapa final'!#REF!="Media",'Mapa final'!#REF!="Leve"),CONCATENATE("R4C",'Mapa final'!#REF!),"")</f>
        <v>#REF!</v>
      </c>
      <c r="P29" s="51" t="str">
        <f>IF(AND('Mapa final'!$AB$21="Media",'Mapa final'!$AD$21="Menor"),CONCATENATE("R4C",'Mapa final'!$R$21),"")</f>
        <v/>
      </c>
      <c r="Q29" s="52" t="str">
        <f>IF(AND('Mapa final'!$AB$22="Media",'Mapa final'!$AD$22="Menor"),CONCATENATE("R4C",'Mapa final'!$R$22),"")</f>
        <v/>
      </c>
      <c r="R29" s="52" t="str">
        <f>IF(AND('Mapa final'!$AB$23="Media",'Mapa final'!$AD$23="Menor"),CONCATENATE("R4C",'Mapa final'!$R$23),"")</f>
        <v/>
      </c>
      <c r="S29" s="52" t="e">
        <f>IF(AND('Mapa final'!#REF!="Media",'Mapa final'!#REF!="Menor"),CONCATENATE("R4C",'Mapa final'!#REF!),"")</f>
        <v>#REF!</v>
      </c>
      <c r="T29" s="52" t="e">
        <f>IF(AND('Mapa final'!#REF!="Media",'Mapa final'!#REF!="Menor"),CONCATENATE("R4C",'Mapa final'!#REF!),"")</f>
        <v>#REF!</v>
      </c>
      <c r="U29" s="53" t="e">
        <f>IF(AND('Mapa final'!#REF!="Media",'Mapa final'!#REF!="Menor"),CONCATENATE("R4C",'Mapa final'!#REF!),"")</f>
        <v>#REF!</v>
      </c>
      <c r="V29" s="51" t="str">
        <f>IF(AND('Mapa final'!$AB$21="Media",'Mapa final'!$AD$21="Moderado"),CONCATENATE("R4C",'Mapa final'!$R$21),"")</f>
        <v/>
      </c>
      <c r="W29" s="52" t="str">
        <f>IF(AND('Mapa final'!$AB$22="Media",'Mapa final'!$AD$22="Moderado"),CONCATENATE("R4C",'Mapa final'!$R$22),"")</f>
        <v/>
      </c>
      <c r="X29" s="52" t="str">
        <f>IF(AND('Mapa final'!$AB$23="Media",'Mapa final'!$AD$23="Moderado"),CONCATENATE("R4C",'Mapa final'!$R$23),"")</f>
        <v/>
      </c>
      <c r="Y29" s="52" t="e">
        <f>IF(AND('Mapa final'!#REF!="Media",'Mapa final'!#REF!="Moderado"),CONCATENATE("R4C",'Mapa final'!#REF!),"")</f>
        <v>#REF!</v>
      </c>
      <c r="Z29" s="52" t="e">
        <f>IF(AND('Mapa final'!#REF!="Media",'Mapa final'!#REF!="Moderado"),CONCATENATE("R4C",'Mapa final'!#REF!),"")</f>
        <v>#REF!</v>
      </c>
      <c r="AA29" s="53" t="e">
        <f>IF(AND('Mapa final'!#REF!="Media",'Mapa final'!#REF!="Moderado"),CONCATENATE("R4C",'Mapa final'!#REF!),"")</f>
        <v>#REF!</v>
      </c>
      <c r="AB29" s="36" t="str">
        <f>IF(AND('Mapa final'!$AB$21="Media",'Mapa final'!$AD$21="Mayor"),CONCATENATE("R4C",'Mapa final'!$R$21),"")</f>
        <v/>
      </c>
      <c r="AC29" s="37" t="str">
        <f>IF(AND('Mapa final'!$AB$22="Media",'Mapa final'!$AD$22="Mayor"),CONCATENATE("R4C",'Mapa final'!$R$22),"")</f>
        <v/>
      </c>
      <c r="AD29" s="37" t="str">
        <f>IF(AND('Mapa final'!$AB$23="Media",'Mapa final'!$AD$23="Mayor"),CONCATENATE("R4C",'Mapa final'!$R$23),"")</f>
        <v/>
      </c>
      <c r="AE29" s="37" t="e">
        <f>IF(AND('Mapa final'!#REF!="Media",'Mapa final'!#REF!="Mayor"),CONCATENATE("R4C",'Mapa final'!#REF!),"")</f>
        <v>#REF!</v>
      </c>
      <c r="AF29" s="37" t="e">
        <f>IF(AND('Mapa final'!#REF!="Media",'Mapa final'!#REF!="Mayor"),CONCATENATE("R4C",'Mapa final'!#REF!),"")</f>
        <v>#REF!</v>
      </c>
      <c r="AG29" s="38" t="e">
        <f>IF(AND('Mapa final'!#REF!="Media",'Mapa final'!#REF!="Mayor"),CONCATENATE("R4C",'Mapa final'!#REF!),"")</f>
        <v>#REF!</v>
      </c>
      <c r="AH29" s="39" t="str">
        <f>IF(AND('Mapa final'!$AB$21="Media",'Mapa final'!$AD$21="Catastrófico"),CONCATENATE("R4C",'Mapa final'!$R$21),"")</f>
        <v/>
      </c>
      <c r="AI29" s="40" t="str">
        <f>IF(AND('Mapa final'!$AB$22="Media",'Mapa final'!$AD$22="Catastrófico"),CONCATENATE("R4C",'Mapa final'!$R$22),"")</f>
        <v/>
      </c>
      <c r="AJ29" s="40" t="str">
        <f>IF(AND('Mapa final'!$AB$23="Media",'Mapa final'!$AD$23="Catastrófico"),CONCATENATE("R4C",'Mapa final'!$R$23),"")</f>
        <v/>
      </c>
      <c r="AK29" s="40" t="e">
        <f>IF(AND('Mapa final'!#REF!="Media",'Mapa final'!#REF!="Catastrófico"),CONCATENATE("R4C",'Mapa final'!#REF!),"")</f>
        <v>#REF!</v>
      </c>
      <c r="AL29" s="40" t="e">
        <f>IF(AND('Mapa final'!#REF!="Media",'Mapa final'!#REF!="Catastrófico"),CONCATENATE("R4C",'Mapa final'!#REF!),"")</f>
        <v>#REF!</v>
      </c>
      <c r="AM29" s="41" t="e">
        <f>IF(AND('Mapa final'!#REF!="Media",'Mapa final'!#REF!="Catastrófico"),CONCATENATE("R4C",'Mapa final'!#REF!),"")</f>
        <v>#REF!</v>
      </c>
      <c r="AN29" s="67"/>
      <c r="AO29" s="681"/>
      <c r="AP29" s="682"/>
      <c r="AQ29" s="682"/>
      <c r="AR29" s="682"/>
      <c r="AS29" s="682"/>
      <c r="AT29" s="683"/>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553"/>
      <c r="C30" s="553"/>
      <c r="D30" s="554"/>
      <c r="E30" s="652"/>
      <c r="F30" s="651"/>
      <c r="G30" s="651"/>
      <c r="H30" s="651"/>
      <c r="I30" s="667"/>
      <c r="J30" s="51" t="str">
        <f>IF(AND('Mapa final'!$AB$24="Media",'Mapa final'!$AD$24="Leve"),CONCATENATE("R5C",'Mapa final'!$R$24),"")</f>
        <v/>
      </c>
      <c r="K30" s="52" t="str">
        <f>IF(AND('Mapa final'!$AB$25="Media",'Mapa final'!$AD$25="Leve"),CONCATENATE("R5C",'Mapa final'!$R$25),"")</f>
        <v/>
      </c>
      <c r="L30" s="52" t="str">
        <f>IF(AND('Mapa final'!$AB$26="Media",'Mapa final'!$AD$26="Leve"),CONCATENATE("R5C",'Mapa final'!$R$26),"")</f>
        <v/>
      </c>
      <c r="M30" s="52" t="str">
        <f>IF(AND('Mapa final'!$AB$27="Media",'Mapa final'!$AD$27="Leve"),CONCATENATE("R5C",'Mapa final'!$R$27),"")</f>
        <v/>
      </c>
      <c r="N30" s="52" t="str">
        <f>IF(AND('Mapa final'!$AB$28="Media",'Mapa final'!$AD$28="Leve"),CONCATENATE("R5C",'Mapa final'!$R$28),"")</f>
        <v/>
      </c>
      <c r="O30" s="53" t="str">
        <f>IF(AND('Mapa final'!$AB$29="Media",'Mapa final'!$AD$29="Leve"),CONCATENATE("R5C",'Mapa final'!$R$29),"")</f>
        <v/>
      </c>
      <c r="P30" s="51" t="str">
        <f>IF(AND('Mapa final'!$AB$24="Media",'Mapa final'!$AD$24="Menor"),CONCATENATE("R5C",'Mapa final'!$R$24),"")</f>
        <v/>
      </c>
      <c r="Q30" s="52" t="str">
        <f>IF(AND('Mapa final'!$AB$25="Media",'Mapa final'!$AD$25="Menor"),CONCATENATE("R5C",'Mapa final'!$R$25),"")</f>
        <v/>
      </c>
      <c r="R30" s="52" t="str">
        <f>IF(AND('Mapa final'!$AB$26="Media",'Mapa final'!$AD$26="Menor"),CONCATENATE("R5C",'Mapa final'!$R$26),"")</f>
        <v/>
      </c>
      <c r="S30" s="52" t="str">
        <f>IF(AND('Mapa final'!$AB$27="Media",'Mapa final'!$AD$27="Menor"),CONCATENATE("R5C",'Mapa final'!$R$27),"")</f>
        <v/>
      </c>
      <c r="T30" s="52" t="str">
        <f>IF(AND('Mapa final'!$AB$28="Media",'Mapa final'!$AD$28="Menor"),CONCATENATE("R5C",'Mapa final'!$R$28),"")</f>
        <v/>
      </c>
      <c r="U30" s="53" t="str">
        <f>IF(AND('Mapa final'!$AB$29="Media",'Mapa final'!$AD$29="Menor"),CONCATENATE("R5C",'Mapa final'!$R$29),"")</f>
        <v/>
      </c>
      <c r="V30" s="51" t="str">
        <f>IF(AND('Mapa final'!$AB$24="Media",'Mapa final'!$AD$24="Moderado"),CONCATENATE("R5C",'Mapa final'!$R$24),"")</f>
        <v/>
      </c>
      <c r="W30" s="52" t="str">
        <f>IF(AND('Mapa final'!$AB$25="Media",'Mapa final'!$AD$25="Moderado"),CONCATENATE("R5C",'Mapa final'!$R$25),"")</f>
        <v/>
      </c>
      <c r="X30" s="52" t="str">
        <f>IF(AND('Mapa final'!$AB$26="Media",'Mapa final'!$AD$26="Moderado"),CONCATENATE("R5C",'Mapa final'!$R$26),"")</f>
        <v/>
      </c>
      <c r="Y30" s="52" t="str">
        <f>IF(AND('Mapa final'!$AB$27="Media",'Mapa final'!$AD$27="Moderado"),CONCATENATE("R5C",'Mapa final'!$R$27),"")</f>
        <v/>
      </c>
      <c r="Z30" s="52" t="str">
        <f>IF(AND('Mapa final'!$AB$28="Media",'Mapa final'!$AD$28="Moderado"),CONCATENATE("R5C",'Mapa final'!$R$28),"")</f>
        <v/>
      </c>
      <c r="AA30" s="53" t="str">
        <f>IF(AND('Mapa final'!$AB$29="Media",'Mapa final'!$AD$29="Moderado"),CONCATENATE("R5C",'Mapa final'!$R$29),"")</f>
        <v/>
      </c>
      <c r="AB30" s="36" t="str">
        <f>IF(AND('Mapa final'!$AB$24="Media",'Mapa final'!$AD$24="Mayor"),CONCATENATE("R5C",'Mapa final'!$R$24),"")</f>
        <v/>
      </c>
      <c r="AC30" s="37" t="str">
        <f>IF(AND('Mapa final'!$AB$25="Media",'Mapa final'!$AD$25="Mayor"),CONCATENATE("R5C",'Mapa final'!$R$25),"")</f>
        <v/>
      </c>
      <c r="AD30" s="37" t="str">
        <f>IF(AND('Mapa final'!$AB$26="Media",'Mapa final'!$AD$26="Mayor"),CONCATENATE("R5C",'Mapa final'!$R$26),"")</f>
        <v/>
      </c>
      <c r="AE30" s="37" t="str">
        <f>IF(AND('Mapa final'!$AB$27="Media",'Mapa final'!$AD$27="Mayor"),CONCATENATE("R5C",'Mapa final'!$R$27),"")</f>
        <v/>
      </c>
      <c r="AF30" s="37" t="str">
        <f>IF(AND('Mapa final'!$AB$28="Media",'Mapa final'!$AD$28="Mayor"),CONCATENATE("R5C",'Mapa final'!$R$28),"")</f>
        <v/>
      </c>
      <c r="AG30" s="38" t="str">
        <f>IF(AND('Mapa final'!$AB$29="Media",'Mapa final'!$AD$29="Mayor"),CONCATENATE("R5C",'Mapa final'!$R$29),"")</f>
        <v/>
      </c>
      <c r="AH30" s="39" t="str">
        <f>IF(AND('Mapa final'!$AB$24="Media",'Mapa final'!$AD$24="Catastrófico"),CONCATENATE("R5C",'Mapa final'!$R$24),"")</f>
        <v/>
      </c>
      <c r="AI30" s="40" t="str">
        <f>IF(AND('Mapa final'!$AB$25="Media",'Mapa final'!$AD$25="Catastrófico"),CONCATENATE("R5C",'Mapa final'!$R$25),"")</f>
        <v/>
      </c>
      <c r="AJ30" s="40" t="str">
        <f>IF(AND('Mapa final'!$AB$26="Media",'Mapa final'!$AD$26="Catastrófico"),CONCATENATE("R5C",'Mapa final'!$R$26),"")</f>
        <v/>
      </c>
      <c r="AK30" s="40" t="str">
        <f>IF(AND('Mapa final'!$AB$27="Media",'Mapa final'!$AD$27="Catastrófico"),CONCATENATE("R5C",'Mapa final'!$R$27),"")</f>
        <v/>
      </c>
      <c r="AL30" s="40" t="str">
        <f>IF(AND('Mapa final'!$AB$28="Media",'Mapa final'!$AD$28="Catastrófico"),CONCATENATE("R5C",'Mapa final'!$R$28),"")</f>
        <v/>
      </c>
      <c r="AM30" s="41" t="str">
        <f>IF(AND('Mapa final'!$AB$29="Media",'Mapa final'!$AD$29="Catastrófico"),CONCATENATE("R5C",'Mapa final'!$R$29),"")</f>
        <v/>
      </c>
      <c r="AN30" s="67"/>
      <c r="AO30" s="681"/>
      <c r="AP30" s="682"/>
      <c r="AQ30" s="682"/>
      <c r="AR30" s="682"/>
      <c r="AS30" s="682"/>
      <c r="AT30" s="683"/>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553"/>
      <c r="C31" s="553"/>
      <c r="D31" s="554"/>
      <c r="E31" s="652"/>
      <c r="F31" s="651"/>
      <c r="G31" s="651"/>
      <c r="H31" s="651"/>
      <c r="I31" s="667"/>
      <c r="J31" s="51" t="str">
        <f>IF(AND('Mapa final'!$AB$30="Media",'Mapa final'!$AD$30="Leve"),CONCATENATE("R6C",'Mapa final'!$R$30),"")</f>
        <v/>
      </c>
      <c r="K31" s="52" t="str">
        <f>IF(AND('Mapa final'!$AB$31="Media",'Mapa final'!$AD$31="Leve"),CONCATENATE("R6C",'Mapa final'!$R$31),"")</f>
        <v/>
      </c>
      <c r="L31" s="52" t="str">
        <f>IF(AND('Mapa final'!$AB$32="Media",'Mapa final'!$AD$32="Leve"),CONCATENATE("R6C",'Mapa final'!$R$32),"")</f>
        <v/>
      </c>
      <c r="M31" s="52" t="str">
        <f>IF(AND('Mapa final'!$AB$33="Media",'Mapa final'!$AD$33="Leve"),CONCATENATE("R6C",'Mapa final'!$R$33),"")</f>
        <v/>
      </c>
      <c r="N31" s="52" t="str">
        <f>IF(AND('Mapa final'!$AB$34="Media",'Mapa final'!$AD$34="Leve"),CONCATENATE("R6C",'Mapa final'!$R$34),"")</f>
        <v/>
      </c>
      <c r="O31" s="53" t="str">
        <f>IF(AND('Mapa final'!$AB$35="Media",'Mapa final'!$AD$35="Leve"),CONCATENATE("R6C",'Mapa final'!$R$35),"")</f>
        <v/>
      </c>
      <c r="P31" s="51" t="str">
        <f>IF(AND('Mapa final'!$AB$30="Media",'Mapa final'!$AD$30="Menor"),CONCATENATE("R6C",'Mapa final'!$R$30),"")</f>
        <v/>
      </c>
      <c r="Q31" s="52" t="str">
        <f>IF(AND('Mapa final'!$AB$31="Media",'Mapa final'!$AD$31="Menor"),CONCATENATE("R6C",'Mapa final'!$R$31),"")</f>
        <v/>
      </c>
      <c r="R31" s="52" t="str">
        <f>IF(AND('Mapa final'!$AB$32="Media",'Mapa final'!$AD$32="Menor"),CONCATENATE("R6C",'Mapa final'!$R$32),"")</f>
        <v/>
      </c>
      <c r="S31" s="52" t="str">
        <f>IF(AND('Mapa final'!$AB$33="Media",'Mapa final'!$AD$33="Menor"),CONCATENATE("R6C",'Mapa final'!$R$33),"")</f>
        <v/>
      </c>
      <c r="T31" s="52" t="str">
        <f>IF(AND('Mapa final'!$AB$34="Media",'Mapa final'!$AD$34="Menor"),CONCATENATE("R6C",'Mapa final'!$R$34),"")</f>
        <v/>
      </c>
      <c r="U31" s="53" t="str">
        <f>IF(AND('Mapa final'!$AB$35="Media",'Mapa final'!$AD$35="Menor"),CONCATENATE("R6C",'Mapa final'!$R$35),"")</f>
        <v/>
      </c>
      <c r="V31" s="51" t="str">
        <f>IF(AND('Mapa final'!$AB$30="Media",'Mapa final'!$AD$30="Moderado"),CONCATENATE("R6C",'Mapa final'!$R$30),"")</f>
        <v/>
      </c>
      <c r="W31" s="52" t="str">
        <f>IF(AND('Mapa final'!$AB$31="Media",'Mapa final'!$AD$31="Moderado"),CONCATENATE("R6C",'Mapa final'!$R$31),"")</f>
        <v/>
      </c>
      <c r="X31" s="52" t="str">
        <f>IF(AND('Mapa final'!$AB$32="Media",'Mapa final'!$AD$32="Moderado"),CONCATENATE("R6C",'Mapa final'!$R$32),"")</f>
        <v/>
      </c>
      <c r="Y31" s="52" t="str">
        <f>IF(AND('Mapa final'!$AB$33="Media",'Mapa final'!$AD$33="Moderado"),CONCATENATE("R6C",'Mapa final'!$R$33),"")</f>
        <v/>
      </c>
      <c r="Z31" s="52" t="str">
        <f>IF(AND('Mapa final'!$AB$34="Media",'Mapa final'!$AD$34="Moderado"),CONCATENATE("R6C",'Mapa final'!$R$34),"")</f>
        <v/>
      </c>
      <c r="AA31" s="53" t="str">
        <f>IF(AND('Mapa final'!$AB$35="Media",'Mapa final'!$AD$35="Moderado"),CONCATENATE("R6C",'Mapa final'!$R$35),"")</f>
        <v/>
      </c>
      <c r="AB31" s="36" t="str">
        <f>IF(AND('Mapa final'!$AB$30="Media",'Mapa final'!$AD$30="Mayor"),CONCATENATE("R6C",'Mapa final'!$R$30),"")</f>
        <v/>
      </c>
      <c r="AC31" s="37" t="str">
        <f>IF(AND('Mapa final'!$AB$31="Media",'Mapa final'!$AD$31="Mayor"),CONCATENATE("R6C",'Mapa final'!$R$31),"")</f>
        <v/>
      </c>
      <c r="AD31" s="37" t="str">
        <f>IF(AND('Mapa final'!$AB$32="Media",'Mapa final'!$AD$32="Mayor"),CONCATENATE("R6C",'Mapa final'!$R$32),"")</f>
        <v/>
      </c>
      <c r="AE31" s="37" t="str">
        <f>IF(AND('Mapa final'!$AB$33="Media",'Mapa final'!$AD$33="Mayor"),CONCATENATE("R6C",'Mapa final'!$R$33),"")</f>
        <v/>
      </c>
      <c r="AF31" s="37" t="str">
        <f>IF(AND('Mapa final'!$AB$34="Media",'Mapa final'!$AD$34="Mayor"),CONCATENATE("R6C",'Mapa final'!$R$34),"")</f>
        <v/>
      </c>
      <c r="AG31" s="38" t="str">
        <f>IF(AND('Mapa final'!$AB$35="Media",'Mapa final'!$AD$35="Mayor"),CONCATENATE("R6C",'Mapa final'!$R$35),"")</f>
        <v/>
      </c>
      <c r="AH31" s="39" t="str">
        <f>IF(AND('Mapa final'!$AB$30="Media",'Mapa final'!$AD$30="Catastrófico"),CONCATENATE("R6C",'Mapa final'!$R$30),"")</f>
        <v/>
      </c>
      <c r="AI31" s="40" t="str">
        <f>IF(AND('Mapa final'!$AB$31="Media",'Mapa final'!$AD$31="Catastrófico"),CONCATENATE("R6C",'Mapa final'!$R$31),"")</f>
        <v/>
      </c>
      <c r="AJ31" s="40" t="str">
        <f>IF(AND('Mapa final'!$AB$32="Media",'Mapa final'!$AD$32="Catastrófico"),CONCATENATE("R6C",'Mapa final'!$R$32),"")</f>
        <v/>
      </c>
      <c r="AK31" s="40" t="str">
        <f>IF(AND('Mapa final'!$AB$33="Media",'Mapa final'!$AD$33="Catastrófico"),CONCATENATE("R6C",'Mapa final'!$R$33),"")</f>
        <v/>
      </c>
      <c r="AL31" s="40" t="str">
        <f>IF(AND('Mapa final'!$AB$34="Media",'Mapa final'!$AD$34="Catastrófico"),CONCATENATE("R6C",'Mapa final'!$R$34),"")</f>
        <v/>
      </c>
      <c r="AM31" s="41" t="str">
        <f>IF(AND('Mapa final'!$AB$35="Media",'Mapa final'!$AD$35="Catastrófico"),CONCATENATE("R6C",'Mapa final'!$R$35),"")</f>
        <v/>
      </c>
      <c r="AN31" s="67"/>
      <c r="AO31" s="681"/>
      <c r="AP31" s="682"/>
      <c r="AQ31" s="682"/>
      <c r="AR31" s="682"/>
      <c r="AS31" s="682"/>
      <c r="AT31" s="683"/>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553"/>
      <c r="C32" s="553"/>
      <c r="D32" s="554"/>
      <c r="E32" s="652"/>
      <c r="F32" s="651"/>
      <c r="G32" s="651"/>
      <c r="H32" s="651"/>
      <c r="I32" s="667"/>
      <c r="J32" s="51" t="str">
        <f>IF(AND('Mapa final'!$AB$36="Media",'Mapa final'!$AD$36="Leve"),CONCATENATE("R7C",'Mapa final'!$R$36),"")</f>
        <v/>
      </c>
      <c r="K32" s="52" t="str">
        <f>IF(AND('Mapa final'!$AB$37="Media",'Mapa final'!$AD$37="Leve"),CONCATENATE("R7C",'Mapa final'!$R$37),"")</f>
        <v/>
      </c>
      <c r="L32" s="52" t="str">
        <f>IF(AND('Mapa final'!$AB$38="Media",'Mapa final'!$AD$38="Leve"),CONCATENATE("R7C",'Mapa final'!$R$38),"")</f>
        <v/>
      </c>
      <c r="M32" s="52" t="str">
        <f>IF(AND('Mapa final'!$AB$39="Media",'Mapa final'!$AD$39="Leve"),CONCATENATE("R7C",'Mapa final'!$R$39),"")</f>
        <v/>
      </c>
      <c r="N32" s="52" t="str">
        <f>IF(AND('Mapa final'!$AB$40="Media",'Mapa final'!$AD$40="Leve"),CONCATENATE("R7C",'Mapa final'!$R$40),"")</f>
        <v/>
      </c>
      <c r="O32" s="53" t="str">
        <f>IF(AND('Mapa final'!$AB$41="Media",'Mapa final'!$AD$41="Leve"),CONCATENATE("R7C",'Mapa final'!$R$41),"")</f>
        <v/>
      </c>
      <c r="P32" s="51" t="str">
        <f>IF(AND('Mapa final'!$AB$36="Media",'Mapa final'!$AD$36="Menor"),CONCATENATE("R7C",'Mapa final'!$R$36),"")</f>
        <v/>
      </c>
      <c r="Q32" s="52" t="str">
        <f>IF(AND('Mapa final'!$AB$37="Media",'Mapa final'!$AD$37="Menor"),CONCATENATE("R7C",'Mapa final'!$R$37),"")</f>
        <v/>
      </c>
      <c r="R32" s="52" t="str">
        <f>IF(AND('Mapa final'!$AB$38="Media",'Mapa final'!$AD$38="Menor"),CONCATENATE("R7C",'Mapa final'!$R$38),"")</f>
        <v/>
      </c>
      <c r="S32" s="52" t="str">
        <f>IF(AND('Mapa final'!$AB$39="Media",'Mapa final'!$AD$39="Menor"),CONCATENATE("R7C",'Mapa final'!$R$39),"")</f>
        <v/>
      </c>
      <c r="T32" s="52" t="str">
        <f>IF(AND('Mapa final'!$AB$40="Media",'Mapa final'!$AD$40="Menor"),CONCATENATE("R7C",'Mapa final'!$R$40),"")</f>
        <v/>
      </c>
      <c r="U32" s="53" t="str">
        <f>IF(AND('Mapa final'!$AB$41="Media",'Mapa final'!$AD$41="Menor"),CONCATENATE("R7C",'Mapa final'!$R$41),"")</f>
        <v/>
      </c>
      <c r="V32" s="51" t="str">
        <f>IF(AND('Mapa final'!$AB$36="Media",'Mapa final'!$AD$36="Moderado"),CONCATENATE("R7C",'Mapa final'!$R$36),"")</f>
        <v/>
      </c>
      <c r="W32" s="52" t="str">
        <f>IF(AND('Mapa final'!$AB$37="Media",'Mapa final'!$AD$37="Moderado"),CONCATENATE("R7C",'Mapa final'!$R$37),"")</f>
        <v/>
      </c>
      <c r="X32" s="52" t="str">
        <f>IF(AND('Mapa final'!$AB$38="Media",'Mapa final'!$AD$38="Moderado"),CONCATENATE("R7C",'Mapa final'!$R$38),"")</f>
        <v/>
      </c>
      <c r="Y32" s="52" t="str">
        <f>IF(AND('Mapa final'!$AB$39="Media",'Mapa final'!$AD$39="Moderado"),CONCATENATE("R7C",'Mapa final'!$R$39),"")</f>
        <v/>
      </c>
      <c r="Z32" s="52" t="str">
        <f>IF(AND('Mapa final'!$AB$40="Media",'Mapa final'!$AD$40="Moderado"),CONCATENATE("R7C",'Mapa final'!$R$40),"")</f>
        <v/>
      </c>
      <c r="AA32" s="53" t="str">
        <f>IF(AND('Mapa final'!$AB$41="Media",'Mapa final'!$AD$41="Moderado"),CONCATENATE("R7C",'Mapa final'!$R$41),"")</f>
        <v/>
      </c>
      <c r="AB32" s="36" t="str">
        <f>IF(AND('Mapa final'!$AB$36="Media",'Mapa final'!$AD$36="Mayor"),CONCATENATE("R7C",'Mapa final'!$R$36),"")</f>
        <v/>
      </c>
      <c r="AC32" s="37" t="str">
        <f>IF(AND('Mapa final'!$AB$37="Media",'Mapa final'!$AD$37="Mayor"),CONCATENATE("R7C",'Mapa final'!$R$37),"")</f>
        <v/>
      </c>
      <c r="AD32" s="37" t="str">
        <f>IF(AND('Mapa final'!$AB$38="Media",'Mapa final'!$AD$38="Mayor"),CONCATENATE("R7C",'Mapa final'!$R$38),"")</f>
        <v/>
      </c>
      <c r="AE32" s="37" t="str">
        <f>IF(AND('Mapa final'!$AB$39="Media",'Mapa final'!$AD$39="Mayor"),CONCATENATE("R7C",'Mapa final'!$R$39),"")</f>
        <v/>
      </c>
      <c r="AF32" s="37" t="str">
        <f>IF(AND('Mapa final'!$AB$40="Media",'Mapa final'!$AD$40="Mayor"),CONCATENATE("R7C",'Mapa final'!$R$40),"")</f>
        <v/>
      </c>
      <c r="AG32" s="38" t="str">
        <f>IF(AND('Mapa final'!$AB$41="Media",'Mapa final'!$AD$41="Mayor"),CONCATENATE("R7C",'Mapa final'!$R$41),"")</f>
        <v/>
      </c>
      <c r="AH32" s="39" t="str">
        <f>IF(AND('Mapa final'!$AB$36="Media",'Mapa final'!$AD$36="Catastrófico"),CONCATENATE("R7C",'Mapa final'!$R$36),"")</f>
        <v/>
      </c>
      <c r="AI32" s="40" t="str">
        <f>IF(AND('Mapa final'!$AB$37="Media",'Mapa final'!$AD$37="Catastrófico"),CONCATENATE("R7C",'Mapa final'!$R$37),"")</f>
        <v/>
      </c>
      <c r="AJ32" s="40" t="str">
        <f>IF(AND('Mapa final'!$AB$38="Media",'Mapa final'!$AD$38="Catastrófico"),CONCATENATE("R7C",'Mapa final'!$R$38),"")</f>
        <v/>
      </c>
      <c r="AK32" s="40" t="str">
        <f>IF(AND('Mapa final'!$AB$39="Media",'Mapa final'!$AD$39="Catastrófico"),CONCATENATE("R7C",'Mapa final'!$R$39),"")</f>
        <v/>
      </c>
      <c r="AL32" s="40" t="str">
        <f>IF(AND('Mapa final'!$AB$40="Media",'Mapa final'!$AD$40="Catastrófico"),CONCATENATE("R7C",'Mapa final'!$R$40),"")</f>
        <v/>
      </c>
      <c r="AM32" s="41" t="str">
        <f>IF(AND('Mapa final'!$AB$41="Media",'Mapa final'!$AD$41="Catastrófico"),CONCATENATE("R7C",'Mapa final'!$R$41),"")</f>
        <v/>
      </c>
      <c r="AN32" s="67"/>
      <c r="AO32" s="681"/>
      <c r="AP32" s="682"/>
      <c r="AQ32" s="682"/>
      <c r="AR32" s="682"/>
      <c r="AS32" s="682"/>
      <c r="AT32" s="683"/>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553"/>
      <c r="C33" s="553"/>
      <c r="D33" s="554"/>
      <c r="E33" s="652"/>
      <c r="F33" s="651"/>
      <c r="G33" s="651"/>
      <c r="H33" s="651"/>
      <c r="I33" s="667"/>
      <c r="J33" s="51" t="str">
        <f>IF(AND('Mapa final'!$AB$42="Media",'Mapa final'!$AD$42="Leve"),CONCATENATE("R8C",'Mapa final'!$R$42),"")</f>
        <v/>
      </c>
      <c r="K33" s="52" t="str">
        <f>IF(AND('Mapa final'!$AB$43="Media",'Mapa final'!$AD$43="Leve"),CONCATENATE("R8C",'Mapa final'!$R$43),"")</f>
        <v/>
      </c>
      <c r="L33" s="52" t="str">
        <f>IF(AND('Mapa final'!$AB$44="Media",'Mapa final'!$AD$44="Leve"),CONCATENATE("R8C",'Mapa final'!$R$44),"")</f>
        <v/>
      </c>
      <c r="M33" s="52" t="str">
        <f>IF(AND('Mapa final'!$AB$45="Media",'Mapa final'!$AD$45="Leve"),CONCATENATE("R8C",'Mapa final'!$R$45),"")</f>
        <v/>
      </c>
      <c r="N33" s="52" t="str">
        <f>IF(AND('Mapa final'!$AB$46="Media",'Mapa final'!$AD$46="Leve"),CONCATENATE("R8C",'Mapa final'!$R$46),"")</f>
        <v/>
      </c>
      <c r="O33" s="53" t="str">
        <f>IF(AND('Mapa final'!$AB$47="Media",'Mapa final'!$AD$47="Leve"),CONCATENATE("R8C",'Mapa final'!$R$47),"")</f>
        <v/>
      </c>
      <c r="P33" s="51" t="str">
        <f>IF(AND('Mapa final'!$AB$42="Media",'Mapa final'!$AD$42="Menor"),CONCATENATE("R8C",'Mapa final'!$R$42),"")</f>
        <v/>
      </c>
      <c r="Q33" s="52" t="str">
        <f>IF(AND('Mapa final'!$AB$43="Media",'Mapa final'!$AD$43="Menor"),CONCATENATE("R8C",'Mapa final'!$R$43),"")</f>
        <v/>
      </c>
      <c r="R33" s="52" t="str">
        <f>IF(AND('Mapa final'!$AB$44="Media",'Mapa final'!$AD$44="Menor"),CONCATENATE("R8C",'Mapa final'!$R$44),"")</f>
        <v/>
      </c>
      <c r="S33" s="52" t="str">
        <f>IF(AND('Mapa final'!$AB$45="Media",'Mapa final'!$AD$45="Menor"),CONCATENATE("R8C",'Mapa final'!$R$45),"")</f>
        <v/>
      </c>
      <c r="T33" s="52" t="str">
        <f>IF(AND('Mapa final'!$AB$46="Media",'Mapa final'!$AD$46="Menor"),CONCATENATE("R8C",'Mapa final'!$R$46),"")</f>
        <v/>
      </c>
      <c r="U33" s="53" t="str">
        <f>IF(AND('Mapa final'!$AB$47="Media",'Mapa final'!$AD$47="Menor"),CONCATENATE("R8C",'Mapa final'!$R$47),"")</f>
        <v/>
      </c>
      <c r="V33" s="51" t="str">
        <f>IF(AND('Mapa final'!$AB$42="Media",'Mapa final'!$AD$42="Moderado"),CONCATENATE("R8C",'Mapa final'!$R$42),"")</f>
        <v/>
      </c>
      <c r="W33" s="52" t="str">
        <f>IF(AND('Mapa final'!$AB$43="Media",'Mapa final'!$AD$43="Moderado"),CONCATENATE("R8C",'Mapa final'!$R$43),"")</f>
        <v/>
      </c>
      <c r="X33" s="52" t="str">
        <f>IF(AND('Mapa final'!$AB$44="Media",'Mapa final'!$AD$44="Moderado"),CONCATENATE("R8C",'Mapa final'!$R$44),"")</f>
        <v/>
      </c>
      <c r="Y33" s="52" t="str">
        <f>IF(AND('Mapa final'!$AB$45="Media",'Mapa final'!$AD$45="Moderado"),CONCATENATE("R8C",'Mapa final'!$R$45),"")</f>
        <v/>
      </c>
      <c r="Z33" s="52" t="str">
        <f>IF(AND('Mapa final'!$AB$46="Media",'Mapa final'!$AD$46="Moderado"),CONCATENATE("R8C",'Mapa final'!$R$46),"")</f>
        <v/>
      </c>
      <c r="AA33" s="53" t="str">
        <f>IF(AND('Mapa final'!$AB$47="Media",'Mapa final'!$AD$47="Moderado"),CONCATENATE("R8C",'Mapa final'!$R$47),"")</f>
        <v/>
      </c>
      <c r="AB33" s="36" t="str">
        <f>IF(AND('Mapa final'!$AB$42="Media",'Mapa final'!$AD$42="Mayor"),CONCATENATE("R8C",'Mapa final'!$R$42),"")</f>
        <v/>
      </c>
      <c r="AC33" s="37" t="str">
        <f>IF(AND('Mapa final'!$AB$43="Media",'Mapa final'!$AD$43="Mayor"),CONCATENATE("R8C",'Mapa final'!$R$43),"")</f>
        <v/>
      </c>
      <c r="AD33" s="37" t="str">
        <f>IF(AND('Mapa final'!$AB$44="Media",'Mapa final'!$AD$44="Mayor"),CONCATENATE("R8C",'Mapa final'!$R$44),"")</f>
        <v/>
      </c>
      <c r="AE33" s="37" t="str">
        <f>IF(AND('Mapa final'!$AB$45="Media",'Mapa final'!$AD$45="Mayor"),CONCATENATE("R8C",'Mapa final'!$R$45),"")</f>
        <v/>
      </c>
      <c r="AF33" s="37" t="str">
        <f>IF(AND('Mapa final'!$AB$46="Media",'Mapa final'!$AD$46="Mayor"),CONCATENATE("R8C",'Mapa final'!$R$46),"")</f>
        <v/>
      </c>
      <c r="AG33" s="38" t="str">
        <f>IF(AND('Mapa final'!$AB$47="Media",'Mapa final'!$AD$47="Mayor"),CONCATENATE("R8C",'Mapa final'!$R$47),"")</f>
        <v/>
      </c>
      <c r="AH33" s="39" t="str">
        <f>IF(AND('Mapa final'!$AB$42="Media",'Mapa final'!$AD$42="Catastrófico"),CONCATENATE("R8C",'Mapa final'!$R$42),"")</f>
        <v/>
      </c>
      <c r="AI33" s="40" t="str">
        <f>IF(AND('Mapa final'!$AB$43="Media",'Mapa final'!$AD$43="Catastrófico"),CONCATENATE("R8C",'Mapa final'!$R$43),"")</f>
        <v/>
      </c>
      <c r="AJ33" s="40" t="str">
        <f>IF(AND('Mapa final'!$AB$44="Media",'Mapa final'!$AD$44="Catastrófico"),CONCATENATE("R8C",'Mapa final'!$R$44),"")</f>
        <v/>
      </c>
      <c r="AK33" s="40" t="str">
        <f>IF(AND('Mapa final'!$AB$45="Media",'Mapa final'!$AD$45="Catastrófico"),CONCATENATE("R8C",'Mapa final'!$R$45),"")</f>
        <v/>
      </c>
      <c r="AL33" s="40" t="str">
        <f>IF(AND('Mapa final'!$AB$46="Media",'Mapa final'!$AD$46="Catastrófico"),CONCATENATE("R8C",'Mapa final'!$R$46),"")</f>
        <v/>
      </c>
      <c r="AM33" s="41" t="str">
        <f>IF(AND('Mapa final'!$AB$47="Media",'Mapa final'!$AD$47="Catastrófico"),CONCATENATE("R8C",'Mapa final'!$R$47),"")</f>
        <v/>
      </c>
      <c r="AN33" s="67"/>
      <c r="AO33" s="681"/>
      <c r="AP33" s="682"/>
      <c r="AQ33" s="682"/>
      <c r="AR33" s="682"/>
      <c r="AS33" s="682"/>
      <c r="AT33" s="683"/>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553"/>
      <c r="C34" s="553"/>
      <c r="D34" s="554"/>
      <c r="E34" s="652"/>
      <c r="F34" s="651"/>
      <c r="G34" s="651"/>
      <c r="H34" s="651"/>
      <c r="I34" s="667"/>
      <c r="J34" s="51" t="str">
        <f>IF(AND('Mapa final'!$AB$48="Media",'Mapa final'!$AD$48="Leve"),CONCATENATE("R9C",'Mapa final'!$R$48),"")</f>
        <v/>
      </c>
      <c r="K34" s="52" t="str">
        <f>IF(AND('Mapa final'!$AB$49="Media",'Mapa final'!$AD$49="Leve"),CONCATENATE("R9C",'Mapa final'!$R$49),"")</f>
        <v/>
      </c>
      <c r="L34" s="52" t="str">
        <f>IF(AND('Mapa final'!$AB$50="Media",'Mapa final'!$AD$50="Leve"),CONCATENATE("R9C",'Mapa final'!$R$50),"")</f>
        <v/>
      </c>
      <c r="M34" s="52" t="str">
        <f>IF(AND('Mapa final'!$AB$51="Media",'Mapa final'!$AD$51="Leve"),CONCATENATE("R9C",'Mapa final'!$R$51),"")</f>
        <v/>
      </c>
      <c r="N34" s="52" t="str">
        <f>IF(AND('Mapa final'!$AB$52="Media",'Mapa final'!$AD$52="Leve"),CONCATENATE("R9C",'Mapa final'!$R$52),"")</f>
        <v/>
      </c>
      <c r="O34" s="53" t="str">
        <f>IF(AND('Mapa final'!$AB$53="Media",'Mapa final'!$AD$53="Leve"),CONCATENATE("R9C",'Mapa final'!$R$53),"")</f>
        <v/>
      </c>
      <c r="P34" s="51" t="str">
        <f>IF(AND('Mapa final'!$AB$48="Media",'Mapa final'!$AD$48="Menor"),CONCATENATE("R9C",'Mapa final'!$R$48),"")</f>
        <v/>
      </c>
      <c r="Q34" s="52" t="str">
        <f>IF(AND('Mapa final'!$AB$49="Media",'Mapa final'!$AD$49="Menor"),CONCATENATE("R9C",'Mapa final'!$R$49),"")</f>
        <v/>
      </c>
      <c r="R34" s="52" t="str">
        <f>IF(AND('Mapa final'!$AB$50="Media",'Mapa final'!$AD$50="Menor"),CONCATENATE("R9C",'Mapa final'!$R$50),"")</f>
        <v/>
      </c>
      <c r="S34" s="52" t="str">
        <f>IF(AND('Mapa final'!$AB$51="Media",'Mapa final'!$AD$51="Menor"),CONCATENATE("R9C",'Mapa final'!$R$51),"")</f>
        <v/>
      </c>
      <c r="T34" s="52" t="str">
        <f>IF(AND('Mapa final'!$AB$52="Media",'Mapa final'!$AD$52="Menor"),CONCATENATE("R9C",'Mapa final'!$R$52),"")</f>
        <v/>
      </c>
      <c r="U34" s="53" t="str">
        <f>IF(AND('Mapa final'!$AB$53="Media",'Mapa final'!$AD$53="Menor"),CONCATENATE("R9C",'Mapa final'!$R$53),"")</f>
        <v/>
      </c>
      <c r="V34" s="51" t="str">
        <f>IF(AND('Mapa final'!$AB$48="Media",'Mapa final'!$AD$48="Moderado"),CONCATENATE("R9C",'Mapa final'!$R$48),"")</f>
        <v/>
      </c>
      <c r="W34" s="52" t="str">
        <f>IF(AND('Mapa final'!$AB$49="Media",'Mapa final'!$AD$49="Moderado"),CONCATENATE("R9C",'Mapa final'!$R$49),"")</f>
        <v/>
      </c>
      <c r="X34" s="52" t="str">
        <f>IF(AND('Mapa final'!$AB$50="Media",'Mapa final'!$AD$50="Moderado"),CONCATENATE("R9C",'Mapa final'!$R$50),"")</f>
        <v/>
      </c>
      <c r="Y34" s="52" t="str">
        <f>IF(AND('Mapa final'!$AB$51="Media",'Mapa final'!$AD$51="Moderado"),CONCATENATE("R9C",'Mapa final'!$R$51),"")</f>
        <v/>
      </c>
      <c r="Z34" s="52" t="str">
        <f>IF(AND('Mapa final'!$AB$52="Media",'Mapa final'!$AD$52="Moderado"),CONCATENATE("R9C",'Mapa final'!$R$52),"")</f>
        <v/>
      </c>
      <c r="AA34" s="53" t="str">
        <f>IF(AND('Mapa final'!$AB$53="Media",'Mapa final'!$AD$53="Moderado"),CONCATENATE("R9C",'Mapa final'!$R$53),"")</f>
        <v/>
      </c>
      <c r="AB34" s="36" t="str">
        <f>IF(AND('Mapa final'!$AB$48="Media",'Mapa final'!$AD$48="Mayor"),CONCATENATE("R9C",'Mapa final'!$R$48),"")</f>
        <v/>
      </c>
      <c r="AC34" s="37" t="str">
        <f>IF(AND('Mapa final'!$AB$49="Media",'Mapa final'!$AD$49="Mayor"),CONCATENATE("R9C",'Mapa final'!$R$49),"")</f>
        <v/>
      </c>
      <c r="AD34" s="37" t="str">
        <f>IF(AND('Mapa final'!$AB$50="Media",'Mapa final'!$AD$50="Mayor"),CONCATENATE("R9C",'Mapa final'!$R$50),"")</f>
        <v/>
      </c>
      <c r="AE34" s="37" t="str">
        <f>IF(AND('Mapa final'!$AB$51="Media",'Mapa final'!$AD$51="Mayor"),CONCATENATE("R9C",'Mapa final'!$R$51),"")</f>
        <v/>
      </c>
      <c r="AF34" s="37" t="str">
        <f>IF(AND('Mapa final'!$AB$52="Media",'Mapa final'!$AD$52="Mayor"),CONCATENATE("R9C",'Mapa final'!$R$52),"")</f>
        <v/>
      </c>
      <c r="AG34" s="38" t="str">
        <f>IF(AND('Mapa final'!$AB$53="Media",'Mapa final'!$AD$53="Mayor"),CONCATENATE("R9C",'Mapa final'!$R$53),"")</f>
        <v/>
      </c>
      <c r="AH34" s="39" t="str">
        <f>IF(AND('Mapa final'!$AB$48="Media",'Mapa final'!$AD$48="Catastrófico"),CONCATENATE("R9C",'Mapa final'!$R$48),"")</f>
        <v/>
      </c>
      <c r="AI34" s="40" t="str">
        <f>IF(AND('Mapa final'!$AB$49="Media",'Mapa final'!$AD$49="Catastrófico"),CONCATENATE("R9C",'Mapa final'!$R$49),"")</f>
        <v/>
      </c>
      <c r="AJ34" s="40" t="str">
        <f>IF(AND('Mapa final'!$AB$50="Media",'Mapa final'!$AD$50="Catastrófico"),CONCATENATE("R9C",'Mapa final'!$R$50),"")</f>
        <v/>
      </c>
      <c r="AK34" s="40" t="str">
        <f>IF(AND('Mapa final'!$AB$51="Media",'Mapa final'!$AD$51="Catastrófico"),CONCATENATE("R9C",'Mapa final'!$R$51),"")</f>
        <v/>
      </c>
      <c r="AL34" s="40" t="str">
        <f>IF(AND('Mapa final'!$AB$52="Media",'Mapa final'!$AD$52="Catastrófico"),CONCATENATE("R9C",'Mapa final'!$R$52),"")</f>
        <v/>
      </c>
      <c r="AM34" s="41" t="str">
        <f>IF(AND('Mapa final'!$AB$53="Media",'Mapa final'!$AD$53="Catastrófico"),CONCATENATE("R9C",'Mapa final'!$R$53),"")</f>
        <v/>
      </c>
      <c r="AN34" s="67"/>
      <c r="AO34" s="681"/>
      <c r="AP34" s="682"/>
      <c r="AQ34" s="682"/>
      <c r="AR34" s="682"/>
      <c r="AS34" s="682"/>
      <c r="AT34" s="683"/>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553"/>
      <c r="C35" s="553"/>
      <c r="D35" s="554"/>
      <c r="E35" s="653"/>
      <c r="F35" s="654"/>
      <c r="G35" s="654"/>
      <c r="H35" s="654"/>
      <c r="I35" s="668"/>
      <c r="J35" s="51" t="str">
        <f>IF(AND('Mapa final'!$AB$54="Media",'Mapa final'!$AD$54="Leve"),CONCATENATE("R10C",'Mapa final'!$R$54),"")</f>
        <v/>
      </c>
      <c r="K35" s="52" t="str">
        <f>IF(AND('Mapa final'!$AB$55="Media",'Mapa final'!$AD$55="Leve"),CONCATENATE("R10C",'Mapa final'!$R$55),"")</f>
        <v/>
      </c>
      <c r="L35" s="52" t="str">
        <f>IF(AND('Mapa final'!$AB$56="Media",'Mapa final'!$AD$56="Leve"),CONCATENATE("R10C",'Mapa final'!$R$56),"")</f>
        <v/>
      </c>
      <c r="M35" s="52" t="str">
        <f>IF(AND('Mapa final'!$AB$57="Media",'Mapa final'!$AD$57="Leve"),CONCATENATE("R10C",'Mapa final'!$R$57),"")</f>
        <v/>
      </c>
      <c r="N35" s="52" t="str">
        <f>IF(AND('Mapa final'!$AB$58="Media",'Mapa final'!$AD$58="Leve"),CONCATENATE("R10C",'Mapa final'!$R$58),"")</f>
        <v/>
      </c>
      <c r="O35" s="53" t="str">
        <f>IF(AND('Mapa final'!$AB$59="Media",'Mapa final'!$AD$59="Leve"),CONCATENATE("R10C",'Mapa final'!$R$59),"")</f>
        <v/>
      </c>
      <c r="P35" s="51" t="str">
        <f>IF(AND('Mapa final'!$AB$54="Media",'Mapa final'!$AD$54="Menor"),CONCATENATE("R10C",'Mapa final'!$R$54),"")</f>
        <v/>
      </c>
      <c r="Q35" s="52" t="str">
        <f>IF(AND('Mapa final'!$AB$55="Media",'Mapa final'!$AD$55="Menor"),CONCATENATE("R10C",'Mapa final'!$R$55),"")</f>
        <v/>
      </c>
      <c r="R35" s="52" t="str">
        <f>IF(AND('Mapa final'!$AB$56="Media",'Mapa final'!$AD$56="Menor"),CONCATENATE("R10C",'Mapa final'!$R$56),"")</f>
        <v/>
      </c>
      <c r="S35" s="52" t="str">
        <f>IF(AND('Mapa final'!$AB$57="Media",'Mapa final'!$AD$57="Menor"),CONCATENATE("R10C",'Mapa final'!$R$57),"")</f>
        <v/>
      </c>
      <c r="T35" s="52" t="str">
        <f>IF(AND('Mapa final'!$AB$58="Media",'Mapa final'!$AD$58="Menor"),CONCATENATE("R10C",'Mapa final'!$R$58),"")</f>
        <v/>
      </c>
      <c r="U35" s="53" t="str">
        <f>IF(AND('Mapa final'!$AB$59="Media",'Mapa final'!$AD$59="Menor"),CONCATENATE("R10C",'Mapa final'!$R$59),"")</f>
        <v/>
      </c>
      <c r="V35" s="51" t="str">
        <f>IF(AND('Mapa final'!$AB$54="Media",'Mapa final'!$AD$54="Moderado"),CONCATENATE("R10C",'Mapa final'!$R$54),"")</f>
        <v/>
      </c>
      <c r="W35" s="52" t="str">
        <f>IF(AND('Mapa final'!$AB$55="Media",'Mapa final'!$AD$55="Moderado"),CONCATENATE("R10C",'Mapa final'!$R$55),"")</f>
        <v/>
      </c>
      <c r="X35" s="52" t="str">
        <f>IF(AND('Mapa final'!$AB$56="Media",'Mapa final'!$AD$56="Moderado"),CONCATENATE("R10C",'Mapa final'!$R$56),"")</f>
        <v/>
      </c>
      <c r="Y35" s="52" t="str">
        <f>IF(AND('Mapa final'!$AB$57="Media",'Mapa final'!$AD$57="Moderado"),CONCATENATE("R10C",'Mapa final'!$R$57),"")</f>
        <v/>
      </c>
      <c r="Z35" s="52" t="str">
        <f>IF(AND('Mapa final'!$AB$58="Media",'Mapa final'!$AD$58="Moderado"),CONCATENATE("R10C",'Mapa final'!$R$58),"")</f>
        <v/>
      </c>
      <c r="AA35" s="53" t="str">
        <f>IF(AND('Mapa final'!$AB$59="Media",'Mapa final'!$AD$59="Moderado"),CONCATENATE("R10C",'Mapa final'!$R$59),"")</f>
        <v/>
      </c>
      <c r="AB35" s="42" t="str">
        <f>IF(AND('Mapa final'!$AB$54="Media",'Mapa final'!$AD$54="Mayor"),CONCATENATE("R10C",'Mapa final'!$R$54),"")</f>
        <v/>
      </c>
      <c r="AC35" s="43" t="str">
        <f>IF(AND('Mapa final'!$AB$55="Media",'Mapa final'!$AD$55="Mayor"),CONCATENATE("R10C",'Mapa final'!$R$55),"")</f>
        <v/>
      </c>
      <c r="AD35" s="43" t="str">
        <f>IF(AND('Mapa final'!$AB$56="Media",'Mapa final'!$AD$56="Mayor"),CONCATENATE("R10C",'Mapa final'!$R$56),"")</f>
        <v/>
      </c>
      <c r="AE35" s="43" t="str">
        <f>IF(AND('Mapa final'!$AB$57="Media",'Mapa final'!$AD$57="Mayor"),CONCATENATE("R10C",'Mapa final'!$R$57),"")</f>
        <v/>
      </c>
      <c r="AF35" s="43" t="str">
        <f>IF(AND('Mapa final'!$AB$58="Media",'Mapa final'!$AD$58="Mayor"),CONCATENATE("R10C",'Mapa final'!$R$58),"")</f>
        <v/>
      </c>
      <c r="AG35" s="44" t="str">
        <f>IF(AND('Mapa final'!$AB$59="Media",'Mapa final'!$AD$59="Mayor"),CONCATENATE("R10C",'Mapa final'!$R$59),"")</f>
        <v/>
      </c>
      <c r="AH35" s="45" t="str">
        <f>IF(AND('Mapa final'!$AB$54="Media",'Mapa final'!$AD$54="Catastrófico"),CONCATENATE("R10C",'Mapa final'!$R$54),"")</f>
        <v/>
      </c>
      <c r="AI35" s="46" t="str">
        <f>IF(AND('Mapa final'!$AB$55="Media",'Mapa final'!$AD$55="Catastrófico"),CONCATENATE("R10C",'Mapa final'!$R$55),"")</f>
        <v/>
      </c>
      <c r="AJ35" s="46" t="str">
        <f>IF(AND('Mapa final'!$AB$56="Media",'Mapa final'!$AD$56="Catastrófico"),CONCATENATE("R10C",'Mapa final'!$R$56),"")</f>
        <v/>
      </c>
      <c r="AK35" s="46" t="str">
        <f>IF(AND('Mapa final'!$AB$57="Media",'Mapa final'!$AD$57="Catastrófico"),CONCATENATE("R10C",'Mapa final'!$R$57),"")</f>
        <v/>
      </c>
      <c r="AL35" s="46" t="str">
        <f>IF(AND('Mapa final'!$AB$58="Media",'Mapa final'!$AD$58="Catastrófico"),CONCATENATE("R10C",'Mapa final'!$R$58),"")</f>
        <v/>
      </c>
      <c r="AM35" s="47" t="str">
        <f>IF(AND('Mapa final'!$AB$59="Media",'Mapa final'!$AD$59="Catastrófico"),CONCATENATE("R10C",'Mapa final'!$R$59),"")</f>
        <v/>
      </c>
      <c r="AN35" s="67"/>
      <c r="AO35" s="684"/>
      <c r="AP35" s="685"/>
      <c r="AQ35" s="685"/>
      <c r="AR35" s="685"/>
      <c r="AS35" s="685"/>
      <c r="AT35" s="686"/>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553"/>
      <c r="C36" s="553"/>
      <c r="D36" s="554"/>
      <c r="E36" s="648" t="s">
        <v>109</v>
      </c>
      <c r="F36" s="649"/>
      <c r="G36" s="649"/>
      <c r="H36" s="649"/>
      <c r="I36" s="649"/>
      <c r="J36" s="57" t="str">
        <f>IF(AND('Mapa final'!$AB$10="Baja",'Mapa final'!$AD$10="Leve"),CONCATENATE("R1C",'Mapa final'!$R$10),"")</f>
        <v>R1C1</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e">
        <f>IF(AND('Mapa final'!#REF!="Baja",'Mapa final'!#REF!="Leve"),CONCATENATE("R1C",'Mapa final'!#REF!),"")</f>
        <v>#REF!</v>
      </c>
      <c r="O36" s="59" t="e">
        <f>IF(AND('Mapa final'!#REF!="Baja",'Mapa final'!#REF!="Leve"),CONCATENATE("R1C",'Mapa final'!#REF!),"")</f>
        <v>#REF!</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e">
        <f>IF(AND('Mapa final'!#REF!="Baja",'Mapa final'!#REF!="Menor"),CONCATENATE("R1C",'Mapa final'!#REF!),"")</f>
        <v>#REF!</v>
      </c>
      <c r="U36" s="50" t="e">
        <f>IF(AND('Mapa final'!#REF!="Baja",'Mapa final'!#REF!="Menor"),CONCATENATE("R1C",'Mapa final'!#REF!),"")</f>
        <v>#REF!</v>
      </c>
      <c r="V36" s="48" t="str">
        <f>IF(AND('Mapa final'!$AB$10="Baja",'Mapa final'!$AD$10="Moderado"),CONCATENATE("R1C",'Mapa final'!$R$10),"")</f>
        <v/>
      </c>
      <c r="W36" s="49" t="str">
        <f>IF(AND('Mapa final'!$AB$11="Baja",'Mapa final'!$AD$11="Moderado"),CONCATENATE("R1C",'Mapa final'!$R$11),"")</f>
        <v/>
      </c>
      <c r="X36" s="49" t="str">
        <f>IF(AND('Mapa final'!$AB$12="Baja",'Mapa final'!$AD$12="Moderado"),CONCATENATE("R1C",'Mapa final'!$R$12),"")</f>
        <v/>
      </c>
      <c r="Y36" s="49" t="str">
        <f>IF(AND('Mapa final'!$AB$13="Baja",'Mapa final'!$AD$13="Moderado"),CONCATENATE("R1C",'Mapa final'!$R$13),"")</f>
        <v/>
      </c>
      <c r="Z36" s="49" t="e">
        <f>IF(AND('Mapa final'!#REF!="Baja",'Mapa final'!#REF!="Moderado"),CONCATENATE("R1C",'Mapa final'!#REF!),"")</f>
        <v>#REF!</v>
      </c>
      <c r="AA36" s="50" t="e">
        <f>IF(AND('Mapa final'!#REF!="Baja",'Mapa final'!#REF!="Moderado"),CONCATENATE("R1C",'Mapa final'!#REF!),"")</f>
        <v>#REF!</v>
      </c>
      <c r="AB36" s="30" t="str">
        <f>IF(AND('Mapa final'!$AB$10="Baja",'Mapa final'!$AD$10="Mayor"),CONCATENATE("R1C",'Mapa final'!$R$10),"")</f>
        <v/>
      </c>
      <c r="AC36" s="31" t="str">
        <f>IF(AND('Mapa final'!$AB$11="Baja",'Mapa final'!$AD$11="Mayor"),CONCATENATE("R1C",'Mapa final'!$R$11),"")</f>
        <v/>
      </c>
      <c r="AD36" s="31" t="str">
        <f>IF(AND('Mapa final'!$AB$12="Baja",'Mapa final'!$AD$12="Mayor"),CONCATENATE("R1C",'Mapa final'!$R$12),"")</f>
        <v/>
      </c>
      <c r="AE36" s="31" t="str">
        <f>IF(AND('Mapa final'!$AB$13="Baja",'Mapa final'!$AD$13="Mayor"),CONCATENATE("R1C",'Mapa final'!$R$13),"")</f>
        <v/>
      </c>
      <c r="AF36" s="31" t="e">
        <f>IF(AND('Mapa final'!#REF!="Baja",'Mapa final'!#REF!="Mayor"),CONCATENATE("R1C",'Mapa final'!#REF!),"")</f>
        <v>#REF!</v>
      </c>
      <c r="AG36" s="32" t="e">
        <f>IF(AND('Mapa final'!#REF!="Baja",'Mapa final'!#REF!="Mayor"),CONCATENATE("R1C",'Mapa final'!#REF!),"")</f>
        <v>#REF!</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e">
        <f>IF(AND('Mapa final'!#REF!="Baja",'Mapa final'!#REF!="Catastrófico"),CONCATENATE("R1C",'Mapa final'!#REF!),"")</f>
        <v>#REF!</v>
      </c>
      <c r="AM36" s="35" t="e">
        <f>IF(AND('Mapa final'!#REF!="Baja",'Mapa final'!#REF!="Catastrófico"),CONCATENATE("R1C",'Mapa final'!#REF!),"")</f>
        <v>#REF!</v>
      </c>
      <c r="AN36" s="67"/>
      <c r="AO36" s="669" t="s">
        <v>81</v>
      </c>
      <c r="AP36" s="670"/>
      <c r="AQ36" s="670"/>
      <c r="AR36" s="670"/>
      <c r="AS36" s="670"/>
      <c r="AT36" s="671"/>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553"/>
      <c r="C37" s="553"/>
      <c r="D37" s="554"/>
      <c r="E37" s="650"/>
      <c r="F37" s="651"/>
      <c r="G37" s="651"/>
      <c r="H37" s="651"/>
      <c r="I37" s="651"/>
      <c r="J37" s="60" t="str">
        <f>IF(AND('Mapa final'!$AB$14="Baja",'Mapa final'!$AD$14="Leve"),CONCATENATE("R2C",'Mapa final'!$R$14),"")</f>
        <v>R2C1</v>
      </c>
      <c r="K37" s="61" t="str">
        <f>IF(AND('Mapa final'!$AB$15="Baja",'Mapa final'!$AD$15="Leve"),CONCATENATE("R2C",'Mapa final'!$R$15),"")</f>
        <v>R2C2</v>
      </c>
      <c r="L37" s="61" t="str">
        <f>IF(AND('Mapa final'!$AB$16="Baja",'Mapa final'!$AD$16="Leve"),CONCATENATE("R2C",'Mapa final'!$R$16),"")</f>
        <v/>
      </c>
      <c r="M37" s="61" t="str">
        <f>IF(AND('Mapa final'!$AB$17="Baja",'Mapa final'!$AD$17="Leve"),CONCATENATE("R2C",'Mapa final'!$R$17),"")</f>
        <v/>
      </c>
      <c r="N37" s="61" t="e">
        <f>IF(AND('Mapa final'!#REF!="Baja",'Mapa final'!#REF!="Leve"),CONCATENATE("R2C",'Mapa final'!#REF!),"")</f>
        <v>#REF!</v>
      </c>
      <c r="O37" s="62" t="e">
        <f>IF(AND('Mapa final'!#REF!="Baja",'Mapa final'!#REF!="Leve"),CONCATENATE("R2C",'Mapa final'!#REF!),"")</f>
        <v>#REF!</v>
      </c>
      <c r="P37" s="51" t="str">
        <f>IF(AND('Mapa final'!$AB$14="Baja",'Mapa final'!$AD$14="Menor"),CONCATENATE("R2C",'Mapa final'!$R$14),"")</f>
        <v/>
      </c>
      <c r="Q37" s="52" t="str">
        <f>IF(AND('Mapa final'!$AB$15="Baja",'Mapa final'!$AD$15="Menor"),CONCATENATE("R2C",'Mapa final'!$R$15),"")</f>
        <v/>
      </c>
      <c r="R37" s="52" t="str">
        <f>IF(AND('Mapa final'!$AB$16="Baja",'Mapa final'!$AD$16="Menor"),CONCATENATE("R2C",'Mapa final'!$R$16),"")</f>
        <v/>
      </c>
      <c r="S37" s="52" t="str">
        <f>IF(AND('Mapa final'!$AB$17="Baja",'Mapa final'!$AD$17="Menor"),CONCATENATE("R2C",'Mapa final'!$R$17),"")</f>
        <v/>
      </c>
      <c r="T37" s="52" t="e">
        <f>IF(AND('Mapa final'!#REF!="Baja",'Mapa final'!#REF!="Menor"),CONCATENATE("R2C",'Mapa final'!#REF!),"")</f>
        <v>#REF!</v>
      </c>
      <c r="U37" s="53" t="e">
        <f>IF(AND('Mapa final'!#REF!="Baja",'Mapa final'!#REF!="Menor"),CONCATENATE("R2C",'Mapa final'!#REF!),"")</f>
        <v>#REF!</v>
      </c>
      <c r="V37" s="51" t="str">
        <f>IF(AND('Mapa final'!$AB$14="Baja",'Mapa final'!$AD$14="Moderado"),CONCATENATE("R2C",'Mapa final'!$R$14),"")</f>
        <v/>
      </c>
      <c r="W37" s="52" t="str">
        <f>IF(AND('Mapa final'!$AB$15="Baja",'Mapa final'!$AD$15="Moderado"),CONCATENATE("R2C",'Mapa final'!$R$15),"")</f>
        <v/>
      </c>
      <c r="X37" s="52" t="str">
        <f>IF(AND('Mapa final'!$AB$16="Baja",'Mapa final'!$AD$16="Moderado"),CONCATENATE("R2C",'Mapa final'!$R$16),"")</f>
        <v/>
      </c>
      <c r="Y37" s="52" t="str">
        <f>IF(AND('Mapa final'!$AB$17="Baja",'Mapa final'!$AD$17="Moderado"),CONCATENATE("R2C",'Mapa final'!$R$17),"")</f>
        <v/>
      </c>
      <c r="Z37" s="52" t="e">
        <f>IF(AND('Mapa final'!#REF!="Baja",'Mapa final'!#REF!="Moderado"),CONCATENATE("R2C",'Mapa final'!#REF!),"")</f>
        <v>#REF!</v>
      </c>
      <c r="AA37" s="53" t="e">
        <f>IF(AND('Mapa final'!#REF!="Baja",'Mapa final'!#REF!="Moderado"),CONCATENATE("R2C",'Mapa final'!#REF!),"")</f>
        <v>#REF!</v>
      </c>
      <c r="AB37" s="36" t="str">
        <f>IF(AND('Mapa final'!$AB$14="Baja",'Mapa final'!$AD$14="Mayor"),CONCATENATE("R2C",'Mapa final'!$R$14),"")</f>
        <v/>
      </c>
      <c r="AC37" s="37" t="str">
        <f>IF(AND('Mapa final'!$AB$15="Baja",'Mapa final'!$AD$15="Mayor"),CONCATENATE("R2C",'Mapa final'!$R$15),"")</f>
        <v/>
      </c>
      <c r="AD37" s="37" t="str">
        <f>IF(AND('Mapa final'!$AB$16="Baja",'Mapa final'!$AD$16="Mayor"),CONCATENATE("R2C",'Mapa final'!$R$16),"")</f>
        <v/>
      </c>
      <c r="AE37" s="37" t="str">
        <f>IF(AND('Mapa final'!$AB$17="Baja",'Mapa final'!$AD$17="Mayor"),CONCATENATE("R2C",'Mapa final'!$R$17),"")</f>
        <v/>
      </c>
      <c r="AF37" s="37" t="e">
        <f>IF(AND('Mapa final'!#REF!="Baja",'Mapa final'!#REF!="Mayor"),CONCATENATE("R2C",'Mapa final'!#REF!),"")</f>
        <v>#REF!</v>
      </c>
      <c r="AG37" s="38" t="e">
        <f>IF(AND('Mapa final'!#REF!="Baja",'Mapa final'!#REF!="Mayor"),CONCATENATE("R2C",'Mapa final'!#REF!),"")</f>
        <v>#REF!</v>
      </c>
      <c r="AH37" s="39" t="str">
        <f>IF(AND('Mapa final'!$AB$14="Baja",'Mapa final'!$AD$14="Catastrófico"),CONCATENATE("R2C",'Mapa final'!$R$14),"")</f>
        <v/>
      </c>
      <c r="AI37" s="40" t="str">
        <f>IF(AND('Mapa final'!$AB$15="Baja",'Mapa final'!$AD$15="Catastrófico"),CONCATENATE("R2C",'Mapa final'!$R$15),"")</f>
        <v/>
      </c>
      <c r="AJ37" s="40" t="str">
        <f>IF(AND('Mapa final'!$AB$16="Baja",'Mapa final'!$AD$16="Catastrófico"),CONCATENATE("R2C",'Mapa final'!$R$16),"")</f>
        <v/>
      </c>
      <c r="AK37" s="40" t="str">
        <f>IF(AND('Mapa final'!$AB$17="Baja",'Mapa final'!$AD$17="Catastrófico"),CONCATENATE("R2C",'Mapa final'!$R$17),"")</f>
        <v/>
      </c>
      <c r="AL37" s="40" t="e">
        <f>IF(AND('Mapa final'!#REF!="Baja",'Mapa final'!#REF!="Catastrófico"),CONCATENATE("R2C",'Mapa final'!#REF!),"")</f>
        <v>#REF!</v>
      </c>
      <c r="AM37" s="41" t="e">
        <f>IF(AND('Mapa final'!#REF!="Baja",'Mapa final'!#REF!="Catastrófico"),CONCATENATE("R2C",'Mapa final'!#REF!),"")</f>
        <v>#REF!</v>
      </c>
      <c r="AN37" s="67"/>
      <c r="AO37" s="672"/>
      <c r="AP37" s="673"/>
      <c r="AQ37" s="673"/>
      <c r="AR37" s="673"/>
      <c r="AS37" s="673"/>
      <c r="AT37" s="674"/>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553"/>
      <c r="C38" s="553"/>
      <c r="D38" s="554"/>
      <c r="E38" s="652"/>
      <c r="F38" s="651"/>
      <c r="G38" s="651"/>
      <c r="H38" s="651"/>
      <c r="I38" s="651"/>
      <c r="J38" s="60" t="str">
        <f>IF(AND('Mapa final'!$AB$18="Baja",'Mapa final'!$AD$18="Leve"),CONCATENATE("R3C",'Mapa final'!$R$18),"")</f>
        <v/>
      </c>
      <c r="K38" s="61" t="str">
        <f>IF(AND('Mapa final'!$AB$19="Baja",'Mapa final'!$AD$19="Leve"),CONCATENATE("R3C",'Mapa final'!$R$19),"")</f>
        <v/>
      </c>
      <c r="L38" s="61" t="e">
        <f>IF(AND('Mapa final'!#REF!="Baja",'Mapa final'!#REF!="Leve"),CONCATENATE("R3C",'Mapa final'!#REF!),"")</f>
        <v>#REF!</v>
      </c>
      <c r="M38" s="61" t="e">
        <f>IF(AND('Mapa final'!#REF!="Baja",'Mapa final'!#REF!="Leve"),CONCATENATE("R3C",'Mapa final'!#REF!),"")</f>
        <v>#REF!</v>
      </c>
      <c r="N38" s="61" t="e">
        <f>IF(AND('Mapa final'!#REF!="Baja",'Mapa final'!#REF!="Leve"),CONCATENATE("R3C",'Mapa final'!#REF!),"")</f>
        <v>#REF!</v>
      </c>
      <c r="O38" s="62" t="str">
        <f>IF(AND('Mapa final'!$AB$20="Baja",'Mapa final'!$AD$20="Leve"),CONCATENATE("R3C",'Mapa final'!$R$20),"")</f>
        <v/>
      </c>
      <c r="P38" s="51" t="str">
        <f>IF(AND('Mapa final'!$AB$18="Baja",'Mapa final'!$AD$18="Menor"),CONCATENATE("R3C",'Mapa final'!$R$18),"")</f>
        <v/>
      </c>
      <c r="Q38" s="52" t="str">
        <f>IF(AND('Mapa final'!$AB$19="Baja",'Mapa final'!$AD$19="Menor"),CONCATENATE("R3C",'Mapa final'!$R$19),"")</f>
        <v/>
      </c>
      <c r="R38" s="52" t="e">
        <f>IF(AND('Mapa final'!#REF!="Baja",'Mapa final'!#REF!="Menor"),CONCATENATE("R3C",'Mapa final'!#REF!),"")</f>
        <v>#REF!</v>
      </c>
      <c r="S38" s="52" t="e">
        <f>IF(AND('Mapa final'!#REF!="Baja",'Mapa final'!#REF!="Menor"),CONCATENATE("R3C",'Mapa final'!#REF!),"")</f>
        <v>#REF!</v>
      </c>
      <c r="T38" s="52" t="e">
        <f>IF(AND('Mapa final'!#REF!="Baja",'Mapa final'!#REF!="Menor"),CONCATENATE("R3C",'Mapa final'!#REF!),"")</f>
        <v>#REF!</v>
      </c>
      <c r="U38" s="53" t="str">
        <f>IF(AND('Mapa final'!$AB$20="Baja",'Mapa final'!$AD$20="Menor"),CONCATENATE("R3C",'Mapa final'!$R$20),"")</f>
        <v/>
      </c>
      <c r="V38" s="51" t="str">
        <f>IF(AND('Mapa final'!$AB$18="Baja",'Mapa final'!$AD$18="Moderado"),CONCATENATE("R3C",'Mapa final'!$R$18),"")</f>
        <v/>
      </c>
      <c r="W38" s="52" t="str">
        <f>IF(AND('Mapa final'!$AB$19="Baja",'Mapa final'!$AD$19="Moderado"),CONCATENATE("R3C",'Mapa final'!$R$19),"")</f>
        <v/>
      </c>
      <c r="X38" s="52" t="e">
        <f>IF(AND('Mapa final'!#REF!="Baja",'Mapa final'!#REF!="Moderado"),CONCATENATE("R3C",'Mapa final'!#REF!),"")</f>
        <v>#REF!</v>
      </c>
      <c r="Y38" s="52" t="e">
        <f>IF(AND('Mapa final'!#REF!="Baja",'Mapa final'!#REF!="Moderado"),CONCATENATE("R3C",'Mapa final'!#REF!),"")</f>
        <v>#REF!</v>
      </c>
      <c r="Z38" s="52" t="e">
        <f>IF(AND('Mapa final'!#REF!="Baja",'Mapa final'!#REF!="Moderado"),CONCATENATE("R3C",'Mapa final'!#REF!),"")</f>
        <v>#REF!</v>
      </c>
      <c r="AA38" s="53" t="str">
        <f>IF(AND('Mapa final'!$AB$20="Baja",'Mapa final'!$AD$20="Moderado"),CONCATENATE("R3C",'Mapa final'!$R$20),"")</f>
        <v/>
      </c>
      <c r="AB38" s="36" t="str">
        <f>IF(AND('Mapa final'!$AB$18="Baja",'Mapa final'!$AD$18="Mayor"),CONCATENATE("R3C",'Mapa final'!$R$18),"")</f>
        <v/>
      </c>
      <c r="AC38" s="37" t="str">
        <f>IF(AND('Mapa final'!$AB$19="Baja",'Mapa final'!$AD$19="Mayor"),CONCATENATE("R3C",'Mapa final'!$R$19),"")</f>
        <v/>
      </c>
      <c r="AD38" s="37" t="e">
        <f>IF(AND('Mapa final'!#REF!="Baja",'Mapa final'!#REF!="Mayor"),CONCATENATE("R3C",'Mapa final'!#REF!),"")</f>
        <v>#REF!</v>
      </c>
      <c r="AE38" s="37" t="e">
        <f>IF(AND('Mapa final'!#REF!="Baja",'Mapa final'!#REF!="Mayor"),CONCATENATE("R3C",'Mapa final'!#REF!),"")</f>
        <v>#REF!</v>
      </c>
      <c r="AF38" s="37" t="e">
        <f>IF(AND('Mapa final'!#REF!="Baja",'Mapa final'!#REF!="Mayor"),CONCATENATE("R3C",'Mapa final'!#REF!),"")</f>
        <v>#REF!</v>
      </c>
      <c r="AG38" s="38" t="str">
        <f>IF(AND('Mapa final'!$AB$20="Baja",'Mapa final'!$AD$20="Mayor"),CONCATENATE("R3C",'Mapa final'!$R$20),"")</f>
        <v/>
      </c>
      <c r="AH38" s="39" t="str">
        <f>IF(AND('Mapa final'!$AB$18="Baja",'Mapa final'!$AD$18="Catastrófico"),CONCATENATE("R3C",'Mapa final'!$R$18),"")</f>
        <v/>
      </c>
      <c r="AI38" s="40" t="str">
        <f>IF(AND('Mapa final'!$AB$19="Baja",'Mapa final'!$AD$19="Catastrófico"),CONCATENATE("R3C",'Mapa final'!$R$19),"")</f>
        <v/>
      </c>
      <c r="AJ38" s="40" t="e">
        <f>IF(AND('Mapa final'!#REF!="Baja",'Mapa final'!#REF!="Catastrófico"),CONCATENATE("R3C",'Mapa final'!#REF!),"")</f>
        <v>#REF!</v>
      </c>
      <c r="AK38" s="40" t="e">
        <f>IF(AND('Mapa final'!#REF!="Baja",'Mapa final'!#REF!="Catastrófico"),CONCATENATE("R3C",'Mapa final'!#REF!),"")</f>
        <v>#REF!</v>
      </c>
      <c r="AL38" s="40" t="e">
        <f>IF(AND('Mapa final'!#REF!="Baja",'Mapa final'!#REF!="Catastrófico"),CONCATENATE("R3C",'Mapa final'!#REF!),"")</f>
        <v>#REF!</v>
      </c>
      <c r="AM38" s="41" t="str">
        <f>IF(AND('Mapa final'!$AB$20="Baja",'Mapa final'!$AD$20="Catastrófico"),CONCATENATE("R3C",'Mapa final'!$R$20),"")</f>
        <v/>
      </c>
      <c r="AN38" s="67"/>
      <c r="AO38" s="672"/>
      <c r="AP38" s="673"/>
      <c r="AQ38" s="673"/>
      <c r="AR38" s="673"/>
      <c r="AS38" s="673"/>
      <c r="AT38" s="674"/>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553"/>
      <c r="C39" s="553"/>
      <c r="D39" s="554"/>
      <c r="E39" s="652"/>
      <c r="F39" s="651"/>
      <c r="G39" s="651"/>
      <c r="H39" s="651"/>
      <c r="I39" s="651"/>
      <c r="J39" s="60" t="str">
        <f>IF(AND('Mapa final'!$AB$21="Baja",'Mapa final'!$AD$21="Leve"),CONCATENATE("R4C",'Mapa final'!$R$21),"")</f>
        <v/>
      </c>
      <c r="K39" s="61" t="str">
        <f>IF(AND('Mapa final'!$AB$22="Baja",'Mapa final'!$AD$22="Leve"),CONCATENATE("R4C",'Mapa final'!$R$22),"")</f>
        <v/>
      </c>
      <c r="L39" s="61" t="str">
        <f>IF(AND('Mapa final'!$AB$23="Baja",'Mapa final'!$AD$23="Leve"),CONCATENATE("R4C",'Mapa final'!$R$23),"")</f>
        <v/>
      </c>
      <c r="M39" s="61" t="e">
        <f>IF(AND('Mapa final'!#REF!="Baja",'Mapa final'!#REF!="Leve"),CONCATENATE("R4C",'Mapa final'!#REF!),"")</f>
        <v>#REF!</v>
      </c>
      <c r="N39" s="61" t="e">
        <f>IF(AND('Mapa final'!#REF!="Baja",'Mapa final'!#REF!="Leve"),CONCATENATE("R4C",'Mapa final'!#REF!),"")</f>
        <v>#REF!</v>
      </c>
      <c r="O39" s="62" t="e">
        <f>IF(AND('Mapa final'!#REF!="Baja",'Mapa final'!#REF!="Leve"),CONCATENATE("R4C",'Mapa final'!#REF!),"")</f>
        <v>#REF!</v>
      </c>
      <c r="P39" s="51" t="str">
        <f>IF(AND('Mapa final'!$AB$21="Baja",'Mapa final'!$AD$21="Menor"),CONCATENATE("R4C",'Mapa final'!$R$21),"")</f>
        <v>R4C1</v>
      </c>
      <c r="Q39" s="52" t="str">
        <f>IF(AND('Mapa final'!$AB$22="Baja",'Mapa final'!$AD$22="Menor"),CONCATENATE("R4C",'Mapa final'!$R$22),"")</f>
        <v/>
      </c>
      <c r="R39" s="52" t="str">
        <f>IF(AND('Mapa final'!$AB$23="Baja",'Mapa final'!$AD$23="Menor"),CONCATENATE("R4C",'Mapa final'!$R$23),"")</f>
        <v/>
      </c>
      <c r="S39" s="52" t="e">
        <f>IF(AND('Mapa final'!#REF!="Baja",'Mapa final'!#REF!="Menor"),CONCATENATE("R4C",'Mapa final'!#REF!),"")</f>
        <v>#REF!</v>
      </c>
      <c r="T39" s="52" t="e">
        <f>IF(AND('Mapa final'!#REF!="Baja",'Mapa final'!#REF!="Menor"),CONCATENATE("R4C",'Mapa final'!#REF!),"")</f>
        <v>#REF!</v>
      </c>
      <c r="U39" s="53" t="e">
        <f>IF(AND('Mapa final'!#REF!="Baja",'Mapa final'!#REF!="Menor"),CONCATENATE("R4C",'Mapa final'!#REF!),"")</f>
        <v>#REF!</v>
      </c>
      <c r="V39" s="51" t="str">
        <f>IF(AND('Mapa final'!$AB$21="Baja",'Mapa final'!$AD$21="Moderado"),CONCATENATE("R4C",'Mapa final'!$R$21),"")</f>
        <v/>
      </c>
      <c r="W39" s="52" t="str">
        <f>IF(AND('Mapa final'!$AB$22="Baja",'Mapa final'!$AD$22="Moderado"),CONCATENATE("R4C",'Mapa final'!$R$22),"")</f>
        <v/>
      </c>
      <c r="X39" s="52" t="str">
        <f>IF(AND('Mapa final'!$AB$23="Baja",'Mapa final'!$AD$23="Moderado"),CONCATENATE("R4C",'Mapa final'!$R$23),"")</f>
        <v/>
      </c>
      <c r="Y39" s="52" t="e">
        <f>IF(AND('Mapa final'!#REF!="Baja",'Mapa final'!#REF!="Moderado"),CONCATENATE("R4C",'Mapa final'!#REF!),"")</f>
        <v>#REF!</v>
      </c>
      <c r="Z39" s="52" t="e">
        <f>IF(AND('Mapa final'!#REF!="Baja",'Mapa final'!#REF!="Moderado"),CONCATENATE("R4C",'Mapa final'!#REF!),"")</f>
        <v>#REF!</v>
      </c>
      <c r="AA39" s="53" t="e">
        <f>IF(AND('Mapa final'!#REF!="Baja",'Mapa final'!#REF!="Moderado"),CONCATENATE("R4C",'Mapa final'!#REF!),"")</f>
        <v>#REF!</v>
      </c>
      <c r="AB39" s="36" t="str">
        <f>IF(AND('Mapa final'!$AB$21="Baja",'Mapa final'!$AD$21="Mayor"),CONCATENATE("R4C",'Mapa final'!$R$21),"")</f>
        <v/>
      </c>
      <c r="AC39" s="37" t="str">
        <f>IF(AND('Mapa final'!$AB$22="Baja",'Mapa final'!$AD$22="Mayor"),CONCATENATE("R4C",'Mapa final'!$R$22),"")</f>
        <v/>
      </c>
      <c r="AD39" s="37" t="str">
        <f>IF(AND('Mapa final'!$AB$23="Baja",'Mapa final'!$AD$23="Mayor"),CONCATENATE("R4C",'Mapa final'!$R$23),"")</f>
        <v/>
      </c>
      <c r="AE39" s="37" t="e">
        <f>IF(AND('Mapa final'!#REF!="Baja",'Mapa final'!#REF!="Mayor"),CONCATENATE("R4C",'Mapa final'!#REF!),"")</f>
        <v>#REF!</v>
      </c>
      <c r="AF39" s="37" t="e">
        <f>IF(AND('Mapa final'!#REF!="Baja",'Mapa final'!#REF!="Mayor"),CONCATENATE("R4C",'Mapa final'!#REF!),"")</f>
        <v>#REF!</v>
      </c>
      <c r="AG39" s="38" t="e">
        <f>IF(AND('Mapa final'!#REF!="Baja",'Mapa final'!#REF!="Mayor"),CONCATENATE("R4C",'Mapa final'!#REF!),"")</f>
        <v>#REF!</v>
      </c>
      <c r="AH39" s="39" t="str">
        <f>IF(AND('Mapa final'!$AB$21="Baja",'Mapa final'!$AD$21="Catastrófico"),CONCATENATE("R4C",'Mapa final'!$R$21),"")</f>
        <v/>
      </c>
      <c r="AI39" s="40" t="str">
        <f>IF(AND('Mapa final'!$AB$22="Baja",'Mapa final'!$AD$22="Catastrófico"),CONCATENATE("R4C",'Mapa final'!$R$22),"")</f>
        <v/>
      </c>
      <c r="AJ39" s="40" t="str">
        <f>IF(AND('Mapa final'!$AB$23="Baja",'Mapa final'!$AD$23="Catastrófico"),CONCATENATE("R4C",'Mapa final'!$R$23),"")</f>
        <v/>
      </c>
      <c r="AK39" s="40" t="e">
        <f>IF(AND('Mapa final'!#REF!="Baja",'Mapa final'!#REF!="Catastrófico"),CONCATENATE("R4C",'Mapa final'!#REF!),"")</f>
        <v>#REF!</v>
      </c>
      <c r="AL39" s="40" t="e">
        <f>IF(AND('Mapa final'!#REF!="Baja",'Mapa final'!#REF!="Catastrófico"),CONCATENATE("R4C",'Mapa final'!#REF!),"")</f>
        <v>#REF!</v>
      </c>
      <c r="AM39" s="41" t="e">
        <f>IF(AND('Mapa final'!#REF!="Baja",'Mapa final'!#REF!="Catastrófico"),CONCATENATE("R4C",'Mapa final'!#REF!),"")</f>
        <v>#REF!</v>
      </c>
      <c r="AN39" s="67"/>
      <c r="AO39" s="672"/>
      <c r="AP39" s="673"/>
      <c r="AQ39" s="673"/>
      <c r="AR39" s="673"/>
      <c r="AS39" s="673"/>
      <c r="AT39" s="674"/>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553"/>
      <c r="C40" s="553"/>
      <c r="D40" s="554"/>
      <c r="E40" s="652"/>
      <c r="F40" s="651"/>
      <c r="G40" s="651"/>
      <c r="H40" s="651"/>
      <c r="I40" s="651"/>
      <c r="J40" s="60" t="str">
        <f>IF(AND('Mapa final'!$AB$24="Baja",'Mapa final'!$AD$24="Leve"),CONCATENATE("R5C",'Mapa final'!$R$24),"")</f>
        <v/>
      </c>
      <c r="K40" s="61" t="str">
        <f>IF(AND('Mapa final'!$AB$25="Baja",'Mapa final'!$AD$25="Leve"),CONCATENATE("R5C",'Mapa final'!$R$25),"")</f>
        <v/>
      </c>
      <c r="L40" s="61" t="str">
        <f>IF(AND('Mapa final'!$AB$26="Baja",'Mapa final'!$AD$26="Leve"),CONCATENATE("R5C",'Mapa final'!$R$26),"")</f>
        <v/>
      </c>
      <c r="M40" s="61" t="str">
        <f>IF(AND('Mapa final'!$AB$27="Baja",'Mapa final'!$AD$27="Leve"),CONCATENATE("R5C",'Mapa final'!$R$27),"")</f>
        <v/>
      </c>
      <c r="N40" s="61" t="str">
        <f>IF(AND('Mapa final'!$AB$28="Baja",'Mapa final'!$AD$28="Leve"),CONCATENATE("R5C",'Mapa final'!$R$28),"")</f>
        <v/>
      </c>
      <c r="O40" s="62" t="str">
        <f>IF(AND('Mapa final'!$AB$29="Baja",'Mapa final'!$AD$29="Leve"),CONCATENATE("R5C",'Mapa final'!$R$29),"")</f>
        <v/>
      </c>
      <c r="P40" s="51" t="str">
        <f>IF(AND('Mapa final'!$AB$24="Baja",'Mapa final'!$AD$24="Menor"),CONCATENATE("R5C",'Mapa final'!$R$24),"")</f>
        <v/>
      </c>
      <c r="Q40" s="52" t="str">
        <f>IF(AND('Mapa final'!$AB$25="Baja",'Mapa final'!$AD$25="Menor"),CONCATENATE("R5C",'Mapa final'!$R$25),"")</f>
        <v/>
      </c>
      <c r="R40" s="52" t="str">
        <f>IF(AND('Mapa final'!$AB$26="Baja",'Mapa final'!$AD$26="Menor"),CONCATENATE("R5C",'Mapa final'!$R$26),"")</f>
        <v/>
      </c>
      <c r="S40" s="52" t="str">
        <f>IF(AND('Mapa final'!$AB$27="Baja",'Mapa final'!$AD$27="Menor"),CONCATENATE("R5C",'Mapa final'!$R$27),"")</f>
        <v/>
      </c>
      <c r="T40" s="52" t="str">
        <f>IF(AND('Mapa final'!$AB$28="Baja",'Mapa final'!$AD$28="Menor"),CONCATENATE("R5C",'Mapa final'!$R$28),"")</f>
        <v/>
      </c>
      <c r="U40" s="53" t="str">
        <f>IF(AND('Mapa final'!$AB$29="Baja",'Mapa final'!$AD$29="Menor"),CONCATENATE("R5C",'Mapa final'!$R$29),"")</f>
        <v/>
      </c>
      <c r="V40" s="51" t="str">
        <f>IF(AND('Mapa final'!$AB$24="Baja",'Mapa final'!$AD$24="Moderado"),CONCATENATE("R5C",'Mapa final'!$R$24),"")</f>
        <v/>
      </c>
      <c r="W40" s="52" t="str">
        <f>IF(AND('Mapa final'!$AB$25="Baja",'Mapa final'!$AD$25="Moderado"),CONCATENATE("R5C",'Mapa final'!$R$25),"")</f>
        <v/>
      </c>
      <c r="X40" s="52" t="str">
        <f>IF(AND('Mapa final'!$AB$26="Baja",'Mapa final'!$AD$26="Moderado"),CONCATENATE("R5C",'Mapa final'!$R$26),"")</f>
        <v/>
      </c>
      <c r="Y40" s="52" t="str">
        <f>IF(AND('Mapa final'!$AB$27="Baja",'Mapa final'!$AD$27="Moderado"),CONCATENATE("R5C",'Mapa final'!$R$27),"")</f>
        <v/>
      </c>
      <c r="Z40" s="52" t="str">
        <f>IF(AND('Mapa final'!$AB$28="Baja",'Mapa final'!$AD$28="Moderado"),CONCATENATE("R5C",'Mapa final'!$R$28),"")</f>
        <v/>
      </c>
      <c r="AA40" s="53" t="str">
        <f>IF(AND('Mapa final'!$AB$29="Baja",'Mapa final'!$AD$29="Moderado"),CONCATENATE("R5C",'Mapa final'!$R$29),"")</f>
        <v/>
      </c>
      <c r="AB40" s="36" t="str">
        <f>IF(AND('Mapa final'!$AB$24="Baja",'Mapa final'!$AD$24="Mayor"),CONCATENATE("R5C",'Mapa final'!$R$24),"")</f>
        <v/>
      </c>
      <c r="AC40" s="37" t="str">
        <f>IF(AND('Mapa final'!$AB$25="Baja",'Mapa final'!$AD$25="Mayor"),CONCATENATE("R5C",'Mapa final'!$R$25),"")</f>
        <v/>
      </c>
      <c r="AD40" s="37" t="str">
        <f>IF(AND('Mapa final'!$AB$26="Baja",'Mapa final'!$AD$26="Mayor"),CONCATENATE("R5C",'Mapa final'!$R$26),"")</f>
        <v/>
      </c>
      <c r="AE40" s="37" t="str">
        <f>IF(AND('Mapa final'!$AB$27="Baja",'Mapa final'!$AD$27="Mayor"),CONCATENATE("R5C",'Mapa final'!$R$27),"")</f>
        <v/>
      </c>
      <c r="AF40" s="37" t="str">
        <f>IF(AND('Mapa final'!$AB$28="Baja",'Mapa final'!$AD$28="Mayor"),CONCATENATE("R5C",'Mapa final'!$R$28),"")</f>
        <v/>
      </c>
      <c r="AG40" s="38" t="str">
        <f>IF(AND('Mapa final'!$AB$29="Baja",'Mapa final'!$AD$29="Mayor"),CONCATENATE("R5C",'Mapa final'!$R$29),"")</f>
        <v/>
      </c>
      <c r="AH40" s="39" t="str">
        <f>IF(AND('Mapa final'!$AB$24="Baja",'Mapa final'!$AD$24="Catastrófico"),CONCATENATE("R5C",'Mapa final'!$R$24),"")</f>
        <v/>
      </c>
      <c r="AI40" s="40" t="str">
        <f>IF(AND('Mapa final'!$AB$25="Baja",'Mapa final'!$AD$25="Catastrófico"),CONCATENATE("R5C",'Mapa final'!$R$25),"")</f>
        <v/>
      </c>
      <c r="AJ40" s="40" t="str">
        <f>IF(AND('Mapa final'!$AB$26="Baja",'Mapa final'!$AD$26="Catastrófico"),CONCATENATE("R5C",'Mapa final'!$R$26),"")</f>
        <v/>
      </c>
      <c r="AK40" s="40" t="str">
        <f>IF(AND('Mapa final'!$AB$27="Baja",'Mapa final'!$AD$27="Catastrófico"),CONCATENATE("R5C",'Mapa final'!$R$27),"")</f>
        <v/>
      </c>
      <c r="AL40" s="40" t="str">
        <f>IF(AND('Mapa final'!$AB$28="Baja",'Mapa final'!$AD$28="Catastrófico"),CONCATENATE("R5C",'Mapa final'!$R$28),"")</f>
        <v/>
      </c>
      <c r="AM40" s="41" t="str">
        <f>IF(AND('Mapa final'!$AB$29="Baja",'Mapa final'!$AD$29="Catastrófico"),CONCATENATE("R5C",'Mapa final'!$R$29),"")</f>
        <v/>
      </c>
      <c r="AN40" s="67"/>
      <c r="AO40" s="672"/>
      <c r="AP40" s="673"/>
      <c r="AQ40" s="673"/>
      <c r="AR40" s="673"/>
      <c r="AS40" s="673"/>
      <c r="AT40" s="674"/>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553"/>
      <c r="C41" s="553"/>
      <c r="D41" s="554"/>
      <c r="E41" s="652"/>
      <c r="F41" s="651"/>
      <c r="G41" s="651"/>
      <c r="H41" s="651"/>
      <c r="I41" s="651"/>
      <c r="J41" s="60" t="str">
        <f>IF(AND('Mapa final'!$AB$30="Baja",'Mapa final'!$AD$30="Leve"),CONCATENATE("R6C",'Mapa final'!$R$30),"")</f>
        <v/>
      </c>
      <c r="K41" s="61" t="str">
        <f>IF(AND('Mapa final'!$AB$31="Baja",'Mapa final'!$AD$31="Leve"),CONCATENATE("R6C",'Mapa final'!$R$31),"")</f>
        <v/>
      </c>
      <c r="L41" s="61" t="str">
        <f>IF(AND('Mapa final'!$AB$32="Baja",'Mapa final'!$AD$32="Leve"),CONCATENATE("R6C",'Mapa final'!$R$32),"")</f>
        <v/>
      </c>
      <c r="M41" s="61" t="str">
        <f>IF(AND('Mapa final'!$AB$33="Baja",'Mapa final'!$AD$33="Leve"),CONCATENATE("R6C",'Mapa final'!$R$33),"")</f>
        <v/>
      </c>
      <c r="N41" s="61" t="str">
        <f>IF(AND('Mapa final'!$AB$34="Baja",'Mapa final'!$AD$34="Leve"),CONCATENATE("R6C",'Mapa final'!$R$34),"")</f>
        <v/>
      </c>
      <c r="O41" s="62" t="str">
        <f>IF(AND('Mapa final'!$AB$35="Baja",'Mapa final'!$AD$35="Leve"),CONCATENATE("R6C",'Mapa final'!$R$35),"")</f>
        <v/>
      </c>
      <c r="P41" s="51" t="str">
        <f>IF(AND('Mapa final'!$AB$30="Baja",'Mapa final'!$AD$30="Menor"),CONCATENATE("R6C",'Mapa final'!$R$30),"")</f>
        <v/>
      </c>
      <c r="Q41" s="52" t="str">
        <f>IF(AND('Mapa final'!$AB$31="Baja",'Mapa final'!$AD$31="Menor"),CONCATENATE("R6C",'Mapa final'!$R$31),"")</f>
        <v/>
      </c>
      <c r="R41" s="52" t="str">
        <f>IF(AND('Mapa final'!$AB$32="Baja",'Mapa final'!$AD$32="Menor"),CONCATENATE("R6C",'Mapa final'!$R$32),"")</f>
        <v/>
      </c>
      <c r="S41" s="52" t="str">
        <f>IF(AND('Mapa final'!$AB$33="Baja",'Mapa final'!$AD$33="Menor"),CONCATENATE("R6C",'Mapa final'!$R$33),"")</f>
        <v/>
      </c>
      <c r="T41" s="52" t="str">
        <f>IF(AND('Mapa final'!$AB$34="Baja",'Mapa final'!$AD$34="Menor"),CONCATENATE("R6C",'Mapa final'!$R$34),"")</f>
        <v/>
      </c>
      <c r="U41" s="53" t="str">
        <f>IF(AND('Mapa final'!$AB$35="Baja",'Mapa final'!$AD$35="Menor"),CONCATENATE("R6C",'Mapa final'!$R$35),"")</f>
        <v/>
      </c>
      <c r="V41" s="51" t="str">
        <f>IF(AND('Mapa final'!$AB$30="Baja",'Mapa final'!$AD$30="Moderado"),CONCATENATE("R6C",'Mapa final'!$R$30),"")</f>
        <v/>
      </c>
      <c r="W41" s="52" t="str">
        <f>IF(AND('Mapa final'!$AB$31="Baja",'Mapa final'!$AD$31="Moderado"),CONCATENATE("R6C",'Mapa final'!$R$31),"")</f>
        <v/>
      </c>
      <c r="X41" s="52" t="str">
        <f>IF(AND('Mapa final'!$AB$32="Baja",'Mapa final'!$AD$32="Moderado"),CONCATENATE("R6C",'Mapa final'!$R$32),"")</f>
        <v/>
      </c>
      <c r="Y41" s="52" t="str">
        <f>IF(AND('Mapa final'!$AB$33="Baja",'Mapa final'!$AD$33="Moderado"),CONCATENATE("R6C",'Mapa final'!$R$33),"")</f>
        <v/>
      </c>
      <c r="Z41" s="52" t="str">
        <f>IF(AND('Mapa final'!$AB$34="Baja",'Mapa final'!$AD$34="Moderado"),CONCATENATE("R6C",'Mapa final'!$R$34),"")</f>
        <v/>
      </c>
      <c r="AA41" s="53" t="str">
        <f>IF(AND('Mapa final'!$AB$35="Baja",'Mapa final'!$AD$35="Moderado"),CONCATENATE("R6C",'Mapa final'!$R$35),"")</f>
        <v/>
      </c>
      <c r="AB41" s="36" t="str">
        <f>IF(AND('Mapa final'!$AB$30="Baja",'Mapa final'!$AD$30="Mayor"),CONCATENATE("R6C",'Mapa final'!$R$30),"")</f>
        <v/>
      </c>
      <c r="AC41" s="37" t="str">
        <f>IF(AND('Mapa final'!$AB$31="Baja",'Mapa final'!$AD$31="Mayor"),CONCATENATE("R6C",'Mapa final'!$R$31),"")</f>
        <v/>
      </c>
      <c r="AD41" s="37" t="str">
        <f>IF(AND('Mapa final'!$AB$32="Baja",'Mapa final'!$AD$32="Mayor"),CONCATENATE("R6C",'Mapa final'!$R$32),"")</f>
        <v/>
      </c>
      <c r="AE41" s="37" t="str">
        <f>IF(AND('Mapa final'!$AB$33="Baja",'Mapa final'!$AD$33="Mayor"),CONCATENATE("R6C",'Mapa final'!$R$33),"")</f>
        <v/>
      </c>
      <c r="AF41" s="37" t="str">
        <f>IF(AND('Mapa final'!$AB$34="Baja",'Mapa final'!$AD$34="Mayor"),CONCATENATE("R6C",'Mapa final'!$R$34),"")</f>
        <v/>
      </c>
      <c r="AG41" s="38" t="str">
        <f>IF(AND('Mapa final'!$AB$35="Baja",'Mapa final'!$AD$35="Mayor"),CONCATENATE("R6C",'Mapa final'!$R$35),"")</f>
        <v/>
      </c>
      <c r="AH41" s="39" t="str">
        <f>IF(AND('Mapa final'!$AB$30="Baja",'Mapa final'!$AD$30="Catastrófico"),CONCATENATE("R6C",'Mapa final'!$R$30),"")</f>
        <v/>
      </c>
      <c r="AI41" s="40" t="str">
        <f>IF(AND('Mapa final'!$AB$31="Baja",'Mapa final'!$AD$31="Catastrófico"),CONCATENATE("R6C",'Mapa final'!$R$31),"")</f>
        <v/>
      </c>
      <c r="AJ41" s="40" t="str">
        <f>IF(AND('Mapa final'!$AB$32="Baja",'Mapa final'!$AD$32="Catastrófico"),CONCATENATE("R6C",'Mapa final'!$R$32),"")</f>
        <v/>
      </c>
      <c r="AK41" s="40" t="str">
        <f>IF(AND('Mapa final'!$AB$33="Baja",'Mapa final'!$AD$33="Catastrófico"),CONCATENATE("R6C",'Mapa final'!$R$33),"")</f>
        <v/>
      </c>
      <c r="AL41" s="40" t="str">
        <f>IF(AND('Mapa final'!$AB$34="Baja",'Mapa final'!$AD$34="Catastrófico"),CONCATENATE("R6C",'Mapa final'!$R$34),"")</f>
        <v/>
      </c>
      <c r="AM41" s="41" t="str">
        <f>IF(AND('Mapa final'!$AB$35="Baja",'Mapa final'!$AD$35="Catastrófico"),CONCATENATE("R6C",'Mapa final'!$R$35),"")</f>
        <v/>
      </c>
      <c r="AN41" s="67"/>
      <c r="AO41" s="672"/>
      <c r="AP41" s="673"/>
      <c r="AQ41" s="673"/>
      <c r="AR41" s="673"/>
      <c r="AS41" s="673"/>
      <c r="AT41" s="674"/>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553"/>
      <c r="C42" s="553"/>
      <c r="D42" s="554"/>
      <c r="E42" s="652"/>
      <c r="F42" s="651"/>
      <c r="G42" s="651"/>
      <c r="H42" s="651"/>
      <c r="I42" s="651"/>
      <c r="J42" s="60" t="str">
        <f>IF(AND('Mapa final'!$AB$36="Baja",'Mapa final'!$AD$36="Leve"),CONCATENATE("R7C",'Mapa final'!$R$36),"")</f>
        <v/>
      </c>
      <c r="K42" s="61" t="str">
        <f>IF(AND('Mapa final'!$AB$37="Baja",'Mapa final'!$AD$37="Leve"),CONCATENATE("R7C",'Mapa final'!$R$37),"")</f>
        <v/>
      </c>
      <c r="L42" s="61" t="str">
        <f>IF(AND('Mapa final'!$AB$38="Baja",'Mapa final'!$AD$38="Leve"),CONCATENATE("R7C",'Mapa final'!$R$38),"")</f>
        <v/>
      </c>
      <c r="M42" s="61" t="str">
        <f>IF(AND('Mapa final'!$AB$39="Baja",'Mapa final'!$AD$39="Leve"),CONCATENATE("R7C",'Mapa final'!$R$39),"")</f>
        <v/>
      </c>
      <c r="N42" s="61" t="str">
        <f>IF(AND('Mapa final'!$AB$40="Baja",'Mapa final'!$AD$40="Leve"),CONCATENATE("R7C",'Mapa final'!$R$40),"")</f>
        <v/>
      </c>
      <c r="O42" s="62" t="str">
        <f>IF(AND('Mapa final'!$AB$41="Baja",'Mapa final'!$AD$41="Leve"),CONCATENATE("R7C",'Mapa final'!$R$41),"")</f>
        <v/>
      </c>
      <c r="P42" s="51" t="str">
        <f>IF(AND('Mapa final'!$AB$36="Baja",'Mapa final'!$AD$36="Menor"),CONCATENATE("R7C",'Mapa final'!$R$36),"")</f>
        <v/>
      </c>
      <c r="Q42" s="52" t="str">
        <f>IF(AND('Mapa final'!$AB$37="Baja",'Mapa final'!$AD$37="Menor"),CONCATENATE("R7C",'Mapa final'!$R$37),"")</f>
        <v/>
      </c>
      <c r="R42" s="52" t="str">
        <f>IF(AND('Mapa final'!$AB$38="Baja",'Mapa final'!$AD$38="Menor"),CONCATENATE("R7C",'Mapa final'!$R$38),"")</f>
        <v/>
      </c>
      <c r="S42" s="52" t="str">
        <f>IF(AND('Mapa final'!$AB$39="Baja",'Mapa final'!$AD$39="Menor"),CONCATENATE("R7C",'Mapa final'!$R$39),"")</f>
        <v/>
      </c>
      <c r="T42" s="52" t="str">
        <f>IF(AND('Mapa final'!$AB$40="Baja",'Mapa final'!$AD$40="Menor"),CONCATENATE("R7C",'Mapa final'!$R$40),"")</f>
        <v/>
      </c>
      <c r="U42" s="53" t="str">
        <f>IF(AND('Mapa final'!$AB$41="Baja",'Mapa final'!$AD$41="Menor"),CONCATENATE("R7C",'Mapa final'!$R$41),"")</f>
        <v/>
      </c>
      <c r="V42" s="51" t="str">
        <f>IF(AND('Mapa final'!$AB$36="Baja",'Mapa final'!$AD$36="Moderado"),CONCATENATE("R7C",'Mapa final'!$R$36),"")</f>
        <v/>
      </c>
      <c r="W42" s="52" t="str">
        <f>IF(AND('Mapa final'!$AB$37="Baja",'Mapa final'!$AD$37="Moderado"),CONCATENATE("R7C",'Mapa final'!$R$37),"")</f>
        <v/>
      </c>
      <c r="X42" s="52" t="str">
        <f>IF(AND('Mapa final'!$AB$38="Baja",'Mapa final'!$AD$38="Moderado"),CONCATENATE("R7C",'Mapa final'!$R$38),"")</f>
        <v/>
      </c>
      <c r="Y42" s="52" t="str">
        <f>IF(AND('Mapa final'!$AB$39="Baja",'Mapa final'!$AD$39="Moderado"),CONCATENATE("R7C",'Mapa final'!$R$39),"")</f>
        <v/>
      </c>
      <c r="Z42" s="52" t="str">
        <f>IF(AND('Mapa final'!$AB$40="Baja",'Mapa final'!$AD$40="Moderado"),CONCATENATE("R7C",'Mapa final'!$R$40),"")</f>
        <v/>
      </c>
      <c r="AA42" s="53" t="str">
        <f>IF(AND('Mapa final'!$AB$41="Baja",'Mapa final'!$AD$41="Moderado"),CONCATENATE("R7C",'Mapa final'!$R$41),"")</f>
        <v/>
      </c>
      <c r="AB42" s="36" t="str">
        <f>IF(AND('Mapa final'!$AB$36="Baja",'Mapa final'!$AD$36="Mayor"),CONCATENATE("R7C",'Mapa final'!$R$36),"")</f>
        <v/>
      </c>
      <c r="AC42" s="37" t="str">
        <f>IF(AND('Mapa final'!$AB$37="Baja",'Mapa final'!$AD$37="Mayor"),CONCATENATE("R7C",'Mapa final'!$R$37),"")</f>
        <v/>
      </c>
      <c r="AD42" s="37" t="str">
        <f>IF(AND('Mapa final'!$AB$38="Baja",'Mapa final'!$AD$38="Mayor"),CONCATENATE("R7C",'Mapa final'!$R$38),"")</f>
        <v/>
      </c>
      <c r="AE42" s="37" t="str">
        <f>IF(AND('Mapa final'!$AB$39="Baja",'Mapa final'!$AD$39="Mayor"),CONCATENATE("R7C",'Mapa final'!$R$39),"")</f>
        <v/>
      </c>
      <c r="AF42" s="37" t="str">
        <f>IF(AND('Mapa final'!$AB$40="Baja",'Mapa final'!$AD$40="Mayor"),CONCATENATE("R7C",'Mapa final'!$R$40),"")</f>
        <v/>
      </c>
      <c r="AG42" s="38" t="str">
        <f>IF(AND('Mapa final'!$AB$41="Baja",'Mapa final'!$AD$41="Mayor"),CONCATENATE("R7C",'Mapa final'!$R$41),"")</f>
        <v/>
      </c>
      <c r="AH42" s="39" t="str">
        <f>IF(AND('Mapa final'!$AB$36="Baja",'Mapa final'!$AD$36="Catastrófico"),CONCATENATE("R7C",'Mapa final'!$R$36),"")</f>
        <v/>
      </c>
      <c r="AI42" s="40" t="str">
        <f>IF(AND('Mapa final'!$AB$37="Baja",'Mapa final'!$AD$37="Catastrófico"),CONCATENATE("R7C",'Mapa final'!$R$37),"")</f>
        <v/>
      </c>
      <c r="AJ42" s="40" t="str">
        <f>IF(AND('Mapa final'!$AB$38="Baja",'Mapa final'!$AD$38="Catastrófico"),CONCATENATE("R7C",'Mapa final'!$R$38),"")</f>
        <v/>
      </c>
      <c r="AK42" s="40" t="str">
        <f>IF(AND('Mapa final'!$AB$39="Baja",'Mapa final'!$AD$39="Catastrófico"),CONCATENATE("R7C",'Mapa final'!$R$39),"")</f>
        <v/>
      </c>
      <c r="AL42" s="40" t="str">
        <f>IF(AND('Mapa final'!$AB$40="Baja",'Mapa final'!$AD$40="Catastrófico"),CONCATENATE("R7C",'Mapa final'!$R$40),"")</f>
        <v/>
      </c>
      <c r="AM42" s="41" t="str">
        <f>IF(AND('Mapa final'!$AB$41="Baja",'Mapa final'!$AD$41="Catastrófico"),CONCATENATE("R7C",'Mapa final'!$R$41),"")</f>
        <v/>
      </c>
      <c r="AN42" s="67"/>
      <c r="AO42" s="672"/>
      <c r="AP42" s="673"/>
      <c r="AQ42" s="673"/>
      <c r="AR42" s="673"/>
      <c r="AS42" s="673"/>
      <c r="AT42" s="674"/>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553"/>
      <c r="C43" s="553"/>
      <c r="D43" s="554"/>
      <c r="E43" s="652"/>
      <c r="F43" s="651"/>
      <c r="G43" s="651"/>
      <c r="H43" s="651"/>
      <c r="I43" s="651"/>
      <c r="J43" s="60" t="str">
        <f>IF(AND('Mapa final'!$AB$42="Baja",'Mapa final'!$AD$42="Leve"),CONCATENATE("R8C",'Mapa final'!$R$42),"")</f>
        <v/>
      </c>
      <c r="K43" s="61" t="str">
        <f>IF(AND('Mapa final'!$AB$43="Baja",'Mapa final'!$AD$43="Leve"),CONCATENATE("R8C",'Mapa final'!$R$43),"")</f>
        <v/>
      </c>
      <c r="L43" s="61" t="str">
        <f>IF(AND('Mapa final'!$AB$44="Baja",'Mapa final'!$AD$44="Leve"),CONCATENATE("R8C",'Mapa final'!$R$44),"")</f>
        <v/>
      </c>
      <c r="M43" s="61" t="str">
        <f>IF(AND('Mapa final'!$AB$45="Baja",'Mapa final'!$AD$45="Leve"),CONCATENATE("R8C",'Mapa final'!$R$45),"")</f>
        <v/>
      </c>
      <c r="N43" s="61" t="str">
        <f>IF(AND('Mapa final'!$AB$46="Baja",'Mapa final'!$AD$46="Leve"),CONCATENATE("R8C",'Mapa final'!$R$46),"")</f>
        <v/>
      </c>
      <c r="O43" s="62" t="str">
        <f>IF(AND('Mapa final'!$AB$47="Baja",'Mapa final'!$AD$47="Leve"),CONCATENATE("R8C",'Mapa final'!$R$47),"")</f>
        <v/>
      </c>
      <c r="P43" s="51" t="str">
        <f>IF(AND('Mapa final'!$AB$42="Baja",'Mapa final'!$AD$42="Menor"),CONCATENATE("R8C",'Mapa final'!$R$42),"")</f>
        <v/>
      </c>
      <c r="Q43" s="52" t="str">
        <f>IF(AND('Mapa final'!$AB$43="Baja",'Mapa final'!$AD$43="Menor"),CONCATENATE("R8C",'Mapa final'!$R$43),"")</f>
        <v/>
      </c>
      <c r="R43" s="52" t="str">
        <f>IF(AND('Mapa final'!$AB$44="Baja",'Mapa final'!$AD$44="Menor"),CONCATENATE("R8C",'Mapa final'!$R$44),"")</f>
        <v/>
      </c>
      <c r="S43" s="52" t="str">
        <f>IF(AND('Mapa final'!$AB$45="Baja",'Mapa final'!$AD$45="Menor"),CONCATENATE("R8C",'Mapa final'!$R$45),"")</f>
        <v/>
      </c>
      <c r="T43" s="52" t="str">
        <f>IF(AND('Mapa final'!$AB$46="Baja",'Mapa final'!$AD$46="Menor"),CONCATENATE("R8C",'Mapa final'!$R$46),"")</f>
        <v/>
      </c>
      <c r="U43" s="53" t="str">
        <f>IF(AND('Mapa final'!$AB$47="Baja",'Mapa final'!$AD$47="Menor"),CONCATENATE("R8C",'Mapa final'!$R$47),"")</f>
        <v/>
      </c>
      <c r="V43" s="51" t="str">
        <f>IF(AND('Mapa final'!$AB$42="Baja",'Mapa final'!$AD$42="Moderado"),CONCATENATE("R8C",'Mapa final'!$R$42),"")</f>
        <v/>
      </c>
      <c r="W43" s="52" t="str">
        <f>IF(AND('Mapa final'!$AB$43="Baja",'Mapa final'!$AD$43="Moderado"),CONCATENATE("R8C",'Mapa final'!$R$43),"")</f>
        <v/>
      </c>
      <c r="X43" s="52" t="str">
        <f>IF(AND('Mapa final'!$AB$44="Baja",'Mapa final'!$AD$44="Moderado"),CONCATENATE("R8C",'Mapa final'!$R$44),"")</f>
        <v/>
      </c>
      <c r="Y43" s="52" t="str">
        <f>IF(AND('Mapa final'!$AB$45="Baja",'Mapa final'!$AD$45="Moderado"),CONCATENATE("R8C",'Mapa final'!$R$45),"")</f>
        <v/>
      </c>
      <c r="Z43" s="52" t="str">
        <f>IF(AND('Mapa final'!$AB$46="Baja",'Mapa final'!$AD$46="Moderado"),CONCATENATE("R8C",'Mapa final'!$R$46),"")</f>
        <v/>
      </c>
      <c r="AA43" s="53" t="str">
        <f>IF(AND('Mapa final'!$AB$47="Baja",'Mapa final'!$AD$47="Moderado"),CONCATENATE("R8C",'Mapa final'!$R$47),"")</f>
        <v/>
      </c>
      <c r="AB43" s="36" t="str">
        <f>IF(AND('Mapa final'!$AB$42="Baja",'Mapa final'!$AD$42="Mayor"),CONCATENATE("R8C",'Mapa final'!$R$42),"")</f>
        <v/>
      </c>
      <c r="AC43" s="37" t="str">
        <f>IF(AND('Mapa final'!$AB$43="Baja",'Mapa final'!$AD$43="Mayor"),CONCATENATE("R8C",'Mapa final'!$R$43),"")</f>
        <v/>
      </c>
      <c r="AD43" s="37" t="str">
        <f>IF(AND('Mapa final'!$AB$44="Baja",'Mapa final'!$AD$44="Mayor"),CONCATENATE("R8C",'Mapa final'!$R$44),"")</f>
        <v/>
      </c>
      <c r="AE43" s="37" t="str">
        <f>IF(AND('Mapa final'!$AB$45="Baja",'Mapa final'!$AD$45="Mayor"),CONCATENATE("R8C",'Mapa final'!$R$45),"")</f>
        <v/>
      </c>
      <c r="AF43" s="37" t="str">
        <f>IF(AND('Mapa final'!$AB$46="Baja",'Mapa final'!$AD$46="Mayor"),CONCATENATE("R8C",'Mapa final'!$R$46),"")</f>
        <v/>
      </c>
      <c r="AG43" s="38" t="str">
        <f>IF(AND('Mapa final'!$AB$47="Baja",'Mapa final'!$AD$47="Mayor"),CONCATENATE("R8C",'Mapa final'!$R$47),"")</f>
        <v/>
      </c>
      <c r="AH43" s="39" t="str">
        <f>IF(AND('Mapa final'!$AB$42="Baja",'Mapa final'!$AD$42="Catastrófico"),CONCATENATE("R8C",'Mapa final'!$R$42),"")</f>
        <v/>
      </c>
      <c r="AI43" s="40" t="str">
        <f>IF(AND('Mapa final'!$AB$43="Baja",'Mapa final'!$AD$43="Catastrófico"),CONCATENATE("R8C",'Mapa final'!$R$43),"")</f>
        <v/>
      </c>
      <c r="AJ43" s="40" t="str">
        <f>IF(AND('Mapa final'!$AB$44="Baja",'Mapa final'!$AD$44="Catastrófico"),CONCATENATE("R8C",'Mapa final'!$R$44),"")</f>
        <v/>
      </c>
      <c r="AK43" s="40" t="str">
        <f>IF(AND('Mapa final'!$AB$45="Baja",'Mapa final'!$AD$45="Catastrófico"),CONCATENATE("R8C",'Mapa final'!$R$45),"")</f>
        <v/>
      </c>
      <c r="AL43" s="40" t="str">
        <f>IF(AND('Mapa final'!$AB$46="Baja",'Mapa final'!$AD$46="Catastrófico"),CONCATENATE("R8C",'Mapa final'!$R$46),"")</f>
        <v/>
      </c>
      <c r="AM43" s="41" t="str">
        <f>IF(AND('Mapa final'!$AB$47="Baja",'Mapa final'!$AD$47="Catastrófico"),CONCATENATE("R8C",'Mapa final'!$R$47),"")</f>
        <v/>
      </c>
      <c r="AN43" s="67"/>
      <c r="AO43" s="672"/>
      <c r="AP43" s="673"/>
      <c r="AQ43" s="673"/>
      <c r="AR43" s="673"/>
      <c r="AS43" s="673"/>
      <c r="AT43" s="674"/>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553"/>
      <c r="C44" s="553"/>
      <c r="D44" s="554"/>
      <c r="E44" s="652"/>
      <c r="F44" s="651"/>
      <c r="G44" s="651"/>
      <c r="H44" s="651"/>
      <c r="I44" s="651"/>
      <c r="J44" s="60" t="str">
        <f>IF(AND('Mapa final'!$AB$48="Baja",'Mapa final'!$AD$48="Leve"),CONCATENATE("R9C",'Mapa final'!$R$48),"")</f>
        <v/>
      </c>
      <c r="K44" s="61" t="str">
        <f>IF(AND('Mapa final'!$AB$49="Baja",'Mapa final'!$AD$49="Leve"),CONCATENATE("R9C",'Mapa final'!$R$49),"")</f>
        <v/>
      </c>
      <c r="L44" s="61" t="str">
        <f>IF(AND('Mapa final'!$AB$50="Baja",'Mapa final'!$AD$50="Leve"),CONCATENATE("R9C",'Mapa final'!$R$50),"")</f>
        <v/>
      </c>
      <c r="M44" s="61" t="str">
        <f>IF(AND('Mapa final'!$AB$51="Baja",'Mapa final'!$AD$51="Leve"),CONCATENATE("R9C",'Mapa final'!$R$51),"")</f>
        <v/>
      </c>
      <c r="N44" s="61" t="str">
        <f>IF(AND('Mapa final'!$AB$52="Baja",'Mapa final'!$AD$52="Leve"),CONCATENATE("R9C",'Mapa final'!$R$52),"")</f>
        <v/>
      </c>
      <c r="O44" s="62" t="str">
        <f>IF(AND('Mapa final'!$AB$53="Baja",'Mapa final'!$AD$53="Leve"),CONCATENATE("R9C",'Mapa final'!$R$53),"")</f>
        <v/>
      </c>
      <c r="P44" s="51" t="str">
        <f>IF(AND('Mapa final'!$AB$48="Baja",'Mapa final'!$AD$48="Menor"),CONCATENATE("R9C",'Mapa final'!$R$48),"")</f>
        <v/>
      </c>
      <c r="Q44" s="52" t="str">
        <f>IF(AND('Mapa final'!$AB$49="Baja",'Mapa final'!$AD$49="Menor"),CONCATENATE("R9C",'Mapa final'!$R$49),"")</f>
        <v/>
      </c>
      <c r="R44" s="52" t="str">
        <f>IF(AND('Mapa final'!$AB$50="Baja",'Mapa final'!$AD$50="Menor"),CONCATENATE("R9C",'Mapa final'!$R$50),"")</f>
        <v/>
      </c>
      <c r="S44" s="52" t="str">
        <f>IF(AND('Mapa final'!$AB$51="Baja",'Mapa final'!$AD$51="Menor"),CONCATENATE("R9C",'Mapa final'!$R$51),"")</f>
        <v/>
      </c>
      <c r="T44" s="52" t="str">
        <f>IF(AND('Mapa final'!$AB$52="Baja",'Mapa final'!$AD$52="Menor"),CONCATENATE("R9C",'Mapa final'!$R$52),"")</f>
        <v/>
      </c>
      <c r="U44" s="53" t="str">
        <f>IF(AND('Mapa final'!$AB$53="Baja",'Mapa final'!$AD$53="Menor"),CONCATENATE("R9C",'Mapa final'!$R$53),"")</f>
        <v/>
      </c>
      <c r="V44" s="51" t="str">
        <f>IF(AND('Mapa final'!$AB$48="Baja",'Mapa final'!$AD$48="Moderado"),CONCATENATE("R9C",'Mapa final'!$R$48),"")</f>
        <v/>
      </c>
      <c r="W44" s="52" t="str">
        <f>IF(AND('Mapa final'!$AB$49="Baja",'Mapa final'!$AD$49="Moderado"),CONCATENATE("R9C",'Mapa final'!$R$49),"")</f>
        <v/>
      </c>
      <c r="X44" s="52" t="str">
        <f>IF(AND('Mapa final'!$AB$50="Baja",'Mapa final'!$AD$50="Moderado"),CONCATENATE("R9C",'Mapa final'!$R$50),"")</f>
        <v/>
      </c>
      <c r="Y44" s="52" t="str">
        <f>IF(AND('Mapa final'!$AB$51="Baja",'Mapa final'!$AD$51="Moderado"),CONCATENATE("R9C",'Mapa final'!$R$51),"")</f>
        <v/>
      </c>
      <c r="Z44" s="52" t="str">
        <f>IF(AND('Mapa final'!$AB$52="Baja",'Mapa final'!$AD$52="Moderado"),CONCATENATE("R9C",'Mapa final'!$R$52),"")</f>
        <v/>
      </c>
      <c r="AA44" s="53" t="str">
        <f>IF(AND('Mapa final'!$AB$53="Baja",'Mapa final'!$AD$53="Moderado"),CONCATENATE("R9C",'Mapa final'!$R$53),"")</f>
        <v/>
      </c>
      <c r="AB44" s="36" t="str">
        <f>IF(AND('Mapa final'!$AB$48="Baja",'Mapa final'!$AD$48="Mayor"),CONCATENATE("R9C",'Mapa final'!$R$48),"")</f>
        <v/>
      </c>
      <c r="AC44" s="37" t="str">
        <f>IF(AND('Mapa final'!$AB$49="Baja",'Mapa final'!$AD$49="Mayor"),CONCATENATE("R9C",'Mapa final'!$R$49),"")</f>
        <v/>
      </c>
      <c r="AD44" s="37" t="str">
        <f>IF(AND('Mapa final'!$AB$50="Baja",'Mapa final'!$AD$50="Mayor"),CONCATENATE("R9C",'Mapa final'!$R$50),"")</f>
        <v/>
      </c>
      <c r="AE44" s="37" t="str">
        <f>IF(AND('Mapa final'!$AB$51="Baja",'Mapa final'!$AD$51="Mayor"),CONCATENATE("R9C",'Mapa final'!$R$51),"")</f>
        <v/>
      </c>
      <c r="AF44" s="37" t="str">
        <f>IF(AND('Mapa final'!$AB$52="Baja",'Mapa final'!$AD$52="Mayor"),CONCATENATE("R9C",'Mapa final'!$R$52),"")</f>
        <v/>
      </c>
      <c r="AG44" s="38" t="str">
        <f>IF(AND('Mapa final'!$AB$53="Baja",'Mapa final'!$AD$53="Mayor"),CONCATENATE("R9C",'Mapa final'!$R$53),"")</f>
        <v/>
      </c>
      <c r="AH44" s="39" t="str">
        <f>IF(AND('Mapa final'!$AB$48="Baja",'Mapa final'!$AD$48="Catastrófico"),CONCATENATE("R9C",'Mapa final'!$R$48),"")</f>
        <v/>
      </c>
      <c r="AI44" s="40" t="str">
        <f>IF(AND('Mapa final'!$AB$49="Baja",'Mapa final'!$AD$49="Catastrófico"),CONCATENATE("R9C",'Mapa final'!$R$49),"")</f>
        <v/>
      </c>
      <c r="AJ44" s="40" t="str">
        <f>IF(AND('Mapa final'!$AB$50="Baja",'Mapa final'!$AD$50="Catastrófico"),CONCATENATE("R9C",'Mapa final'!$R$50),"")</f>
        <v/>
      </c>
      <c r="AK44" s="40" t="str">
        <f>IF(AND('Mapa final'!$AB$51="Baja",'Mapa final'!$AD$51="Catastrófico"),CONCATENATE("R9C",'Mapa final'!$R$51),"")</f>
        <v/>
      </c>
      <c r="AL44" s="40" t="str">
        <f>IF(AND('Mapa final'!$AB$52="Baja",'Mapa final'!$AD$52="Catastrófico"),CONCATENATE("R9C",'Mapa final'!$R$52),"")</f>
        <v/>
      </c>
      <c r="AM44" s="41" t="str">
        <f>IF(AND('Mapa final'!$AB$53="Baja",'Mapa final'!$AD$53="Catastrófico"),CONCATENATE("R9C",'Mapa final'!$R$53),"")</f>
        <v/>
      </c>
      <c r="AN44" s="67"/>
      <c r="AO44" s="672"/>
      <c r="AP44" s="673"/>
      <c r="AQ44" s="673"/>
      <c r="AR44" s="673"/>
      <c r="AS44" s="673"/>
      <c r="AT44" s="674"/>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553"/>
      <c r="C45" s="553"/>
      <c r="D45" s="554"/>
      <c r="E45" s="653"/>
      <c r="F45" s="654"/>
      <c r="G45" s="654"/>
      <c r="H45" s="654"/>
      <c r="I45" s="654"/>
      <c r="J45" s="63" t="str">
        <f>IF(AND('Mapa final'!$AB$54="Baja",'Mapa final'!$AD$54="Leve"),CONCATENATE("R10C",'Mapa final'!$R$54),"")</f>
        <v/>
      </c>
      <c r="K45" s="64" t="str">
        <f>IF(AND('Mapa final'!$AB$55="Baja",'Mapa final'!$AD$55="Leve"),CONCATENATE("R10C",'Mapa final'!$R$55),"")</f>
        <v/>
      </c>
      <c r="L45" s="64" t="str">
        <f>IF(AND('Mapa final'!$AB$56="Baja",'Mapa final'!$AD$56="Leve"),CONCATENATE("R10C",'Mapa final'!$R$56),"")</f>
        <v/>
      </c>
      <c r="M45" s="64" t="str">
        <f>IF(AND('Mapa final'!$AB$57="Baja",'Mapa final'!$AD$57="Leve"),CONCATENATE("R10C",'Mapa final'!$R$57),"")</f>
        <v/>
      </c>
      <c r="N45" s="64" t="str">
        <f>IF(AND('Mapa final'!$AB$58="Baja",'Mapa final'!$AD$58="Leve"),CONCATENATE("R10C",'Mapa final'!$R$58),"")</f>
        <v/>
      </c>
      <c r="O45" s="65" t="str">
        <f>IF(AND('Mapa final'!$AB$59="Baja",'Mapa final'!$AD$59="Leve"),CONCATENATE("R10C",'Mapa final'!$R$59),"")</f>
        <v/>
      </c>
      <c r="P45" s="51" t="str">
        <f>IF(AND('Mapa final'!$AB$54="Baja",'Mapa final'!$AD$54="Menor"),CONCATENATE("R10C",'Mapa final'!$R$54),"")</f>
        <v/>
      </c>
      <c r="Q45" s="52" t="str">
        <f>IF(AND('Mapa final'!$AB$55="Baja",'Mapa final'!$AD$55="Menor"),CONCATENATE("R10C",'Mapa final'!$R$55),"")</f>
        <v/>
      </c>
      <c r="R45" s="52" t="str">
        <f>IF(AND('Mapa final'!$AB$56="Baja",'Mapa final'!$AD$56="Menor"),CONCATENATE("R10C",'Mapa final'!$R$56),"")</f>
        <v/>
      </c>
      <c r="S45" s="52" t="str">
        <f>IF(AND('Mapa final'!$AB$57="Baja",'Mapa final'!$AD$57="Menor"),CONCATENATE("R10C",'Mapa final'!$R$57),"")</f>
        <v/>
      </c>
      <c r="T45" s="52" t="str">
        <f>IF(AND('Mapa final'!$AB$58="Baja",'Mapa final'!$AD$58="Menor"),CONCATENATE("R10C",'Mapa final'!$R$58),"")</f>
        <v/>
      </c>
      <c r="U45" s="53" t="str">
        <f>IF(AND('Mapa final'!$AB$59="Baja",'Mapa final'!$AD$59="Menor"),CONCATENATE("R10C",'Mapa final'!$R$59),"")</f>
        <v/>
      </c>
      <c r="V45" s="54" t="str">
        <f>IF(AND('Mapa final'!$AB$54="Baja",'Mapa final'!$AD$54="Moderado"),CONCATENATE("R10C",'Mapa final'!$R$54),"")</f>
        <v/>
      </c>
      <c r="W45" s="55" t="str">
        <f>IF(AND('Mapa final'!$AB$55="Baja",'Mapa final'!$AD$55="Moderado"),CONCATENATE("R10C",'Mapa final'!$R$55),"")</f>
        <v/>
      </c>
      <c r="X45" s="55" t="str">
        <f>IF(AND('Mapa final'!$AB$56="Baja",'Mapa final'!$AD$56="Moderado"),CONCATENATE("R10C",'Mapa final'!$R$56),"")</f>
        <v/>
      </c>
      <c r="Y45" s="55" t="str">
        <f>IF(AND('Mapa final'!$AB$57="Baja",'Mapa final'!$AD$57="Moderado"),CONCATENATE("R10C",'Mapa final'!$R$57),"")</f>
        <v/>
      </c>
      <c r="Z45" s="55" t="str">
        <f>IF(AND('Mapa final'!$AB$58="Baja",'Mapa final'!$AD$58="Moderado"),CONCATENATE("R10C",'Mapa final'!$R$58),"")</f>
        <v/>
      </c>
      <c r="AA45" s="56" t="str">
        <f>IF(AND('Mapa final'!$AB$59="Baja",'Mapa final'!$AD$59="Moderado"),CONCATENATE("R10C",'Mapa final'!$R$59),"")</f>
        <v/>
      </c>
      <c r="AB45" s="42" t="str">
        <f>IF(AND('Mapa final'!$AB$54="Baja",'Mapa final'!$AD$54="Mayor"),CONCATENATE("R10C",'Mapa final'!$R$54),"")</f>
        <v/>
      </c>
      <c r="AC45" s="43" t="str">
        <f>IF(AND('Mapa final'!$AB$55="Baja",'Mapa final'!$AD$55="Mayor"),CONCATENATE("R10C",'Mapa final'!$R$55),"")</f>
        <v/>
      </c>
      <c r="AD45" s="43" t="str">
        <f>IF(AND('Mapa final'!$AB$56="Baja",'Mapa final'!$AD$56="Mayor"),CONCATENATE("R10C",'Mapa final'!$R$56),"")</f>
        <v/>
      </c>
      <c r="AE45" s="43" t="str">
        <f>IF(AND('Mapa final'!$AB$57="Baja",'Mapa final'!$AD$57="Mayor"),CONCATENATE("R10C",'Mapa final'!$R$57),"")</f>
        <v/>
      </c>
      <c r="AF45" s="43" t="str">
        <f>IF(AND('Mapa final'!$AB$58="Baja",'Mapa final'!$AD$58="Mayor"),CONCATENATE("R10C",'Mapa final'!$R$58),"")</f>
        <v/>
      </c>
      <c r="AG45" s="44" t="str">
        <f>IF(AND('Mapa final'!$AB$59="Baja",'Mapa final'!$AD$59="Mayor"),CONCATENATE("R10C",'Mapa final'!$R$59),"")</f>
        <v/>
      </c>
      <c r="AH45" s="45" t="str">
        <f>IF(AND('Mapa final'!$AB$54="Baja",'Mapa final'!$AD$54="Catastrófico"),CONCATENATE("R10C",'Mapa final'!$R$54),"")</f>
        <v/>
      </c>
      <c r="AI45" s="46" t="str">
        <f>IF(AND('Mapa final'!$AB$55="Baja",'Mapa final'!$AD$55="Catastrófico"),CONCATENATE("R10C",'Mapa final'!$R$55),"")</f>
        <v/>
      </c>
      <c r="AJ45" s="46" t="str">
        <f>IF(AND('Mapa final'!$AB$56="Baja",'Mapa final'!$AD$56="Catastrófico"),CONCATENATE("R10C",'Mapa final'!$R$56),"")</f>
        <v/>
      </c>
      <c r="AK45" s="46" t="str">
        <f>IF(AND('Mapa final'!$AB$57="Baja",'Mapa final'!$AD$57="Catastrófico"),CONCATENATE("R10C",'Mapa final'!$R$57),"")</f>
        <v/>
      </c>
      <c r="AL45" s="46" t="str">
        <f>IF(AND('Mapa final'!$AB$58="Baja",'Mapa final'!$AD$58="Catastrófico"),CONCATENATE("R10C",'Mapa final'!$R$58),"")</f>
        <v/>
      </c>
      <c r="AM45" s="47" t="str">
        <f>IF(AND('Mapa final'!$AB$59="Baja",'Mapa final'!$AD$59="Catastrófico"),CONCATENATE("R10C",'Mapa final'!$R$59),"")</f>
        <v/>
      </c>
      <c r="AN45" s="67"/>
      <c r="AO45" s="675"/>
      <c r="AP45" s="676"/>
      <c r="AQ45" s="676"/>
      <c r="AR45" s="676"/>
      <c r="AS45" s="676"/>
      <c r="AT45" s="677"/>
    </row>
    <row r="46" spans="1:80" ht="46.5" customHeight="1" x14ac:dyDescent="0.45">
      <c r="A46" s="67"/>
      <c r="B46" s="553"/>
      <c r="C46" s="553"/>
      <c r="D46" s="554"/>
      <c r="E46" s="648" t="s">
        <v>108</v>
      </c>
      <c r="F46" s="649"/>
      <c r="G46" s="649"/>
      <c r="H46" s="649"/>
      <c r="I46" s="666"/>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e">
        <f>IF(AND('Mapa final'!#REF!="Muy Baja",'Mapa final'!#REF!="Leve"),CONCATENATE("R1C",'Mapa final'!#REF!),"")</f>
        <v>#REF!</v>
      </c>
      <c r="O46" s="59" t="e">
        <f>IF(AND('Mapa final'!#REF!="Muy Baja",'Mapa final'!#REF!="Leve"),CONCATENATE("R1C",'Mapa final'!#REF!),"")</f>
        <v>#REF!</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e">
        <f>IF(AND('Mapa final'!#REF!="Muy Baja",'Mapa final'!#REF!="Menor"),CONCATENATE("R1C",'Mapa final'!#REF!),"")</f>
        <v>#REF!</v>
      </c>
      <c r="U46" s="59" t="e">
        <f>IF(AND('Mapa final'!#REF!="Muy Baja",'Mapa final'!#REF!="Menor"),CONCATENATE("R1C",'Mapa final'!#REF!),"")</f>
        <v>#REF!</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e">
        <f>IF(AND('Mapa final'!#REF!="Muy Baja",'Mapa final'!#REF!="Moderado"),CONCATENATE("R1C",'Mapa final'!#REF!),"")</f>
        <v>#REF!</v>
      </c>
      <c r="AA46" s="50" t="e">
        <f>IF(AND('Mapa final'!#REF!="Muy Baja",'Mapa final'!#REF!="Moderado"),CONCATENATE("R1C",'Mapa final'!#REF!),"")</f>
        <v>#REF!</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
      </c>
      <c r="AF46" s="31" t="e">
        <f>IF(AND('Mapa final'!#REF!="Muy Baja",'Mapa final'!#REF!="Mayor"),CONCATENATE("R1C",'Mapa final'!#REF!),"")</f>
        <v>#REF!</v>
      </c>
      <c r="AG46" s="32" t="e">
        <f>IF(AND('Mapa final'!#REF!="Muy Baja",'Mapa final'!#REF!="Mayor"),CONCATENATE("R1C",'Mapa final'!#REF!),"")</f>
        <v>#REF!</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553"/>
      <c r="C47" s="553"/>
      <c r="D47" s="554"/>
      <c r="E47" s="650"/>
      <c r="F47" s="651"/>
      <c r="G47" s="651"/>
      <c r="H47" s="651"/>
      <c r="I47" s="667"/>
      <c r="J47" s="60" t="str">
        <f>IF(AND('Mapa final'!$AB$14="Muy Baja",'Mapa final'!$AD$14="Leve"),CONCATENATE("R2C",'Mapa final'!$R$14),"")</f>
        <v/>
      </c>
      <c r="K47" s="61" t="str">
        <f>IF(AND('Mapa final'!$AB$15="Muy Baja",'Mapa final'!$AD$15="Leve"),CONCATENATE("R2C",'Mapa final'!$R$15),"")</f>
        <v/>
      </c>
      <c r="L47" s="61" t="str">
        <f>IF(AND('Mapa final'!$AB$16="Muy Baja",'Mapa final'!$AD$16="Leve"),CONCATENATE("R2C",'Mapa final'!$R$16),"")</f>
        <v/>
      </c>
      <c r="M47" s="61" t="str">
        <f>IF(AND('Mapa final'!$AB$17="Muy Baja",'Mapa final'!$AD$17="Leve"),CONCATENATE("R2C",'Mapa final'!$R$17),"")</f>
        <v/>
      </c>
      <c r="N47" s="61" t="e">
        <f>IF(AND('Mapa final'!#REF!="Muy Baja",'Mapa final'!#REF!="Leve"),CONCATENATE("R2C",'Mapa final'!#REF!),"")</f>
        <v>#REF!</v>
      </c>
      <c r="O47" s="62" t="e">
        <f>IF(AND('Mapa final'!#REF!="Muy Baja",'Mapa final'!#REF!="Leve"),CONCATENATE("R2C",'Mapa final'!#REF!),"")</f>
        <v>#REF!</v>
      </c>
      <c r="P47" s="60" t="str">
        <f>IF(AND('Mapa final'!$AB$14="Muy Baja",'Mapa final'!$AD$14="Menor"),CONCATENATE("R2C",'Mapa final'!$R$14),"")</f>
        <v/>
      </c>
      <c r="Q47" s="61" t="str">
        <f>IF(AND('Mapa final'!$AB$15="Muy Baja",'Mapa final'!$AD$15="Menor"),CONCATENATE("R2C",'Mapa final'!$R$15),"")</f>
        <v/>
      </c>
      <c r="R47" s="61" t="str">
        <f>IF(AND('Mapa final'!$AB$16="Muy Baja",'Mapa final'!$AD$16="Menor"),CONCATENATE("R2C",'Mapa final'!$R$16),"")</f>
        <v/>
      </c>
      <c r="S47" s="61" t="str">
        <f>IF(AND('Mapa final'!$AB$17="Muy Baja",'Mapa final'!$AD$17="Menor"),CONCATENATE("R2C",'Mapa final'!$R$17),"")</f>
        <v/>
      </c>
      <c r="T47" s="61" t="e">
        <f>IF(AND('Mapa final'!#REF!="Muy Baja",'Mapa final'!#REF!="Menor"),CONCATENATE("R2C",'Mapa final'!#REF!),"")</f>
        <v>#REF!</v>
      </c>
      <c r="U47" s="62" t="e">
        <f>IF(AND('Mapa final'!#REF!="Muy Baja",'Mapa final'!#REF!="Menor"),CONCATENATE("R2C",'Mapa final'!#REF!),"")</f>
        <v>#REF!</v>
      </c>
      <c r="V47" s="51" t="str">
        <f>IF(AND('Mapa final'!$AB$14="Muy Baja",'Mapa final'!$AD$14="Moderado"),CONCATENATE("R2C",'Mapa final'!$R$14),"")</f>
        <v/>
      </c>
      <c r="W47" s="52" t="str">
        <f>IF(AND('Mapa final'!$AB$15="Muy Baja",'Mapa final'!$AD$15="Moderado"),CONCATENATE("R2C",'Mapa final'!$R$15),"")</f>
        <v/>
      </c>
      <c r="X47" s="52" t="str">
        <f>IF(AND('Mapa final'!$AB$16="Muy Baja",'Mapa final'!$AD$16="Moderado"),CONCATENATE("R2C",'Mapa final'!$R$16),"")</f>
        <v/>
      </c>
      <c r="Y47" s="52" t="str">
        <f>IF(AND('Mapa final'!$AB$17="Muy Baja",'Mapa final'!$AD$17="Moderado"),CONCATENATE("R2C",'Mapa final'!$R$17),"")</f>
        <v/>
      </c>
      <c r="Z47" s="52" t="e">
        <f>IF(AND('Mapa final'!#REF!="Muy Baja",'Mapa final'!#REF!="Moderado"),CONCATENATE("R2C",'Mapa final'!#REF!),"")</f>
        <v>#REF!</v>
      </c>
      <c r="AA47" s="53" t="e">
        <f>IF(AND('Mapa final'!#REF!="Muy Baja",'Mapa final'!#REF!="Moderado"),CONCATENATE("R2C",'Mapa final'!#REF!),"")</f>
        <v>#REF!</v>
      </c>
      <c r="AB47" s="36" t="str">
        <f>IF(AND('Mapa final'!$AB$14="Muy Baja",'Mapa final'!$AD$14="Mayor"),CONCATENATE("R2C",'Mapa final'!$R$14),"")</f>
        <v/>
      </c>
      <c r="AC47" s="37" t="str">
        <f>IF(AND('Mapa final'!$AB$15="Muy Baja",'Mapa final'!$AD$15="Mayor"),CONCATENATE("R2C",'Mapa final'!$R$15),"")</f>
        <v/>
      </c>
      <c r="AD47" s="37" t="str">
        <f>IF(AND('Mapa final'!$AB$16="Muy Baja",'Mapa final'!$AD$16="Mayor"),CONCATENATE("R2C",'Mapa final'!$R$16),"")</f>
        <v/>
      </c>
      <c r="AE47" s="37" t="str">
        <f>IF(AND('Mapa final'!$AB$17="Muy Baja",'Mapa final'!$AD$17="Mayor"),CONCATENATE("R2C",'Mapa final'!$R$17),"")</f>
        <v/>
      </c>
      <c r="AF47" s="37" t="e">
        <f>IF(AND('Mapa final'!#REF!="Muy Baja",'Mapa final'!#REF!="Mayor"),CONCATENATE("R2C",'Mapa final'!#REF!),"")</f>
        <v>#REF!</v>
      </c>
      <c r="AG47" s="38" t="e">
        <f>IF(AND('Mapa final'!#REF!="Muy Baja",'Mapa final'!#REF!="Mayor"),CONCATENATE("R2C",'Mapa final'!#REF!),"")</f>
        <v>#REF!</v>
      </c>
      <c r="AH47" s="39" t="str">
        <f>IF(AND('Mapa final'!$AB$14="Muy Baja",'Mapa final'!$AD$14="Catastrófico"),CONCATENATE("R2C",'Mapa final'!$R$14),"")</f>
        <v/>
      </c>
      <c r="AI47" s="40" t="str">
        <f>IF(AND('Mapa final'!$AB$15="Muy Baja",'Mapa final'!$AD$15="Catastrófico"),CONCATENATE("R2C",'Mapa final'!$R$15),"")</f>
        <v/>
      </c>
      <c r="AJ47" s="40" t="str">
        <f>IF(AND('Mapa final'!$AB$16="Muy Baja",'Mapa final'!$AD$16="Catastrófico"),CONCATENATE("R2C",'Mapa final'!$R$16),"")</f>
        <v/>
      </c>
      <c r="AK47" s="40" t="str">
        <f>IF(AND('Mapa final'!$AB$17="Muy Baja",'Mapa final'!$AD$17="Catastrófico"),CONCATENATE("R2C",'Mapa final'!$R$17),"")</f>
        <v/>
      </c>
      <c r="AL47" s="40" t="e">
        <f>IF(AND('Mapa final'!#REF!="Muy Baja",'Mapa final'!#REF!="Catastrófico"),CONCATENATE("R2C",'Mapa final'!#REF!),"")</f>
        <v>#REF!</v>
      </c>
      <c r="AM47" s="41" t="e">
        <f>IF(AND('Mapa final'!#REF!="Muy Baja",'Mapa final'!#REF!="Catastrófico"),CONCATENATE("R2C",'Mapa final'!#REF!),"")</f>
        <v>#REF!</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553"/>
      <c r="C48" s="553"/>
      <c r="D48" s="554"/>
      <c r="E48" s="650"/>
      <c r="F48" s="651"/>
      <c r="G48" s="651"/>
      <c r="H48" s="651"/>
      <c r="I48" s="667"/>
      <c r="J48" s="60" t="str">
        <f>IF(AND('Mapa final'!$AB$18="Muy Baja",'Mapa final'!$AD$18="Leve"),CONCATENATE("R3C",'Mapa final'!$R$18),"")</f>
        <v/>
      </c>
      <c r="K48" s="61" t="str">
        <f>IF(AND('Mapa final'!$AB$19="Muy Baja",'Mapa final'!$AD$19="Leve"),CONCATENATE("R3C",'Mapa final'!$R$19),"")</f>
        <v/>
      </c>
      <c r="L48" s="61" t="e">
        <f>IF(AND('Mapa final'!#REF!="Muy Baja",'Mapa final'!#REF!="Leve"),CONCATENATE("R3C",'Mapa final'!#REF!),"")</f>
        <v>#REF!</v>
      </c>
      <c r="M48" s="61" t="e">
        <f>IF(AND('Mapa final'!#REF!="Muy Baja",'Mapa final'!#REF!="Leve"),CONCATENATE("R3C",'Mapa final'!#REF!),"")</f>
        <v>#REF!</v>
      </c>
      <c r="N48" s="61" t="e">
        <f>IF(AND('Mapa final'!#REF!="Muy Baja",'Mapa final'!#REF!="Leve"),CONCATENATE("R3C",'Mapa final'!#REF!),"")</f>
        <v>#REF!</v>
      </c>
      <c r="O48" s="62" t="str">
        <f>IF(AND('Mapa final'!$AB$20="Muy Baja",'Mapa final'!$AD$20="Leve"),CONCATENATE("R3C",'Mapa final'!$R$20),"")</f>
        <v/>
      </c>
      <c r="P48" s="60" t="str">
        <f>IF(AND('Mapa final'!$AB$18="Muy Baja",'Mapa final'!$AD$18="Menor"),CONCATENATE("R3C",'Mapa final'!$R$18),"")</f>
        <v/>
      </c>
      <c r="Q48" s="61" t="str">
        <f>IF(AND('Mapa final'!$AB$19="Muy Baja",'Mapa final'!$AD$19="Menor"),CONCATENATE("R3C",'Mapa final'!$R$19),"")</f>
        <v/>
      </c>
      <c r="R48" s="61" t="e">
        <f>IF(AND('Mapa final'!#REF!="Muy Baja",'Mapa final'!#REF!="Menor"),CONCATENATE("R3C",'Mapa final'!#REF!),"")</f>
        <v>#REF!</v>
      </c>
      <c r="S48" s="61" t="e">
        <f>IF(AND('Mapa final'!#REF!="Muy Baja",'Mapa final'!#REF!="Menor"),CONCATENATE("R3C",'Mapa final'!#REF!),"")</f>
        <v>#REF!</v>
      </c>
      <c r="T48" s="61" t="e">
        <f>IF(AND('Mapa final'!#REF!="Muy Baja",'Mapa final'!#REF!="Menor"),CONCATENATE("R3C",'Mapa final'!#REF!),"")</f>
        <v>#REF!</v>
      </c>
      <c r="U48" s="62" t="str">
        <f>IF(AND('Mapa final'!$AB$20="Muy Baja",'Mapa final'!$AD$20="Menor"),CONCATENATE("R3C",'Mapa final'!$R$20),"")</f>
        <v/>
      </c>
      <c r="V48" s="51" t="str">
        <f>IF(AND('Mapa final'!$AB$18="Muy Baja",'Mapa final'!$AD$18="Moderado"),CONCATENATE("R3C",'Mapa final'!$R$18),"")</f>
        <v/>
      </c>
      <c r="W48" s="52" t="str">
        <f>IF(AND('Mapa final'!$AB$19="Muy Baja",'Mapa final'!$AD$19="Moderado"),CONCATENATE("R3C",'Mapa final'!$R$19),"")</f>
        <v/>
      </c>
      <c r="X48" s="52" t="e">
        <f>IF(AND('Mapa final'!#REF!="Muy Baja",'Mapa final'!#REF!="Moderado"),CONCATENATE("R3C",'Mapa final'!#REF!),"")</f>
        <v>#REF!</v>
      </c>
      <c r="Y48" s="52" t="e">
        <f>IF(AND('Mapa final'!#REF!="Muy Baja",'Mapa final'!#REF!="Moderado"),CONCATENATE("R3C",'Mapa final'!#REF!),"")</f>
        <v>#REF!</v>
      </c>
      <c r="Z48" s="52" t="e">
        <f>IF(AND('Mapa final'!#REF!="Muy Baja",'Mapa final'!#REF!="Moderado"),CONCATENATE("R3C",'Mapa final'!#REF!),"")</f>
        <v>#REF!</v>
      </c>
      <c r="AA48" s="53" t="str">
        <f>IF(AND('Mapa final'!$AB$20="Muy Baja",'Mapa final'!$AD$20="Moderado"),CONCATENATE("R3C",'Mapa final'!$R$20),"")</f>
        <v/>
      </c>
      <c r="AB48" s="36" t="str">
        <f>IF(AND('Mapa final'!$AB$18="Muy Baja",'Mapa final'!$AD$18="Mayor"),CONCATENATE("R3C",'Mapa final'!$R$18),"")</f>
        <v/>
      </c>
      <c r="AC48" s="37" t="str">
        <f>IF(AND('Mapa final'!$AB$19="Muy Baja",'Mapa final'!$AD$19="Mayor"),CONCATENATE("R3C",'Mapa final'!$R$19),"")</f>
        <v/>
      </c>
      <c r="AD48" s="37" t="e">
        <f>IF(AND('Mapa final'!#REF!="Muy Baja",'Mapa final'!#REF!="Mayor"),CONCATENATE("R3C",'Mapa final'!#REF!),"")</f>
        <v>#REF!</v>
      </c>
      <c r="AE48" s="37" t="e">
        <f>IF(AND('Mapa final'!#REF!="Muy Baja",'Mapa final'!#REF!="Mayor"),CONCATENATE("R3C",'Mapa final'!#REF!),"")</f>
        <v>#REF!</v>
      </c>
      <c r="AF48" s="37" t="e">
        <f>IF(AND('Mapa final'!#REF!="Muy Baja",'Mapa final'!#REF!="Mayor"),CONCATENATE("R3C",'Mapa final'!#REF!),"")</f>
        <v>#REF!</v>
      </c>
      <c r="AG48" s="38" t="str">
        <f>IF(AND('Mapa final'!$AB$20="Muy Baja",'Mapa final'!$AD$20="Mayor"),CONCATENATE("R3C",'Mapa final'!$R$20),"")</f>
        <v/>
      </c>
      <c r="AH48" s="39" t="str">
        <f>IF(AND('Mapa final'!$AB$18="Muy Baja",'Mapa final'!$AD$18="Catastrófico"),CONCATENATE("R3C",'Mapa final'!$R$18),"")</f>
        <v/>
      </c>
      <c r="AI48" s="40" t="str">
        <f>IF(AND('Mapa final'!$AB$19="Muy Baja",'Mapa final'!$AD$19="Catastrófico"),CONCATENATE("R3C",'Mapa final'!$R$19),"")</f>
        <v/>
      </c>
      <c r="AJ48" s="40" t="e">
        <f>IF(AND('Mapa final'!#REF!="Muy Baja",'Mapa final'!#REF!="Catastrófico"),CONCATENATE("R3C",'Mapa final'!#REF!),"")</f>
        <v>#REF!</v>
      </c>
      <c r="AK48" s="40" t="e">
        <f>IF(AND('Mapa final'!#REF!="Muy Baja",'Mapa final'!#REF!="Catastrófico"),CONCATENATE("R3C",'Mapa final'!#REF!),"")</f>
        <v>#REF!</v>
      </c>
      <c r="AL48" s="40" t="e">
        <f>IF(AND('Mapa final'!#REF!="Muy Baja",'Mapa final'!#REF!="Catastrófico"),CONCATENATE("R3C",'Mapa final'!#REF!),"")</f>
        <v>#REF!</v>
      </c>
      <c r="AM48" s="41" t="str">
        <f>IF(AND('Mapa final'!$AB$20="Muy Baja",'Mapa final'!$AD$20="Catastrófico"),CONCATENATE("R3C",'Mapa final'!$R$20),"")</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553"/>
      <c r="C49" s="553"/>
      <c r="D49" s="554"/>
      <c r="E49" s="652"/>
      <c r="F49" s="651"/>
      <c r="G49" s="651"/>
      <c r="H49" s="651"/>
      <c r="I49" s="667"/>
      <c r="J49" s="60" t="str">
        <f>IF(AND('Mapa final'!$AB$21="Muy Baja",'Mapa final'!$AD$21="Leve"),CONCATENATE("R4C",'Mapa final'!$R$21),"")</f>
        <v/>
      </c>
      <c r="K49" s="61" t="str">
        <f>IF(AND('Mapa final'!$AB$22="Muy Baja",'Mapa final'!$AD$22="Leve"),CONCATENATE("R4C",'Mapa final'!$R$22),"")</f>
        <v/>
      </c>
      <c r="L49" s="61" t="str">
        <f>IF(AND('Mapa final'!$AB$23="Muy Baja",'Mapa final'!$AD$23="Leve"),CONCATENATE("R4C",'Mapa final'!$R$23),"")</f>
        <v/>
      </c>
      <c r="M49" s="61" t="e">
        <f>IF(AND('Mapa final'!#REF!="Muy Baja",'Mapa final'!#REF!="Leve"),CONCATENATE("R4C",'Mapa final'!#REF!),"")</f>
        <v>#REF!</v>
      </c>
      <c r="N49" s="61" t="e">
        <f>IF(AND('Mapa final'!#REF!="Muy Baja",'Mapa final'!#REF!="Leve"),CONCATENATE("R4C",'Mapa final'!#REF!),"")</f>
        <v>#REF!</v>
      </c>
      <c r="O49" s="62" t="e">
        <f>IF(AND('Mapa final'!#REF!="Muy Baja",'Mapa final'!#REF!="Leve"),CONCATENATE("R4C",'Mapa final'!#REF!),"")</f>
        <v>#REF!</v>
      </c>
      <c r="P49" s="60" t="str">
        <f>IF(AND('Mapa final'!$AB$21="Muy Baja",'Mapa final'!$AD$21="Menor"),CONCATENATE("R4C",'Mapa final'!$R$21),"")</f>
        <v/>
      </c>
      <c r="Q49" s="61" t="str">
        <f>IF(AND('Mapa final'!$AB$22="Muy Baja",'Mapa final'!$AD$22="Menor"),CONCATENATE("R4C",'Mapa final'!$R$22),"")</f>
        <v/>
      </c>
      <c r="R49" s="61" t="str">
        <f>IF(AND('Mapa final'!$AB$23="Muy Baja",'Mapa final'!$AD$23="Menor"),CONCATENATE("R4C",'Mapa final'!$R$23),"")</f>
        <v/>
      </c>
      <c r="S49" s="61" t="e">
        <f>IF(AND('Mapa final'!#REF!="Muy Baja",'Mapa final'!#REF!="Menor"),CONCATENATE("R4C",'Mapa final'!#REF!),"")</f>
        <v>#REF!</v>
      </c>
      <c r="T49" s="61" t="e">
        <f>IF(AND('Mapa final'!#REF!="Muy Baja",'Mapa final'!#REF!="Menor"),CONCATENATE("R4C",'Mapa final'!#REF!),"")</f>
        <v>#REF!</v>
      </c>
      <c r="U49" s="62" t="e">
        <f>IF(AND('Mapa final'!#REF!="Muy Baja",'Mapa final'!#REF!="Menor"),CONCATENATE("R4C",'Mapa final'!#REF!),"")</f>
        <v>#REF!</v>
      </c>
      <c r="V49" s="51" t="str">
        <f>IF(AND('Mapa final'!$AB$21="Muy Baja",'Mapa final'!$AD$21="Moderado"),CONCATENATE("R4C",'Mapa final'!$R$21),"")</f>
        <v/>
      </c>
      <c r="W49" s="52" t="str">
        <f>IF(AND('Mapa final'!$AB$22="Muy Baja",'Mapa final'!$AD$22="Moderado"),CONCATENATE("R4C",'Mapa final'!$R$22),"")</f>
        <v/>
      </c>
      <c r="X49" s="52" t="str">
        <f>IF(AND('Mapa final'!$AB$23="Muy Baja",'Mapa final'!$AD$23="Moderado"),CONCATENATE("R4C",'Mapa final'!$R$23),"")</f>
        <v/>
      </c>
      <c r="Y49" s="52" t="e">
        <f>IF(AND('Mapa final'!#REF!="Muy Baja",'Mapa final'!#REF!="Moderado"),CONCATENATE("R4C",'Mapa final'!#REF!),"")</f>
        <v>#REF!</v>
      </c>
      <c r="Z49" s="52" t="e">
        <f>IF(AND('Mapa final'!#REF!="Muy Baja",'Mapa final'!#REF!="Moderado"),CONCATENATE("R4C",'Mapa final'!#REF!),"")</f>
        <v>#REF!</v>
      </c>
      <c r="AA49" s="53" t="e">
        <f>IF(AND('Mapa final'!#REF!="Muy Baja",'Mapa final'!#REF!="Moderado"),CONCATENATE("R4C",'Mapa final'!#REF!),"")</f>
        <v>#REF!</v>
      </c>
      <c r="AB49" s="36" t="str">
        <f>IF(AND('Mapa final'!$AB$21="Muy Baja",'Mapa final'!$AD$21="Mayor"),CONCATENATE("R4C",'Mapa final'!$R$21),"")</f>
        <v/>
      </c>
      <c r="AC49" s="37" t="str">
        <f>IF(AND('Mapa final'!$AB$22="Muy Baja",'Mapa final'!$AD$22="Mayor"),CONCATENATE("R4C",'Mapa final'!$R$22),"")</f>
        <v/>
      </c>
      <c r="AD49" s="37" t="str">
        <f>IF(AND('Mapa final'!$AB$23="Muy Baja",'Mapa final'!$AD$23="Mayor"),CONCATENATE("R4C",'Mapa final'!$R$23),"")</f>
        <v/>
      </c>
      <c r="AE49" s="37" t="e">
        <f>IF(AND('Mapa final'!#REF!="Muy Baja",'Mapa final'!#REF!="Mayor"),CONCATENATE("R4C",'Mapa final'!#REF!),"")</f>
        <v>#REF!</v>
      </c>
      <c r="AF49" s="37" t="e">
        <f>IF(AND('Mapa final'!#REF!="Muy Baja",'Mapa final'!#REF!="Mayor"),CONCATENATE("R4C",'Mapa final'!#REF!),"")</f>
        <v>#REF!</v>
      </c>
      <c r="AG49" s="38" t="e">
        <f>IF(AND('Mapa final'!#REF!="Muy Baja",'Mapa final'!#REF!="Mayor"),CONCATENATE("R4C",'Mapa final'!#REF!),"")</f>
        <v>#REF!</v>
      </c>
      <c r="AH49" s="39" t="str">
        <f>IF(AND('Mapa final'!$AB$21="Muy Baja",'Mapa final'!$AD$21="Catastrófico"),CONCATENATE("R4C",'Mapa final'!$R$21),"")</f>
        <v/>
      </c>
      <c r="AI49" s="40" t="str">
        <f>IF(AND('Mapa final'!$AB$22="Muy Baja",'Mapa final'!$AD$22="Catastrófico"),CONCATENATE("R4C",'Mapa final'!$R$22),"")</f>
        <v/>
      </c>
      <c r="AJ49" s="40" t="str">
        <f>IF(AND('Mapa final'!$AB$23="Muy Baja",'Mapa final'!$AD$23="Catastrófico"),CONCATENATE("R4C",'Mapa final'!$R$23),"")</f>
        <v/>
      </c>
      <c r="AK49" s="40" t="e">
        <f>IF(AND('Mapa final'!#REF!="Muy Baja",'Mapa final'!#REF!="Catastrófico"),CONCATENATE("R4C",'Mapa final'!#REF!),"")</f>
        <v>#REF!</v>
      </c>
      <c r="AL49" s="40" t="e">
        <f>IF(AND('Mapa final'!#REF!="Muy Baja",'Mapa final'!#REF!="Catastrófico"),CONCATENATE("R4C",'Mapa final'!#REF!),"")</f>
        <v>#REF!</v>
      </c>
      <c r="AM49" s="41" t="e">
        <f>IF(AND('Mapa final'!#REF!="Muy Baja",'Mapa final'!#REF!="Catastrófico"),CONCATENATE("R4C",'Mapa final'!#REF!),"")</f>
        <v>#REF!</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553"/>
      <c r="C50" s="553"/>
      <c r="D50" s="554"/>
      <c r="E50" s="652"/>
      <c r="F50" s="651"/>
      <c r="G50" s="651"/>
      <c r="H50" s="651"/>
      <c r="I50" s="667"/>
      <c r="J50" s="60" t="str">
        <f>IF(AND('Mapa final'!$AB$24="Muy Baja",'Mapa final'!$AD$24="Leve"),CONCATENATE("R5C",'Mapa final'!$R$24),"")</f>
        <v/>
      </c>
      <c r="K50" s="61" t="str">
        <f>IF(AND('Mapa final'!$AB$25="Muy Baja",'Mapa final'!$AD$25="Leve"),CONCATENATE("R5C",'Mapa final'!$R$25),"")</f>
        <v/>
      </c>
      <c r="L50" s="61" t="str">
        <f>IF(AND('Mapa final'!$AB$26="Muy Baja",'Mapa final'!$AD$26="Leve"),CONCATENATE("R5C",'Mapa final'!$R$26),"")</f>
        <v/>
      </c>
      <c r="M50" s="61" t="str">
        <f>IF(AND('Mapa final'!$AB$27="Muy Baja",'Mapa final'!$AD$27="Leve"),CONCATENATE("R5C",'Mapa final'!$R$27),"")</f>
        <v/>
      </c>
      <c r="N50" s="61" t="str">
        <f>IF(AND('Mapa final'!$AB$28="Muy Baja",'Mapa final'!$AD$28="Leve"),CONCATENATE("R5C",'Mapa final'!$R$28),"")</f>
        <v/>
      </c>
      <c r="O50" s="62" t="str">
        <f>IF(AND('Mapa final'!$AB$29="Muy Baja",'Mapa final'!$AD$29="Leve"),CONCATENATE("R5C",'Mapa final'!$R$29),"")</f>
        <v/>
      </c>
      <c r="P50" s="60" t="str">
        <f>IF(AND('Mapa final'!$AB$24="Muy Baja",'Mapa final'!$AD$24="Menor"),CONCATENATE("R5C",'Mapa final'!$R$24),"")</f>
        <v/>
      </c>
      <c r="Q50" s="61" t="str">
        <f>IF(AND('Mapa final'!$AB$25="Muy Baja",'Mapa final'!$AD$25="Menor"),CONCATENATE("R5C",'Mapa final'!$R$25),"")</f>
        <v/>
      </c>
      <c r="R50" s="61" t="str">
        <f>IF(AND('Mapa final'!$AB$26="Muy Baja",'Mapa final'!$AD$26="Menor"),CONCATENATE("R5C",'Mapa final'!$R$26),"")</f>
        <v/>
      </c>
      <c r="S50" s="61" t="str">
        <f>IF(AND('Mapa final'!$AB$27="Muy Baja",'Mapa final'!$AD$27="Menor"),CONCATENATE("R5C",'Mapa final'!$R$27),"")</f>
        <v/>
      </c>
      <c r="T50" s="61" t="str">
        <f>IF(AND('Mapa final'!$AB$28="Muy Baja",'Mapa final'!$AD$28="Menor"),CONCATENATE("R5C",'Mapa final'!$R$28),"")</f>
        <v/>
      </c>
      <c r="U50" s="62" t="str">
        <f>IF(AND('Mapa final'!$AB$29="Muy Baja",'Mapa final'!$AD$29="Menor"),CONCATENATE("R5C",'Mapa final'!$R$29),"")</f>
        <v/>
      </c>
      <c r="V50" s="51" t="str">
        <f>IF(AND('Mapa final'!$AB$24="Muy Baja",'Mapa final'!$AD$24="Moderado"),CONCATENATE("R5C",'Mapa final'!$R$24),"")</f>
        <v/>
      </c>
      <c r="W50" s="52" t="str">
        <f>IF(AND('Mapa final'!$AB$25="Muy Baja",'Mapa final'!$AD$25="Moderado"),CONCATENATE("R5C",'Mapa final'!$R$25),"")</f>
        <v/>
      </c>
      <c r="X50" s="52" t="str">
        <f>IF(AND('Mapa final'!$AB$26="Muy Baja",'Mapa final'!$AD$26="Moderado"),CONCATENATE("R5C",'Mapa final'!$R$26),"")</f>
        <v/>
      </c>
      <c r="Y50" s="52" t="str">
        <f>IF(AND('Mapa final'!$AB$27="Muy Baja",'Mapa final'!$AD$27="Moderado"),CONCATENATE("R5C",'Mapa final'!$R$27),"")</f>
        <v/>
      </c>
      <c r="Z50" s="52" t="str">
        <f>IF(AND('Mapa final'!$AB$28="Muy Baja",'Mapa final'!$AD$28="Moderado"),CONCATENATE("R5C",'Mapa final'!$R$28),"")</f>
        <v/>
      </c>
      <c r="AA50" s="53" t="str">
        <f>IF(AND('Mapa final'!$AB$29="Muy Baja",'Mapa final'!$AD$29="Moderado"),CONCATENATE("R5C",'Mapa final'!$R$29),"")</f>
        <v/>
      </c>
      <c r="AB50" s="36" t="str">
        <f>IF(AND('Mapa final'!$AB$24="Muy Baja",'Mapa final'!$AD$24="Mayor"),CONCATENATE("R5C",'Mapa final'!$R$24),"")</f>
        <v/>
      </c>
      <c r="AC50" s="37" t="str">
        <f>IF(AND('Mapa final'!$AB$25="Muy Baja",'Mapa final'!$AD$25="Mayor"),CONCATENATE("R5C",'Mapa final'!$R$25),"")</f>
        <v/>
      </c>
      <c r="AD50" s="37" t="str">
        <f>IF(AND('Mapa final'!$AB$26="Muy Baja",'Mapa final'!$AD$26="Mayor"),CONCATENATE("R5C",'Mapa final'!$R$26),"")</f>
        <v/>
      </c>
      <c r="AE50" s="37" t="str">
        <f>IF(AND('Mapa final'!$AB$27="Muy Baja",'Mapa final'!$AD$27="Mayor"),CONCATENATE("R5C",'Mapa final'!$R$27),"")</f>
        <v/>
      </c>
      <c r="AF50" s="37" t="str">
        <f>IF(AND('Mapa final'!$AB$28="Muy Baja",'Mapa final'!$AD$28="Mayor"),CONCATENATE("R5C",'Mapa final'!$R$28),"")</f>
        <v/>
      </c>
      <c r="AG50" s="38" t="str">
        <f>IF(AND('Mapa final'!$AB$29="Muy Baja",'Mapa final'!$AD$29="Mayor"),CONCATENATE("R5C",'Mapa final'!$R$29),"")</f>
        <v/>
      </c>
      <c r="AH50" s="39" t="str">
        <f>IF(AND('Mapa final'!$AB$24="Muy Baja",'Mapa final'!$AD$24="Catastrófico"),CONCATENATE("R5C",'Mapa final'!$R$24),"")</f>
        <v/>
      </c>
      <c r="AI50" s="40" t="str">
        <f>IF(AND('Mapa final'!$AB$25="Muy Baja",'Mapa final'!$AD$25="Catastrófico"),CONCATENATE("R5C",'Mapa final'!$R$25),"")</f>
        <v/>
      </c>
      <c r="AJ50" s="40" t="str">
        <f>IF(AND('Mapa final'!$AB$26="Muy Baja",'Mapa final'!$AD$26="Catastrófico"),CONCATENATE("R5C",'Mapa final'!$R$26),"")</f>
        <v/>
      </c>
      <c r="AK50" s="40" t="str">
        <f>IF(AND('Mapa final'!$AB$27="Muy Baja",'Mapa final'!$AD$27="Catastrófico"),CONCATENATE("R5C",'Mapa final'!$R$27),"")</f>
        <v/>
      </c>
      <c r="AL50" s="40" t="str">
        <f>IF(AND('Mapa final'!$AB$28="Muy Baja",'Mapa final'!$AD$28="Catastrófico"),CONCATENATE("R5C",'Mapa final'!$R$28),"")</f>
        <v/>
      </c>
      <c r="AM50" s="41" t="str">
        <f>IF(AND('Mapa final'!$AB$29="Muy Baja",'Mapa final'!$AD$29="Catastrófico"),CONCATENATE("R5C",'Mapa final'!$R$29),"")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553"/>
      <c r="C51" s="553"/>
      <c r="D51" s="554"/>
      <c r="E51" s="652"/>
      <c r="F51" s="651"/>
      <c r="G51" s="651"/>
      <c r="H51" s="651"/>
      <c r="I51" s="667"/>
      <c r="J51" s="60" t="str">
        <f>IF(AND('Mapa final'!$AB$30="Muy Baja",'Mapa final'!$AD$30="Leve"),CONCATENATE("R6C",'Mapa final'!$R$30),"")</f>
        <v/>
      </c>
      <c r="K51" s="61" t="str">
        <f>IF(AND('Mapa final'!$AB$31="Muy Baja",'Mapa final'!$AD$31="Leve"),CONCATENATE("R6C",'Mapa final'!$R$31),"")</f>
        <v/>
      </c>
      <c r="L51" s="61" t="str">
        <f>IF(AND('Mapa final'!$AB$32="Muy Baja",'Mapa final'!$AD$32="Leve"),CONCATENATE("R6C",'Mapa final'!$R$32),"")</f>
        <v/>
      </c>
      <c r="M51" s="61" t="str">
        <f>IF(AND('Mapa final'!$AB$33="Muy Baja",'Mapa final'!$AD$33="Leve"),CONCATENATE("R6C",'Mapa final'!$R$33),"")</f>
        <v/>
      </c>
      <c r="N51" s="61" t="str">
        <f>IF(AND('Mapa final'!$AB$34="Muy Baja",'Mapa final'!$AD$34="Leve"),CONCATENATE("R6C",'Mapa final'!$R$34),"")</f>
        <v/>
      </c>
      <c r="O51" s="62" t="str">
        <f>IF(AND('Mapa final'!$AB$35="Muy Baja",'Mapa final'!$AD$35="Leve"),CONCATENATE("R6C",'Mapa final'!$R$35),"")</f>
        <v/>
      </c>
      <c r="P51" s="60" t="str">
        <f>IF(AND('Mapa final'!$AB$30="Muy Baja",'Mapa final'!$AD$30="Menor"),CONCATENATE("R6C",'Mapa final'!$R$30),"")</f>
        <v/>
      </c>
      <c r="Q51" s="61" t="str">
        <f>IF(AND('Mapa final'!$AB$31="Muy Baja",'Mapa final'!$AD$31="Menor"),CONCATENATE("R6C",'Mapa final'!$R$31),"")</f>
        <v/>
      </c>
      <c r="R51" s="61" t="str">
        <f>IF(AND('Mapa final'!$AB$32="Muy Baja",'Mapa final'!$AD$32="Menor"),CONCATENATE("R6C",'Mapa final'!$R$32),"")</f>
        <v/>
      </c>
      <c r="S51" s="61" t="str">
        <f>IF(AND('Mapa final'!$AB$33="Muy Baja",'Mapa final'!$AD$33="Menor"),CONCATENATE("R6C",'Mapa final'!$R$33),"")</f>
        <v/>
      </c>
      <c r="T51" s="61" t="str">
        <f>IF(AND('Mapa final'!$AB$34="Muy Baja",'Mapa final'!$AD$34="Menor"),CONCATENATE("R6C",'Mapa final'!$R$34),"")</f>
        <v/>
      </c>
      <c r="U51" s="62" t="str">
        <f>IF(AND('Mapa final'!$AB$35="Muy Baja",'Mapa final'!$AD$35="Menor"),CONCATENATE("R6C",'Mapa final'!$R$35),"")</f>
        <v/>
      </c>
      <c r="V51" s="51" t="str">
        <f>IF(AND('Mapa final'!$AB$30="Muy Baja",'Mapa final'!$AD$30="Moderado"),CONCATENATE("R6C",'Mapa final'!$R$30),"")</f>
        <v/>
      </c>
      <c r="W51" s="52" t="str">
        <f>IF(AND('Mapa final'!$AB$31="Muy Baja",'Mapa final'!$AD$31="Moderado"),CONCATENATE("R6C",'Mapa final'!$R$31),"")</f>
        <v/>
      </c>
      <c r="X51" s="52" t="str">
        <f>IF(AND('Mapa final'!$AB$32="Muy Baja",'Mapa final'!$AD$32="Moderado"),CONCATENATE("R6C",'Mapa final'!$R$32),"")</f>
        <v/>
      </c>
      <c r="Y51" s="52" t="str">
        <f>IF(AND('Mapa final'!$AB$33="Muy Baja",'Mapa final'!$AD$33="Moderado"),CONCATENATE("R6C",'Mapa final'!$R$33),"")</f>
        <v/>
      </c>
      <c r="Z51" s="52" t="str">
        <f>IF(AND('Mapa final'!$AB$34="Muy Baja",'Mapa final'!$AD$34="Moderado"),CONCATENATE("R6C",'Mapa final'!$R$34),"")</f>
        <v/>
      </c>
      <c r="AA51" s="53" t="str">
        <f>IF(AND('Mapa final'!$AB$35="Muy Baja",'Mapa final'!$AD$35="Moderado"),CONCATENATE("R6C",'Mapa final'!$R$35),"")</f>
        <v/>
      </c>
      <c r="AB51" s="36" t="str">
        <f>IF(AND('Mapa final'!$AB$30="Muy Baja",'Mapa final'!$AD$30="Mayor"),CONCATENATE("R6C",'Mapa final'!$R$30),"")</f>
        <v/>
      </c>
      <c r="AC51" s="37" t="str">
        <f>IF(AND('Mapa final'!$AB$31="Muy Baja",'Mapa final'!$AD$31="Mayor"),CONCATENATE("R6C",'Mapa final'!$R$31),"")</f>
        <v/>
      </c>
      <c r="AD51" s="37" t="str">
        <f>IF(AND('Mapa final'!$AB$32="Muy Baja",'Mapa final'!$AD$32="Mayor"),CONCATENATE("R6C",'Mapa final'!$R$32),"")</f>
        <v/>
      </c>
      <c r="AE51" s="37" t="str">
        <f>IF(AND('Mapa final'!$AB$33="Muy Baja",'Mapa final'!$AD$33="Mayor"),CONCATENATE("R6C",'Mapa final'!$R$33),"")</f>
        <v/>
      </c>
      <c r="AF51" s="37" t="str">
        <f>IF(AND('Mapa final'!$AB$34="Muy Baja",'Mapa final'!$AD$34="Mayor"),CONCATENATE("R6C",'Mapa final'!$R$34),"")</f>
        <v/>
      </c>
      <c r="AG51" s="38" t="str">
        <f>IF(AND('Mapa final'!$AB$35="Muy Baja",'Mapa final'!$AD$35="Mayor"),CONCATENATE("R6C",'Mapa final'!$R$35),"")</f>
        <v/>
      </c>
      <c r="AH51" s="39" t="str">
        <f>IF(AND('Mapa final'!$AB$30="Muy Baja",'Mapa final'!$AD$30="Catastrófico"),CONCATENATE("R6C",'Mapa final'!$R$30),"")</f>
        <v/>
      </c>
      <c r="AI51" s="40" t="str">
        <f>IF(AND('Mapa final'!$AB$31="Muy Baja",'Mapa final'!$AD$31="Catastrófico"),CONCATENATE("R6C",'Mapa final'!$R$31),"")</f>
        <v/>
      </c>
      <c r="AJ51" s="40" t="str">
        <f>IF(AND('Mapa final'!$AB$32="Muy Baja",'Mapa final'!$AD$32="Catastrófico"),CONCATENATE("R6C",'Mapa final'!$R$32),"")</f>
        <v/>
      </c>
      <c r="AK51" s="40" t="str">
        <f>IF(AND('Mapa final'!$AB$33="Muy Baja",'Mapa final'!$AD$33="Catastrófico"),CONCATENATE("R6C",'Mapa final'!$R$33),"")</f>
        <v/>
      </c>
      <c r="AL51" s="40" t="str">
        <f>IF(AND('Mapa final'!$AB$34="Muy Baja",'Mapa final'!$AD$34="Catastrófico"),CONCATENATE("R6C",'Mapa final'!$R$34),"")</f>
        <v/>
      </c>
      <c r="AM51" s="41" t="str">
        <f>IF(AND('Mapa final'!$AB$35="Muy Baja",'Mapa final'!$AD$35="Catastrófico"),CONCATENATE("R6C",'Mapa final'!$R$35),"")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553"/>
      <c r="C52" s="553"/>
      <c r="D52" s="554"/>
      <c r="E52" s="652"/>
      <c r="F52" s="651"/>
      <c r="G52" s="651"/>
      <c r="H52" s="651"/>
      <c r="I52" s="667"/>
      <c r="J52" s="60" t="str">
        <f>IF(AND('Mapa final'!$AB$36="Muy Baja",'Mapa final'!$AD$36="Leve"),CONCATENATE("R7C",'Mapa final'!$R$36),"")</f>
        <v/>
      </c>
      <c r="K52" s="61" t="str">
        <f>IF(AND('Mapa final'!$AB$37="Muy Baja",'Mapa final'!$AD$37="Leve"),CONCATENATE("R7C",'Mapa final'!$R$37),"")</f>
        <v/>
      </c>
      <c r="L52" s="61" t="str">
        <f>IF(AND('Mapa final'!$AB$38="Muy Baja",'Mapa final'!$AD$38="Leve"),CONCATENATE("R7C",'Mapa final'!$R$38),"")</f>
        <v/>
      </c>
      <c r="M52" s="61" t="str">
        <f>IF(AND('Mapa final'!$AB$39="Muy Baja",'Mapa final'!$AD$39="Leve"),CONCATENATE("R7C",'Mapa final'!$R$39),"")</f>
        <v/>
      </c>
      <c r="N52" s="61" t="str">
        <f>IF(AND('Mapa final'!$AB$40="Muy Baja",'Mapa final'!$AD$40="Leve"),CONCATENATE("R7C",'Mapa final'!$R$40),"")</f>
        <v/>
      </c>
      <c r="O52" s="62" t="str">
        <f>IF(AND('Mapa final'!$AB$41="Muy Baja",'Mapa final'!$AD$41="Leve"),CONCATENATE("R7C",'Mapa final'!$R$41),"")</f>
        <v/>
      </c>
      <c r="P52" s="60" t="str">
        <f>IF(AND('Mapa final'!$AB$36="Muy Baja",'Mapa final'!$AD$36="Menor"),CONCATENATE("R7C",'Mapa final'!$R$36),"")</f>
        <v/>
      </c>
      <c r="Q52" s="61" t="str">
        <f>IF(AND('Mapa final'!$AB$37="Muy Baja",'Mapa final'!$AD$37="Menor"),CONCATENATE("R7C",'Mapa final'!$R$37),"")</f>
        <v/>
      </c>
      <c r="R52" s="61" t="str">
        <f>IF(AND('Mapa final'!$AB$38="Muy Baja",'Mapa final'!$AD$38="Menor"),CONCATENATE("R7C",'Mapa final'!$R$38),"")</f>
        <v/>
      </c>
      <c r="S52" s="61" t="str">
        <f>IF(AND('Mapa final'!$AB$39="Muy Baja",'Mapa final'!$AD$39="Menor"),CONCATENATE("R7C",'Mapa final'!$R$39),"")</f>
        <v/>
      </c>
      <c r="T52" s="61" t="str">
        <f>IF(AND('Mapa final'!$AB$40="Muy Baja",'Mapa final'!$AD$40="Menor"),CONCATENATE("R7C",'Mapa final'!$R$40),"")</f>
        <v/>
      </c>
      <c r="U52" s="62" t="str">
        <f>IF(AND('Mapa final'!$AB$41="Muy Baja",'Mapa final'!$AD$41="Menor"),CONCATENATE("R7C",'Mapa final'!$R$41),"")</f>
        <v/>
      </c>
      <c r="V52" s="51" t="str">
        <f>IF(AND('Mapa final'!$AB$36="Muy Baja",'Mapa final'!$AD$36="Moderado"),CONCATENATE("R7C",'Mapa final'!$R$36),"")</f>
        <v/>
      </c>
      <c r="W52" s="52" t="str">
        <f>IF(AND('Mapa final'!$AB$37="Muy Baja",'Mapa final'!$AD$37="Moderado"),CONCATENATE("R7C",'Mapa final'!$R$37),"")</f>
        <v/>
      </c>
      <c r="X52" s="52" t="str">
        <f>IF(AND('Mapa final'!$AB$38="Muy Baja",'Mapa final'!$AD$38="Moderado"),CONCATENATE("R7C",'Mapa final'!$R$38),"")</f>
        <v/>
      </c>
      <c r="Y52" s="52" t="str">
        <f>IF(AND('Mapa final'!$AB$39="Muy Baja",'Mapa final'!$AD$39="Moderado"),CONCATENATE("R7C",'Mapa final'!$R$39),"")</f>
        <v/>
      </c>
      <c r="Z52" s="52" t="str">
        <f>IF(AND('Mapa final'!$AB$40="Muy Baja",'Mapa final'!$AD$40="Moderado"),CONCATENATE("R7C",'Mapa final'!$R$40),"")</f>
        <v/>
      </c>
      <c r="AA52" s="53" t="str">
        <f>IF(AND('Mapa final'!$AB$41="Muy Baja",'Mapa final'!$AD$41="Moderado"),CONCATENATE("R7C",'Mapa final'!$R$41),"")</f>
        <v/>
      </c>
      <c r="AB52" s="36" t="str">
        <f>IF(AND('Mapa final'!$AB$36="Muy Baja",'Mapa final'!$AD$36="Mayor"),CONCATENATE("R7C",'Mapa final'!$R$36),"")</f>
        <v/>
      </c>
      <c r="AC52" s="37" t="str">
        <f>IF(AND('Mapa final'!$AB$37="Muy Baja",'Mapa final'!$AD$37="Mayor"),CONCATENATE("R7C",'Mapa final'!$R$37),"")</f>
        <v/>
      </c>
      <c r="AD52" s="37" t="str">
        <f>IF(AND('Mapa final'!$AB$38="Muy Baja",'Mapa final'!$AD$38="Mayor"),CONCATENATE("R7C",'Mapa final'!$R$38),"")</f>
        <v/>
      </c>
      <c r="AE52" s="37" t="str">
        <f>IF(AND('Mapa final'!$AB$39="Muy Baja",'Mapa final'!$AD$39="Mayor"),CONCATENATE("R7C",'Mapa final'!$R$39),"")</f>
        <v/>
      </c>
      <c r="AF52" s="37" t="str">
        <f>IF(AND('Mapa final'!$AB$40="Muy Baja",'Mapa final'!$AD$40="Mayor"),CONCATENATE("R7C",'Mapa final'!$R$40),"")</f>
        <v/>
      </c>
      <c r="AG52" s="38" t="str">
        <f>IF(AND('Mapa final'!$AB$41="Muy Baja",'Mapa final'!$AD$41="Mayor"),CONCATENATE("R7C",'Mapa final'!$R$41),"")</f>
        <v/>
      </c>
      <c r="AH52" s="39" t="str">
        <f>IF(AND('Mapa final'!$AB$36="Muy Baja",'Mapa final'!$AD$36="Catastrófico"),CONCATENATE("R7C",'Mapa final'!$R$36),"")</f>
        <v/>
      </c>
      <c r="AI52" s="40" t="str">
        <f>IF(AND('Mapa final'!$AB$37="Muy Baja",'Mapa final'!$AD$37="Catastrófico"),CONCATENATE("R7C",'Mapa final'!$R$37),"")</f>
        <v/>
      </c>
      <c r="AJ52" s="40" t="str">
        <f>IF(AND('Mapa final'!$AB$38="Muy Baja",'Mapa final'!$AD$38="Catastrófico"),CONCATENATE("R7C",'Mapa final'!$R$38),"")</f>
        <v/>
      </c>
      <c r="AK52" s="40" t="str">
        <f>IF(AND('Mapa final'!$AB$39="Muy Baja",'Mapa final'!$AD$39="Catastrófico"),CONCATENATE("R7C",'Mapa final'!$R$39),"")</f>
        <v/>
      </c>
      <c r="AL52" s="40" t="str">
        <f>IF(AND('Mapa final'!$AB$40="Muy Baja",'Mapa final'!$AD$40="Catastrófico"),CONCATENATE("R7C",'Mapa final'!$R$40),"")</f>
        <v/>
      </c>
      <c r="AM52" s="41" t="str">
        <f>IF(AND('Mapa final'!$AB$41="Muy Baja",'Mapa final'!$AD$41="Catastrófico"),CONCATENATE("R7C",'Mapa final'!$R$41),"")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553"/>
      <c r="C53" s="553"/>
      <c r="D53" s="554"/>
      <c r="E53" s="652"/>
      <c r="F53" s="651"/>
      <c r="G53" s="651"/>
      <c r="H53" s="651"/>
      <c r="I53" s="667"/>
      <c r="J53" s="60" t="str">
        <f>IF(AND('Mapa final'!$AB$42="Muy Baja",'Mapa final'!$AD$42="Leve"),CONCATENATE("R8C",'Mapa final'!$R$42),"")</f>
        <v/>
      </c>
      <c r="K53" s="61" t="str">
        <f>IF(AND('Mapa final'!$AB$43="Muy Baja",'Mapa final'!$AD$43="Leve"),CONCATENATE("R8C",'Mapa final'!$R$43),"")</f>
        <v/>
      </c>
      <c r="L53" s="61" t="str">
        <f>IF(AND('Mapa final'!$AB$44="Muy Baja",'Mapa final'!$AD$44="Leve"),CONCATENATE("R8C",'Mapa final'!$R$44),"")</f>
        <v/>
      </c>
      <c r="M53" s="61" t="str">
        <f>IF(AND('Mapa final'!$AB$45="Muy Baja",'Mapa final'!$AD$45="Leve"),CONCATENATE("R8C",'Mapa final'!$R$45),"")</f>
        <v/>
      </c>
      <c r="N53" s="61" t="str">
        <f>IF(AND('Mapa final'!$AB$46="Muy Baja",'Mapa final'!$AD$46="Leve"),CONCATENATE("R8C",'Mapa final'!$R$46),"")</f>
        <v/>
      </c>
      <c r="O53" s="62" t="str">
        <f>IF(AND('Mapa final'!$AB$47="Muy Baja",'Mapa final'!$AD$47="Leve"),CONCATENATE("R8C",'Mapa final'!$R$47),"")</f>
        <v/>
      </c>
      <c r="P53" s="60" t="str">
        <f>IF(AND('Mapa final'!$AB$42="Muy Baja",'Mapa final'!$AD$42="Menor"),CONCATENATE("R8C",'Mapa final'!$R$42),"")</f>
        <v/>
      </c>
      <c r="Q53" s="61" t="str">
        <f>IF(AND('Mapa final'!$AB$43="Muy Baja",'Mapa final'!$AD$43="Menor"),CONCATENATE("R8C",'Mapa final'!$R$43),"")</f>
        <v/>
      </c>
      <c r="R53" s="61" t="str">
        <f>IF(AND('Mapa final'!$AB$44="Muy Baja",'Mapa final'!$AD$44="Menor"),CONCATENATE("R8C",'Mapa final'!$R$44),"")</f>
        <v/>
      </c>
      <c r="S53" s="61" t="str">
        <f>IF(AND('Mapa final'!$AB$45="Muy Baja",'Mapa final'!$AD$45="Menor"),CONCATENATE("R8C",'Mapa final'!$R$45),"")</f>
        <v/>
      </c>
      <c r="T53" s="61" t="str">
        <f>IF(AND('Mapa final'!$AB$46="Muy Baja",'Mapa final'!$AD$46="Menor"),CONCATENATE("R8C",'Mapa final'!$R$46),"")</f>
        <v/>
      </c>
      <c r="U53" s="62" t="str">
        <f>IF(AND('Mapa final'!$AB$47="Muy Baja",'Mapa final'!$AD$47="Menor"),CONCATENATE("R8C",'Mapa final'!$R$47),"")</f>
        <v/>
      </c>
      <c r="V53" s="51" t="str">
        <f>IF(AND('Mapa final'!$AB$42="Muy Baja",'Mapa final'!$AD$42="Moderado"),CONCATENATE("R8C",'Mapa final'!$R$42),"")</f>
        <v/>
      </c>
      <c r="W53" s="52" t="str">
        <f>IF(AND('Mapa final'!$AB$43="Muy Baja",'Mapa final'!$AD$43="Moderado"),CONCATENATE("R8C",'Mapa final'!$R$43),"")</f>
        <v/>
      </c>
      <c r="X53" s="52" t="str">
        <f>IF(AND('Mapa final'!$AB$44="Muy Baja",'Mapa final'!$AD$44="Moderado"),CONCATENATE("R8C",'Mapa final'!$R$44),"")</f>
        <v/>
      </c>
      <c r="Y53" s="52" t="str">
        <f>IF(AND('Mapa final'!$AB$45="Muy Baja",'Mapa final'!$AD$45="Moderado"),CONCATENATE("R8C",'Mapa final'!$R$45),"")</f>
        <v/>
      </c>
      <c r="Z53" s="52" t="str">
        <f>IF(AND('Mapa final'!$AB$46="Muy Baja",'Mapa final'!$AD$46="Moderado"),CONCATENATE("R8C",'Mapa final'!$R$46),"")</f>
        <v/>
      </c>
      <c r="AA53" s="53" t="str">
        <f>IF(AND('Mapa final'!$AB$47="Muy Baja",'Mapa final'!$AD$47="Moderado"),CONCATENATE("R8C",'Mapa final'!$R$47),"")</f>
        <v/>
      </c>
      <c r="AB53" s="36" t="str">
        <f>IF(AND('Mapa final'!$AB$42="Muy Baja",'Mapa final'!$AD$42="Mayor"),CONCATENATE("R8C",'Mapa final'!$R$42),"")</f>
        <v/>
      </c>
      <c r="AC53" s="37" t="str">
        <f>IF(AND('Mapa final'!$AB$43="Muy Baja",'Mapa final'!$AD$43="Mayor"),CONCATENATE("R8C",'Mapa final'!$R$43),"")</f>
        <v/>
      </c>
      <c r="AD53" s="37" t="str">
        <f>IF(AND('Mapa final'!$AB$44="Muy Baja",'Mapa final'!$AD$44="Mayor"),CONCATENATE("R8C",'Mapa final'!$R$44),"")</f>
        <v/>
      </c>
      <c r="AE53" s="37" t="str">
        <f>IF(AND('Mapa final'!$AB$45="Muy Baja",'Mapa final'!$AD$45="Mayor"),CONCATENATE("R8C",'Mapa final'!$R$45),"")</f>
        <v/>
      </c>
      <c r="AF53" s="37" t="str">
        <f>IF(AND('Mapa final'!$AB$46="Muy Baja",'Mapa final'!$AD$46="Mayor"),CONCATENATE("R8C",'Mapa final'!$R$46),"")</f>
        <v/>
      </c>
      <c r="AG53" s="38" t="str">
        <f>IF(AND('Mapa final'!$AB$47="Muy Baja",'Mapa final'!$AD$47="Mayor"),CONCATENATE("R8C",'Mapa final'!$R$47),"")</f>
        <v/>
      </c>
      <c r="AH53" s="39" t="str">
        <f>IF(AND('Mapa final'!$AB$42="Muy Baja",'Mapa final'!$AD$42="Catastrófico"),CONCATENATE("R8C",'Mapa final'!$R$42),"")</f>
        <v/>
      </c>
      <c r="AI53" s="40" t="str">
        <f>IF(AND('Mapa final'!$AB$43="Muy Baja",'Mapa final'!$AD$43="Catastrófico"),CONCATENATE("R8C",'Mapa final'!$R$43),"")</f>
        <v/>
      </c>
      <c r="AJ53" s="40" t="str">
        <f>IF(AND('Mapa final'!$AB$44="Muy Baja",'Mapa final'!$AD$44="Catastrófico"),CONCATENATE("R8C",'Mapa final'!$R$44),"")</f>
        <v/>
      </c>
      <c r="AK53" s="40" t="str">
        <f>IF(AND('Mapa final'!$AB$45="Muy Baja",'Mapa final'!$AD$45="Catastrófico"),CONCATENATE("R8C",'Mapa final'!$R$45),"")</f>
        <v/>
      </c>
      <c r="AL53" s="40" t="str">
        <f>IF(AND('Mapa final'!$AB$46="Muy Baja",'Mapa final'!$AD$46="Catastrófico"),CONCATENATE("R8C",'Mapa final'!$R$46),"")</f>
        <v/>
      </c>
      <c r="AM53" s="41" t="str">
        <f>IF(AND('Mapa final'!$AB$47="Muy Baja",'Mapa final'!$AD$47="Catastrófico"),CONCATENATE("R8C",'Mapa final'!$R$47),"")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553"/>
      <c r="C54" s="553"/>
      <c r="D54" s="554"/>
      <c r="E54" s="652"/>
      <c r="F54" s="651"/>
      <c r="G54" s="651"/>
      <c r="H54" s="651"/>
      <c r="I54" s="667"/>
      <c r="J54" s="60" t="str">
        <f>IF(AND('Mapa final'!$AB$48="Muy Baja",'Mapa final'!$AD$48="Leve"),CONCATENATE("R9C",'Mapa final'!$R$48),"")</f>
        <v/>
      </c>
      <c r="K54" s="61" t="str">
        <f>IF(AND('Mapa final'!$AB$49="Muy Baja",'Mapa final'!$AD$49="Leve"),CONCATENATE("R9C",'Mapa final'!$R$49),"")</f>
        <v/>
      </c>
      <c r="L54" s="61" t="str">
        <f>IF(AND('Mapa final'!$AB$50="Muy Baja",'Mapa final'!$AD$50="Leve"),CONCATENATE("R9C",'Mapa final'!$R$50),"")</f>
        <v/>
      </c>
      <c r="M54" s="61" t="str">
        <f>IF(AND('Mapa final'!$AB$51="Muy Baja",'Mapa final'!$AD$51="Leve"),CONCATENATE("R9C",'Mapa final'!$R$51),"")</f>
        <v/>
      </c>
      <c r="N54" s="61" t="str">
        <f>IF(AND('Mapa final'!$AB$52="Muy Baja",'Mapa final'!$AD$52="Leve"),CONCATENATE("R9C",'Mapa final'!$R$52),"")</f>
        <v/>
      </c>
      <c r="O54" s="62" t="str">
        <f>IF(AND('Mapa final'!$AB$53="Muy Baja",'Mapa final'!$AD$53="Leve"),CONCATENATE("R9C",'Mapa final'!$R$53),"")</f>
        <v/>
      </c>
      <c r="P54" s="60" t="str">
        <f>IF(AND('Mapa final'!$AB$48="Muy Baja",'Mapa final'!$AD$48="Menor"),CONCATENATE("R9C",'Mapa final'!$R$48),"")</f>
        <v/>
      </c>
      <c r="Q54" s="61" t="str">
        <f>IF(AND('Mapa final'!$AB$49="Muy Baja",'Mapa final'!$AD$49="Menor"),CONCATENATE("R9C",'Mapa final'!$R$49),"")</f>
        <v/>
      </c>
      <c r="R54" s="61" t="str">
        <f>IF(AND('Mapa final'!$AB$50="Muy Baja",'Mapa final'!$AD$50="Menor"),CONCATENATE("R9C",'Mapa final'!$R$50),"")</f>
        <v/>
      </c>
      <c r="S54" s="61" t="str">
        <f>IF(AND('Mapa final'!$AB$51="Muy Baja",'Mapa final'!$AD$51="Menor"),CONCATENATE("R9C",'Mapa final'!$R$51),"")</f>
        <v/>
      </c>
      <c r="T54" s="61" t="str">
        <f>IF(AND('Mapa final'!$AB$52="Muy Baja",'Mapa final'!$AD$52="Menor"),CONCATENATE("R9C",'Mapa final'!$R$52),"")</f>
        <v/>
      </c>
      <c r="U54" s="62" t="str">
        <f>IF(AND('Mapa final'!$AB$53="Muy Baja",'Mapa final'!$AD$53="Menor"),CONCATENATE("R9C",'Mapa final'!$R$53),"")</f>
        <v/>
      </c>
      <c r="V54" s="51" t="str">
        <f>IF(AND('Mapa final'!$AB$48="Muy Baja",'Mapa final'!$AD$48="Moderado"),CONCATENATE("R9C",'Mapa final'!$R$48),"")</f>
        <v/>
      </c>
      <c r="W54" s="52" t="str">
        <f>IF(AND('Mapa final'!$AB$49="Muy Baja",'Mapa final'!$AD$49="Moderado"),CONCATENATE("R9C",'Mapa final'!$R$49),"")</f>
        <v/>
      </c>
      <c r="X54" s="52" t="str">
        <f>IF(AND('Mapa final'!$AB$50="Muy Baja",'Mapa final'!$AD$50="Moderado"),CONCATENATE("R9C",'Mapa final'!$R$50),"")</f>
        <v/>
      </c>
      <c r="Y54" s="52" t="str">
        <f>IF(AND('Mapa final'!$AB$51="Muy Baja",'Mapa final'!$AD$51="Moderado"),CONCATENATE("R9C",'Mapa final'!$R$51),"")</f>
        <v/>
      </c>
      <c r="Z54" s="52" t="str">
        <f>IF(AND('Mapa final'!$AB$52="Muy Baja",'Mapa final'!$AD$52="Moderado"),CONCATENATE("R9C",'Mapa final'!$R$52),"")</f>
        <v/>
      </c>
      <c r="AA54" s="53" t="str">
        <f>IF(AND('Mapa final'!$AB$53="Muy Baja",'Mapa final'!$AD$53="Moderado"),CONCATENATE("R9C",'Mapa final'!$R$53),"")</f>
        <v/>
      </c>
      <c r="AB54" s="36" t="str">
        <f>IF(AND('Mapa final'!$AB$48="Muy Baja",'Mapa final'!$AD$48="Mayor"),CONCATENATE("R9C",'Mapa final'!$R$48),"")</f>
        <v/>
      </c>
      <c r="AC54" s="37" t="str">
        <f>IF(AND('Mapa final'!$AB$49="Muy Baja",'Mapa final'!$AD$49="Mayor"),CONCATENATE("R9C",'Mapa final'!$R$49),"")</f>
        <v/>
      </c>
      <c r="AD54" s="37" t="str">
        <f>IF(AND('Mapa final'!$AB$50="Muy Baja",'Mapa final'!$AD$50="Mayor"),CONCATENATE("R9C",'Mapa final'!$R$50),"")</f>
        <v/>
      </c>
      <c r="AE54" s="37" t="str">
        <f>IF(AND('Mapa final'!$AB$51="Muy Baja",'Mapa final'!$AD$51="Mayor"),CONCATENATE("R9C",'Mapa final'!$R$51),"")</f>
        <v/>
      </c>
      <c r="AF54" s="37" t="str">
        <f>IF(AND('Mapa final'!$AB$52="Muy Baja",'Mapa final'!$AD$52="Mayor"),CONCATENATE("R9C",'Mapa final'!$R$52),"")</f>
        <v/>
      </c>
      <c r="AG54" s="38" t="str">
        <f>IF(AND('Mapa final'!$AB$53="Muy Baja",'Mapa final'!$AD$53="Mayor"),CONCATENATE("R9C",'Mapa final'!$R$53),"")</f>
        <v/>
      </c>
      <c r="AH54" s="39" t="str">
        <f>IF(AND('Mapa final'!$AB$48="Muy Baja",'Mapa final'!$AD$48="Catastrófico"),CONCATENATE("R9C",'Mapa final'!$R$48),"")</f>
        <v/>
      </c>
      <c r="AI54" s="40" t="str">
        <f>IF(AND('Mapa final'!$AB$49="Muy Baja",'Mapa final'!$AD$49="Catastrófico"),CONCATENATE("R9C",'Mapa final'!$R$49),"")</f>
        <v/>
      </c>
      <c r="AJ54" s="40" t="str">
        <f>IF(AND('Mapa final'!$AB$50="Muy Baja",'Mapa final'!$AD$50="Catastrófico"),CONCATENATE("R9C",'Mapa final'!$R$50),"")</f>
        <v/>
      </c>
      <c r="AK54" s="40" t="str">
        <f>IF(AND('Mapa final'!$AB$51="Muy Baja",'Mapa final'!$AD$51="Catastrófico"),CONCATENATE("R9C",'Mapa final'!$R$51),"")</f>
        <v/>
      </c>
      <c r="AL54" s="40" t="str">
        <f>IF(AND('Mapa final'!$AB$52="Muy Baja",'Mapa final'!$AD$52="Catastrófico"),CONCATENATE("R9C",'Mapa final'!$R$52),"")</f>
        <v/>
      </c>
      <c r="AM54" s="41" t="str">
        <f>IF(AND('Mapa final'!$AB$53="Muy Baja",'Mapa final'!$AD$53="Catastrófico"),CONCATENATE("R9C",'Mapa final'!$R$53),"")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553"/>
      <c r="C55" s="553"/>
      <c r="D55" s="554"/>
      <c r="E55" s="653"/>
      <c r="F55" s="654"/>
      <c r="G55" s="654"/>
      <c r="H55" s="654"/>
      <c r="I55" s="668"/>
      <c r="J55" s="63" t="str">
        <f>IF(AND('Mapa final'!$AB$54="Muy Baja",'Mapa final'!$AD$54="Leve"),CONCATENATE("R10C",'Mapa final'!$R$54),"")</f>
        <v/>
      </c>
      <c r="K55" s="64" t="str">
        <f>IF(AND('Mapa final'!$AB$55="Muy Baja",'Mapa final'!$AD$55="Leve"),CONCATENATE("R10C",'Mapa final'!$R$55),"")</f>
        <v/>
      </c>
      <c r="L55" s="64" t="str">
        <f>IF(AND('Mapa final'!$AB$56="Muy Baja",'Mapa final'!$AD$56="Leve"),CONCATENATE("R10C",'Mapa final'!$R$56),"")</f>
        <v/>
      </c>
      <c r="M55" s="64" t="str">
        <f>IF(AND('Mapa final'!$AB$57="Muy Baja",'Mapa final'!$AD$57="Leve"),CONCATENATE("R10C",'Mapa final'!$R$57),"")</f>
        <v/>
      </c>
      <c r="N55" s="64" t="str">
        <f>IF(AND('Mapa final'!$AB$58="Muy Baja",'Mapa final'!$AD$58="Leve"),CONCATENATE("R10C",'Mapa final'!$R$58),"")</f>
        <v/>
      </c>
      <c r="O55" s="65" t="str">
        <f>IF(AND('Mapa final'!$AB$59="Muy Baja",'Mapa final'!$AD$59="Leve"),CONCATENATE("R10C",'Mapa final'!$R$59),"")</f>
        <v/>
      </c>
      <c r="P55" s="63" t="str">
        <f>IF(AND('Mapa final'!$AB$54="Muy Baja",'Mapa final'!$AD$54="Menor"),CONCATENATE("R10C",'Mapa final'!$R$54),"")</f>
        <v/>
      </c>
      <c r="Q55" s="64" t="str">
        <f>IF(AND('Mapa final'!$AB$55="Muy Baja",'Mapa final'!$AD$55="Menor"),CONCATENATE("R10C",'Mapa final'!$R$55),"")</f>
        <v/>
      </c>
      <c r="R55" s="64" t="str">
        <f>IF(AND('Mapa final'!$AB$56="Muy Baja",'Mapa final'!$AD$56="Menor"),CONCATENATE("R10C",'Mapa final'!$R$56),"")</f>
        <v/>
      </c>
      <c r="S55" s="64" t="str">
        <f>IF(AND('Mapa final'!$AB$57="Muy Baja",'Mapa final'!$AD$57="Menor"),CONCATENATE("R10C",'Mapa final'!$R$57),"")</f>
        <v/>
      </c>
      <c r="T55" s="64" t="str">
        <f>IF(AND('Mapa final'!$AB$58="Muy Baja",'Mapa final'!$AD$58="Menor"),CONCATENATE("R10C",'Mapa final'!$R$58),"")</f>
        <v/>
      </c>
      <c r="U55" s="65" t="str">
        <f>IF(AND('Mapa final'!$AB$59="Muy Baja",'Mapa final'!$AD$59="Menor"),CONCATENATE("R10C",'Mapa final'!$R$59),"")</f>
        <v/>
      </c>
      <c r="V55" s="54" t="str">
        <f>IF(AND('Mapa final'!$AB$54="Muy Baja",'Mapa final'!$AD$54="Moderado"),CONCATENATE("R10C",'Mapa final'!$R$54),"")</f>
        <v/>
      </c>
      <c r="W55" s="55" t="str">
        <f>IF(AND('Mapa final'!$AB$55="Muy Baja",'Mapa final'!$AD$55="Moderado"),CONCATENATE("R10C",'Mapa final'!$R$55),"")</f>
        <v/>
      </c>
      <c r="X55" s="55" t="str">
        <f>IF(AND('Mapa final'!$AB$56="Muy Baja",'Mapa final'!$AD$56="Moderado"),CONCATENATE("R10C",'Mapa final'!$R$56),"")</f>
        <v/>
      </c>
      <c r="Y55" s="55" t="str">
        <f>IF(AND('Mapa final'!$AB$57="Muy Baja",'Mapa final'!$AD$57="Moderado"),CONCATENATE("R10C",'Mapa final'!$R$57),"")</f>
        <v/>
      </c>
      <c r="Z55" s="55" t="str">
        <f>IF(AND('Mapa final'!$AB$58="Muy Baja",'Mapa final'!$AD$58="Moderado"),CONCATENATE("R10C",'Mapa final'!$R$58),"")</f>
        <v/>
      </c>
      <c r="AA55" s="56" t="str">
        <f>IF(AND('Mapa final'!$AB$59="Muy Baja",'Mapa final'!$AD$59="Moderado"),CONCATENATE("R10C",'Mapa final'!$R$59),"")</f>
        <v/>
      </c>
      <c r="AB55" s="42" t="str">
        <f>IF(AND('Mapa final'!$AB$54="Muy Baja",'Mapa final'!$AD$54="Mayor"),CONCATENATE("R10C",'Mapa final'!$R$54),"")</f>
        <v/>
      </c>
      <c r="AC55" s="43" t="str">
        <f>IF(AND('Mapa final'!$AB$55="Muy Baja",'Mapa final'!$AD$55="Mayor"),CONCATENATE("R10C",'Mapa final'!$R$55),"")</f>
        <v/>
      </c>
      <c r="AD55" s="43" t="str">
        <f>IF(AND('Mapa final'!$AB$56="Muy Baja",'Mapa final'!$AD$56="Mayor"),CONCATENATE("R10C",'Mapa final'!$R$56),"")</f>
        <v/>
      </c>
      <c r="AE55" s="43" t="str">
        <f>IF(AND('Mapa final'!$AB$57="Muy Baja",'Mapa final'!$AD$57="Mayor"),CONCATENATE("R10C",'Mapa final'!$R$57),"")</f>
        <v/>
      </c>
      <c r="AF55" s="43" t="str">
        <f>IF(AND('Mapa final'!$AB$58="Muy Baja",'Mapa final'!$AD$58="Mayor"),CONCATENATE("R10C",'Mapa final'!$R$58),"")</f>
        <v/>
      </c>
      <c r="AG55" s="44" t="str">
        <f>IF(AND('Mapa final'!$AB$59="Muy Baja",'Mapa final'!$AD$59="Mayor"),CONCATENATE("R10C",'Mapa final'!$R$59),"")</f>
        <v/>
      </c>
      <c r="AH55" s="45" t="str">
        <f>IF(AND('Mapa final'!$AB$54="Muy Baja",'Mapa final'!$AD$54="Catastrófico"),CONCATENATE("R10C",'Mapa final'!$R$54),"")</f>
        <v/>
      </c>
      <c r="AI55" s="46" t="str">
        <f>IF(AND('Mapa final'!$AB$55="Muy Baja",'Mapa final'!$AD$55="Catastrófico"),CONCATENATE("R10C",'Mapa final'!$R$55),"")</f>
        <v/>
      </c>
      <c r="AJ55" s="46" t="str">
        <f>IF(AND('Mapa final'!$AB$56="Muy Baja",'Mapa final'!$AD$56="Catastrófico"),CONCATENATE("R10C",'Mapa final'!$R$56),"")</f>
        <v/>
      </c>
      <c r="AK55" s="46" t="str">
        <f>IF(AND('Mapa final'!$AB$57="Muy Baja",'Mapa final'!$AD$57="Catastrófico"),CONCATENATE("R10C",'Mapa final'!$R$57),"")</f>
        <v/>
      </c>
      <c r="AL55" s="46" t="str">
        <f>IF(AND('Mapa final'!$AB$58="Muy Baja",'Mapa final'!$AD$58="Catastrófico"),CONCATENATE("R10C",'Mapa final'!$R$58),"")</f>
        <v/>
      </c>
      <c r="AM55" s="47" t="str">
        <f>IF(AND('Mapa final'!$AB$59="Muy Baja",'Mapa final'!$AD$59="Catastrófico"),CONCATENATE("R10C",'Mapa final'!$R$59),"")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48" t="s">
        <v>107</v>
      </c>
      <c r="K56" s="649"/>
      <c r="L56" s="649"/>
      <c r="M56" s="649"/>
      <c r="N56" s="649"/>
      <c r="O56" s="666"/>
      <c r="P56" s="648" t="s">
        <v>106</v>
      </c>
      <c r="Q56" s="649"/>
      <c r="R56" s="649"/>
      <c r="S56" s="649"/>
      <c r="T56" s="649"/>
      <c r="U56" s="666"/>
      <c r="V56" s="648" t="s">
        <v>105</v>
      </c>
      <c r="W56" s="649"/>
      <c r="X56" s="649"/>
      <c r="Y56" s="649"/>
      <c r="Z56" s="649"/>
      <c r="AA56" s="666"/>
      <c r="AB56" s="648" t="s">
        <v>104</v>
      </c>
      <c r="AC56" s="687"/>
      <c r="AD56" s="649"/>
      <c r="AE56" s="649"/>
      <c r="AF56" s="649"/>
      <c r="AG56" s="666"/>
      <c r="AH56" s="648" t="s">
        <v>103</v>
      </c>
      <c r="AI56" s="649"/>
      <c r="AJ56" s="649"/>
      <c r="AK56" s="649"/>
      <c r="AL56" s="649"/>
      <c r="AM56" s="666"/>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52"/>
      <c r="K57" s="651"/>
      <c r="L57" s="651"/>
      <c r="M57" s="651"/>
      <c r="N57" s="651"/>
      <c r="O57" s="667"/>
      <c r="P57" s="652"/>
      <c r="Q57" s="651"/>
      <c r="R57" s="651"/>
      <c r="S57" s="651"/>
      <c r="T57" s="651"/>
      <c r="U57" s="667"/>
      <c r="V57" s="652"/>
      <c r="W57" s="651"/>
      <c r="X57" s="651"/>
      <c r="Y57" s="651"/>
      <c r="Z57" s="651"/>
      <c r="AA57" s="667"/>
      <c r="AB57" s="652"/>
      <c r="AC57" s="651"/>
      <c r="AD57" s="651"/>
      <c r="AE57" s="651"/>
      <c r="AF57" s="651"/>
      <c r="AG57" s="667"/>
      <c r="AH57" s="652"/>
      <c r="AI57" s="651"/>
      <c r="AJ57" s="651"/>
      <c r="AK57" s="651"/>
      <c r="AL57" s="651"/>
      <c r="AM57" s="6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52"/>
      <c r="K58" s="651"/>
      <c r="L58" s="651"/>
      <c r="M58" s="651"/>
      <c r="N58" s="651"/>
      <c r="O58" s="667"/>
      <c r="P58" s="652"/>
      <c r="Q58" s="651"/>
      <c r="R58" s="651"/>
      <c r="S58" s="651"/>
      <c r="T58" s="651"/>
      <c r="U58" s="667"/>
      <c r="V58" s="652"/>
      <c r="W58" s="651"/>
      <c r="X58" s="651"/>
      <c r="Y58" s="651"/>
      <c r="Z58" s="651"/>
      <c r="AA58" s="667"/>
      <c r="AB58" s="652"/>
      <c r="AC58" s="651"/>
      <c r="AD58" s="651"/>
      <c r="AE58" s="651"/>
      <c r="AF58" s="651"/>
      <c r="AG58" s="667"/>
      <c r="AH58" s="652"/>
      <c r="AI58" s="651"/>
      <c r="AJ58" s="651"/>
      <c r="AK58" s="651"/>
      <c r="AL58" s="651"/>
      <c r="AM58" s="6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52"/>
      <c r="K59" s="651"/>
      <c r="L59" s="651"/>
      <c r="M59" s="651"/>
      <c r="N59" s="651"/>
      <c r="O59" s="667"/>
      <c r="P59" s="652"/>
      <c r="Q59" s="651"/>
      <c r="R59" s="651"/>
      <c r="S59" s="651"/>
      <c r="T59" s="651"/>
      <c r="U59" s="667"/>
      <c r="V59" s="652"/>
      <c r="W59" s="651"/>
      <c r="X59" s="651"/>
      <c r="Y59" s="651"/>
      <c r="Z59" s="651"/>
      <c r="AA59" s="667"/>
      <c r="AB59" s="652"/>
      <c r="AC59" s="651"/>
      <c r="AD59" s="651"/>
      <c r="AE59" s="651"/>
      <c r="AF59" s="651"/>
      <c r="AG59" s="667"/>
      <c r="AH59" s="652"/>
      <c r="AI59" s="651"/>
      <c r="AJ59" s="651"/>
      <c r="AK59" s="651"/>
      <c r="AL59" s="651"/>
      <c r="AM59" s="6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52"/>
      <c r="K60" s="651"/>
      <c r="L60" s="651"/>
      <c r="M60" s="651"/>
      <c r="N60" s="651"/>
      <c r="O60" s="667"/>
      <c r="P60" s="652"/>
      <c r="Q60" s="651"/>
      <c r="R60" s="651"/>
      <c r="S60" s="651"/>
      <c r="T60" s="651"/>
      <c r="U60" s="667"/>
      <c r="V60" s="652"/>
      <c r="W60" s="651"/>
      <c r="X60" s="651"/>
      <c r="Y60" s="651"/>
      <c r="Z60" s="651"/>
      <c r="AA60" s="667"/>
      <c r="AB60" s="652"/>
      <c r="AC60" s="651"/>
      <c r="AD60" s="651"/>
      <c r="AE60" s="651"/>
      <c r="AF60" s="651"/>
      <c r="AG60" s="667"/>
      <c r="AH60" s="652"/>
      <c r="AI60" s="651"/>
      <c r="AJ60" s="651"/>
      <c r="AK60" s="651"/>
      <c r="AL60" s="651"/>
      <c r="AM60" s="6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653"/>
      <c r="K61" s="654"/>
      <c r="L61" s="654"/>
      <c r="M61" s="654"/>
      <c r="N61" s="654"/>
      <c r="O61" s="668"/>
      <c r="P61" s="653"/>
      <c r="Q61" s="654"/>
      <c r="R61" s="654"/>
      <c r="S61" s="654"/>
      <c r="T61" s="654"/>
      <c r="U61" s="668"/>
      <c r="V61" s="653"/>
      <c r="W61" s="654"/>
      <c r="X61" s="654"/>
      <c r="Y61" s="654"/>
      <c r="Z61" s="654"/>
      <c r="AA61" s="668"/>
      <c r="AB61" s="653"/>
      <c r="AC61" s="654"/>
      <c r="AD61" s="654"/>
      <c r="AE61" s="654"/>
      <c r="AF61" s="654"/>
      <c r="AG61" s="668"/>
      <c r="AH61" s="653"/>
      <c r="AI61" s="654"/>
      <c r="AJ61" s="654"/>
      <c r="AK61" s="654"/>
      <c r="AL61" s="654"/>
      <c r="AM61" s="668"/>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t="s">
        <v>282</v>
      </c>
      <c r="B1" s="688" t="s">
        <v>55</v>
      </c>
      <c r="C1" s="688"/>
      <c r="D1" s="688"/>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89" t="s">
        <v>62</v>
      </c>
      <c r="C1" s="689"/>
      <c r="D1" s="689"/>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6" t="s">
        <v>56</v>
      </c>
      <c r="D3" s="126" t="s">
        <v>57</v>
      </c>
      <c r="E3" s="89"/>
      <c r="F3" s="89"/>
      <c r="G3" s="89"/>
      <c r="H3" s="89"/>
      <c r="I3" s="89"/>
      <c r="J3" s="89"/>
      <c r="K3" s="89"/>
      <c r="L3" s="89"/>
      <c r="M3" s="89"/>
      <c r="N3" s="89"/>
      <c r="O3" s="89"/>
      <c r="P3" s="89"/>
      <c r="Q3" s="89"/>
      <c r="R3" s="89"/>
      <c r="S3" s="89"/>
      <c r="T3" s="89"/>
      <c r="U3" s="89"/>
    </row>
    <row r="4" spans="1:21" ht="32.4" x14ac:dyDescent="0.3">
      <c r="A4" s="89" t="s">
        <v>82</v>
      </c>
      <c r="B4" s="127" t="s">
        <v>96</v>
      </c>
      <c r="C4" s="128" t="s">
        <v>205</v>
      </c>
      <c r="D4" s="129" t="s">
        <v>92</v>
      </c>
      <c r="E4" s="89"/>
      <c r="F4" s="89"/>
      <c r="G4" s="89"/>
      <c r="H4" s="89"/>
      <c r="I4" s="89"/>
      <c r="J4" s="89"/>
      <c r="K4" s="89"/>
      <c r="L4" s="89"/>
      <c r="M4" s="89"/>
      <c r="N4" s="89"/>
      <c r="O4" s="89"/>
      <c r="P4" s="89"/>
      <c r="Q4" s="89"/>
      <c r="R4" s="89"/>
      <c r="S4" s="89"/>
      <c r="T4" s="89"/>
      <c r="U4" s="89"/>
    </row>
    <row r="5" spans="1:21" ht="64.8" x14ac:dyDescent="0.3">
      <c r="A5" s="89" t="s">
        <v>83</v>
      </c>
      <c r="B5" s="130" t="s">
        <v>58</v>
      </c>
      <c r="C5" s="131" t="s">
        <v>206</v>
      </c>
      <c r="D5" s="132" t="s">
        <v>93</v>
      </c>
      <c r="E5" s="89"/>
      <c r="F5" s="89"/>
      <c r="G5" s="89"/>
      <c r="H5" s="89"/>
      <c r="I5" s="89"/>
      <c r="J5" s="89"/>
      <c r="K5" s="89"/>
      <c r="L5" s="89"/>
      <c r="M5" s="89"/>
      <c r="N5" s="89"/>
      <c r="O5" s="89"/>
      <c r="P5" s="89"/>
      <c r="Q5" s="89"/>
      <c r="R5" s="89"/>
      <c r="S5" s="89"/>
      <c r="T5" s="89"/>
      <c r="U5" s="89"/>
    </row>
    <row r="6" spans="1:21" ht="64.8" x14ac:dyDescent="0.3">
      <c r="A6" s="89" t="s">
        <v>80</v>
      </c>
      <c r="B6" s="133" t="s">
        <v>59</v>
      </c>
      <c r="C6" s="131" t="s">
        <v>210</v>
      </c>
      <c r="D6" s="132" t="s">
        <v>95</v>
      </c>
      <c r="E6" s="89"/>
      <c r="F6" s="89"/>
      <c r="G6" s="89"/>
      <c r="H6" s="89"/>
      <c r="I6" s="89"/>
      <c r="J6" s="89"/>
      <c r="K6" s="89"/>
      <c r="L6" s="89"/>
      <c r="M6" s="89"/>
      <c r="N6" s="89"/>
      <c r="O6" s="89"/>
      <c r="P6" s="89"/>
      <c r="Q6" s="89"/>
      <c r="R6" s="89"/>
      <c r="S6" s="89"/>
      <c r="T6" s="89"/>
      <c r="U6" s="89"/>
    </row>
    <row r="7" spans="1:21" ht="97.2" x14ac:dyDescent="0.3">
      <c r="A7" s="89" t="s">
        <v>7</v>
      </c>
      <c r="B7" s="134" t="s">
        <v>60</v>
      </c>
      <c r="C7" s="131" t="s">
        <v>211</v>
      </c>
      <c r="D7" s="132" t="s">
        <v>94</v>
      </c>
      <c r="E7" s="89"/>
      <c r="F7" s="89"/>
      <c r="G7" s="89"/>
      <c r="H7" s="89"/>
      <c r="I7" s="89"/>
      <c r="J7" s="89"/>
      <c r="K7" s="89"/>
      <c r="L7" s="89"/>
      <c r="M7" s="89"/>
      <c r="N7" s="89"/>
      <c r="O7" s="89"/>
      <c r="P7" s="89"/>
      <c r="Q7" s="89"/>
      <c r="R7" s="89"/>
      <c r="S7" s="89"/>
      <c r="T7" s="89"/>
      <c r="U7" s="89"/>
    </row>
    <row r="8" spans="1:21" ht="64.8" x14ac:dyDescent="0.3">
      <c r="A8" s="89" t="s">
        <v>84</v>
      </c>
      <c r="B8" s="135" t="s">
        <v>61</v>
      </c>
      <c r="C8" s="131" t="s">
        <v>207</v>
      </c>
      <c r="D8" s="132"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39"/>
      <c r="D9" s="139"/>
      <c r="E9" s="87"/>
      <c r="F9" s="87"/>
      <c r="G9" s="87"/>
      <c r="H9" s="87"/>
      <c r="I9" s="87"/>
      <c r="J9" s="87"/>
      <c r="K9" s="87"/>
      <c r="L9" s="87"/>
      <c r="M9" s="87"/>
      <c r="N9" s="87"/>
      <c r="O9" s="87"/>
      <c r="P9" s="87"/>
      <c r="Q9" s="87"/>
      <c r="R9" s="87"/>
      <c r="S9" s="87"/>
      <c r="T9" s="87"/>
      <c r="U9" s="87"/>
    </row>
    <row r="10" spans="1:21" s="23" customFormat="1" x14ac:dyDescent="0.3">
      <c r="A10" s="87"/>
      <c r="B10" s="140"/>
      <c r="C10" s="140"/>
      <c r="D10" s="140"/>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39"/>
      <c r="D22" s="139"/>
      <c r="E22" s="87"/>
      <c r="F22" s="87"/>
      <c r="G22" s="87"/>
      <c r="H22" s="87"/>
      <c r="I22" s="87"/>
      <c r="J22" s="87"/>
      <c r="K22" s="87"/>
      <c r="L22" s="87"/>
      <c r="M22" s="87"/>
      <c r="N22" s="87"/>
      <c r="O22" s="87"/>
    </row>
    <row r="23" spans="1:15" s="23" customFormat="1" ht="20.399999999999999" x14ac:dyDescent="0.3">
      <c r="A23" s="87"/>
      <c r="B23" s="87"/>
      <c r="C23" s="139"/>
      <c r="D23" s="139"/>
      <c r="E23" s="87"/>
      <c r="F23" s="87"/>
      <c r="G23" s="87"/>
      <c r="H23" s="87"/>
      <c r="I23" s="87"/>
      <c r="J23" s="87"/>
      <c r="K23" s="87"/>
      <c r="L23" s="87"/>
      <c r="M23" s="87"/>
      <c r="N23" s="87"/>
      <c r="O23" s="87"/>
    </row>
    <row r="24" spans="1:15" s="23" customFormat="1" ht="20.399999999999999" x14ac:dyDescent="0.3">
      <c r="A24" s="87"/>
      <c r="B24" s="87"/>
      <c r="C24" s="139"/>
      <c r="D24" s="139"/>
      <c r="E24" s="87"/>
      <c r="F24" s="87"/>
      <c r="G24" s="87"/>
      <c r="H24" s="87"/>
      <c r="I24" s="87"/>
      <c r="J24" s="87"/>
      <c r="K24" s="87"/>
      <c r="L24" s="87"/>
      <c r="M24" s="87"/>
      <c r="N24" s="87"/>
      <c r="O24" s="87"/>
    </row>
    <row r="25" spans="1:15" s="23" customFormat="1" ht="20.399999999999999" x14ac:dyDescent="0.3">
      <c r="A25" s="87"/>
      <c r="B25" s="87"/>
      <c r="C25" s="139"/>
      <c r="D25" s="139"/>
      <c r="E25" s="87"/>
      <c r="F25" s="87"/>
      <c r="G25" s="87"/>
      <c r="H25" s="87"/>
      <c r="I25" s="87"/>
      <c r="J25" s="87"/>
      <c r="K25" s="87"/>
      <c r="L25" s="87"/>
      <c r="M25" s="87"/>
      <c r="N25" s="87"/>
      <c r="O25" s="87"/>
    </row>
    <row r="26" spans="1:15" s="23" customFormat="1" ht="20.399999999999999" x14ac:dyDescent="0.3">
      <c r="A26" s="87"/>
      <c r="B26" s="87"/>
      <c r="C26" s="139"/>
      <c r="D26" s="139"/>
      <c r="E26" s="87"/>
      <c r="F26" s="87"/>
      <c r="G26" s="87"/>
      <c r="H26" s="87"/>
      <c r="I26" s="87"/>
      <c r="J26" s="87"/>
      <c r="K26" s="87"/>
      <c r="L26" s="87"/>
      <c r="M26" s="87"/>
      <c r="N26" s="87"/>
      <c r="O26" s="87"/>
    </row>
    <row r="27" spans="1:15" s="23" customFormat="1" ht="20.399999999999999" x14ac:dyDescent="0.3">
      <c r="A27" s="87"/>
      <c r="B27" s="87"/>
      <c r="C27" s="139"/>
      <c r="D27" s="139"/>
      <c r="E27" s="87"/>
      <c r="F27" s="87"/>
      <c r="G27" s="87"/>
      <c r="H27" s="87"/>
      <c r="I27" s="87"/>
      <c r="J27" s="87"/>
      <c r="K27" s="87"/>
      <c r="L27" s="87"/>
      <c r="M27" s="87"/>
      <c r="N27" s="87"/>
      <c r="O27" s="87"/>
    </row>
    <row r="28" spans="1:15" s="23" customFormat="1" ht="20.399999999999999" x14ac:dyDescent="0.3">
      <c r="A28" s="87"/>
      <c r="B28" s="87"/>
      <c r="C28" s="139"/>
      <c r="D28" s="139"/>
      <c r="E28" s="87"/>
      <c r="F28" s="87"/>
      <c r="G28" s="87"/>
      <c r="H28" s="87"/>
      <c r="I28" s="87"/>
      <c r="J28" s="87"/>
      <c r="K28" s="87"/>
      <c r="L28" s="87"/>
      <c r="M28" s="87"/>
      <c r="N28" s="87"/>
      <c r="O28" s="87"/>
    </row>
    <row r="29" spans="1:15" s="23" customFormat="1" ht="20.399999999999999" x14ac:dyDescent="0.3">
      <c r="A29" s="87"/>
      <c r="B29" s="87"/>
      <c r="C29" s="139"/>
      <c r="D29" s="139"/>
      <c r="E29" s="87"/>
      <c r="F29" s="87"/>
      <c r="G29" s="87"/>
      <c r="H29" s="87"/>
      <c r="I29" s="87"/>
      <c r="J29" s="87"/>
      <c r="K29" s="87"/>
      <c r="L29" s="87"/>
      <c r="M29" s="87"/>
      <c r="N29" s="87"/>
      <c r="O29" s="87"/>
    </row>
    <row r="30" spans="1:15" s="23" customFormat="1" ht="20.399999999999999" x14ac:dyDescent="0.3">
      <c r="A30" s="87"/>
      <c r="B30" s="87"/>
      <c r="C30" s="139"/>
      <c r="D30" s="139"/>
      <c r="E30" s="87"/>
      <c r="F30" s="87"/>
      <c r="G30" s="87"/>
      <c r="H30" s="87"/>
      <c r="I30" s="87"/>
      <c r="J30" s="87"/>
      <c r="K30" s="87"/>
      <c r="L30" s="87"/>
      <c r="M30" s="87"/>
      <c r="N30" s="87"/>
      <c r="O30" s="87"/>
    </row>
    <row r="31" spans="1:15" s="23" customFormat="1" ht="20.399999999999999" x14ac:dyDescent="0.3">
      <c r="A31" s="87"/>
      <c r="B31" s="87"/>
      <c r="C31" s="139"/>
      <c r="D31" s="139"/>
      <c r="E31" s="87"/>
      <c r="F31" s="87"/>
      <c r="G31" s="87"/>
      <c r="H31" s="87"/>
      <c r="I31" s="87"/>
      <c r="J31" s="87"/>
      <c r="K31" s="87"/>
      <c r="L31" s="87"/>
      <c r="M31" s="87"/>
      <c r="N31" s="87"/>
      <c r="O31" s="87"/>
    </row>
    <row r="32" spans="1:15" s="23" customFormat="1" ht="20.399999999999999" x14ac:dyDescent="0.3">
      <c r="A32" s="87"/>
      <c r="B32" s="87"/>
      <c r="C32" s="139"/>
      <c r="D32" s="139"/>
      <c r="E32" s="87"/>
      <c r="F32" s="87"/>
      <c r="G32" s="87"/>
      <c r="H32" s="87"/>
      <c r="I32" s="87"/>
      <c r="J32" s="87"/>
      <c r="K32" s="87"/>
      <c r="L32" s="87"/>
      <c r="M32" s="87"/>
      <c r="N32" s="87"/>
      <c r="O32" s="87"/>
    </row>
    <row r="33" spans="1:15" s="23" customFormat="1" ht="20.399999999999999" x14ac:dyDescent="0.3">
      <c r="A33" s="87"/>
      <c r="B33" s="87"/>
      <c r="C33" s="139"/>
      <c r="D33" s="139"/>
      <c r="E33" s="87"/>
      <c r="F33" s="87"/>
      <c r="G33" s="87"/>
      <c r="H33" s="87"/>
      <c r="I33" s="87"/>
      <c r="J33" s="87"/>
      <c r="K33" s="87"/>
      <c r="L33" s="87"/>
      <c r="M33" s="87"/>
      <c r="N33" s="87"/>
      <c r="O33" s="87"/>
    </row>
    <row r="34" spans="1:15" s="23" customFormat="1" ht="20.399999999999999" x14ac:dyDescent="0.3">
      <c r="A34" s="87"/>
      <c r="B34" s="87"/>
      <c r="C34" s="139"/>
      <c r="D34" s="139"/>
      <c r="E34" s="87"/>
      <c r="F34" s="87"/>
      <c r="G34" s="87"/>
      <c r="H34" s="87"/>
      <c r="I34" s="87"/>
      <c r="J34" s="87"/>
      <c r="K34" s="87"/>
      <c r="L34" s="87"/>
      <c r="M34" s="87"/>
      <c r="N34" s="87"/>
      <c r="O34" s="87"/>
    </row>
    <row r="35" spans="1:15" s="23" customFormat="1" ht="20.399999999999999" x14ac:dyDescent="0.3">
      <c r="A35" s="87"/>
      <c r="B35" s="87"/>
      <c r="C35" s="139"/>
      <c r="D35" s="139"/>
      <c r="E35" s="87"/>
      <c r="F35" s="87"/>
      <c r="G35" s="87"/>
      <c r="H35" s="87"/>
      <c r="I35" s="87"/>
      <c r="J35" s="87"/>
      <c r="K35" s="87"/>
      <c r="L35" s="87"/>
      <c r="M35" s="87"/>
      <c r="N35" s="87"/>
      <c r="O35" s="87"/>
    </row>
    <row r="36" spans="1:15" s="23" customFormat="1" ht="20.399999999999999" x14ac:dyDescent="0.3">
      <c r="A36" s="87"/>
      <c r="B36" s="87"/>
      <c r="C36" s="139"/>
      <c r="D36" s="139"/>
      <c r="E36" s="87"/>
      <c r="F36" s="87"/>
      <c r="G36" s="87"/>
      <c r="H36" s="87"/>
      <c r="I36" s="87"/>
      <c r="J36" s="87"/>
      <c r="K36" s="87"/>
      <c r="L36" s="87"/>
      <c r="M36" s="87"/>
      <c r="N36" s="87"/>
      <c r="O36" s="87"/>
    </row>
    <row r="37" spans="1:15" s="23" customFormat="1" ht="20.399999999999999" x14ac:dyDescent="0.3">
      <c r="A37" s="87"/>
      <c r="B37" s="87"/>
      <c r="C37" s="139"/>
      <c r="D37" s="139"/>
      <c r="E37" s="87"/>
      <c r="F37" s="87"/>
      <c r="G37" s="87"/>
      <c r="H37" s="87"/>
      <c r="I37" s="87"/>
      <c r="J37" s="87"/>
      <c r="K37" s="87"/>
      <c r="L37" s="87"/>
      <c r="M37" s="87"/>
      <c r="N37" s="87"/>
      <c r="O37" s="87"/>
    </row>
    <row r="38" spans="1:15" s="23" customFormat="1" ht="20.399999999999999" x14ac:dyDescent="0.3">
      <c r="A38" s="87"/>
      <c r="B38" s="87"/>
      <c r="C38" s="139"/>
      <c r="D38" s="139"/>
      <c r="E38" s="87"/>
      <c r="F38" s="87"/>
      <c r="G38" s="87"/>
      <c r="H38" s="87"/>
      <c r="I38" s="87"/>
      <c r="J38" s="87"/>
      <c r="K38" s="87"/>
      <c r="L38" s="87"/>
      <c r="M38" s="87"/>
      <c r="N38" s="87"/>
      <c r="O38" s="87"/>
    </row>
    <row r="39" spans="1:15" s="23" customFormat="1" ht="20.399999999999999" x14ac:dyDescent="0.3">
      <c r="A39" s="87"/>
      <c r="B39" s="87"/>
      <c r="C39" s="139"/>
      <c r="D39" s="139"/>
      <c r="E39" s="87"/>
      <c r="F39" s="87"/>
      <c r="G39" s="87"/>
      <c r="H39" s="87"/>
      <c r="I39" s="87"/>
      <c r="J39" s="87"/>
      <c r="K39" s="87"/>
      <c r="L39" s="87"/>
      <c r="M39" s="87"/>
      <c r="N39" s="87"/>
      <c r="O39" s="87"/>
    </row>
    <row r="40" spans="1:15" s="23" customFormat="1" ht="20.399999999999999" x14ac:dyDescent="0.3">
      <c r="A40" s="87"/>
      <c r="B40" s="87"/>
      <c r="C40" s="139"/>
      <c r="D40" s="139"/>
      <c r="E40" s="87"/>
      <c r="F40" s="87"/>
      <c r="G40" s="87"/>
      <c r="H40" s="87"/>
      <c r="I40" s="87"/>
      <c r="J40" s="87"/>
      <c r="K40" s="87"/>
      <c r="L40" s="87"/>
      <c r="M40" s="87"/>
      <c r="N40" s="87"/>
      <c r="O40" s="87"/>
    </row>
    <row r="41" spans="1:15" s="23" customFormat="1" ht="20.399999999999999" x14ac:dyDescent="0.3">
      <c r="A41" s="87"/>
      <c r="B41" s="87"/>
      <c r="C41" s="139"/>
      <c r="D41" s="139"/>
      <c r="E41" s="87"/>
      <c r="F41" s="87"/>
      <c r="G41" s="87"/>
      <c r="H41" s="87"/>
      <c r="I41" s="87"/>
      <c r="J41" s="87"/>
      <c r="K41" s="87"/>
      <c r="L41" s="87"/>
      <c r="M41" s="87"/>
      <c r="N41" s="87"/>
      <c r="O41" s="87"/>
    </row>
    <row r="42" spans="1:15" s="23" customFormat="1" ht="20.399999999999999" x14ac:dyDescent="0.3">
      <c r="A42" s="87"/>
      <c r="B42" s="87"/>
      <c r="C42" s="139"/>
      <c r="D42" s="139"/>
      <c r="E42" s="87"/>
      <c r="F42" s="87"/>
      <c r="G42" s="87"/>
      <c r="H42" s="87"/>
      <c r="I42" s="87"/>
      <c r="J42" s="87"/>
      <c r="K42" s="87"/>
      <c r="L42" s="87"/>
      <c r="M42" s="87"/>
      <c r="N42" s="87"/>
      <c r="O42" s="87"/>
    </row>
    <row r="43" spans="1:15" s="23" customFormat="1" ht="20.399999999999999" x14ac:dyDescent="0.3">
      <c r="A43" s="87"/>
      <c r="B43" s="87"/>
      <c r="C43" s="139"/>
      <c r="D43" s="139"/>
      <c r="E43" s="87"/>
      <c r="F43" s="87"/>
      <c r="G43" s="87"/>
      <c r="H43" s="87"/>
      <c r="I43" s="87"/>
      <c r="J43" s="87"/>
      <c r="K43" s="87"/>
      <c r="L43" s="87"/>
      <c r="M43" s="87"/>
      <c r="N43" s="87"/>
      <c r="O43" s="87"/>
    </row>
    <row r="44" spans="1:15" s="23" customFormat="1" ht="20.399999999999999" x14ac:dyDescent="0.3">
      <c r="A44" s="87"/>
      <c r="B44" s="87"/>
      <c r="C44" s="139"/>
      <c r="D44" s="139"/>
      <c r="E44" s="87"/>
      <c r="F44" s="87"/>
      <c r="G44" s="87"/>
      <c r="H44" s="87"/>
      <c r="I44" s="87"/>
      <c r="J44" s="87"/>
      <c r="K44" s="87"/>
      <c r="L44" s="87"/>
      <c r="M44" s="87"/>
      <c r="N44" s="87"/>
      <c r="O44" s="87"/>
    </row>
    <row r="45" spans="1:15" s="23" customFormat="1" ht="20.399999999999999" x14ac:dyDescent="0.3">
      <c r="A45" s="87"/>
      <c r="B45" s="87"/>
      <c r="C45" s="139"/>
      <c r="D45" s="139"/>
      <c r="E45" s="87"/>
      <c r="F45" s="87"/>
      <c r="G45" s="87"/>
      <c r="H45" s="87"/>
      <c r="I45" s="87"/>
      <c r="J45" s="87"/>
      <c r="K45" s="87"/>
      <c r="L45" s="87"/>
      <c r="M45" s="87"/>
      <c r="N45" s="87"/>
      <c r="O45" s="87"/>
    </row>
    <row r="46" spans="1:15" s="23" customFormat="1" ht="20.399999999999999" x14ac:dyDescent="0.3">
      <c r="A46" s="87"/>
      <c r="B46" s="87"/>
      <c r="C46" s="139"/>
      <c r="D46" s="139"/>
      <c r="E46" s="87"/>
      <c r="F46" s="87"/>
      <c r="G46" s="87"/>
      <c r="H46" s="87"/>
      <c r="I46" s="87"/>
      <c r="J46" s="87"/>
      <c r="K46" s="87"/>
      <c r="L46" s="87"/>
      <c r="M46" s="87"/>
      <c r="N46" s="87"/>
      <c r="O46" s="87"/>
    </row>
    <row r="47" spans="1:15" s="23" customFormat="1" ht="20.399999999999999" x14ac:dyDescent="0.3">
      <c r="A47" s="87"/>
      <c r="B47" s="87"/>
      <c r="C47" s="139"/>
      <c r="D47" s="139"/>
      <c r="E47" s="87"/>
      <c r="F47" s="87"/>
      <c r="G47" s="87"/>
      <c r="H47" s="87"/>
      <c r="I47" s="87"/>
      <c r="J47" s="87"/>
      <c r="K47" s="87"/>
      <c r="L47" s="87"/>
      <c r="M47" s="87"/>
      <c r="N47" s="87"/>
      <c r="O47" s="87"/>
    </row>
    <row r="48" spans="1:15" s="23" customFormat="1" ht="20.399999999999999" x14ac:dyDescent="0.3">
      <c r="A48" s="87"/>
      <c r="B48" s="87"/>
      <c r="C48" s="139"/>
      <c r="D48" s="139"/>
      <c r="E48" s="87"/>
      <c r="F48" s="87"/>
      <c r="G48" s="87"/>
      <c r="H48" s="87"/>
      <c r="I48" s="87"/>
      <c r="J48" s="87"/>
      <c r="K48" s="87"/>
      <c r="L48" s="87"/>
      <c r="M48" s="87"/>
      <c r="N48" s="87"/>
      <c r="O48" s="87"/>
    </row>
    <row r="49" spans="1:15" s="23" customFormat="1" ht="20.399999999999999" x14ac:dyDescent="0.3">
      <c r="A49" s="87"/>
      <c r="B49" s="87"/>
      <c r="C49" s="139"/>
      <c r="D49" s="139"/>
      <c r="E49" s="87"/>
      <c r="F49" s="87"/>
      <c r="G49" s="87"/>
      <c r="H49" s="87"/>
      <c r="I49" s="87"/>
      <c r="J49" s="87"/>
      <c r="K49" s="87"/>
      <c r="L49" s="87"/>
      <c r="M49" s="87"/>
      <c r="N49" s="87"/>
      <c r="O49" s="87"/>
    </row>
    <row r="50" spans="1:15" s="23" customFormat="1" ht="20.399999999999999" x14ac:dyDescent="0.3">
      <c r="A50" s="87"/>
      <c r="B50" s="87"/>
      <c r="C50" s="139"/>
      <c r="D50" s="139"/>
      <c r="E50" s="87"/>
      <c r="F50" s="87"/>
      <c r="G50" s="87"/>
      <c r="H50" s="87"/>
      <c r="I50" s="87"/>
      <c r="J50" s="87"/>
      <c r="K50" s="87"/>
      <c r="L50" s="87"/>
      <c r="M50" s="87"/>
      <c r="N50" s="87"/>
      <c r="O50" s="87"/>
    </row>
    <row r="51" spans="1:15" s="23" customFormat="1" ht="20.399999999999999" x14ac:dyDescent="0.3">
      <c r="A51" s="87"/>
      <c r="B51" s="87"/>
      <c r="C51" s="139"/>
      <c r="D51" s="139"/>
      <c r="E51" s="87"/>
      <c r="F51" s="87"/>
      <c r="G51" s="87"/>
      <c r="H51" s="87"/>
      <c r="I51" s="87"/>
      <c r="J51" s="87"/>
      <c r="K51" s="87"/>
      <c r="L51" s="87"/>
      <c r="M51" s="87"/>
      <c r="N51" s="87"/>
      <c r="O51" s="87"/>
    </row>
    <row r="52" spans="1:15" s="23" customFormat="1" ht="20.399999999999999" x14ac:dyDescent="0.3">
      <c r="A52" s="87"/>
      <c r="C52" s="141"/>
      <c r="D52" s="141"/>
    </row>
    <row r="53" spans="1:15" s="23" customFormat="1" ht="20.399999999999999" x14ac:dyDescent="0.3">
      <c r="A53" s="87"/>
      <c r="C53" s="141"/>
      <c r="D53" s="141"/>
    </row>
    <row r="54" spans="1:15" s="23" customFormat="1" ht="20.399999999999999" x14ac:dyDescent="0.3">
      <c r="A54" s="87"/>
      <c r="C54" s="141"/>
      <c r="D54" s="141"/>
    </row>
    <row r="55" spans="1:15" s="23" customFormat="1" ht="20.399999999999999" x14ac:dyDescent="0.3">
      <c r="A55" s="87"/>
      <c r="C55" s="141"/>
      <c r="D55" s="141"/>
    </row>
    <row r="56" spans="1:15" s="23" customFormat="1" ht="20.399999999999999" x14ac:dyDescent="0.3">
      <c r="A56" s="87"/>
      <c r="C56" s="141"/>
      <c r="D56" s="141"/>
    </row>
    <row r="57" spans="1:15" s="23" customFormat="1" ht="20.399999999999999" x14ac:dyDescent="0.3">
      <c r="A57" s="87"/>
      <c r="C57" s="141"/>
      <c r="D57" s="141"/>
    </row>
    <row r="58" spans="1:15" s="23" customFormat="1" ht="20.399999999999999" x14ac:dyDescent="0.3">
      <c r="A58" s="87"/>
      <c r="C58" s="141"/>
      <c r="D58" s="141"/>
    </row>
    <row r="59" spans="1:15" s="23" customFormat="1" ht="20.399999999999999" x14ac:dyDescent="0.3">
      <c r="A59" s="87"/>
      <c r="C59" s="141"/>
      <c r="D59" s="141"/>
    </row>
    <row r="60" spans="1:15" s="23" customFormat="1" ht="20.399999999999999" x14ac:dyDescent="0.3">
      <c r="A60" s="87"/>
      <c r="C60" s="141"/>
      <c r="D60" s="141"/>
    </row>
    <row r="61" spans="1:15" s="23" customFormat="1" ht="20.399999999999999" x14ac:dyDescent="0.3">
      <c r="A61" s="87"/>
      <c r="C61" s="141"/>
      <c r="D61" s="141"/>
    </row>
    <row r="62" spans="1:15" s="23" customFormat="1" ht="20.399999999999999" x14ac:dyDescent="0.3">
      <c r="A62" s="87"/>
      <c r="C62" s="141"/>
      <c r="D62" s="141"/>
    </row>
    <row r="63" spans="1:15" s="23" customFormat="1" ht="20.399999999999999" x14ac:dyDescent="0.3">
      <c r="A63" s="87"/>
      <c r="C63" s="141"/>
      <c r="D63" s="141"/>
    </row>
    <row r="64" spans="1:15" s="23" customFormat="1" ht="20.399999999999999" x14ac:dyDescent="0.3">
      <c r="A64" s="87"/>
      <c r="C64" s="141"/>
      <c r="D64" s="141"/>
    </row>
    <row r="65" spans="1:4" s="23" customFormat="1" ht="20.399999999999999" x14ac:dyDescent="0.3">
      <c r="A65" s="87"/>
      <c r="C65" s="141"/>
      <c r="D65" s="141"/>
    </row>
    <row r="66" spans="1:4" s="23" customFormat="1" ht="20.399999999999999" x14ac:dyDescent="0.3">
      <c r="A66" s="87"/>
      <c r="C66" s="141"/>
      <c r="D66" s="141"/>
    </row>
    <row r="67" spans="1:4" s="23" customFormat="1" ht="20.399999999999999" x14ac:dyDescent="0.3">
      <c r="A67" s="87"/>
      <c r="C67" s="141"/>
      <c r="D67" s="141"/>
    </row>
    <row r="68" spans="1:4" s="23" customFormat="1" ht="20.399999999999999" x14ac:dyDescent="0.3">
      <c r="A68" s="87"/>
      <c r="C68" s="141"/>
      <c r="D68" s="141"/>
    </row>
    <row r="69" spans="1:4" s="23" customFormat="1" ht="20.399999999999999" x14ac:dyDescent="0.3">
      <c r="A69" s="87"/>
      <c r="C69" s="141"/>
      <c r="D69" s="141"/>
    </row>
    <row r="70" spans="1:4" s="23" customFormat="1" ht="20.399999999999999" x14ac:dyDescent="0.3">
      <c r="A70" s="87"/>
      <c r="C70" s="141"/>
      <c r="D70" s="141"/>
    </row>
    <row r="71" spans="1:4" s="23" customFormat="1" ht="20.399999999999999" x14ac:dyDescent="0.3">
      <c r="A71" s="87"/>
      <c r="C71" s="141"/>
      <c r="D71" s="141"/>
    </row>
    <row r="72" spans="1:4" s="23" customFormat="1" ht="20.399999999999999" x14ac:dyDescent="0.3">
      <c r="A72" s="87"/>
      <c r="C72" s="141"/>
      <c r="D72" s="141"/>
    </row>
    <row r="73" spans="1:4" s="23" customFormat="1" ht="20.399999999999999" x14ac:dyDescent="0.3">
      <c r="A73" s="87"/>
      <c r="C73" s="141"/>
      <c r="D73" s="141"/>
    </row>
    <row r="74" spans="1:4" s="23" customFormat="1" ht="20.399999999999999" x14ac:dyDescent="0.3">
      <c r="A74" s="87"/>
      <c r="C74" s="141"/>
      <c r="D74" s="141"/>
    </row>
    <row r="75" spans="1:4" s="23" customFormat="1" ht="20.399999999999999" x14ac:dyDescent="0.3">
      <c r="A75" s="87"/>
      <c r="C75" s="141"/>
      <c r="D75" s="141"/>
    </row>
    <row r="76" spans="1:4" s="23" customFormat="1" ht="20.399999999999999" x14ac:dyDescent="0.3">
      <c r="A76" s="87"/>
      <c r="C76" s="141"/>
      <c r="D76" s="141"/>
    </row>
    <row r="77" spans="1:4" s="23" customFormat="1" ht="20.399999999999999" x14ac:dyDescent="0.3">
      <c r="A77" s="87"/>
      <c r="C77" s="141"/>
      <c r="D77" s="141"/>
    </row>
    <row r="78" spans="1:4" s="23" customFormat="1" ht="20.399999999999999" x14ac:dyDescent="0.3">
      <c r="A78" s="87"/>
      <c r="C78" s="141"/>
      <c r="D78" s="141"/>
    </row>
    <row r="79" spans="1:4" s="23" customFormat="1" ht="20.399999999999999" x14ac:dyDescent="0.3">
      <c r="A79" s="87"/>
      <c r="C79" s="141"/>
      <c r="D79" s="141"/>
    </row>
    <row r="80" spans="1:4" s="23" customFormat="1" ht="20.399999999999999" x14ac:dyDescent="0.3">
      <c r="A80" s="87"/>
      <c r="C80" s="141"/>
      <c r="D80" s="141"/>
    </row>
    <row r="81" spans="1:4" s="23" customFormat="1" ht="20.399999999999999" x14ac:dyDescent="0.3">
      <c r="A81" s="87"/>
      <c r="C81" s="141"/>
      <c r="D81" s="141"/>
    </row>
    <row r="82" spans="1:4" s="23" customFormat="1" ht="20.399999999999999" x14ac:dyDescent="0.3">
      <c r="A82" s="87"/>
      <c r="C82" s="141"/>
      <c r="D82" s="141"/>
    </row>
    <row r="83" spans="1:4" s="23" customFormat="1" ht="20.399999999999999" x14ac:dyDescent="0.3">
      <c r="A83" s="87"/>
      <c r="C83" s="141"/>
      <c r="D83" s="141"/>
    </row>
    <row r="84" spans="1:4" s="23" customFormat="1" ht="20.399999999999999" x14ac:dyDescent="0.3">
      <c r="A84" s="87"/>
      <c r="C84" s="141"/>
      <c r="D84" s="141"/>
    </row>
    <row r="85" spans="1:4" s="23" customFormat="1" ht="20.399999999999999" x14ac:dyDescent="0.3">
      <c r="A85" s="87"/>
      <c r="C85" s="141"/>
      <c r="D85" s="141"/>
    </row>
    <row r="86" spans="1:4" s="23" customFormat="1" ht="20.399999999999999" x14ac:dyDescent="0.3">
      <c r="A86" s="87"/>
      <c r="C86" s="141"/>
      <c r="D86" s="141"/>
    </row>
    <row r="87" spans="1:4" s="23" customFormat="1" ht="20.399999999999999" x14ac:dyDescent="0.3">
      <c r="A87" s="87"/>
      <c r="C87" s="141"/>
      <c r="D87" s="141"/>
    </row>
    <row r="88" spans="1:4" s="23" customFormat="1" ht="20.399999999999999" x14ac:dyDescent="0.3">
      <c r="A88" s="87"/>
      <c r="C88" s="141"/>
      <c r="D88" s="141"/>
    </row>
    <row r="89" spans="1:4" s="23" customFormat="1" ht="20.399999999999999" x14ac:dyDescent="0.3">
      <c r="A89" s="87"/>
      <c r="C89" s="141"/>
      <c r="D89" s="141"/>
    </row>
    <row r="90" spans="1:4" s="23" customFormat="1" ht="20.399999999999999" x14ac:dyDescent="0.3">
      <c r="A90" s="87"/>
      <c r="C90" s="141"/>
      <c r="D90" s="141"/>
    </row>
    <row r="91" spans="1:4" s="23" customFormat="1" ht="20.399999999999999" x14ac:dyDescent="0.3">
      <c r="A91" s="87"/>
      <c r="C91" s="141"/>
      <c r="D91" s="141"/>
    </row>
    <row r="92" spans="1:4" s="23" customFormat="1" ht="20.399999999999999" x14ac:dyDescent="0.3">
      <c r="A92" s="87"/>
      <c r="C92" s="141"/>
      <c r="D92" s="141"/>
    </row>
    <row r="93" spans="1:4" s="23" customFormat="1" ht="20.399999999999999" x14ac:dyDescent="0.3">
      <c r="A93" s="87"/>
      <c r="C93" s="141"/>
      <c r="D93" s="141"/>
    </row>
    <row r="94" spans="1:4" s="23" customFormat="1" ht="20.399999999999999" x14ac:dyDescent="0.3">
      <c r="A94" s="87"/>
      <c r="C94" s="141"/>
      <c r="D94" s="141"/>
    </row>
    <row r="95" spans="1:4" s="23" customFormat="1" ht="20.399999999999999" x14ac:dyDescent="0.3">
      <c r="A95" s="87"/>
      <c r="C95" s="141"/>
      <c r="D95" s="141"/>
    </row>
    <row r="96" spans="1:4" s="23" customFormat="1" ht="20.399999999999999" x14ac:dyDescent="0.3">
      <c r="A96" s="87"/>
      <c r="C96" s="141"/>
      <c r="D96" s="141"/>
    </row>
    <row r="97" spans="1:4" s="23" customFormat="1" ht="20.399999999999999" x14ac:dyDescent="0.3">
      <c r="A97" s="87"/>
      <c r="C97" s="141"/>
      <c r="D97" s="141"/>
    </row>
    <row r="98" spans="1:4" s="23" customFormat="1" ht="20.399999999999999" x14ac:dyDescent="0.3">
      <c r="A98" s="87"/>
      <c r="C98" s="141"/>
      <c r="D98" s="141"/>
    </row>
    <row r="99" spans="1:4" s="23" customFormat="1" ht="20.399999999999999" x14ac:dyDescent="0.3">
      <c r="A99" s="87"/>
      <c r="C99" s="141"/>
      <c r="D99" s="141"/>
    </row>
    <row r="100" spans="1:4" s="23" customFormat="1" ht="20.399999999999999" x14ac:dyDescent="0.3">
      <c r="A100" s="87"/>
      <c r="C100" s="141"/>
      <c r="D100" s="141"/>
    </row>
    <row r="101" spans="1:4" s="23" customFormat="1" ht="20.399999999999999" x14ac:dyDescent="0.3">
      <c r="A101" s="87"/>
      <c r="C101" s="141"/>
      <c r="D101" s="141"/>
    </row>
    <row r="102" spans="1:4" s="23" customFormat="1" ht="20.399999999999999" x14ac:dyDescent="0.3">
      <c r="A102" s="87"/>
      <c r="C102" s="141"/>
      <c r="D102" s="141"/>
    </row>
    <row r="103" spans="1:4" s="23" customFormat="1" ht="20.399999999999999" x14ac:dyDescent="0.3">
      <c r="A103" s="87"/>
      <c r="C103" s="141"/>
      <c r="D103" s="141"/>
    </row>
    <row r="104" spans="1:4" s="23" customFormat="1" ht="20.399999999999999" x14ac:dyDescent="0.3">
      <c r="A104" s="87"/>
      <c r="C104" s="141"/>
      <c r="D104" s="141"/>
    </row>
    <row r="105" spans="1:4" s="23" customFormat="1" ht="20.399999999999999" x14ac:dyDescent="0.3">
      <c r="A105" s="87"/>
      <c r="C105" s="141"/>
      <c r="D105" s="141"/>
    </row>
    <row r="106" spans="1:4" s="23" customFormat="1" ht="20.399999999999999" x14ac:dyDescent="0.3">
      <c r="A106" s="87"/>
      <c r="C106" s="141"/>
      <c r="D106" s="141"/>
    </row>
    <row r="107" spans="1:4" s="23" customFormat="1" ht="20.399999999999999" x14ac:dyDescent="0.3">
      <c r="A107" s="87"/>
      <c r="C107" s="141"/>
      <c r="D107" s="141"/>
    </row>
    <row r="108" spans="1:4" s="23" customFormat="1" ht="20.399999999999999" x14ac:dyDescent="0.3">
      <c r="A108" s="87"/>
      <c r="C108" s="141"/>
      <c r="D108" s="141"/>
    </row>
    <row r="109" spans="1:4" s="23" customFormat="1" ht="20.399999999999999" x14ac:dyDescent="0.3">
      <c r="A109" s="87"/>
      <c r="C109" s="141"/>
      <c r="D109" s="141"/>
    </row>
    <row r="110" spans="1:4" s="23" customFormat="1" ht="20.399999999999999" x14ac:dyDescent="0.3">
      <c r="A110" s="87"/>
      <c r="C110" s="141"/>
      <c r="D110" s="141"/>
    </row>
    <row r="111" spans="1:4" s="23" customFormat="1" ht="20.399999999999999" x14ac:dyDescent="0.3">
      <c r="A111" s="87"/>
      <c r="C111" s="141"/>
      <c r="D111" s="141"/>
    </row>
    <row r="112" spans="1:4" s="23" customFormat="1" ht="20.399999999999999" x14ac:dyDescent="0.3">
      <c r="A112" s="87"/>
      <c r="C112" s="141"/>
      <c r="D112" s="141"/>
    </row>
    <row r="113" spans="1:4" s="23" customFormat="1" ht="20.399999999999999" x14ac:dyDescent="0.3">
      <c r="A113" s="87"/>
      <c r="C113" s="141"/>
      <c r="D113" s="141"/>
    </row>
    <row r="114" spans="1:4" s="23" customFormat="1" ht="20.399999999999999" x14ac:dyDescent="0.3">
      <c r="A114" s="87"/>
      <c r="C114" s="141"/>
      <c r="D114" s="141"/>
    </row>
    <row r="115" spans="1:4" s="23" customFormat="1" ht="20.399999999999999" x14ac:dyDescent="0.3">
      <c r="A115" s="87"/>
      <c r="C115" s="141"/>
      <c r="D115" s="141"/>
    </row>
    <row r="116" spans="1:4" s="23" customFormat="1" ht="20.399999999999999" x14ac:dyDescent="0.3">
      <c r="A116" s="87"/>
      <c r="C116" s="141"/>
      <c r="D116" s="141"/>
    </row>
    <row r="117" spans="1:4" s="23" customFormat="1" ht="20.399999999999999" x14ac:dyDescent="0.3">
      <c r="A117" s="87"/>
      <c r="C117" s="141"/>
      <c r="D117" s="141"/>
    </row>
    <row r="118" spans="1:4" s="23" customFormat="1" ht="20.399999999999999" x14ac:dyDescent="0.3">
      <c r="A118" s="87"/>
      <c r="C118" s="141"/>
      <c r="D118" s="141"/>
    </row>
    <row r="119" spans="1:4" s="23" customFormat="1" ht="20.399999999999999" x14ac:dyDescent="0.3">
      <c r="A119" s="87"/>
      <c r="C119" s="141"/>
      <c r="D119" s="141"/>
    </row>
    <row r="120" spans="1:4" s="23" customFormat="1" ht="20.399999999999999" x14ac:dyDescent="0.3">
      <c r="A120" s="87"/>
      <c r="C120" s="141"/>
      <c r="D120" s="141"/>
    </row>
    <row r="121" spans="1:4" s="23" customFormat="1" ht="20.399999999999999" x14ac:dyDescent="0.3">
      <c r="A121" s="87"/>
      <c r="C121" s="141"/>
      <c r="D121" s="141"/>
    </row>
    <row r="122" spans="1:4" s="23" customFormat="1" ht="20.399999999999999" x14ac:dyDescent="0.3">
      <c r="A122" s="87"/>
      <c r="C122" s="141"/>
      <c r="D122" s="141"/>
    </row>
    <row r="123" spans="1:4" s="23" customFormat="1" ht="20.399999999999999" x14ac:dyDescent="0.3">
      <c r="A123" s="87"/>
      <c r="C123" s="141"/>
      <c r="D123" s="141"/>
    </row>
    <row r="124" spans="1:4" s="23" customFormat="1" ht="20.399999999999999" x14ac:dyDescent="0.3">
      <c r="A124" s="87"/>
      <c r="C124" s="141"/>
      <c r="D124" s="141"/>
    </row>
    <row r="125" spans="1:4" s="23" customFormat="1" ht="20.399999999999999" x14ac:dyDescent="0.3">
      <c r="A125" s="87"/>
      <c r="C125" s="141"/>
      <c r="D125" s="141"/>
    </row>
    <row r="126" spans="1:4" s="23" customFormat="1" ht="20.399999999999999" x14ac:dyDescent="0.3">
      <c r="A126" s="87"/>
      <c r="C126" s="141"/>
      <c r="D126" s="141"/>
    </row>
    <row r="127" spans="1:4" s="23" customFormat="1" ht="20.399999999999999" x14ac:dyDescent="0.3">
      <c r="A127" s="87"/>
      <c r="C127" s="141"/>
      <c r="D127" s="141"/>
    </row>
    <row r="128" spans="1:4" s="23" customFormat="1" ht="20.399999999999999" x14ac:dyDescent="0.3">
      <c r="A128" s="87"/>
      <c r="C128" s="141"/>
      <c r="D128" s="141"/>
    </row>
    <row r="129" spans="1:4" s="23" customFormat="1" ht="20.399999999999999" x14ac:dyDescent="0.3">
      <c r="A129" s="87"/>
      <c r="C129" s="141"/>
      <c r="D129" s="141"/>
    </row>
    <row r="130" spans="1:4" s="23" customFormat="1" ht="20.399999999999999" x14ac:dyDescent="0.3">
      <c r="A130" s="87"/>
      <c r="C130" s="141"/>
      <c r="D130" s="141"/>
    </row>
    <row r="131" spans="1:4" s="23" customFormat="1" ht="20.399999999999999" x14ac:dyDescent="0.3">
      <c r="A131" s="87"/>
      <c r="C131" s="141"/>
      <c r="D131" s="141"/>
    </row>
    <row r="132" spans="1:4" s="23" customFormat="1" ht="20.399999999999999" x14ac:dyDescent="0.3">
      <c r="A132" s="87"/>
      <c r="C132" s="141"/>
      <c r="D132" s="141"/>
    </row>
    <row r="133" spans="1:4" s="23" customFormat="1" ht="20.399999999999999" x14ac:dyDescent="0.3">
      <c r="A133" s="87"/>
      <c r="C133" s="141"/>
      <c r="D133" s="141"/>
    </row>
    <row r="134" spans="1:4" s="23" customFormat="1" ht="20.399999999999999" x14ac:dyDescent="0.3">
      <c r="A134" s="87"/>
      <c r="C134" s="141"/>
      <c r="D134" s="141"/>
    </row>
    <row r="135" spans="1:4" s="23" customFormat="1" ht="20.399999999999999" x14ac:dyDescent="0.3">
      <c r="A135" s="87"/>
      <c r="C135" s="141"/>
      <c r="D135" s="141"/>
    </row>
    <row r="136" spans="1:4" s="23" customFormat="1" ht="20.399999999999999" x14ac:dyDescent="0.3">
      <c r="A136" s="87"/>
      <c r="C136" s="141"/>
      <c r="D136" s="141"/>
    </row>
    <row r="137" spans="1:4" s="23" customFormat="1" ht="20.399999999999999" x14ac:dyDescent="0.3">
      <c r="A137" s="87"/>
      <c r="C137" s="141"/>
      <c r="D137" s="141"/>
    </row>
    <row r="138" spans="1:4" s="23" customFormat="1" ht="20.399999999999999" x14ac:dyDescent="0.3">
      <c r="A138" s="87"/>
      <c r="C138" s="141"/>
      <c r="D138" s="141"/>
    </row>
    <row r="139" spans="1:4" s="23" customFormat="1" ht="20.399999999999999" x14ac:dyDescent="0.3">
      <c r="A139" s="87"/>
      <c r="C139" s="141"/>
      <c r="D139" s="141"/>
    </row>
    <row r="140" spans="1:4" s="23" customFormat="1" ht="20.399999999999999" x14ac:dyDescent="0.3">
      <c r="A140" s="87"/>
      <c r="C140" s="141"/>
      <c r="D140" s="141"/>
    </row>
    <row r="141" spans="1:4" s="23" customFormat="1" ht="20.399999999999999" x14ac:dyDescent="0.3">
      <c r="A141" s="87"/>
      <c r="C141" s="141"/>
      <c r="D141" s="141"/>
    </row>
    <row r="142" spans="1:4" s="23" customFormat="1" ht="20.399999999999999" x14ac:dyDescent="0.3">
      <c r="A142" s="87"/>
      <c r="C142" s="141"/>
      <c r="D142" s="141"/>
    </row>
    <row r="143" spans="1:4" s="23" customFormat="1" ht="20.399999999999999" x14ac:dyDescent="0.3">
      <c r="A143" s="87"/>
      <c r="C143" s="141"/>
      <c r="D143" s="141"/>
    </row>
    <row r="144" spans="1:4" s="23" customFormat="1" ht="20.399999999999999" x14ac:dyDescent="0.3">
      <c r="A144" s="87"/>
      <c r="C144" s="141"/>
      <c r="D144" s="141"/>
    </row>
    <row r="145" spans="1:4" s="23" customFormat="1" ht="20.399999999999999" x14ac:dyDescent="0.3">
      <c r="A145" s="87"/>
      <c r="C145" s="141"/>
      <c r="D145" s="141"/>
    </row>
    <row r="146" spans="1:4" s="23" customFormat="1" ht="20.399999999999999" x14ac:dyDescent="0.3">
      <c r="A146" s="87"/>
      <c r="C146" s="141"/>
      <c r="D146" s="141"/>
    </row>
    <row r="147" spans="1:4" s="23" customFormat="1" ht="20.399999999999999" x14ac:dyDescent="0.3">
      <c r="A147" s="87"/>
      <c r="C147" s="141"/>
      <c r="D147" s="141"/>
    </row>
    <row r="148" spans="1:4" s="23" customFormat="1" ht="20.399999999999999" x14ac:dyDescent="0.3">
      <c r="A148" s="87"/>
      <c r="C148" s="141"/>
      <c r="D148" s="141"/>
    </row>
    <row r="149" spans="1:4" s="23" customFormat="1" ht="20.399999999999999" x14ac:dyDescent="0.3">
      <c r="A149" s="87"/>
      <c r="C149" s="141"/>
      <c r="D149" s="141"/>
    </row>
    <row r="150" spans="1:4" s="23" customFormat="1" ht="20.399999999999999" x14ac:dyDescent="0.3">
      <c r="A150" s="87"/>
      <c r="C150" s="141"/>
      <c r="D150" s="141"/>
    </row>
    <row r="151" spans="1:4" s="23" customFormat="1" ht="20.399999999999999" x14ac:dyDescent="0.3">
      <c r="A151" s="87"/>
      <c r="C151" s="141"/>
      <c r="D151" s="141"/>
    </row>
    <row r="152" spans="1:4" s="23" customFormat="1" ht="20.399999999999999" x14ac:dyDescent="0.3">
      <c r="A152" s="87"/>
      <c r="C152" s="141"/>
      <c r="D152" s="141"/>
    </row>
    <row r="153" spans="1:4" s="23" customFormat="1" ht="20.399999999999999" x14ac:dyDescent="0.3">
      <c r="A153" s="87"/>
      <c r="C153" s="141"/>
      <c r="D153" s="141"/>
    </row>
    <row r="154" spans="1:4" s="23" customFormat="1" ht="20.399999999999999" x14ac:dyDescent="0.3">
      <c r="A154" s="87"/>
      <c r="C154" s="141"/>
      <c r="D154" s="141"/>
    </row>
    <row r="155" spans="1:4" s="23" customFormat="1" ht="20.399999999999999" x14ac:dyDescent="0.3">
      <c r="A155" s="87"/>
      <c r="C155" s="141"/>
      <c r="D155" s="141"/>
    </row>
    <row r="156" spans="1:4" s="23" customFormat="1" ht="20.399999999999999" x14ac:dyDescent="0.3">
      <c r="A156" s="87"/>
      <c r="C156" s="141"/>
      <c r="D156" s="141"/>
    </row>
    <row r="157" spans="1:4" s="23" customFormat="1" ht="20.399999999999999" x14ac:dyDescent="0.3">
      <c r="A157" s="87"/>
      <c r="C157" s="141"/>
      <c r="D157" s="141"/>
    </row>
    <row r="158" spans="1:4" s="23" customFormat="1" ht="20.399999999999999" x14ac:dyDescent="0.3">
      <c r="A158" s="87"/>
      <c r="C158" s="141"/>
      <c r="D158" s="141"/>
    </row>
    <row r="159" spans="1:4" s="23" customFormat="1" ht="20.399999999999999" x14ac:dyDescent="0.3">
      <c r="A159" s="87"/>
      <c r="C159" s="141"/>
      <c r="D159" s="141"/>
    </row>
    <row r="160" spans="1:4" s="23" customFormat="1" ht="20.399999999999999" x14ac:dyDescent="0.3">
      <c r="A160" s="87"/>
      <c r="C160" s="141"/>
      <c r="D160" s="141"/>
    </row>
    <row r="161" spans="1:4" s="23" customFormat="1" ht="20.399999999999999" x14ac:dyDescent="0.3">
      <c r="A161" s="87"/>
      <c r="C161" s="141"/>
      <c r="D161" s="141"/>
    </row>
    <row r="162" spans="1:4" s="23" customFormat="1" ht="20.399999999999999" x14ac:dyDescent="0.3">
      <c r="A162" s="87"/>
      <c r="C162" s="141"/>
      <c r="D162" s="141"/>
    </row>
    <row r="163" spans="1:4" s="23" customFormat="1" ht="20.399999999999999" x14ac:dyDescent="0.3">
      <c r="A163" s="87"/>
      <c r="C163" s="141"/>
      <c r="D163" s="141"/>
    </row>
    <row r="164" spans="1:4" s="23" customFormat="1" ht="20.399999999999999" x14ac:dyDescent="0.3">
      <c r="A164" s="87"/>
      <c r="C164" s="141"/>
      <c r="D164" s="141"/>
    </row>
    <row r="165" spans="1:4" s="23" customFormat="1" ht="20.399999999999999" x14ac:dyDescent="0.3">
      <c r="A165" s="87"/>
      <c r="C165" s="141"/>
      <c r="D165" s="141"/>
    </row>
    <row r="166" spans="1:4" s="23" customFormat="1" ht="20.399999999999999" x14ac:dyDescent="0.3">
      <c r="A166" s="87"/>
      <c r="C166" s="141"/>
      <c r="D166" s="141"/>
    </row>
    <row r="167" spans="1:4" s="23" customFormat="1" ht="20.399999999999999" x14ac:dyDescent="0.3">
      <c r="A167" s="87"/>
      <c r="C167" s="141"/>
      <c r="D167" s="141"/>
    </row>
    <row r="168" spans="1:4" s="23" customFormat="1" ht="20.399999999999999" x14ac:dyDescent="0.3">
      <c r="A168" s="87"/>
      <c r="C168" s="141"/>
      <c r="D168" s="141"/>
    </row>
    <row r="169" spans="1:4" s="23" customFormat="1" ht="20.399999999999999" x14ac:dyDescent="0.3">
      <c r="A169" s="87"/>
      <c r="C169" s="141"/>
      <c r="D169" s="141"/>
    </row>
    <row r="170" spans="1:4" s="23" customFormat="1" ht="20.399999999999999" x14ac:dyDescent="0.3">
      <c r="A170" s="87"/>
      <c r="C170" s="141"/>
      <c r="D170" s="141"/>
    </row>
    <row r="171" spans="1:4" s="23" customFormat="1" ht="20.399999999999999" x14ac:dyDescent="0.3">
      <c r="A171" s="87"/>
      <c r="C171" s="141"/>
      <c r="D171" s="141"/>
    </row>
    <row r="172" spans="1:4" s="23" customFormat="1" ht="20.399999999999999" x14ac:dyDescent="0.3">
      <c r="A172" s="87"/>
      <c r="C172" s="141"/>
      <c r="D172" s="141"/>
    </row>
    <row r="173" spans="1:4" s="23" customFormat="1" ht="20.399999999999999" x14ac:dyDescent="0.3">
      <c r="A173" s="87"/>
      <c r="C173" s="141"/>
      <c r="D173" s="141"/>
    </row>
    <row r="174" spans="1:4" s="23" customFormat="1" ht="20.399999999999999" x14ac:dyDescent="0.3">
      <c r="A174" s="87"/>
      <c r="C174" s="141"/>
      <c r="D174" s="141"/>
    </row>
    <row r="175" spans="1:4" s="23" customFormat="1" ht="20.399999999999999" x14ac:dyDescent="0.3">
      <c r="A175" s="87"/>
      <c r="C175" s="141"/>
      <c r="D175" s="141"/>
    </row>
    <row r="176" spans="1:4" s="23" customFormat="1" ht="20.399999999999999" x14ac:dyDescent="0.3">
      <c r="A176" s="87"/>
      <c r="C176" s="141"/>
      <c r="D176" s="141"/>
    </row>
    <row r="177" spans="1:4" s="23" customFormat="1" ht="20.399999999999999" x14ac:dyDescent="0.3">
      <c r="A177" s="87"/>
      <c r="C177" s="141"/>
      <c r="D177" s="141"/>
    </row>
    <row r="178" spans="1:4" s="23" customFormat="1" ht="20.399999999999999" x14ac:dyDescent="0.3">
      <c r="A178" s="87"/>
      <c r="C178" s="141"/>
      <c r="D178" s="141"/>
    </row>
    <row r="179" spans="1:4" s="23" customFormat="1" ht="20.399999999999999" x14ac:dyDescent="0.3">
      <c r="A179" s="87"/>
      <c r="C179" s="141"/>
      <c r="D179" s="141"/>
    </row>
    <row r="180" spans="1:4" s="23" customFormat="1" ht="20.399999999999999" x14ac:dyDescent="0.3">
      <c r="A180" s="87"/>
      <c r="C180" s="141"/>
      <c r="D180" s="141"/>
    </row>
    <row r="181" spans="1:4" s="23" customFormat="1" ht="20.399999999999999" x14ac:dyDescent="0.3">
      <c r="A181" s="87"/>
      <c r="C181" s="141"/>
      <c r="D181" s="141"/>
    </row>
    <row r="182" spans="1:4" s="23" customFormat="1" ht="20.399999999999999" x14ac:dyDescent="0.3">
      <c r="A182" s="87"/>
      <c r="C182" s="141"/>
      <c r="D182" s="141"/>
    </row>
    <row r="183" spans="1:4" s="23" customFormat="1" ht="20.399999999999999" x14ac:dyDescent="0.3">
      <c r="A183" s="87"/>
      <c r="C183" s="141"/>
      <c r="D183" s="141"/>
    </row>
    <row r="184" spans="1:4" s="23" customFormat="1" ht="20.399999999999999" x14ac:dyDescent="0.3">
      <c r="A184" s="87"/>
      <c r="C184" s="141"/>
      <c r="D184" s="141"/>
    </row>
    <row r="185" spans="1:4" s="23" customFormat="1" ht="20.399999999999999" x14ac:dyDescent="0.3">
      <c r="A185" s="87"/>
      <c r="C185" s="141"/>
      <c r="D185" s="141"/>
    </row>
    <row r="186" spans="1:4" s="23" customFormat="1" ht="20.399999999999999" x14ac:dyDescent="0.3">
      <c r="A186" s="87"/>
      <c r="C186" s="141"/>
      <c r="D186" s="141"/>
    </row>
    <row r="187" spans="1:4" s="23" customFormat="1" ht="20.399999999999999" x14ac:dyDescent="0.3">
      <c r="A187" s="87"/>
      <c r="C187" s="141"/>
      <c r="D187" s="141"/>
    </row>
    <row r="188" spans="1:4" s="23" customFormat="1" ht="20.399999999999999" x14ac:dyDescent="0.3">
      <c r="A188" s="87"/>
      <c r="C188" s="141"/>
      <c r="D188" s="141"/>
    </row>
    <row r="189" spans="1:4" s="23" customFormat="1" ht="20.399999999999999" x14ac:dyDescent="0.3">
      <c r="A189" s="87"/>
      <c r="C189" s="141"/>
      <c r="D189" s="141"/>
    </row>
    <row r="190" spans="1:4" s="23" customFormat="1" ht="20.399999999999999" x14ac:dyDescent="0.3">
      <c r="A190" s="87"/>
      <c r="C190" s="141"/>
      <c r="D190" s="141"/>
    </row>
    <row r="191" spans="1:4" s="23" customFormat="1" ht="20.399999999999999" x14ac:dyDescent="0.3">
      <c r="A191" s="87"/>
      <c r="C191" s="141"/>
      <c r="D191" s="141"/>
    </row>
    <row r="192" spans="1:4" s="23" customFormat="1" ht="20.399999999999999" x14ac:dyDescent="0.3">
      <c r="A192" s="87"/>
      <c r="C192" s="141"/>
      <c r="D192" s="141"/>
    </row>
    <row r="193" spans="1:4" s="23" customFormat="1" ht="20.399999999999999" x14ac:dyDescent="0.3">
      <c r="A193" s="87"/>
      <c r="C193" s="141"/>
      <c r="D193" s="141"/>
    </row>
    <row r="194" spans="1:4" s="23" customFormat="1" ht="20.399999999999999" x14ac:dyDescent="0.3">
      <c r="A194" s="87"/>
      <c r="C194" s="141"/>
      <c r="D194" s="141"/>
    </row>
    <row r="195" spans="1:4" s="23" customFormat="1" ht="20.399999999999999" x14ac:dyDescent="0.3">
      <c r="A195" s="87"/>
      <c r="C195" s="141"/>
      <c r="D195" s="141"/>
    </row>
    <row r="196" spans="1:4" s="23" customFormat="1" ht="20.399999999999999" x14ac:dyDescent="0.3">
      <c r="A196" s="87"/>
      <c r="C196" s="141"/>
      <c r="D196" s="141"/>
    </row>
    <row r="197" spans="1:4" s="23" customFormat="1" ht="20.399999999999999" x14ac:dyDescent="0.3">
      <c r="A197" s="87"/>
      <c r="C197" s="141"/>
      <c r="D197" s="141"/>
    </row>
    <row r="198" spans="1:4" s="23" customFormat="1" ht="20.399999999999999" x14ac:dyDescent="0.3">
      <c r="A198" s="87"/>
      <c r="C198" s="141"/>
      <c r="D198" s="141"/>
    </row>
    <row r="199" spans="1:4" s="23" customFormat="1" ht="20.399999999999999" x14ac:dyDescent="0.3">
      <c r="A199" s="87"/>
      <c r="C199" s="141"/>
      <c r="D199" s="141"/>
    </row>
    <row r="200" spans="1:4" s="23" customFormat="1" ht="20.399999999999999" x14ac:dyDescent="0.3">
      <c r="A200" s="87"/>
      <c r="C200" s="141"/>
      <c r="D200" s="141"/>
    </row>
    <row r="201" spans="1:4" s="23" customFormat="1" ht="20.399999999999999" x14ac:dyDescent="0.3">
      <c r="A201" s="87"/>
      <c r="C201" s="141"/>
      <c r="D201" s="141"/>
    </row>
    <row r="202" spans="1:4" s="23" customFormat="1" ht="20.399999999999999" x14ac:dyDescent="0.3">
      <c r="A202" s="87"/>
      <c r="C202" s="141"/>
      <c r="D202" s="141"/>
    </row>
    <row r="203" spans="1:4" s="23" customFormat="1" ht="20.399999999999999" x14ac:dyDescent="0.3">
      <c r="A203" s="87"/>
      <c r="C203" s="141"/>
      <c r="D203" s="141"/>
    </row>
    <row r="204" spans="1:4" s="23" customFormat="1" ht="20.399999999999999" x14ac:dyDescent="0.3">
      <c r="A204" s="87"/>
      <c r="C204" s="141"/>
      <c r="D204" s="141"/>
    </row>
    <row r="205" spans="1:4" s="23" customFormat="1" ht="20.399999999999999" x14ac:dyDescent="0.3">
      <c r="A205" s="87"/>
      <c r="C205" s="141"/>
      <c r="D205" s="141"/>
    </row>
    <row r="206" spans="1:4" s="23" customFormat="1" ht="20.399999999999999" x14ac:dyDescent="0.3">
      <c r="A206" s="87"/>
      <c r="C206" s="141"/>
      <c r="D206" s="141"/>
    </row>
    <row r="207" spans="1:4" s="23" customFormat="1" ht="20.399999999999999" x14ac:dyDescent="0.3">
      <c r="A207" s="87"/>
      <c r="C207" s="141"/>
      <c r="D207" s="141"/>
    </row>
    <row r="208" spans="1:4" s="23" customFormat="1" x14ac:dyDescent="0.3">
      <c r="A208" s="87"/>
    </row>
    <row r="209" spans="1:8" s="23" customFormat="1" ht="20.399999999999999" x14ac:dyDescent="0.3">
      <c r="A209" s="87"/>
      <c r="B209" s="142" t="s">
        <v>87</v>
      </c>
      <c r="C209" s="142" t="s">
        <v>140</v>
      </c>
      <c r="D209" s="143" t="s">
        <v>87</v>
      </c>
      <c r="E209" s="143" t="s">
        <v>140</v>
      </c>
    </row>
    <row r="210" spans="1:8" s="23" customFormat="1" ht="42" x14ac:dyDescent="0.4">
      <c r="A210" s="87"/>
      <c r="B210" s="144" t="s">
        <v>89</v>
      </c>
      <c r="C210" s="144"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4">
      <c r="A211" s="87"/>
      <c r="B211" s="144" t="s">
        <v>89</v>
      </c>
      <c r="C211" s="144" t="s">
        <v>206</v>
      </c>
      <c r="E211" s="23" t="s">
        <v>205</v>
      </c>
      <c r="F211" s="23" t="str">
        <f t="shared" ref="F211:F221" si="0">IF(NOT(ISBLANK(D211)),D211,IF(NOT(ISBLANK(E211)),"     "&amp;E211,FALSE))</f>
        <v xml:space="preserve">     Afectación menor a 200 SMLMV</v>
      </c>
    </row>
    <row r="212" spans="1:8" s="23" customFormat="1" ht="42" x14ac:dyDescent="0.4">
      <c r="A212" s="87"/>
      <c r="B212" s="144" t="s">
        <v>89</v>
      </c>
      <c r="C212" s="144" t="s">
        <v>210</v>
      </c>
      <c r="E212" s="23" t="s">
        <v>206</v>
      </c>
      <c r="F212" s="23" t="str">
        <f t="shared" si="0"/>
        <v xml:space="preserve">     Entre 200 y 1000 SMLMV</v>
      </c>
    </row>
    <row r="213" spans="1:8" s="23" customFormat="1" ht="42" x14ac:dyDescent="0.4">
      <c r="A213" s="87"/>
      <c r="B213" s="144" t="s">
        <v>89</v>
      </c>
      <c r="C213" s="144" t="s">
        <v>211</v>
      </c>
      <c r="E213" s="23" t="s">
        <v>210</v>
      </c>
      <c r="F213" s="23" t="str">
        <f t="shared" si="0"/>
        <v xml:space="preserve">     Entre 1000 y 5000 SMLMV </v>
      </c>
    </row>
    <row r="214" spans="1:8" s="23" customFormat="1" ht="42" x14ac:dyDescent="0.4">
      <c r="A214" s="87"/>
      <c r="B214" s="144" t="s">
        <v>89</v>
      </c>
      <c r="C214" s="144" t="s">
        <v>207</v>
      </c>
      <c r="E214" s="23" t="s">
        <v>211</v>
      </c>
      <c r="F214" s="23" t="str">
        <f t="shared" si="0"/>
        <v xml:space="preserve">     Entre 5000 y 10000 SMLMV</v>
      </c>
    </row>
    <row r="215" spans="1:8" s="23" customFormat="1" ht="42" x14ac:dyDescent="0.4">
      <c r="A215" s="87"/>
      <c r="B215" s="144" t="s">
        <v>57</v>
      </c>
      <c r="C215" s="144" t="s">
        <v>92</v>
      </c>
      <c r="E215" s="23" t="s">
        <v>207</v>
      </c>
      <c r="F215" s="23" t="str">
        <f t="shared" si="0"/>
        <v xml:space="preserve">     Mayor a 10000 SMLMV</v>
      </c>
    </row>
    <row r="216" spans="1:8" s="23" customFormat="1" ht="63" x14ac:dyDescent="0.4">
      <c r="A216" s="87"/>
      <c r="B216" s="144" t="s">
        <v>57</v>
      </c>
      <c r="C216" s="144" t="s">
        <v>93</v>
      </c>
      <c r="D216" s="23" t="s">
        <v>57</v>
      </c>
      <c r="F216" s="23" t="str">
        <f t="shared" si="0"/>
        <v>Pérdida Reputacional</v>
      </c>
    </row>
    <row r="217" spans="1:8" s="23" customFormat="1" ht="42" x14ac:dyDescent="0.4">
      <c r="A217" s="87"/>
      <c r="B217" s="144" t="s">
        <v>57</v>
      </c>
      <c r="C217" s="144" t="s">
        <v>95</v>
      </c>
      <c r="E217" s="23" t="s">
        <v>92</v>
      </c>
      <c r="F217" s="23" t="str">
        <f>IF(NOT(ISBLANK(D217)),D217,IF(NOT(ISBLANK(E217)),"     "&amp;E217,FALSE))</f>
        <v xml:space="preserve">     El riesgo afecta la imagen de alguna área de la organización</v>
      </c>
    </row>
    <row r="218" spans="1:8" s="23" customFormat="1" ht="63" x14ac:dyDescent="0.4">
      <c r="A218" s="87"/>
      <c r="B218" s="144" t="s">
        <v>57</v>
      </c>
      <c r="C218" s="144"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4" t="s">
        <v>57</v>
      </c>
      <c r="C219" s="144"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5" t="s">
        <v>141</v>
      </c>
    </row>
    <row r="224" spans="1:8" s="23" customFormat="1" x14ac:dyDescent="0.3">
      <c r="F224" s="145" t="s">
        <v>142</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2025-05-09T04:33:13Z</dcterms:modified>
</cp:coreProperties>
</file>