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19. RECURSO FISICO\"/>
    </mc:Choice>
  </mc:AlternateContent>
  <xr:revisionPtr revIDLastSave="0" documentId="13_ncr:1_{7CCD13AF-D9D4-4D0C-B78A-CD11246DC3B9}" xr6:coauthVersionLast="47" xr6:coauthVersionMax="47" xr10:uidLastSave="{00000000-0000-0000-0000-000000000000}"/>
  <bookViews>
    <workbookView xWindow="-96" yWindow="-96" windowWidth="23232" windowHeight="12432" tabRatio="599"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s>
  <calcPr calcId="191029"/>
  <pivotCaches>
    <pivotCache cacheId="15"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6" i="1" l="1"/>
  <c r="E21" i="1" l="1"/>
  <c r="Z18" i="1"/>
  <c r="T21" i="1"/>
  <c r="AE21" i="1" s="1"/>
  <c r="AD21" i="1" s="1"/>
  <c r="AH20" i="1"/>
  <c r="AH19" i="1"/>
  <c r="AH18" i="1"/>
  <c r="AH17" i="1"/>
  <c r="AH21" i="1"/>
  <c r="AH11" i="1"/>
  <c r="AH10" i="1"/>
  <c r="E11" i="1"/>
  <c r="E18" i="1" l="1"/>
  <c r="E20" i="1"/>
  <c r="E19" i="1"/>
  <c r="E17" i="1"/>
  <c r="E16" i="1"/>
  <c r="S11" i="22" l="1"/>
  <c r="R11" i="22"/>
  <c r="R15" i="22" l="1"/>
  <c r="S15" i="22"/>
  <c r="R16" i="22"/>
  <c r="S16" i="22"/>
  <c r="R17" i="22"/>
  <c r="S17" i="22"/>
  <c r="R18" i="22"/>
  <c r="S18" i="22"/>
  <c r="R19" i="22"/>
  <c r="S19" i="22"/>
  <c r="R20" i="22"/>
  <c r="S20" i="22"/>
  <c r="R21" i="22"/>
  <c r="S21" i="22"/>
  <c r="R22" i="22"/>
  <c r="S22" i="22"/>
  <c r="R23" i="22"/>
  <c r="S23" i="22"/>
  <c r="R24" i="22"/>
  <c r="S24" i="22"/>
  <c r="R25" i="22"/>
  <c r="S25" i="22"/>
  <c r="R26" i="22"/>
  <c r="S26" i="22"/>
  <c r="R27" i="22"/>
  <c r="S27" i="22"/>
  <c r="R28" i="22"/>
  <c r="S28" i="22"/>
  <c r="R29" i="22"/>
  <c r="S29" i="22"/>
  <c r="R30" i="22"/>
  <c r="S30" i="22"/>
  <c r="R31" i="22"/>
  <c r="S31" i="22"/>
  <c r="R32" i="22"/>
  <c r="S32" i="22"/>
  <c r="R33" i="22"/>
  <c r="S33" i="22"/>
  <c r="R34" i="22"/>
  <c r="S34" i="22"/>
  <c r="S14" i="22"/>
  <c r="R14" i="22"/>
  <c r="S13" i="22"/>
  <c r="R13" i="22"/>
  <c r="S12" i="22"/>
  <c r="R12" i="22"/>
  <c r="R35" i="22"/>
  <c r="T10" i="1"/>
  <c r="E10" i="1"/>
  <c r="A6" i="23"/>
  <c r="A7" i="22"/>
  <c r="A6" i="22"/>
  <c r="S40" i="22" l="1"/>
  <c r="S39" i="22"/>
  <c r="R39" i="22"/>
  <c r="S38" i="22"/>
  <c r="R38" i="22"/>
  <c r="S37" i="22"/>
  <c r="R37" i="22"/>
  <c r="S36" i="22"/>
  <c r="R36" i="22"/>
  <c r="S35" i="22"/>
  <c r="S41" i="22" s="1"/>
  <c r="W63" i="1" l="1"/>
  <c r="T63" i="1"/>
  <c r="W62" i="1"/>
  <c r="T62" i="1"/>
  <c r="W61" i="1"/>
  <c r="T61" i="1"/>
  <c r="W60" i="1"/>
  <c r="T60" i="1"/>
  <c r="W59" i="1"/>
  <c r="T59" i="1"/>
  <c r="W58" i="1"/>
  <c r="T58" i="1"/>
  <c r="W57" i="1"/>
  <c r="T57" i="1"/>
  <c r="W56" i="1"/>
  <c r="T56" i="1"/>
  <c r="W55" i="1"/>
  <c r="T55" i="1"/>
  <c r="AE56" i="1" s="1"/>
  <c r="AD56" i="1" s="1"/>
  <c r="W54" i="1"/>
  <c r="T54" i="1"/>
  <c r="W53" i="1"/>
  <c r="T53" i="1"/>
  <c r="W52" i="1"/>
  <c r="T52" i="1"/>
  <c r="AE53" i="1" s="1"/>
  <c r="AD53" i="1" s="1"/>
  <c r="W51" i="1"/>
  <c r="T51" i="1"/>
  <c r="W50" i="1"/>
  <c r="T50" i="1"/>
  <c r="W49" i="1"/>
  <c r="T49" i="1"/>
  <c r="W48" i="1"/>
  <c r="T48" i="1"/>
  <c r="AE49" i="1" s="1"/>
  <c r="AD49" i="1" s="1"/>
  <c r="W47" i="1"/>
  <c r="T47" i="1"/>
  <c r="AE48" i="1" s="1"/>
  <c r="AD48" i="1" s="1"/>
  <c r="W46" i="1"/>
  <c r="T46" i="1"/>
  <c r="W45" i="1"/>
  <c r="T45" i="1"/>
  <c r="W44" i="1"/>
  <c r="T44" i="1"/>
  <c r="AE45" i="1" s="1"/>
  <c r="AD45" i="1" s="1"/>
  <c r="W43" i="1"/>
  <c r="T43" i="1"/>
  <c r="W42" i="1"/>
  <c r="T42" i="1"/>
  <c r="W41" i="1"/>
  <c r="T41" i="1"/>
  <c r="W40" i="1"/>
  <c r="T40" i="1"/>
  <c r="AE41" i="1" s="1"/>
  <c r="AD41" i="1" s="1"/>
  <c r="W39" i="1"/>
  <c r="T39" i="1"/>
  <c r="W38" i="1"/>
  <c r="T38" i="1"/>
  <c r="W37" i="1"/>
  <c r="T37" i="1"/>
  <c r="AE38" i="1" s="1"/>
  <c r="AD38" i="1" s="1"/>
  <c r="W36" i="1"/>
  <c r="T36" i="1"/>
  <c r="AE37" i="1" s="1"/>
  <c r="AD37" i="1" s="1"/>
  <c r="W35" i="1"/>
  <c r="T35" i="1"/>
  <c r="AE36" i="1" s="1"/>
  <c r="AD36" i="1" s="1"/>
  <c r="W34" i="1"/>
  <c r="T34" i="1"/>
  <c r="W33" i="1"/>
  <c r="T33" i="1"/>
  <c r="W32" i="1"/>
  <c r="T32" i="1"/>
  <c r="AE33" i="1" s="1"/>
  <c r="AD33" i="1" s="1"/>
  <c r="W31" i="1"/>
  <c r="T31" i="1"/>
  <c r="AE32" i="1" s="1"/>
  <c r="AD32" i="1" s="1"/>
  <c r="W30" i="1"/>
  <c r="T30" i="1"/>
  <c r="W29" i="1"/>
  <c r="T29" i="1"/>
  <c r="AE30" i="1" s="1"/>
  <c r="AD30" i="1" s="1"/>
  <c r="W28" i="1"/>
  <c r="T28" i="1"/>
  <c r="AE29" i="1" s="1"/>
  <c r="AD29" i="1" s="1"/>
  <c r="W27" i="1"/>
  <c r="T27" i="1"/>
  <c r="W26" i="1"/>
  <c r="T26" i="1"/>
  <c r="W25" i="1"/>
  <c r="T25" i="1"/>
  <c r="AE26" i="1" s="1"/>
  <c r="AD26" i="1" s="1"/>
  <c r="W24" i="1"/>
  <c r="T24" i="1"/>
  <c r="AE25" i="1" s="1"/>
  <c r="AD25" i="1" s="1"/>
  <c r="W23" i="1"/>
  <c r="T23" i="1"/>
  <c r="W22" i="1"/>
  <c r="T22" i="1"/>
  <c r="W21" i="1"/>
  <c r="W19" i="1"/>
  <c r="W18" i="1"/>
  <c r="T18" i="1"/>
  <c r="W17" i="1"/>
  <c r="T17" i="1"/>
  <c r="W16" i="1"/>
  <c r="T16" i="1"/>
  <c r="AE42" i="1" l="1"/>
  <c r="AD42" i="1" s="1"/>
  <c r="AE24" i="1"/>
  <c r="AD24" i="1" s="1"/>
  <c r="AE44" i="1"/>
  <c r="AD44" i="1" s="1"/>
  <c r="AE61" i="1"/>
  <c r="AD61" i="1" s="1"/>
  <c r="AE60" i="1"/>
  <c r="AD60" i="1" s="1"/>
  <c r="AE57" i="1"/>
  <c r="AD57" i="1" s="1"/>
  <c r="AE50" i="1"/>
  <c r="AD50" i="1" s="1"/>
  <c r="AE54" i="1"/>
  <c r="AD54" i="1" s="1"/>
  <c r="AE62" i="1"/>
  <c r="AD62" i="1" s="1"/>
  <c r="AE23" i="1"/>
  <c r="AD23" i="1" s="1"/>
  <c r="AE27" i="1"/>
  <c r="AD27" i="1" s="1"/>
  <c r="AE31" i="1"/>
  <c r="AD31" i="1" s="1"/>
  <c r="AE35" i="1"/>
  <c r="AD35" i="1" s="1"/>
  <c r="AE39" i="1"/>
  <c r="AD39" i="1" s="1"/>
  <c r="AE43" i="1"/>
  <c r="AD43" i="1" s="1"/>
  <c r="AE47" i="1"/>
  <c r="AD47" i="1" s="1"/>
  <c r="AE51" i="1"/>
  <c r="AD51" i="1" s="1"/>
  <c r="AE55" i="1"/>
  <c r="AD55" i="1" s="1"/>
  <c r="AE59" i="1"/>
  <c r="AD59" i="1" s="1"/>
  <c r="AE63" i="1"/>
  <c r="AD63" i="1" s="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C63" i="1" l="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C38" i="1"/>
  <c r="AB38" i="1"/>
  <c r="AF38" i="1" s="1"/>
  <c r="AC36" i="1"/>
  <c r="AB36" i="1"/>
  <c r="AF36" i="1" s="1"/>
  <c r="AC34" i="1"/>
  <c r="AB34" i="1"/>
  <c r="AF34" i="1" s="1"/>
  <c r="AC33" i="1"/>
  <c r="AB33" i="1"/>
  <c r="AF33" i="1" s="1"/>
  <c r="AC31" i="1"/>
  <c r="AB31" i="1"/>
  <c r="AF31" i="1" s="1"/>
  <c r="AC29" i="1"/>
  <c r="AB29" i="1"/>
  <c r="AF29" i="1" s="1"/>
  <c r="AB32" i="1"/>
  <c r="AF32" i="1" s="1"/>
  <c r="AC32" i="1"/>
  <c r="AB30" i="1"/>
  <c r="AF30" i="1" s="1"/>
  <c r="AC30" i="1"/>
  <c r="AC28" i="1"/>
  <c r="AB28" i="1"/>
  <c r="AF28" i="1" s="1"/>
  <c r="AC27" i="1"/>
  <c r="AB27" i="1"/>
  <c r="AF27" i="1" s="1"/>
  <c r="AC25" i="1"/>
  <c r="AB25" i="1"/>
  <c r="AF25" i="1" s="1"/>
  <c r="AC23" i="1"/>
  <c r="AB23" i="1"/>
  <c r="AF23" i="1" s="1"/>
  <c r="AC26" i="1"/>
  <c r="AB26" i="1"/>
  <c r="AF26" i="1" s="1"/>
  <c r="AC24" i="1"/>
  <c r="AB24" i="1"/>
  <c r="AF24" i="1" s="1"/>
  <c r="AC22" i="1"/>
  <c r="AB22" i="1"/>
  <c r="AF22" i="1" s="1"/>
  <c r="K10" i="1" l="1"/>
  <c r="K19" i="1"/>
  <c r="L19" i="1" s="1"/>
  <c r="K22" i="1"/>
  <c r="K28" i="1"/>
  <c r="L28" i="1" s="1"/>
  <c r="K34" i="1"/>
  <c r="L34" i="1" s="1"/>
  <c r="K40" i="1"/>
  <c r="L40" i="1" s="1"/>
  <c r="K46" i="1"/>
  <c r="L46" i="1" s="1"/>
  <c r="K52" i="1"/>
  <c r="L52" i="1" s="1"/>
  <c r="K58" i="1"/>
  <c r="L58" i="1" s="1"/>
  <c r="W12" i="1"/>
  <c r="W13" i="1"/>
  <c r="W14" i="1"/>
  <c r="W15" i="1"/>
  <c r="W11" i="1"/>
  <c r="N51" i="1"/>
  <c r="N63" i="1"/>
  <c r="N59" i="1"/>
  <c r="N47" i="1"/>
  <c r="N48" i="1"/>
  <c r="N39" i="1"/>
  <c r="N27" i="1"/>
  <c r="N26" i="1"/>
  <c r="N29" i="1"/>
  <c r="N41" i="1"/>
  <c r="N23" i="1"/>
  <c r="N60" i="1"/>
  <c r="N36" i="1"/>
  <c r="N44" i="1"/>
  <c r="N42" i="1"/>
  <c r="N57" i="1"/>
  <c r="N25" i="1"/>
  <c r="N49" i="1"/>
  <c r="N45" i="1"/>
  <c r="N53" i="1"/>
  <c r="N62" i="1"/>
  <c r="N30" i="1"/>
  <c r="N43" i="1"/>
  <c r="N31" i="1"/>
  <c r="N61" i="1"/>
  <c r="N33" i="1"/>
  <c r="N35" i="1"/>
  <c r="N56" i="1"/>
  <c r="N37" i="1"/>
  <c r="N24" i="1"/>
  <c r="N54" i="1"/>
  <c r="N50" i="1"/>
  <c r="N38" i="1"/>
  <c r="N55" i="1"/>
  <c r="N32" i="1"/>
  <c r="N21" i="1"/>
  <c r="N20" i="1"/>
  <c r="L22" i="1" l="1"/>
  <c r="T11" i="1" l="1"/>
  <c r="F217" i="13"/>
  <c r="T12" i="1"/>
  <c r="T13" i="1"/>
  <c r="T14" i="1"/>
  <c r="T15" i="1"/>
  <c r="W10" i="1" l="1"/>
  <c r="L10" i="1" l="1"/>
  <c r="N17" i="1"/>
  <c r="N18" i="1"/>
  <c r="AA12" i="1" l="1"/>
  <c r="F221" i="13"/>
  <c r="F211" i="13"/>
  <c r="F212" i="13"/>
  <c r="F213" i="13"/>
  <c r="F214" i="13"/>
  <c r="F215" i="13"/>
  <c r="F216" i="13"/>
  <c r="F218" i="13"/>
  <c r="F219" i="13"/>
  <c r="F220" i="13"/>
  <c r="F210" i="13"/>
  <c r="N13" i="1"/>
  <c r="N14" i="1"/>
  <c r="N11" i="1"/>
  <c r="N12" i="1"/>
  <c r="N15" i="1"/>
  <c r="B221" i="13" a="1"/>
  <c r="AB12" i="1" l="1"/>
  <c r="AC12" i="1"/>
  <c r="AA13" i="1" s="1"/>
  <c r="B221" i="13"/>
  <c r="AB13" i="1" l="1"/>
  <c r="AC13" i="1"/>
  <c r="AA14"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C14" i="1" l="1"/>
  <c r="AA15" i="1" s="1"/>
  <c r="AB14" i="1"/>
  <c r="K16" i="1"/>
  <c r="AB15" i="1" l="1"/>
  <c r="AC15" i="1"/>
  <c r="L16" i="1"/>
  <c r="AA16" i="1" s="1"/>
  <c r="AB16" i="1" l="1"/>
  <c r="AC16" i="1"/>
  <c r="AA17"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7" i="1" l="1"/>
  <c r="AA18" i="1" s="1"/>
  <c r="AB17" i="1"/>
  <c r="AA10" i="1"/>
  <c r="AB10" i="1" s="1"/>
  <c r="AC18" i="1" l="1"/>
  <c r="AA19" i="1" s="1"/>
  <c r="AB18" i="1"/>
  <c r="AC10" i="1"/>
  <c r="AA11" i="1" s="1"/>
  <c r="AC19" i="1" l="1"/>
  <c r="AA21" i="1"/>
  <c r="AB19" i="1"/>
  <c r="AC11" i="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21" i="1" l="1"/>
  <c r="AF21" i="1" s="1"/>
  <c r="AC21"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E12" i="1" l="1"/>
  <c r="AD12" i="1" l="1"/>
  <c r="AE13" i="1"/>
  <c r="AD13" i="1" l="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L28" i="19" l="1"/>
  <c r="X38" i="19" l="1"/>
  <c r="AJ38" i="19"/>
  <c r="AJ48" i="19"/>
  <c r="AJ18" i="19"/>
  <c r="R18" i="19"/>
  <c r="AJ28" i="19"/>
  <c r="AD28" i="19"/>
  <c r="X48" i="19"/>
  <c r="L8" i="19"/>
  <c r="R8" i="19"/>
  <c r="AD8" i="19"/>
  <c r="X18" i="19"/>
  <c r="R48" i="19"/>
  <c r="L18" i="19"/>
  <c r="L38" i="19"/>
  <c r="R28" i="19"/>
  <c r="R38" i="19"/>
  <c r="AD18" i="19"/>
  <c r="X8" i="19"/>
  <c r="AD38" i="19"/>
  <c r="AD48" i="19"/>
  <c r="AJ8" i="19"/>
  <c r="L48" i="19"/>
  <c r="X28" i="19"/>
  <c r="N16" i="1" l="1"/>
  <c r="O16" i="1" s="1"/>
  <c r="N10" i="1"/>
  <c r="O10" i="1" s="1"/>
  <c r="N58" i="1"/>
  <c r="O58" i="1" s="1"/>
  <c r="N52" i="1"/>
  <c r="O52" i="1" s="1"/>
  <c r="N46" i="1"/>
  <c r="O46" i="1" s="1"/>
  <c r="N40" i="1"/>
  <c r="O40" i="1" s="1"/>
  <c r="N34" i="1"/>
  <c r="O34" i="1" s="1"/>
  <c r="N28" i="1"/>
  <c r="O28" i="1" s="1"/>
  <c r="N22" i="1"/>
  <c r="O22" i="1" s="1"/>
  <c r="N19" i="1"/>
  <c r="O19" i="1" s="1"/>
  <c r="AH36" i="18" l="1"/>
  <c r="AH44" i="18"/>
  <c r="V12" i="18"/>
  <c r="J28" i="18"/>
  <c r="P36" i="18"/>
  <c r="J12" i="18"/>
  <c r="V44" i="18"/>
  <c r="V36" i="18"/>
  <c r="AH20" i="18"/>
  <c r="AB44" i="18"/>
  <c r="Q58" i="1"/>
  <c r="AB28" i="18"/>
  <c r="P44" i="18"/>
  <c r="V28" i="18"/>
  <c r="P58" i="1"/>
  <c r="AB12" i="18"/>
  <c r="J36" i="18"/>
  <c r="P28" i="18"/>
  <c r="AB20" i="18"/>
  <c r="J20" i="18"/>
  <c r="P12" i="18"/>
  <c r="P20" i="18"/>
  <c r="AH12" i="18"/>
  <c r="AH28" i="18"/>
  <c r="J44" i="18"/>
  <c r="AB36" i="18"/>
  <c r="V20" i="18"/>
  <c r="T8" i="18"/>
  <c r="Z16" i="18"/>
  <c r="AL24" i="18"/>
  <c r="AF8" i="18"/>
  <c r="N24" i="18"/>
  <c r="AF32" i="18"/>
  <c r="N16" i="18"/>
  <c r="Z40" i="18"/>
  <c r="N40" i="18"/>
  <c r="T40" i="18"/>
  <c r="N32" i="18"/>
  <c r="P34" i="1"/>
  <c r="T24" i="18"/>
  <c r="N8" i="18"/>
  <c r="Q34" i="1"/>
  <c r="T32" i="18"/>
  <c r="AL16" i="18"/>
  <c r="Z8" i="18"/>
  <c r="AL32" i="18"/>
  <c r="Z32" i="18"/>
  <c r="AF40" i="18"/>
  <c r="T16" i="18"/>
  <c r="AL40" i="18"/>
  <c r="AF24" i="18"/>
  <c r="AF16" i="18"/>
  <c r="Z24" i="18"/>
  <c r="AL8" i="18"/>
  <c r="AJ6" i="18"/>
  <c r="AD30" i="18"/>
  <c r="R6" i="18"/>
  <c r="L22" i="18"/>
  <c r="AD6" i="18"/>
  <c r="X38" i="18"/>
  <c r="L38" i="18"/>
  <c r="L14" i="18"/>
  <c r="AJ22" i="18"/>
  <c r="X30" i="18"/>
  <c r="AJ14" i="18"/>
  <c r="AJ38" i="18"/>
  <c r="L30" i="18"/>
  <c r="AD14" i="18"/>
  <c r="P16" i="1"/>
  <c r="AE16" i="1" s="1"/>
  <c r="X22" i="18"/>
  <c r="R14" i="18"/>
  <c r="AD22" i="18"/>
  <c r="L6" i="18"/>
  <c r="R38" i="18"/>
  <c r="AD38" i="18"/>
  <c r="R22" i="18"/>
  <c r="AJ30" i="18"/>
  <c r="R30" i="18"/>
  <c r="X6" i="18"/>
  <c r="Q16" i="1"/>
  <c r="X14" i="18"/>
  <c r="Z42" i="18"/>
  <c r="Z34" i="18"/>
  <c r="AF34" i="18"/>
  <c r="AL18" i="18"/>
  <c r="Q52" i="1"/>
  <c r="T10" i="18"/>
  <c r="T42" i="18"/>
  <c r="P52" i="1"/>
  <c r="AF10" i="18"/>
  <c r="Z10" i="18"/>
  <c r="AF18" i="18"/>
  <c r="Z18" i="18"/>
  <c r="AL42" i="18"/>
  <c r="Z26" i="18"/>
  <c r="N26" i="18"/>
  <c r="T26" i="18"/>
  <c r="N10" i="18"/>
  <c r="N18" i="18"/>
  <c r="AL10" i="18"/>
  <c r="T18" i="18"/>
  <c r="AL34" i="18"/>
  <c r="AL26" i="18"/>
  <c r="AF26" i="18"/>
  <c r="T34" i="18"/>
  <c r="N42" i="18"/>
  <c r="AF42" i="18"/>
  <c r="N34" i="18"/>
  <c r="AJ16" i="18"/>
  <c r="L8" i="18"/>
  <c r="R24" i="18"/>
  <c r="P28" i="1"/>
  <c r="AJ8" i="18"/>
  <c r="AJ24" i="18"/>
  <c r="L40" i="18"/>
  <c r="AD8" i="18"/>
  <c r="Q28" i="1"/>
  <c r="AD40" i="18"/>
  <c r="X24" i="18"/>
  <c r="R8" i="18"/>
  <c r="AD16" i="18"/>
  <c r="AD24" i="18"/>
  <c r="AJ32" i="18"/>
  <c r="L32" i="18"/>
  <c r="AD32" i="18"/>
  <c r="AJ40" i="18"/>
  <c r="L24" i="18"/>
  <c r="X40" i="18"/>
  <c r="X8" i="18"/>
  <c r="X32" i="18"/>
  <c r="R32" i="18"/>
  <c r="R40" i="18"/>
  <c r="R16" i="18"/>
  <c r="X16" i="18"/>
  <c r="L16" i="18"/>
  <c r="AB30" i="18"/>
  <c r="J30" i="18"/>
  <c r="AB38" i="18"/>
  <c r="AB14" i="18"/>
  <c r="V14" i="18"/>
  <c r="P10" i="1"/>
  <c r="AE10" i="1" s="1"/>
  <c r="AB22" i="18"/>
  <c r="P38" i="18"/>
  <c r="P6" i="18"/>
  <c r="J14" i="18"/>
  <c r="AH22" i="18"/>
  <c r="AH14" i="18"/>
  <c r="P22" i="18"/>
  <c r="Q10" i="1"/>
  <c r="AH6" i="18"/>
  <c r="P14" i="18"/>
  <c r="V22" i="18"/>
  <c r="V38" i="18"/>
  <c r="AB6" i="18"/>
  <c r="J22" i="18"/>
  <c r="AH30" i="18"/>
  <c r="V6" i="18"/>
  <c r="V30" i="18"/>
  <c r="AH38" i="18"/>
  <c r="J6" i="18"/>
  <c r="P30" i="18"/>
  <c r="J38" i="18"/>
  <c r="P34" i="18"/>
  <c r="J18" i="18"/>
  <c r="V10" i="18"/>
  <c r="J34" i="18"/>
  <c r="AB42" i="18"/>
  <c r="AH18" i="18"/>
  <c r="J26" i="18"/>
  <c r="P26" i="18"/>
  <c r="AB34" i="18"/>
  <c r="V18" i="18"/>
  <c r="AB26" i="18"/>
  <c r="P18" i="18"/>
  <c r="P10" i="18"/>
  <c r="AB10" i="18"/>
  <c r="J42" i="18"/>
  <c r="AH26" i="18"/>
  <c r="Q40" i="1"/>
  <c r="AH34" i="18"/>
  <c r="AH42" i="18"/>
  <c r="P42" i="18"/>
  <c r="V34" i="18"/>
  <c r="P40" i="1"/>
  <c r="V26" i="18"/>
  <c r="J10" i="18"/>
  <c r="AH10" i="18"/>
  <c r="V42" i="18"/>
  <c r="AB18" i="18"/>
  <c r="P8" i="18"/>
  <c r="J16" i="18"/>
  <c r="P22" i="1"/>
  <c r="J24" i="18"/>
  <c r="AH24" i="18"/>
  <c r="P16" i="18"/>
  <c r="AB8" i="18"/>
  <c r="P40" i="18"/>
  <c r="AH16" i="18"/>
  <c r="J8" i="18"/>
  <c r="P32" i="18"/>
  <c r="AH40" i="18"/>
  <c r="V24" i="18"/>
  <c r="P24" i="18"/>
  <c r="V16" i="18"/>
  <c r="AB32" i="18"/>
  <c r="AB40" i="18"/>
  <c r="AH8" i="18"/>
  <c r="AB24" i="18"/>
  <c r="V8" i="18"/>
  <c r="AB16" i="18"/>
  <c r="V32" i="18"/>
  <c r="AH32" i="18"/>
  <c r="Q22" i="1"/>
  <c r="J32" i="18"/>
  <c r="J40" i="18"/>
  <c r="V40" i="18"/>
  <c r="L10" i="18"/>
  <c r="X10" i="18"/>
  <c r="X34" i="18"/>
  <c r="AJ18" i="18"/>
  <c r="R18" i="18"/>
  <c r="R42" i="18"/>
  <c r="R34" i="18"/>
  <c r="X18" i="18"/>
  <c r="X26" i="18"/>
  <c r="AD26" i="18"/>
  <c r="AD10" i="18"/>
  <c r="L34" i="18"/>
  <c r="AJ42" i="18"/>
  <c r="Q46" i="1"/>
  <c r="R10" i="18"/>
  <c r="AJ34" i="18"/>
  <c r="R26" i="18"/>
  <c r="AJ10" i="18"/>
  <c r="L42" i="18"/>
  <c r="AD18" i="18"/>
  <c r="AD42" i="18"/>
  <c r="AJ26" i="18"/>
  <c r="L18" i="18"/>
  <c r="L26" i="18"/>
  <c r="P46" i="1"/>
  <c r="AD34" i="18"/>
  <c r="X42" i="18"/>
  <c r="AL22" i="18"/>
  <c r="AL38" i="18"/>
  <c r="AF6" i="18"/>
  <c r="Z30" i="18"/>
  <c r="N38" i="18"/>
  <c r="N14" i="18"/>
  <c r="Z14" i="18"/>
  <c r="AF38" i="18"/>
  <c r="AF22" i="18"/>
  <c r="Z6" i="18"/>
  <c r="Z22" i="18"/>
  <c r="P19" i="1"/>
  <c r="AL14" i="18"/>
  <c r="T14" i="18"/>
  <c r="T38" i="18"/>
  <c r="AL30" i="18"/>
  <c r="N30" i="18"/>
  <c r="AF30" i="18"/>
  <c r="AL6" i="18"/>
  <c r="T6" i="18"/>
  <c r="Z38" i="18"/>
  <c r="N22" i="18"/>
  <c r="Q19" i="1"/>
  <c r="N6" i="18"/>
  <c r="T30" i="18"/>
  <c r="T22" i="18"/>
  <c r="AF14" i="18"/>
  <c r="AE11" i="1" l="1"/>
  <c r="AD11" i="1" s="1"/>
  <c r="AD10" i="1"/>
  <c r="AD16" i="1"/>
  <c r="AE17" i="1"/>
  <c r="P36" i="19" l="1"/>
  <c r="V46" i="19"/>
  <c r="J26" i="19"/>
  <c r="V26" i="19"/>
  <c r="AH6" i="19"/>
  <c r="J36" i="19"/>
  <c r="AF10" i="1"/>
  <c r="V16" i="19"/>
  <c r="P6" i="19"/>
  <c r="V36" i="19"/>
  <c r="AH36" i="19"/>
  <c r="J16" i="19"/>
  <c r="P46" i="19"/>
  <c r="J46" i="19"/>
  <c r="P16" i="19"/>
  <c r="AB6" i="19"/>
  <c r="AH16" i="19"/>
  <c r="AB36" i="19"/>
  <c r="P26" i="19"/>
  <c r="AH26" i="19"/>
  <c r="AH46" i="19"/>
  <c r="AB46" i="19"/>
  <c r="AB16" i="19"/>
  <c r="AB26" i="19"/>
  <c r="J6" i="19"/>
  <c r="V6" i="19"/>
  <c r="W46" i="19"/>
  <c r="Q6" i="19"/>
  <c r="Q26" i="19"/>
  <c r="W16" i="19"/>
  <c r="AC16" i="19"/>
  <c r="K6" i="19"/>
  <c r="AI46" i="19"/>
  <c r="K26" i="19"/>
  <c r="AC6" i="19"/>
  <c r="W26" i="19"/>
  <c r="AI6" i="19"/>
  <c r="AC46" i="19"/>
  <c r="K46" i="19"/>
  <c r="AI26" i="19"/>
  <c r="W36" i="19"/>
  <c r="AC26" i="19"/>
  <c r="AI36" i="19"/>
  <c r="Q36" i="19"/>
  <c r="Q46" i="19"/>
  <c r="K36" i="19"/>
  <c r="AF11" i="1"/>
  <c r="AC36" i="19"/>
  <c r="W6" i="19"/>
  <c r="K16" i="19"/>
  <c r="AI16" i="19"/>
  <c r="Q16" i="19"/>
  <c r="AF16" i="1"/>
  <c r="AH47" i="19"/>
  <c r="P7" i="19"/>
  <c r="P17" i="19"/>
  <c r="J7" i="19"/>
  <c r="V7" i="19"/>
  <c r="AH27" i="19"/>
  <c r="J37" i="19"/>
  <c r="J47" i="19"/>
  <c r="AH17" i="19"/>
  <c r="AB47" i="19"/>
  <c r="P27" i="19"/>
  <c r="V47" i="19"/>
  <c r="V17" i="19"/>
  <c r="J17" i="19"/>
  <c r="AB27" i="19"/>
  <c r="AB7" i="19"/>
  <c r="P47" i="19"/>
  <c r="AB17" i="19"/>
  <c r="AH7" i="19"/>
  <c r="AB37" i="19"/>
  <c r="V27" i="19"/>
  <c r="V37" i="19"/>
  <c r="AH37" i="19"/>
  <c r="J27" i="19"/>
  <c r="P37" i="19"/>
  <c r="AE18" i="1"/>
  <c r="AD17" i="1"/>
  <c r="AE19" i="1" l="1"/>
  <c r="AD19" i="1" s="1"/>
  <c r="AD18" i="1"/>
  <c r="AF17" i="1"/>
  <c r="Q7" i="19"/>
  <c r="AC47" i="19"/>
  <c r="K37" i="19"/>
  <c r="Q27" i="19"/>
  <c r="AI47" i="19"/>
  <c r="AI7" i="19"/>
  <c r="K17" i="19"/>
  <c r="W37" i="19"/>
  <c r="AC17" i="19"/>
  <c r="AC37" i="19"/>
  <c r="Q47" i="19"/>
  <c r="AC27" i="19"/>
  <c r="W27" i="19"/>
  <c r="Q17" i="19"/>
  <c r="W17" i="19"/>
  <c r="K7" i="19"/>
  <c r="K47" i="19"/>
  <c r="AC7" i="19"/>
  <c r="AI17" i="19"/>
  <c r="K27" i="19"/>
  <c r="W7" i="19"/>
  <c r="AI27" i="19"/>
  <c r="Q37" i="19"/>
  <c r="W47" i="19"/>
  <c r="AI37" i="19"/>
  <c r="AF19" i="1" l="1"/>
  <c r="V38" i="19"/>
  <c r="AB48" i="19"/>
  <c r="P8" i="19"/>
  <c r="AH48" i="19"/>
  <c r="AH28" i="19"/>
  <c r="AH8" i="19"/>
  <c r="V48" i="19"/>
  <c r="AH38" i="19"/>
  <c r="J38" i="19"/>
  <c r="V28" i="19"/>
  <c r="AB28" i="19"/>
  <c r="P48" i="19"/>
  <c r="P18" i="19"/>
  <c r="V18" i="19"/>
  <c r="J8" i="19"/>
  <c r="AB8" i="19"/>
  <c r="AH18" i="19"/>
  <c r="J18" i="19"/>
  <c r="AB18" i="19"/>
  <c r="J28" i="19"/>
  <c r="P38" i="19"/>
  <c r="P28" i="19"/>
  <c r="V8" i="19"/>
  <c r="AB38" i="19"/>
  <c r="J48" i="19"/>
  <c r="AF18" i="1"/>
  <c r="AD37" i="19"/>
  <c r="AJ27" i="19"/>
  <c r="AD27" i="19"/>
  <c r="X47" i="19"/>
  <c r="L47" i="19"/>
  <c r="AJ7" i="19"/>
  <c r="R17" i="19"/>
  <c r="R7" i="19"/>
  <c r="X37" i="19"/>
  <c r="AD7" i="19"/>
  <c r="AJ47" i="19"/>
  <c r="R47" i="19"/>
  <c r="AD47" i="19"/>
  <c r="X27" i="19"/>
  <c r="R27" i="19"/>
  <c r="L17" i="19"/>
  <c r="X7" i="19"/>
  <c r="L37" i="19"/>
  <c r="AD17" i="19"/>
  <c r="L7" i="19"/>
  <c r="AJ37" i="19"/>
  <c r="AJ17" i="19"/>
  <c r="L27" i="19"/>
  <c r="R37" i="19"/>
  <c r="X1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<sst xmlns="http://schemas.openxmlformats.org/spreadsheetml/2006/main" count="621" uniqueCount="421">
  <si>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</si>
  <si>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</si>
  <si>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</si>
  <si>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</si>
  <si>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</si>
  <si>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</si>
  <si>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</si>
  <si>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</si>
  <si>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</si>
  <si>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</si>
  <si>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</si>
  <si>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</si>
  <si>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</si>
  <si>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</si>
  <si>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</si>
  <si>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</si>
  <si>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</si>
  <si>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</si>
  <si>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</si>
  <si>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</si>
  <si>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</si>
  <si>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</si>
  <si>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</si>
  <si>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</si>
  <si>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</si>
  <si>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</si>
  <si>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</si>
  <si>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</si>
  <si>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</si>
  <si>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</si>
  <si>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</si>
  <si>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</si>
  <si>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</si>
  <si>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</si>
  <si>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</si>
  <si>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</si>
  <si>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</si>
  <si>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</si>
  <si>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</si>
  <si>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</si>
  <si>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</si>
  <si>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</si>
  <si>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</si>
  <si>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</si>
  <si>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</si>
  <si>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</si>
  <si>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</si>
  <si>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</si>
  <si>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</si>
  <si>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</si>
  <si>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</si>
  <si>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</si>
  <si>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</si>
  <si>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</si>
  <si>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</si>
  <si>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</si>
  <si>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</si>
  <si>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</si>
  <si>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</si>
  <si>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</si>
  <si>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</si>
  <si>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</si>
  <si>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</si>
  <si>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</si>
  <si>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</si>
  <si>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</si>
  <si>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</si>
  <si>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</si>
  <si>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</si>
  <si>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</si>
  <si>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</si>
  <si>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</si>
  <si>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</si>
  <si>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</si>
  <si>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</si>
  <si>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</si>
  <si>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</si>
  <si>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</si>
  <si>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</si>
  <si>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</si>
  <si>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</si>
  <si>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</si>
  <si>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</si>
  <si>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</si>
  <si>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</si>
  <si>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</si>
  <si>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</si>
  <si>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</si>
  <si>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</si>
  <si>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</si>
  <si>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</si>
  <si>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</si>
  <si>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</si>
  <si>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</si>
  <si>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</si>
  <si>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</si>
  <si>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</si>
  <si>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</si>
  <si>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</si>
  <si>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</si>
  <si>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</si>
  <si>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</si>
  <si>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</si>
  <si>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</si>
  <si>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</si>
  <si>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</si>
  <si>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</si>
  <si>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</si>
  <si>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</si>
  <si>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</si>
  <si>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</si>
  <si>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</si>
  <si>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</si>
  <si>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</si>
  <si>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</si>
  <si>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</si>
  <si>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</si>
  <si>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</si>
  <si>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</si>
  <si>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</si>
  <si>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</si>
  <si>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</si>
  <si>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</si>
  <si>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</si>
  <si>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</si>
  <si>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</si>
  <si>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</si>
  <si>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</si>
  <si>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</si>
  <si>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</si>
  <si>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</si>
  <si>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</si>
  <si>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</si>
  <si>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</si>
  <si>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</si>
  <si>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</si>
  <si>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</si>
  <si>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</si>
  <si>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</si>
  <si>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</si>
  <si>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</si>
  <si>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</si>
  <si>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</si>
  <si>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</si>
  <si>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</si>
  <si>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</si>
  <si>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</si>
  <si>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</si>
  <si>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</si>
  <si>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</si>
  <si>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</si>
  <si>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</si>
  <si>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</si>
  <si>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</si>
  <si>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</si>
  <si>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</si>
  <si>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</si>
  <si>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</si>
  <si>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</si>
  <si>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</si>
  <si>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</si>
  <si>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</si>
  <si>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</si>
  <si>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</si>
  <si>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</si>
  <si>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</si>
  <si>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</si>
  <si>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</si>
  <si>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</si>
  <si>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</si>
  <si>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</si>
  <si>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</si>
  <si>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</si>
  <si>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</si>
  <si>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</si>
  <si>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</si>
  <si>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</si>
  <si>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</si>
  <si>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</si>
  <si>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</si>
  <si>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</si>
  <si>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</si>
  <si>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</si>
  <si>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</si>
  <si>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</si>
  <si>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</si>
  <si>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</si>
  <si>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</si>
  <si>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</si>
  <si>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</si>
  <si>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</si>
  <si>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</si>
  <si>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</si>
  <si>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</si>
  <si>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</si>
  <si>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</si>
  <si>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</si>
  <si>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</si>
  <si>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</si>
  <si>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</si>
  <si>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</si>
  <si>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</si>
  <si>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</si>
  <si>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</si>
  <si>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</si>
  <si>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</si>
  <si>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</si>
  <si>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</si>
  <si>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</si>
  <si>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</si>
  <si>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</si>
  <si>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</si>
  <si>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</si>
  <si>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</si>
  <si>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</si>
  <si>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</si>
  <si>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</si>
  <si>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</si>
  <si>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</si>
  <si>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</si>
  <si>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</si>
  <si>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</si>
  <si>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</si>
  <si>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</si>
  <si>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</si>
  <si>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</si>
  <si>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</si>
  <si>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</si>
  <si>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</si>
  <si>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</si>
  <si>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</si>
  <si>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</si>
  <si>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</si>
  <si>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</si>
  <si>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</si>
  <si>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</si>
  <si>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</si>
  <si>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</si>
  <si>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</si>
  <si>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</si>
  <si>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</si>
  <si>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</si>
  <si>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</si>
  <si>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</si>
  <si>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</si>
  <si>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</si>
  <si>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</si>
  <si>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</si>
  <si>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</si>
  <si>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</si>
  <si>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</si>
  <si>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</si>
  <si>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</si>
  <si>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</si>
  <si>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</si>
  <si>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</si>
  <si>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</si>
  <si>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</si>
  <si>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</si>
  <si>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Codigo:FOR-029-PRO-SIG-01</t>
  </si>
  <si>
    <t>Versión: 01</t>
  </si>
  <si>
    <t>Fecha: 21/02/2024</t>
  </si>
  <si>
    <t>Pagina:  1 de 1</t>
  </si>
  <si>
    <t>Fecha:21/02/2024</t>
  </si>
  <si>
    <t>Codigo: FOR-029-PRO-SIG-01</t>
  </si>
  <si>
    <t>PROCESO:  GESTION DE RECURSOS FISICOS</t>
  </si>
  <si>
    <t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</si>
  <si>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Declaratoria de emergecia sanitaria por epidemias, pandemias y/o catastrofes naturales.</t>
  </si>
  <si>
    <t>PERSONAL DE LA ENTIDAD (Capacidad del personal, políticas de manejo del talento humano, idoneidad)</t>
  </si>
  <si>
    <t>Personal de planta insuficiente o sin las competencias  para el desarrollo de las actividades propias del proceso.</t>
  </si>
  <si>
    <t>ARTICULACIÓN DE LOS PROCESOS</t>
  </si>
  <si>
    <t>Deficiente articulacion de la informacion entre procesos para la identificación de los predios de propiedad del Municipio.</t>
  </si>
  <si>
    <t>LEGALES Y REGLAMENTARIOS</t>
  </si>
  <si>
    <t>Constantes cambios normativos (leyes, decretos, acuerdos).</t>
  </si>
  <si>
    <t>Sancion del Ente Regulador</t>
  </si>
  <si>
    <t>INTERACCIÓN CON LOS PROCESOS</t>
  </si>
  <si>
    <t>Demora en la adjudicación de los procesos contractuales para adelantar las actividades propias de la Direccion. (demora en los tiempo de respuesta)</t>
  </si>
  <si>
    <t>Situaciones de Orden Publico</t>
  </si>
  <si>
    <t>Falta de apropiación a los valores y principios  establecidos en el  Código de Integridad y Buen Gobierno</t>
  </si>
  <si>
    <t>TRANSVERSALIDAD</t>
  </si>
  <si>
    <t>Dificultad en acatar los lineamientos y directrices de Recursos Fisicos en los difentes procesos</t>
  </si>
  <si>
    <t>Cambios de Gobierno</t>
  </si>
  <si>
    <t>FINANCIEROS</t>
  </si>
  <si>
    <t>COMUNICACIÓN ENTRE LOS PROCESOS</t>
  </si>
  <si>
    <t xml:space="preserve">Baja efectividad de los flujos de informacion (demora en los tiempos de respuesta) </t>
  </si>
  <si>
    <t xml:space="preserve">Baja seguridad informatica </t>
  </si>
  <si>
    <t>Desconcimiento sobre la utilizacion adecuada de los elementos y bienes (devolutivos y de consumo) a cargo de los funcionarios</t>
  </si>
  <si>
    <t>PROCEDIMIENTOS DEL PROCESO</t>
  </si>
  <si>
    <t>Deficiente control al momentos de la desvinculacion o traslado de los Funcionarios</t>
  </si>
  <si>
    <t>ECONÓMICOS Y FINANCIEROS</t>
  </si>
  <si>
    <t>Incremento de precios en las cotizaciones de los oferentes en la contratación</t>
  </si>
  <si>
    <t>Falta de Presupuesto para cumplir con el correcto funcionamiento de los procesos de la entidad y metas del plan de desarrollo</t>
  </si>
  <si>
    <t>Falta de Politicas y/o procedimientos para la identificacion de los bienes fiscales y de uso publico del municipio.</t>
  </si>
  <si>
    <t>Dificultad de comunicación con las entidades del orden publico y privado</t>
  </si>
  <si>
    <t>TECNOLOGÍA (integridad de datos, disponibilidad de datos y sistemas, desarrollo, producción, mantenimiento de sistemas de información)</t>
  </si>
  <si>
    <t>Inadecuado manejo de la informacion en la base de datos asociada al proceso de identificacion de los Bienes Fiscales y de uso Publico</t>
  </si>
  <si>
    <t>RESPONSABLES DEL PROCESO</t>
  </si>
  <si>
    <t>Presiones externas o de un superior jerárquico, omisión de las políticas para el uso adecuado de los bienes.</t>
  </si>
  <si>
    <t>Deficiencia en las estrategias de comunicación interna implementadas en la Entidad.</t>
  </si>
  <si>
    <t>Presiones externas o de un superior jerárquico, para manipular informacion de la Contratacion Estatal.</t>
  </si>
  <si>
    <t>ESTRATÉGICOS</t>
  </si>
  <si>
    <t xml:space="preserve">Falta de transferencia del conocimiento entre los funcionarios de la Administración Municipal </t>
  </si>
  <si>
    <t>Deficiencias en la Planeación y control de los contratos</t>
  </si>
  <si>
    <t>PROCESOS OPERATIVOS</t>
  </si>
  <si>
    <t>Falta de documentación de los procedimientos.</t>
  </si>
  <si>
    <t>Declaratoria de emergecia sanitaria por epidemias, pandemias y/o catastrofes naturales</t>
  </si>
  <si>
    <t>Constantes cambios normativos (leyes, decretos, acuerdos)</t>
  </si>
  <si>
    <t>Incremento de precios en las cotizaciones de los oferentes en la contratación de Bienes y servicios</t>
  </si>
  <si>
    <t>Personal de planta insuficiente o sin las competencias  para el desarrollo de las actividades propias del proceso</t>
  </si>
  <si>
    <t>Personal sin vinculación laboral directa  manejando procesos críticos</t>
  </si>
  <si>
    <t>Resistencia al cambio</t>
  </si>
  <si>
    <t>Deficiente articulacion de la informacion entre procesos para la identificación de los predios de propiedad del Municipio</t>
  </si>
  <si>
    <t>Presiones externas o de un superior jerárquico, para manipular informacion de los bienes Fiscales y de uso publico del Municipio.</t>
  </si>
  <si>
    <t>1.Personal de planta insuficiente o sin las competencias  para el desarrollo de las actividades propias del proceso</t>
  </si>
  <si>
    <t>1.Uso de plataforma tecnológica para el control de los inventarios</t>
  </si>
  <si>
    <t>2.Personal sin vinculación laboral directa  manejando procesos críticos</t>
  </si>
  <si>
    <t>2.Actualización del inventario fisico de los bienes muebles del Municipio.</t>
  </si>
  <si>
    <t>3.Resistencia al cambio</t>
  </si>
  <si>
    <t>3.Vigilancia y Aseo (Servicios Generales) en todas las sedes de la Administración Municipal,  seguimiento a los contratos de arrendamientos.</t>
  </si>
  <si>
    <t>4.Desconcimiento sobre la utilizacion adecuada de los elementos y bienes devolutivos y de consumo) a cargo de los funcionarios</t>
  </si>
  <si>
    <t>4.Póliza de Seguro para la totalidad de los bienes de propiedad de la Administracion  y  el Aseguramiento de los Funcionarios de planta de la Alcaldia de Ibague</t>
  </si>
  <si>
    <t>5.Falta de apropiación a los valores y principios  establecidos en el  Código de Integridad y Buen Gobierno</t>
  </si>
  <si>
    <t>5.Políticas de seguridad de la Información adoptadas</t>
  </si>
  <si>
    <t>6.Falta de Presupuesto para cumplir con el correcto funcionamiento de los procesos de la entidad y metas del plan de desarrollo</t>
  </si>
  <si>
    <t>6.Politica para el Uso Adecuado de los Bienes del Municipio. Documentada y Adoptada</t>
  </si>
  <si>
    <t>7,Inadecuado manejo de la informacion en la base de datos asociada al proceso de Identificacion de los Bienes Fiscales y de uso Publico</t>
  </si>
  <si>
    <t>7.Procedimiento de Toma Fisica Adoptado</t>
  </si>
  <si>
    <t>8.Deficiencia en las estrategias de comunicación interna implementadas en la Entidad.</t>
  </si>
  <si>
    <t>8.Manual  para el manejo y control de los bienes del Municipio. Documentado y Adoptado</t>
  </si>
  <si>
    <t>9. Socializacion Manual  Administracion de Bienes Fiscales y uso publico. Documentado y Adoptado</t>
  </si>
  <si>
    <t>10.Deficiencias en la Planeación y control de los contratos</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</si>
  <si>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</si>
  <si>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</si>
  <si>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</si>
  <si>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t>1.Excelente ubicación geográfica del municipio</t>
  </si>
  <si>
    <r>
      <rPr>
        <b/>
        <sz val="12"/>
        <rFont val="Arial"/>
        <family val="2"/>
      </rPr>
      <t>D5</t>
    </r>
    <r>
      <rPr>
        <sz val="12"/>
        <rFont val="Arial"/>
        <family val="2"/>
      </rPr>
      <t xml:space="preserve">, </t>
    </r>
    <r>
      <rPr>
        <b/>
        <sz val="12"/>
        <rFont val="Arial"/>
        <family val="2"/>
      </rPr>
      <t>O6</t>
    </r>
    <r>
      <rPr>
        <sz val="12"/>
        <rFont val="Arial"/>
        <family val="2"/>
      </rPr>
      <t>. Fortalecer las actividades de socialización y apropiación de los valores y principios contemplados en el código de integridad y buen gobierno</t>
    </r>
  </si>
  <si>
    <r>
      <rPr>
        <b/>
        <sz val="12"/>
        <color theme="1"/>
        <rFont val="Arial"/>
        <family val="2"/>
      </rPr>
      <t>F1,O5</t>
    </r>
    <r>
      <rPr>
        <sz val="12"/>
        <color theme="1"/>
        <rFont val="Arial"/>
        <family val="2"/>
      </rPr>
      <t>. Aplicar la política de Transparencia, acceso a la información pública y lucha contra la corrupción</t>
    </r>
  </si>
  <si>
    <t>2.Aplicación de las NIC</t>
  </si>
  <si>
    <r>
      <rPr>
        <b/>
        <sz val="12"/>
        <rFont val="Arial"/>
        <family val="2"/>
      </rPr>
      <t>D6,</t>
    </r>
    <r>
      <rPr>
        <sz val="12"/>
        <rFont val="Arial"/>
        <family val="2"/>
      </rPr>
      <t xml:space="preserve"> </t>
    </r>
    <r>
      <rPr>
        <b/>
        <sz val="12"/>
        <rFont val="Arial"/>
        <family val="2"/>
      </rPr>
      <t>O4.</t>
    </r>
    <r>
      <rPr>
        <sz val="12"/>
        <rFont val="Arial"/>
        <family val="2"/>
      </rPr>
      <t xml:space="preserve"> Aplicar la política de MIPG gestión presupuestal y eficiencia del gasto público, para la adquisición de bienes y servicios que suplan las necesidades de la Entidad y su Aseguramiento.</t>
    </r>
  </si>
  <si>
    <r>
      <rPr>
        <b/>
        <sz val="12"/>
        <color theme="1"/>
        <rFont val="Arial"/>
        <family val="2"/>
      </rPr>
      <t>F2,O2</t>
    </r>
    <r>
      <rPr>
        <sz val="12"/>
        <color theme="1"/>
        <rFont val="Arial"/>
        <family val="2"/>
      </rPr>
      <t>. Aplicar las políticas operativas de las NIC en relación con los inventarios</t>
    </r>
  </si>
  <si>
    <t>3.Herramientas de seguridad digital disponibles en el mercado</t>
  </si>
  <si>
    <r>
      <rPr>
        <b/>
        <sz val="12"/>
        <color theme="1"/>
        <rFont val="Arial"/>
        <family val="2"/>
      </rPr>
      <t xml:space="preserve">D12, O7 </t>
    </r>
    <r>
      <rPr>
        <sz val="12"/>
        <color theme="1"/>
        <rFont val="Arial"/>
        <family val="2"/>
      </rPr>
      <t>Implementar</t>
    </r>
    <r>
      <rPr>
        <b/>
        <sz val="12"/>
        <color theme="1"/>
        <rFont val="Arial"/>
        <family val="2"/>
      </rPr>
      <t xml:space="preserve"> </t>
    </r>
    <r>
      <rPr>
        <sz val="12"/>
        <color theme="1"/>
        <rFont val="Arial"/>
        <family val="2"/>
      </rPr>
      <t>el manual de administracion de bienes fiscales y de uso público,  y enviar los documentos a la Direccion de Fortalecimiento institucional para la Validacion, Aprobacion y Publicacion del mismo.</t>
    </r>
  </si>
  <si>
    <r>
      <rPr>
        <b/>
        <sz val="12"/>
        <color theme="1"/>
        <rFont val="Arial"/>
        <family val="2"/>
      </rPr>
      <t xml:space="preserve">F3,4 O4 </t>
    </r>
    <r>
      <rPr>
        <sz val="12"/>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</si>
  <si>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t>4.Modelo integral de planeación y gestión -MIPG - documentado e implementado - Politicas de Seguridad de la informacion. Y Sistema de Gestion de Calidad</t>
  </si>
  <si>
    <t>5.Normatividad para implementar el Modelo integral de planeación y gestión -MIPG  Politica de Transparencia, acceso a la información pública y lucha contra la corrupción</t>
  </si>
  <si>
    <r>
      <rPr>
        <b/>
        <sz val="12"/>
        <rFont val="Arial"/>
        <family val="2"/>
      </rPr>
      <t>D12 O2</t>
    </r>
    <r>
      <rPr>
        <sz val="12"/>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</si>
  <si>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6.Código de Integridad y  Valores del Servicio Público</t>
  </si>
  <si>
    <t>7.Sistema Integrado de planeación y gestión SIPG - para implementacion de los procesos y procedimientos.</t>
  </si>
  <si>
    <t>8.Normas Técnicas de Calidad</t>
  </si>
  <si>
    <t>9.Reporte de talento humano de personal trasladado o desvinvulado</t>
  </si>
  <si>
    <r>
      <rPr>
        <b/>
        <sz val="12"/>
        <rFont val="Arial"/>
        <family val="2"/>
      </rPr>
      <t>D7,O4</t>
    </r>
    <r>
      <rPr>
        <sz val="12"/>
        <rFont val="Arial"/>
        <family val="2"/>
      </rPr>
      <t xml:space="preserve"> Socializar el Manual de Administracion de Bienes Fiscales y Uso Publico incluyendo el control para la digitalizacion de la informacion en la base de datos relacionado en el Mapa de Riesgos de Corrupcion</t>
    </r>
  </si>
  <si>
    <t>1.Declaratoria de emergecia sanitaria por epidemias, pandemias y/o catastrofes naturales</t>
  </si>
  <si>
    <r>
      <rPr>
        <b/>
        <sz val="12"/>
        <color theme="1"/>
        <rFont val="Arial"/>
        <family val="2"/>
      </rPr>
      <t>D10 A9</t>
    </r>
    <r>
      <rPr>
        <sz val="12"/>
        <color theme="1"/>
        <rFont val="Arial"/>
        <family val="2"/>
      </rPr>
      <t xml:space="preserve"> Gestionar de manera inmediata la adición al contrato o agilizar la adjudicación del nuevo contrato</t>
    </r>
  </si>
  <si>
    <r>
      <rPr>
        <b/>
        <sz val="12"/>
        <color theme="1"/>
        <rFont val="Arial"/>
        <family val="2"/>
      </rPr>
      <t>A9,F3,4</t>
    </r>
    <r>
      <rPr>
        <sz val="12"/>
        <color theme="1"/>
        <rFont val="Arial"/>
        <family val="2"/>
      </rPr>
      <t>. El director (a) de recursos Fisicos  trimestrealmente revisa el presupuesto y las necesidades de la entidad para planearlas en el Plan de Accion de la Direccion, dejando como evidencia:
el Plan de Accion.</t>
    </r>
  </si>
  <si>
    <t>2.Constantes cambios normativos (leyes, decretos, acuerdos)</t>
  </si>
  <si>
    <r>
      <t>D12 A8</t>
    </r>
    <r>
      <rPr>
        <sz val="12"/>
        <rFont val="Arial"/>
        <family val="2"/>
      </rPr>
      <t xml:space="preserve"> Depurar la base de datos y reportar a contabilidad los hallazgos relacionados con predios nuevos y que no son de titularidad del municipio </t>
    </r>
  </si>
  <si>
    <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</si>
  <si>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3.Incremento de precios en las cotizaciones de los oferentes en la contratación</t>
  </si>
  <si>
    <t xml:space="preserve">4.Baja seguridad inormatica </t>
  </si>
  <si>
    <r>
      <rPr>
        <b/>
        <sz val="12"/>
        <color theme="1"/>
        <rFont val="Arial"/>
        <family val="2"/>
      </rPr>
      <t xml:space="preserve">D7 A4 </t>
    </r>
    <r>
      <rPr>
        <sz val="12"/>
        <color theme="1"/>
        <rFont val="Arial"/>
        <family val="2"/>
      </rPr>
      <t>Iniciar acciones en caso de detectar fraude en manipulacion de informacion en la base de datos asociada al proceso de Identificacion de los Predios, Se realiza la respectiva denunciando a control disciplinario o fiscalía según el caso</t>
    </r>
  </si>
  <si>
    <r>
      <rPr>
        <b/>
        <sz val="12"/>
        <color theme="1"/>
        <rFont val="Arial"/>
        <family val="2"/>
      </rPr>
      <t>F7 A11</t>
    </r>
    <r>
      <rPr>
        <sz val="12"/>
        <color theme="1"/>
        <rFont val="Arial"/>
        <family val="2"/>
      </rPr>
      <t>. Realizar proceso de toma física a las dependencias de la administración y generar las acciones de actualización de responsabilidades en inventario individual</t>
    </r>
  </si>
  <si>
    <t>5.Situaciones de Orden Publico</t>
  </si>
  <si>
    <t>6.Cambios de Gobierno</t>
  </si>
  <si>
    <r>
      <rPr>
        <b/>
        <sz val="12"/>
        <rFont val="Arial"/>
        <family val="2"/>
      </rPr>
      <t xml:space="preserve">F9 A12 </t>
    </r>
    <r>
      <rPr>
        <sz val="12"/>
        <rFont val="Arial"/>
        <family val="2"/>
      </rPr>
      <t xml:space="preserve">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t>
    </r>
  </si>
  <si>
    <t xml:space="preserve">
7.Dificultad de comunicación con las entidades del orden publico y privado</t>
  </si>
  <si>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</si>
  <si>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</si>
  <si>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</si>
  <si>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r>
      <rPr>
        <b/>
        <sz val="12"/>
        <rFont val="Arial"/>
        <family val="2"/>
      </rPr>
      <t>F9 A11</t>
    </r>
    <r>
      <rPr>
        <sz val="12"/>
        <rFont val="Arial"/>
        <family val="2"/>
      </rPr>
      <t xml:space="preserve">  Socializar el  manual ADMINISTRACION DE BIENES FISCALES Y DE USO PUBLICO del municipio incluyendo los controles  al personal de apoyo que ingresen al grupo de bienes fiscales.</t>
    </r>
  </si>
  <si>
    <t>FORMATO MAPA DE RIESGOS</t>
  </si>
  <si>
    <t xml:space="preserve"> PROCESO: SISTEMA INTEGRADO DE GESTION</t>
  </si>
  <si>
    <t>GESTION DE RECURSOS FISICOS</t>
  </si>
  <si>
    <t>GESTIONAR OPORTUNAMENTE EL FUNCIONAMIENTO DE LA ADMINISTRACION CENTRAL MEDIANTE LA ADQUISICIÓN Y MANTENIMIENTO DE BIENES Y SERVICIOS, EJECUTANDO EL 80% DEL PRESUPUESTO ASIGNADO CONTRIBUYENDO A LA GESTIÓN DE LOS PROCESOS Y AL LOGRO DE LOS OBJETIVOS INSTITUCIONALES,</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</si>
  <si>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</si>
  <si>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Sancion del ente regulador</t>
  </si>
  <si>
    <t>Deficiente gestion de la Programacion Contractual Para el Funcionamiento de la Administracion Central</t>
  </si>
  <si>
    <t>COMUNICACIÓN INTERNA</t>
  </si>
  <si>
    <t>Gestión</t>
  </si>
  <si>
    <t>Plan anual de adquisiciones ejecuciones de las actividades propias del proceso.</t>
  </si>
  <si>
    <t>Director (a) Recursos Fisicos</t>
  </si>
  <si>
    <t>Multas y/o sanciones</t>
  </si>
  <si>
    <t>Posible perdida, extravio, hurto,daños, robo o declaratoria irregular de bienes faltantes pertenecientes a la entidad.</t>
  </si>
  <si>
    <t>Perdida o deficiencias en las identificacion de los bienes inmuebles o cedidos de propiedad del Municipio de Ibague</t>
  </si>
  <si>
    <t>Deficiencia de la aplicación correcta al MANUAL PARA EL MANEJO Y CONTROL DE LOS BIENES DEL MUNICIPIO.</t>
  </si>
  <si>
    <t>Deficiencia en el control de los inventarios periodicos.</t>
  </si>
  <si>
    <t>FISCAL</t>
  </si>
  <si>
    <t>Almacenista General</t>
  </si>
  <si>
    <t>Deficiencia de la aplicación correcta al MANUAL PARA EL MANEJO Y CONTROL DE LOS BIENES DEL MUNICIPIO</t>
  </si>
  <si>
    <t>Presiones externas o de un superior jerárquico, para manipular informacion de los Bienes Fiscales y de uso Publico del Municipio de Ibague.</t>
  </si>
  <si>
    <t>Deficiencia en las estrategias de comunicación interna implementadas en la entidad.</t>
  </si>
  <si>
    <t>Deficiencia  en la planeacion y control de los contratos</t>
  </si>
  <si>
    <r>
      <t xml:space="preserve">Se prioriza las causas que de </t>
    </r>
    <r>
      <rPr>
        <b/>
        <sz val="11"/>
        <color theme="1"/>
        <rFont val="Calibri"/>
        <family val="2"/>
      </rPr>
      <t>≥ 4,3</t>
    </r>
  </si>
  <si>
    <t>OBSERVACION</t>
  </si>
  <si>
    <t>11.Deficiencia de la aplicación correcta al MANUAL PARA EL MANEJO Y CONTROL DE LOS BIENES DEL MUNICIPIO.</t>
  </si>
  <si>
    <t>9.Deficiencia en el control de los inventarios periodicos.</t>
  </si>
  <si>
    <t>11. Presiones externas o de un superior jerárquico, para manipular informacion de los bienes Fiscales y de uso publico del Municipio.</t>
  </si>
  <si>
    <t>12. Presiones externas o de un superior jerárquico, para manipular informacion de los bienes Fiscales y de uso publico del Municipio.</t>
  </si>
  <si>
    <r>
      <rPr>
        <b/>
        <sz val="12"/>
        <color theme="1"/>
        <rFont val="Arial"/>
        <family val="2"/>
      </rPr>
      <t>D4 A11</t>
    </r>
    <r>
      <rPr>
        <sz val="12"/>
        <color theme="1"/>
        <rFont val="Arial"/>
        <family val="2"/>
      </rPr>
      <t xml:space="preserve"> Iniciar las acciones pertinentes para la recuperación de los bienes de la administración y articular acciones con la Direccion de Talento Humano y Gestion Documental.Y En caso de pérdida del bien denunciar a  Control Interno Disciplinario. </t>
    </r>
  </si>
  <si>
    <r>
      <rPr>
        <b/>
        <sz val="12"/>
        <color theme="1"/>
        <rFont val="Arial"/>
        <family val="2"/>
      </rPr>
      <t>D13, O4, 9.</t>
    </r>
    <r>
      <rPr>
        <sz val="12"/>
        <color theme="1"/>
        <rFont val="Arial"/>
        <family val="2"/>
      </rPr>
      <t xml:space="preserve"> En la expedición de paz y salvo para el caso de desvinculacion de funcionarios,  Aplicando los procesos  de controles y procedimientos establecidos por la entidad</t>
    </r>
  </si>
  <si>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</si>
  <si>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t>Cuando ingresen personal de apoyo al proceso de gestion de Recursos Fisicos al Grupo de Bienes Fiscales y de Uso Publico, se les realiza una socializacion del MANUAL ADMINISTRACION DE BIENES FISCALES Y DE USO PUBLICO,</t>
  </si>
  <si>
    <t>El Director (a) de Recursos Fisicos elabora anualmente la programacion  presupuestal  de la actividades realizadas y se plasma la ejecucion en el Plan de Accion.</t>
  </si>
  <si>
    <t>El Almacenista General cada vez que se presente un traslado o retiro de un funcionario, asigna un responsable para verificar la informaicon contenida en el acta de entrega y traspaso de bienes muebles, coincida con la informacion que reposa en la BDD del aplicativo de inventarios a no coincidir la informacion se remite correo electronico al responsable y sean ubicados los bienes muebles. Siguiendo los procedimientos establecidos.</t>
  </si>
  <si>
    <t>El profesional Universitario Especializado, realiza mensualmentes seguimieto aleatorios a la BDD a los expedientes que reposan en el archivo gestion de la Direccion de Recursos Fisicos, para identificar posibles fallos en el registro de la informacion  que reposa en las BBD de los Bienes fiscales y de uso publicos del Municipio de Ibague, como tambien se programan mesas de trabajo para el seguimiento de este control.</t>
  </si>
  <si>
    <r>
      <rPr>
        <b/>
        <sz val="12"/>
        <rFont val="Arial"/>
        <family val="2"/>
      </rPr>
      <t>D4,O4</t>
    </r>
    <r>
      <rPr>
        <sz val="12"/>
        <rFont val="Arial"/>
        <family val="2"/>
      </rPr>
      <t xml:space="preserve"> Actualizar el Manual para el Manejo y control de los Bienes del Municipio incluyendo el control para la expedicion de Paz y salvo,</t>
    </r>
  </si>
  <si>
    <r>
      <rPr>
        <b/>
        <sz val="12"/>
        <rFont val="Arial"/>
        <family val="2"/>
      </rPr>
      <t>F3,4</t>
    </r>
    <r>
      <rPr>
        <sz val="12"/>
        <color theme="1"/>
        <rFont val="Arial"/>
        <family val="2"/>
      </rPr>
      <t xml:space="preserve"> </t>
    </r>
    <r>
      <rPr>
        <b/>
        <sz val="12"/>
        <rFont val="Arial"/>
        <family val="2"/>
      </rPr>
      <t xml:space="preserve">A9. </t>
    </r>
    <r>
      <rPr>
        <sz val="12"/>
        <color theme="1"/>
        <rFont val="Arial"/>
        <family val="2"/>
      </rPr>
      <t>Trimestralmente la Direccion de Recursos Fisicos  revisa el presupuesto aprobado por la vigencia haciendo  programacion de compras y contratacion el plan anual de adquisicion, dejando como evidencia el Plan de Accion.</t>
    </r>
  </si>
  <si>
    <t>El Director (a) de Recursos Fisicos junto con su equipo de trabajo - Abogados  contratistas y el profesional Universitario,se reune trimestralmente  o cuando sea necesario, con el fin de revisar y hacer seguimiento y control al Plan de Accion presentado; actividades vs su ejecucion para tomar acciones en caso de desviacion.</t>
  </si>
  <si>
    <t>El Director (a) de Recursos Fisicos emite circulares semestralmente para socializar la Correcta apliacion al MANUAL PARA EL MANEJO Y CONTROL DE LOS BIENES DEL  MUNICIPIO.</t>
  </si>
  <si>
    <t>D4 04  Socializar la Politica para el uso adecuado de los bienes (devolutivos y de consumo) Politica de obligatorio cumplimiento, a travez de los medios de comunicación interna de la Administración Municipal</t>
  </si>
  <si>
    <t>Ejecuciones y Actividades Propias del Proceso.</t>
  </si>
  <si>
    <t>Ejecuciones  y Acitividades Propias del Proceso.</t>
  </si>
  <si>
    <t xml:space="preserve">1.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2. Por medio del memorando 1423-2024-055636 el Almacen Gral convoco una mesa de trabajo a las dependecias de talento humano, Control disciplinario e Interno, para tratar el tema para del seguimiento de aquellos funcionarios que se retiran de la Administracion Central y no hace la debida entrega al almacen de aquellos elementos que tenian a cargo, con la evidencia de esta activdad el Acta de reunion N° 0014 del 02/12/2024.                                                                                                                                                                                                                                    3. Por medio del memorando 1423-2024-058041 del 09/12/2024, el Almacen Gral realiza convocatoria de segunda mesa de trabajo a las dependecias de Talento Humano, Control Interno y Disciplinarios y se fortalezcan las actividades de controles del Almacen Gral para emitor paz y salvos a aquellos funcionarios que se desvinculan de la Alcaldia de ibague, como evidencia el Acta de Reunion N° 0015 del 16/12/2024. 4. Por medio del correo electronico institucional del Almacen Gral en el mes de diciembre/2024 les  remite  a los funcionarios Maria Margarita Abraham, Sary Ibeth Santos Moreno, Shirley Lorena, Angela Ximena Charcas y a otros, que se acerquen al almacen y hagan el proceso de entrega la Almacen Gral y revisan su respectivo PAZ Y SALVO.                                                                                                                                                                                                         5. Por medio de comunicacion externa el almacen gral el dia 19/12/2024, remite por 472 oficio a la Señora Maria Margarita Rueda Abraham, solicitandole que haga entrega de los bienes muebles que aun tiene bajo su responsabilidad en el sistema de informacion de esta oficina ( se anbexa formato de correspondencia- Oficina de Atencion al Ciudadano).                                                                                                                                                                                                                                                                                                 </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</si>
  <si>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3.Dando cumplimiento a esta actividad el dia 03/12/2024, por medio de correo electronico institucional se realizo convocatoria al personal de apoyo que ingresaron en los meses de septiembre, octubre,  noviembre y diciembre  de 2024 al grupo de titulaciones, para realizar el proceso de sociliazion del manual de ADMINSITRACION AL GRUPO DE BIENES FISCALES Y DE USO PUBLICO Y PACTAR COMPROMISO DE CONFIDENCIALIDAD DE LAS BDD que reposan en la Direccion de Recursos Fisicos.                                                                                                                                                                                                                                                                                             </t>
  </si>
  <si>
    <t>Seguimiento  y evaluacion a 31  de marzo de 2025</t>
  </si>
  <si>
    <t xml:space="preserve">1.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a esta actividad la Directora de Recursos Fisicos, hace seguimiento y control de los bienes serviicios , segun la programacion que se realizo en el plan de accion vigencia 2025, segun Acta N° 00004  del 25 de febrero de 2025, de acuerdo a lo programado y ejecutado en el plan de accion 2024.                                                                                                                                                                                                                5. Dando cumplimiento al seguimiento y control, la Directora de Recursos Fisicos, realiza convocatoria y se reunion con los abogados contratistas para revisar los avances a los procesos contractuales, segun Acta N° 00013 del 27 de marzo de 2025, segun lo programada y ejecutado en el plan de accion 2025.                                                                                                                                                                                                                                                                                                                                                                                                         </t>
  </si>
  <si>
    <t xml:space="preserve">1. Cumpliendo con la Actividad de Control, desde la Oficina de Almacen se realizo socializacion de la Politica de Uso Adecuado de los Bienes, Esta politica fue Socializada por medio de la Circular N° 0005 del 10 de enero del 2025.            
2. Por medio de la Circular N° 00006 del 10 de enero de 2025 el Almacen General, socializo la correcta verificacion de muebles y enseres a cargo de cada funcionario publico. 3. Por medio del Circular N° 00008 del 14 de enero de 2025 el Almacen General socializo las responsabilidades de los funcionarios en caso de traslado o desvinculacion de la administracion central. 4. Por medio de PELHUSA se  socializo video   y se divulgo por el Facebook el dia 29/03/2025  el USO ADECUADO DE LOS BIENES DEL MPIO.                  </t>
  </si>
  <si>
    <t xml:space="preserve">1. Dando cumplimiento a la socializacion del manual de bienes fiscales y de uso publico y pactar confidencialidad y responsabilidad de la manejo e informacion de las BBD, se realizo una capacitacion a los contratistas que ingresaron en el primer trimestre de 2025 al grupo de predios. Evidencias Actas N° 0005 del 28/02/2025 y N° 0014 del 31/03/2025.  1. Por medio de correo electronico institucional el dia 12/02/2025, el grupo de Bienes Fiscales remite a la Directora de Recursos Fisicos reporte del muestreo aleatorio del mes de enero de 2025 de la revision de los expedientes que reposan en el archivo gestion, donde realizan la verificacion y corraborar la infiornacion de la BDD  de  grupo de Bienes Fiscales y Uso Publico conforme a  los expedientes fisicos.                                                                                                                                                                                        2..   Por medio de correo electronico institucional el dia 26/02/2025, el grupo de Bienes Fiscales remite a la Directora de Recursos Fisicos reporte del muestreo aleatorio del mes de febrero de 2025 de la revision de los expedientes que reposan en el archivo gestion, donde realizan la verificacion y corraborar la infiornacion de la BDD  de  grupo de Bienes Fiscales y Uso Publico conforme a  los expedientes fisicos. 3. Por medio de correo electronico institucional el dia 31/03/2025, el grupo de Bienes Fiscales remite a la Directora de Recursos Fisicos reporte del muestreo aleatorio del mes de marzo de 2025 de la revision de los expedientes que reposan en el archivo gestion, donde realizan la verificacion y corraborar la infiornacion de la BDD  de  grupo de Bienes Fiscales y Uso Publico conforme a  los expedientes fisicos                                                                                  </t>
  </si>
  <si>
    <t>PROCESO: SISTEMA INTEGRADO DE GESTIÓN Y MIPG</t>
  </si>
  <si>
    <r>
      <rPr>
        <b/>
        <sz val="12"/>
        <rFont val="Arial Narrow"/>
        <family val="2"/>
      </rPr>
      <t xml:space="preserve">Posibildad de afectacion economica y reputacional por </t>
    </r>
    <r>
      <rPr>
        <sz val="12"/>
        <color theme="3" tint="-0.499984740745262"/>
        <rFont val="Arial Narrow"/>
        <family val="2"/>
      </rPr>
      <t>las sanciones del ente regulador</t>
    </r>
    <r>
      <rPr>
        <b/>
        <sz val="12"/>
        <rFont val="Arial Narrow"/>
        <family val="2"/>
      </rPr>
      <t xml:space="preserve"> debido</t>
    </r>
    <r>
      <rPr>
        <b/>
        <sz val="12"/>
        <color rgb="FFFF0000"/>
        <rFont val="Arial Narrow"/>
        <family val="2"/>
      </rPr>
      <t xml:space="preserve"> a</t>
    </r>
    <r>
      <rPr>
        <sz val="12"/>
        <color rgb="FFFF0000"/>
        <rFont val="Arial Narrow"/>
        <family val="2"/>
      </rPr>
      <t xml:space="preserve"> la deficiente gestion de la programacion contractual para el funcionamiento de le Administracion Central</t>
    </r>
  </si>
  <si>
    <r>
      <rPr>
        <b/>
        <sz val="11"/>
        <rFont val="Arial Narrow"/>
        <family val="2"/>
      </rPr>
      <t>Posibildad de afectacion economica</t>
    </r>
    <r>
      <rPr>
        <sz val="11"/>
        <rFont val="Arial Narrow"/>
        <family val="2"/>
      </rPr>
      <t xml:space="preserve"> </t>
    </r>
    <r>
      <rPr>
        <b/>
        <sz val="11"/>
        <rFont val="Arial Narrow"/>
        <family val="2"/>
      </rPr>
      <t>por</t>
    </r>
    <r>
      <rPr>
        <sz val="11"/>
        <rFont val="Arial Narrow"/>
        <family val="2"/>
      </rPr>
      <t xml:space="preserve"> </t>
    </r>
    <r>
      <rPr>
        <sz val="11"/>
        <color theme="3"/>
        <rFont val="Arial Narrow"/>
        <family val="2"/>
      </rPr>
      <t>multas y/sanciones</t>
    </r>
    <r>
      <rPr>
        <sz val="11"/>
        <rFont val="Arial Narrow"/>
        <family val="2"/>
      </rPr>
      <t xml:space="preserve"> </t>
    </r>
    <r>
      <rPr>
        <b/>
        <sz val="11"/>
        <rFont val="Arial Narrow"/>
        <family val="2"/>
      </rPr>
      <t xml:space="preserve">debido a </t>
    </r>
    <r>
      <rPr>
        <sz val="11"/>
        <color rgb="FFFF0000"/>
        <rFont val="Arial Narrow"/>
        <family val="2"/>
      </rPr>
      <t>perdida, extravio, hurto, daños, robo o declaratoria irregular de bienes faltantes pertenecientes a la entidad.</t>
    </r>
  </si>
  <si>
    <r>
      <rPr>
        <b/>
        <sz val="11"/>
        <rFont val="Arial Narrow"/>
        <family val="2"/>
      </rPr>
      <t>Posibilidad de perdida economica por</t>
    </r>
    <r>
      <rPr>
        <sz val="11"/>
        <rFont val="Arial Narrow"/>
        <family val="2"/>
      </rPr>
      <t xml:space="preserve"> </t>
    </r>
    <r>
      <rPr>
        <sz val="11"/>
        <color theme="3"/>
        <rFont val="Arial Narrow"/>
        <family val="2"/>
      </rPr>
      <t>multas y/o sanciones</t>
    </r>
    <r>
      <rPr>
        <sz val="11"/>
        <rFont val="Arial Narrow"/>
        <family val="2"/>
      </rPr>
      <t xml:space="preserve"> </t>
    </r>
    <r>
      <rPr>
        <b/>
        <sz val="11"/>
        <rFont val="Arial Narrow"/>
        <family val="2"/>
      </rPr>
      <t>debido a</t>
    </r>
    <r>
      <rPr>
        <sz val="11"/>
        <rFont val="Arial Narrow"/>
        <family val="2"/>
      </rPr>
      <t xml:space="preserve">  </t>
    </r>
    <r>
      <rPr>
        <sz val="11"/>
        <color rgb="FFFF0000"/>
        <rFont val="Arial Narrow"/>
        <family val="2"/>
      </rPr>
      <t>deficiencias en las identificacion de los bienes inmuebles o cedidos de propiedad del Municipio de Ibague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</si>
</sst>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2"/>
      <name val="Arial"/>
      <family val="2"/>
    </font>
    <font>
      <sz val="12"/>
      <color theme="1"/>
      <name val="Arial"/>
      <family val="2"/>
    </font>
    <font>
      <b/>
      <sz val="12"/>
      <name val="Arial"/>
      <family val="2"/>
    </font>
    <font>
      <sz val="12"/>
      <color rgb="FFFF0000"/>
      <name val="Arial"/>
      <family val="2"/>
    </font>
    <font>
      <u/>
      <sz val="12"/>
      <color theme="1"/>
      <name val="Arial"/>
      <family val="2"/>
    </font>
    <font>
      <b/>
      <i/>
      <sz val="11"/>
      <color theme="1"/>
      <name val="Calibri"/>
      <family val="2"/>
      <scheme val="minor"/>
    </font>
    <font>
      <b/>
      <sz val="11"/>
      <color theme="1"/>
      <name val="Calibri"/>
      <family val="2"/>
    </font>
    <font>
      <sz val="12"/>
      <color theme="3" tint="-0.499984740745262"/>
      <name val="Arial Narrow"/>
      <family val="2"/>
    </font>
    <font>
      <sz val="12"/>
      <color rgb="FFFF0000"/>
      <name val="Arial Narrow"/>
      <family val="2"/>
    </font>
    <font>
      <b/>
      <sz val="12"/>
      <color rgb="FFFF0000"/>
      <name val="Arial Narrow"/>
      <family val="2"/>
    </font>
    <font>
      <sz val="11"/>
      <color theme="3"/>
      <name val="Arial Narrow"/>
      <family val="2"/>
    </font>
    <font>
      <sz val="11"/>
      <color rgb="FFFF0000"/>
      <name val="Arial Narrow"/>
      <family val="2"/>
    </font>
  </fonts>
  <fills count="3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rgb="FF99FF33"/>
        <bgColor indexed="64"/>
      </patternFill>
    </fill>
    <fill>
      <patternFill patternType="solid">
        <fgColor rgb="FF00BBFE"/>
        <bgColor indexed="64"/>
      </patternFill>
    </fill>
    <fill>
      <patternFill patternType="solid">
        <fgColor rgb="FF00E668"/>
        <bgColor indexed="64"/>
      </patternFill>
    </fill>
    <fill>
      <patternFill patternType="solid">
        <fgColor theme="3" tint="0.59999389629810485"/>
        <bgColor indexed="64"/>
      </patternFill>
    </fill>
    <fill>
      <patternFill patternType="solid">
        <fgColor rgb="FF00B0F0"/>
        <bgColor indexed="64"/>
      </patternFill>
    </fill>
    <fill>
      <patternFill patternType="solid">
        <fgColor theme="3" tint="0.39997558519241921"/>
        <bgColor indexed="64"/>
      </patternFill>
    </fill>
    <fill>
      <patternFill patternType="solid">
        <fgColor rgb="FFBEF870"/>
        <bgColor indexed="64"/>
      </patternFill>
    </fill>
    <fill>
      <patternFill patternType="solid">
        <fgColor theme="4"/>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theme="9" tint="-0.249977111117893"/>
      </left>
      <right/>
      <top style="dashed">
        <color theme="9" tint="-0.249977111117893"/>
      </top>
      <bottom/>
      <diagonal/>
    </border>
    <border>
      <left style="dashed">
        <color theme="9" tint="-0.249977111117893"/>
      </left>
      <right/>
      <top/>
      <bottom style="dashed">
        <color theme="9" tint="-0.249977111117893"/>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dashed">
        <color theme="9" tint="-0.249977111117893"/>
      </left>
      <right/>
      <top/>
      <bottom/>
      <diagonal/>
    </border>
    <border>
      <left/>
      <right style="thin">
        <color indexed="64"/>
      </right>
      <top style="thin">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78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1" fillId="0" borderId="33" xfId="0" applyFont="1" applyBorder="1" applyAlignment="1">
      <alignment horizontal="left" vertical="center"/>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0" fontId="0" fillId="0" borderId="93" xfId="0" applyBorder="1" applyAlignment="1" applyProtection="1">
      <alignment horizontal="center" vertical="top"/>
      <protection locked="0"/>
    </xf>
    <xf numFmtId="165" fontId="61" fillId="0" borderId="92" xfId="0" applyNumberFormat="1" applyFont="1" applyBorder="1" applyAlignment="1">
      <alignment horizontal="center" vertical="center"/>
    </xf>
    <xf numFmtId="0" fontId="61" fillId="0" borderId="94" xfId="0" applyFont="1" applyBorder="1" applyAlignment="1">
      <alignment horizontal="center" vertical="center"/>
    </xf>
    <xf numFmtId="0" fontId="61" fillId="0" borderId="94" xfId="0" applyFont="1" applyBorder="1" applyAlignment="1" applyProtection="1">
      <alignment horizontal="center" vertical="center"/>
      <protection locked="0"/>
    </xf>
    <xf numFmtId="165" fontId="61" fillId="0" borderId="95" xfId="0" applyNumberFormat="1" applyFont="1" applyBorder="1" applyAlignment="1">
      <alignment horizontal="center" vertical="center"/>
    </xf>
    <xf numFmtId="165" fontId="61" fillId="20" borderId="79"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13" borderId="33" xfId="0" applyFont="1" applyFill="1" applyBorder="1" applyAlignment="1">
      <alignment horizontal="left" vertical="center" wrapText="1"/>
    </xf>
    <xf numFmtId="0" fontId="61" fillId="21" borderId="33" xfId="0" applyFont="1" applyFill="1" applyBorder="1" applyAlignment="1">
      <alignment horizontal="left" vertical="center" wrapText="1"/>
    </xf>
    <xf numFmtId="0" fontId="61" fillId="5" borderId="33" xfId="0" applyFont="1" applyFill="1" applyBorder="1" applyAlignment="1">
      <alignment horizontal="left" vertical="center" wrapText="1"/>
    </xf>
    <xf numFmtId="0" fontId="61" fillId="22" borderId="38" xfId="0" applyFont="1" applyFill="1" applyBorder="1" applyAlignment="1">
      <alignment horizontal="left" vertical="center" wrapText="1"/>
    </xf>
    <xf numFmtId="0" fontId="61" fillId="23" borderId="38" xfId="0" applyFont="1" applyFill="1" applyBorder="1" applyAlignment="1">
      <alignment horizontal="left" vertical="center" wrapText="1"/>
    </xf>
    <xf numFmtId="0" fontId="61" fillId="0" borderId="38" xfId="0" applyFont="1" applyBorder="1" applyAlignment="1">
      <alignment vertical="top" wrapText="1"/>
    </xf>
    <xf numFmtId="0" fontId="61" fillId="24" borderId="33" xfId="0" applyFont="1" applyFill="1" applyBorder="1" applyAlignment="1">
      <alignment horizontal="left" vertical="center" wrapText="1"/>
    </xf>
    <xf numFmtId="0" fontId="61" fillId="25" borderId="33" xfId="0" applyFont="1" applyFill="1" applyBorder="1" applyAlignment="1">
      <alignment horizontal="left" vertical="center" wrapText="1"/>
    </xf>
    <xf numFmtId="0" fontId="1" fillId="3" borderId="75" xfId="0" applyFont="1" applyFill="1" applyBorder="1" applyAlignment="1">
      <alignment vertical="center" wrapText="1"/>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27" fillId="0" borderId="2" xfId="0" applyFont="1" applyBorder="1" applyAlignment="1" applyProtection="1">
      <alignment horizontal="center" vertical="center" textRotation="90"/>
      <protection locked="0"/>
    </xf>
    <xf numFmtId="9" fontId="27"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9" fillId="0" borderId="2" xfId="0" applyFont="1" applyBorder="1" applyAlignment="1" applyProtection="1">
      <alignment horizontal="center" vertical="center" textRotation="90" wrapText="1"/>
      <protection hidden="1"/>
    </xf>
    <xf numFmtId="9" fontId="27" fillId="0" borderId="4" xfId="0" applyNumberFormat="1" applyFont="1" applyBorder="1" applyAlignment="1" applyProtection="1">
      <alignment horizontal="center" vertical="center"/>
      <protection hidden="1"/>
    </xf>
    <xf numFmtId="0" fontId="49" fillId="0" borderId="2" xfId="0" applyFont="1" applyBorder="1" applyAlignment="1" applyProtection="1">
      <alignment horizontal="center" vertical="center" textRotation="90"/>
      <protection hidden="1"/>
    </xf>
    <xf numFmtId="0" fontId="27" fillId="0" borderId="4" xfId="0" applyFont="1" applyBorder="1" applyAlignment="1" applyProtection="1">
      <alignment horizontal="center" vertical="center" textRotation="90"/>
      <protection locked="0"/>
    </xf>
    <xf numFmtId="0" fontId="27" fillId="0" borderId="2" xfId="0" applyFont="1" applyBorder="1" applyAlignment="1" applyProtection="1">
      <alignment horizontal="center" vertical="center" wrapText="1"/>
      <protection locked="0"/>
    </xf>
    <xf numFmtId="14" fontId="27"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75" xfId="0" applyFont="1" applyBorder="1" applyAlignment="1" applyProtection="1">
      <alignment horizontal="center" vertical="center" wrapText="1"/>
      <protection locked="0"/>
    </xf>
    <xf numFmtId="0" fontId="65" fillId="5" borderId="33" xfId="0" applyFont="1" applyFill="1" applyBorder="1" applyAlignment="1">
      <alignment horizontal="left" vertical="center" wrapText="1"/>
    </xf>
    <xf numFmtId="0" fontId="61" fillId="5" borderId="38" xfId="0" applyFont="1" applyFill="1" applyBorder="1" applyAlignment="1">
      <alignment horizontal="left" vertical="center" wrapText="1"/>
    </xf>
    <xf numFmtId="0" fontId="65" fillId="27" borderId="33" xfId="0" applyFont="1" applyFill="1" applyBorder="1" applyAlignment="1">
      <alignment horizontal="left" vertical="center" wrapText="1"/>
    </xf>
    <xf numFmtId="0" fontId="61" fillId="27" borderId="38" xfId="0" applyFont="1" applyFill="1" applyBorder="1" applyAlignment="1">
      <alignment vertical="top" wrapText="1"/>
    </xf>
    <xf numFmtId="0" fontId="61" fillId="27" borderId="38" xfId="0" applyFont="1" applyFill="1" applyBorder="1" applyAlignment="1">
      <alignment horizontal="left" vertical="center" wrapText="1"/>
    </xf>
    <xf numFmtId="0" fontId="61" fillId="27" borderId="33" xfId="0" applyFont="1" applyFill="1" applyBorder="1" applyAlignment="1">
      <alignment horizontal="left" vertical="center" wrapText="1"/>
    </xf>
    <xf numFmtId="0" fontId="61" fillId="27" borderId="94" xfId="0" applyFont="1" applyFill="1" applyBorder="1" applyAlignment="1">
      <alignment horizontal="left" vertical="center" wrapText="1"/>
    </xf>
    <xf numFmtId="165" fontId="61" fillId="8" borderId="105" xfId="0" applyNumberFormat="1" applyFont="1" applyFill="1" applyBorder="1" applyAlignment="1">
      <alignment vertical="center"/>
    </xf>
    <xf numFmtId="0" fontId="78" fillId="0" borderId="92" xfId="0" applyFont="1" applyBorder="1" applyProtection="1">
      <protection locked="0"/>
    </xf>
    <xf numFmtId="0" fontId="78" fillId="0" borderId="81" xfId="0" applyFont="1" applyBorder="1" applyProtection="1">
      <protection locked="0"/>
    </xf>
    <xf numFmtId="0" fontId="78" fillId="0" borderId="97" xfId="0" applyFont="1" applyBorder="1" applyProtection="1">
      <protection locked="0"/>
    </xf>
    <xf numFmtId="0" fontId="1" fillId="0" borderId="4" xfId="0" applyFont="1" applyBorder="1" applyAlignment="1" applyProtection="1">
      <alignment vertical="top" wrapText="1"/>
      <protection locked="0"/>
    </xf>
    <xf numFmtId="0" fontId="1" fillId="0" borderId="4" xfId="0" applyFont="1" applyBorder="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vertical="center" wrapText="1"/>
    </xf>
    <xf numFmtId="0" fontId="61" fillId="30" borderId="79" xfId="0" applyFont="1" applyFill="1" applyBorder="1" applyAlignment="1">
      <alignment horizontal="left" vertical="center" wrapText="1"/>
    </xf>
    <xf numFmtId="0" fontId="6" fillId="0" borderId="5" xfId="0" applyFont="1" applyBorder="1" applyAlignment="1" applyProtection="1">
      <alignment vertical="center" wrapText="1"/>
      <protection locked="0"/>
    </xf>
    <xf numFmtId="0" fontId="6" fillId="0" borderId="5" xfId="0" applyFont="1" applyBorder="1" applyAlignment="1" applyProtection="1">
      <alignment vertical="top" wrapText="1"/>
      <protection locked="0"/>
    </xf>
    <xf numFmtId="0" fontId="6" fillId="13" borderId="8" xfId="0" applyFont="1" applyFill="1" applyBorder="1" applyAlignment="1" applyProtection="1">
      <alignment vertical="center" wrapText="1"/>
      <protection locked="0"/>
    </xf>
    <xf numFmtId="0" fontId="1" fillId="13" borderId="5" xfId="0" applyFont="1" applyFill="1" applyBorder="1" applyAlignment="1" applyProtection="1">
      <alignment horizontal="left" vertical="center" wrapText="1"/>
      <protection locked="0"/>
    </xf>
    <xf numFmtId="0" fontId="1" fillId="13" borderId="5" xfId="0" applyFont="1" applyFill="1" applyBorder="1" applyAlignment="1" applyProtection="1">
      <alignment vertical="center"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1" fillId="18" borderId="94" xfId="0" applyFont="1" applyFill="1" applyBorder="1" applyAlignment="1">
      <alignment horizontal="left" vertical="center" wrapText="1"/>
    </xf>
    <xf numFmtId="0" fontId="61" fillId="18" borderId="34" xfId="0" applyFont="1" applyFill="1" applyBorder="1" applyAlignment="1">
      <alignment horizontal="left" vertical="center" wrapText="1"/>
    </xf>
    <xf numFmtId="0" fontId="59" fillId="0" borderId="0" xfId="0" applyFont="1" applyAlignment="1">
      <alignment horizontal="center" vertical="center" wrapText="1"/>
    </xf>
    <xf numFmtId="0" fontId="60" fillId="0" borderId="33"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60" fillId="0" borderId="95"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109" xfId="0" applyFont="1" applyBorder="1" applyAlignment="1">
      <alignment horizontal="center" vertical="center" wrapText="1"/>
    </xf>
    <xf numFmtId="0" fontId="60" fillId="0" borderId="90"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95" xfId="0" applyBorder="1" applyAlignment="1">
      <alignment horizontal="center"/>
    </xf>
    <xf numFmtId="0" fontId="0" fillId="0" borderId="109" xfId="0" applyBorder="1" applyAlignment="1">
      <alignment horizontal="center"/>
    </xf>
    <xf numFmtId="0" fontId="0" fillId="0" borderId="107" xfId="0" applyBorder="1" applyAlignment="1">
      <alignment horizontal="center"/>
    </xf>
    <xf numFmtId="0" fontId="0" fillId="0" borderId="87" xfId="0" applyBorder="1" applyAlignment="1">
      <alignment horizontal="center"/>
    </xf>
    <xf numFmtId="0" fontId="0" fillId="0" borderId="90" xfId="0" applyBorder="1" applyAlignment="1">
      <alignment horizontal="center"/>
    </xf>
    <xf numFmtId="0" fontId="0" fillId="0" borderId="88" xfId="0" applyBorder="1" applyAlignment="1">
      <alignment horizontal="center"/>
    </xf>
    <xf numFmtId="0" fontId="78" fillId="0" borderId="92" xfId="0" applyFont="1" applyBorder="1" applyAlignment="1" applyProtection="1">
      <alignment horizontal="center"/>
      <protection locked="0"/>
    </xf>
    <xf numFmtId="0" fontId="78" fillId="0" borderId="81" xfId="0" applyFont="1" applyBorder="1" applyAlignment="1" applyProtection="1">
      <alignment horizontal="center"/>
      <protection locked="0"/>
    </xf>
    <xf numFmtId="0" fontId="78" fillId="0" borderId="97" xfId="0" applyFont="1" applyBorder="1" applyAlignment="1" applyProtection="1">
      <alignment horizontal="center"/>
      <protection locked="0"/>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67" fillId="20" borderId="94" xfId="0" applyFont="1" applyFill="1" applyBorder="1" applyAlignment="1">
      <alignment horizontal="right" vertical="center"/>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0" fillId="0" borderId="69"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73" fillId="27" borderId="92" xfId="0" applyFont="1" applyFill="1" applyBorder="1" applyAlignment="1" applyProtection="1">
      <alignment horizontal="left" vertical="center" wrapText="1"/>
      <protection locked="0"/>
    </xf>
    <xf numFmtId="0" fontId="73" fillId="27" borderId="97" xfId="0" applyFont="1" applyFill="1" applyBorder="1" applyAlignment="1" applyProtection="1">
      <alignment horizontal="left" vertical="center" wrapText="1"/>
      <protection locked="0"/>
    </xf>
    <xf numFmtId="0" fontId="38" fillId="3" borderId="39" xfId="0" applyFont="1" applyFill="1" applyBorder="1" applyAlignment="1">
      <alignment horizontal="left"/>
    </xf>
    <xf numFmtId="0" fontId="38" fillId="3" borderId="41" xfId="0" applyFont="1" applyFill="1" applyBorder="1" applyAlignment="1">
      <alignment horizontal="left"/>
    </xf>
    <xf numFmtId="0" fontId="38" fillId="3" borderId="40" xfId="0" applyFont="1" applyFill="1" applyBorder="1" applyAlignment="1">
      <alignment horizontal="left"/>
    </xf>
    <xf numFmtId="0" fontId="73" fillId="3" borderId="92" xfId="0" applyFont="1" applyFill="1" applyBorder="1" applyAlignment="1" applyProtection="1">
      <alignment horizontal="left" vertical="center"/>
      <protection locked="0"/>
    </xf>
    <xf numFmtId="0" fontId="73" fillId="3" borderId="97"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7"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73" fillId="0" borderId="37" xfId="0" applyFont="1" applyBorder="1" applyAlignment="1" applyProtection="1">
      <alignment horizontal="left" vertical="center" wrapText="1"/>
      <protection locked="0"/>
    </xf>
    <xf numFmtId="0" fontId="73" fillId="0" borderId="38" xfId="0" applyFont="1" applyBorder="1" applyAlignment="1" applyProtection="1">
      <alignment horizontal="left" vertical="center"/>
      <protection locked="0"/>
    </xf>
    <xf numFmtId="0" fontId="73" fillId="0" borderId="37" xfId="0" applyFont="1" applyBorder="1" applyAlignment="1" applyProtection="1">
      <alignment horizontal="left" vertical="center"/>
      <protection locked="0"/>
    </xf>
    <xf numFmtId="0" fontId="73" fillId="0" borderId="33" xfId="0" applyFont="1" applyBorder="1" applyAlignment="1" applyProtection="1">
      <alignment horizontal="left" vertical="center"/>
      <protection locked="0"/>
    </xf>
    <xf numFmtId="0" fontId="73" fillId="0" borderId="37" xfId="0" applyFont="1" applyBorder="1" applyAlignment="1" applyProtection="1">
      <alignment horizontal="center" vertical="center"/>
      <protection locked="0"/>
    </xf>
    <xf numFmtId="0" fontId="73" fillId="0" borderId="38" xfId="0" applyFont="1" applyBorder="1" applyAlignment="1" applyProtection="1">
      <alignment horizontal="center" vertical="center"/>
      <protection locked="0"/>
    </xf>
    <xf numFmtId="0" fontId="73" fillId="0" borderId="33" xfId="0" applyFont="1" applyBorder="1" applyAlignment="1" applyProtection="1">
      <alignment horizontal="center" vertical="center"/>
      <protection locked="0"/>
    </xf>
    <xf numFmtId="0" fontId="73" fillId="0" borderId="33" xfId="0" applyFont="1" applyBorder="1" applyAlignment="1" applyProtection="1">
      <alignment horizontal="left" vertical="center" wrapText="1"/>
      <protection locked="0"/>
    </xf>
    <xf numFmtId="0" fontId="73" fillId="0" borderId="38" xfId="0" applyFont="1" applyBorder="1" applyAlignment="1" applyProtection="1">
      <alignment horizontal="left" vertical="center" wrapText="1"/>
      <protection locked="0"/>
    </xf>
    <xf numFmtId="0" fontId="73" fillId="28" borderId="37" xfId="0" applyFont="1" applyFill="1" applyBorder="1" applyAlignment="1" applyProtection="1">
      <alignment horizontal="left" vertical="center" wrapText="1"/>
      <protection locked="0"/>
    </xf>
    <xf numFmtId="0" fontId="73" fillId="28" borderId="38" xfId="0" applyFont="1" applyFill="1" applyBorder="1" applyAlignment="1" applyProtection="1">
      <alignment horizontal="left" vertical="center"/>
      <protection locked="0"/>
    </xf>
    <xf numFmtId="0" fontId="73" fillId="29" borderId="37" xfId="0" applyFont="1" applyFill="1" applyBorder="1" applyAlignment="1" applyProtection="1">
      <alignment horizontal="left" vertical="center" wrapText="1"/>
      <protection locked="0"/>
    </xf>
    <xf numFmtId="0" fontId="73" fillId="29" borderId="33" xfId="0" applyFont="1" applyFill="1" applyBorder="1" applyAlignment="1" applyProtection="1">
      <alignment horizontal="left" vertical="center" wrapText="1"/>
      <protection locked="0"/>
    </xf>
    <xf numFmtId="0" fontId="73" fillId="29" borderId="38" xfId="0" applyFont="1" applyFill="1" applyBorder="1" applyAlignment="1" applyProtection="1">
      <alignment horizontal="left" vertical="center" wrapText="1"/>
      <protection locked="0"/>
    </xf>
    <xf numFmtId="0" fontId="73" fillId="0" borderId="37" xfId="0" applyFont="1" applyBorder="1" applyAlignment="1" applyProtection="1">
      <alignment horizontal="left" wrapText="1"/>
      <protection locked="0"/>
    </xf>
    <xf numFmtId="0" fontId="73" fillId="0" borderId="38" xfId="0" applyFont="1" applyBorder="1" applyAlignment="1" applyProtection="1">
      <alignment horizontal="left" wrapText="1"/>
      <protection locked="0"/>
    </xf>
    <xf numFmtId="0" fontId="73" fillId="13" borderId="37" xfId="0" applyFont="1" applyFill="1" applyBorder="1" applyAlignment="1" applyProtection="1">
      <alignment horizontal="left" vertical="center" wrapText="1"/>
      <protection locked="0"/>
    </xf>
    <xf numFmtId="0" fontId="73" fillId="13" borderId="33" xfId="0" applyFont="1" applyFill="1" applyBorder="1" applyAlignment="1" applyProtection="1">
      <alignment horizontal="left" vertical="center" wrapText="1"/>
      <protection locked="0"/>
    </xf>
    <xf numFmtId="0" fontId="73" fillId="13" borderId="38" xfId="0" applyFont="1" applyFill="1" applyBorder="1" applyAlignment="1" applyProtection="1">
      <alignment horizontal="left" vertical="center" wrapText="1"/>
      <protection locked="0"/>
    </xf>
    <xf numFmtId="0" fontId="74" fillId="0" borderId="37" xfId="0" applyFont="1" applyBorder="1" applyAlignment="1">
      <alignment vertical="top" wrapText="1"/>
    </xf>
    <xf numFmtId="0" fontId="74" fillId="0" borderId="38" xfId="0" applyFont="1" applyBorder="1" applyAlignment="1">
      <alignment vertical="top" wrapText="1"/>
    </xf>
    <xf numFmtId="0" fontId="74" fillId="13" borderId="37" xfId="0" applyFont="1" applyFill="1" applyBorder="1" applyAlignment="1">
      <alignment horizontal="left" vertical="center" wrapText="1"/>
    </xf>
    <xf numFmtId="0" fontId="74" fillId="13" borderId="33" xfId="0" applyFont="1" applyFill="1" applyBorder="1" applyAlignment="1">
      <alignment horizontal="left" vertical="center" wrapText="1"/>
    </xf>
    <xf numFmtId="0" fontId="74" fillId="13" borderId="38" xfId="0" applyFont="1" applyFill="1" applyBorder="1" applyAlignment="1">
      <alignment horizontal="left" vertical="center" wrapText="1"/>
    </xf>
    <xf numFmtId="0" fontId="63" fillId="26" borderId="37" xfId="0" applyFont="1" applyFill="1" applyBorder="1" applyAlignment="1">
      <alignment horizontal="left" vertical="center" wrapText="1"/>
    </xf>
    <xf numFmtId="0" fontId="74" fillId="26" borderId="33" xfId="0" applyFont="1" applyFill="1" applyBorder="1" applyAlignment="1">
      <alignment horizontal="left" vertical="center" wrapText="1"/>
    </xf>
    <xf numFmtId="0" fontId="74" fillId="26" borderId="38" xfId="0" applyFont="1" applyFill="1" applyBorder="1" applyAlignment="1">
      <alignment horizontal="left" vertical="center" wrapText="1"/>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7" xfId="0" applyFont="1" applyFill="1" applyBorder="1" applyAlignment="1">
      <alignment horizontal="center" vertical="top"/>
    </xf>
    <xf numFmtId="0" fontId="73" fillId="0" borderId="77" xfId="0" applyFont="1" applyBorder="1" applyAlignment="1" applyProtection="1">
      <alignment horizontal="left" vertical="center" wrapText="1"/>
      <protection locked="0"/>
    </xf>
    <xf numFmtId="0" fontId="73" fillId="0" borderId="79" xfId="0" applyFont="1" applyBorder="1" applyAlignment="1" applyProtection="1">
      <alignment horizontal="left" vertical="center" wrapText="1"/>
      <protection locked="0"/>
    </xf>
    <xf numFmtId="0" fontId="74" fillId="0" borderId="77" xfId="0" applyFont="1" applyBorder="1" applyAlignment="1">
      <alignment vertical="center" wrapText="1"/>
    </xf>
    <xf numFmtId="0" fontId="74" fillId="0" borderId="79" xfId="0" applyFont="1" applyBorder="1" applyAlignment="1">
      <alignment vertical="center" wrapText="1"/>
    </xf>
    <xf numFmtId="0" fontId="74" fillId="13" borderId="77" xfId="0" applyFont="1" applyFill="1" applyBorder="1" applyAlignment="1">
      <alignment horizontal="left" vertical="center" wrapText="1"/>
    </xf>
    <xf numFmtId="0" fontId="77" fillId="13" borderId="78" xfId="0" applyFont="1" applyFill="1" applyBorder="1" applyAlignment="1">
      <alignment horizontal="left" vertical="center" wrapText="1"/>
    </xf>
    <xf numFmtId="0" fontId="77" fillId="13" borderId="79" xfId="0" applyFont="1" applyFill="1" applyBorder="1" applyAlignment="1">
      <alignment horizontal="left" vertical="center" wrapText="1"/>
    </xf>
    <xf numFmtId="0" fontId="38" fillId="3" borderId="92" xfId="0" applyFont="1" applyFill="1" applyBorder="1" applyAlignment="1" applyProtection="1">
      <alignment horizontal="left" vertical="center" wrapText="1"/>
      <protection locked="0"/>
    </xf>
    <xf numFmtId="0" fontId="38" fillId="3" borderId="97" xfId="0" applyFont="1" applyFill="1" applyBorder="1" applyAlignment="1" applyProtection="1">
      <alignment horizontal="left" vertical="center" wrapText="1"/>
      <protection locked="0"/>
    </xf>
    <xf numFmtId="0" fontId="75" fillId="0" borderId="37" xfId="0" applyFont="1" applyBorder="1" applyAlignment="1" applyProtection="1">
      <alignment horizontal="left" vertical="center" wrapText="1"/>
      <protection locked="0"/>
    </xf>
    <xf numFmtId="0" fontId="74" fillId="13" borderId="37" xfId="0" applyFont="1" applyFill="1" applyBorder="1" applyAlignment="1">
      <alignment horizontal="left" vertical="top" wrapText="1"/>
    </xf>
    <xf numFmtId="0" fontId="74" fillId="13" borderId="33" xfId="0" applyFont="1" applyFill="1" applyBorder="1" applyAlignment="1">
      <alignment horizontal="left" vertical="top" wrapText="1"/>
    </xf>
    <xf numFmtId="0" fontId="74" fillId="13" borderId="38" xfId="0" applyFont="1" applyFill="1" applyBorder="1" applyAlignment="1">
      <alignment horizontal="left" vertical="top" wrapText="1"/>
    </xf>
    <xf numFmtId="0" fontId="38" fillId="3" borderId="94" xfId="0" applyFont="1" applyFill="1" applyBorder="1" applyAlignment="1" applyProtection="1">
      <alignment horizontal="left" vertical="center"/>
      <protection locked="0"/>
    </xf>
    <xf numFmtId="0" fontId="74" fillId="30" borderId="97" xfId="0" applyFont="1" applyFill="1" applyBorder="1" applyAlignment="1" applyProtection="1">
      <alignment horizontal="left" vertical="center" wrapText="1"/>
      <protection locked="0"/>
    </xf>
    <xf numFmtId="0" fontId="74" fillId="30" borderId="33" xfId="0" applyFont="1" applyFill="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38" fillId="0" borderId="38" xfId="0" applyFont="1" applyBorder="1" applyAlignment="1" applyProtection="1">
      <alignment horizontal="left" vertical="center"/>
      <protection locked="0"/>
    </xf>
    <xf numFmtId="0" fontId="74" fillId="0" borderId="97" xfId="0" applyFont="1" applyBorder="1" applyAlignment="1" applyProtection="1">
      <alignment horizontal="left" vertical="center" wrapText="1"/>
      <protection locked="0"/>
    </xf>
    <xf numFmtId="0" fontId="74" fillId="0" borderId="33" xfId="0" applyFont="1" applyBorder="1" applyAlignment="1" applyProtection="1">
      <alignment horizontal="left" vertical="center"/>
      <protection locked="0"/>
    </xf>
    <xf numFmtId="0" fontId="73" fillId="27" borderId="81" xfId="0" applyFont="1" applyFill="1" applyBorder="1" applyAlignment="1" applyProtection="1">
      <alignment horizontal="left" vertical="center" wrapText="1"/>
      <protection locked="0"/>
    </xf>
    <xf numFmtId="0" fontId="73" fillId="0" borderId="81" xfId="0" applyFont="1" applyBorder="1" applyAlignment="1" applyProtection="1">
      <alignment horizontal="center" vertical="center" wrapText="1"/>
      <protection locked="0"/>
    </xf>
    <xf numFmtId="0" fontId="73" fillId="0" borderId="82" xfId="0" applyFont="1" applyBorder="1" applyAlignment="1" applyProtection="1">
      <alignment horizontal="center" vertical="center" wrapText="1"/>
      <protection locked="0"/>
    </xf>
    <xf numFmtId="0" fontId="73" fillId="25" borderId="92" xfId="0" applyFont="1" applyFill="1" applyBorder="1" applyAlignment="1" applyProtection="1">
      <alignment horizontal="left" vertical="center" wrapText="1"/>
      <protection locked="0"/>
    </xf>
    <xf numFmtId="0" fontId="73" fillId="25" borderId="81" xfId="0" applyFont="1" applyFill="1" applyBorder="1" applyAlignment="1" applyProtection="1">
      <alignment horizontal="left" vertical="center" wrapText="1"/>
      <protection locked="0"/>
    </xf>
    <xf numFmtId="0" fontId="73" fillId="0" borderId="81" xfId="0" applyFont="1" applyBorder="1" applyAlignment="1" applyProtection="1">
      <alignment horizontal="left" vertical="center" wrapText="1"/>
      <protection locked="0"/>
    </xf>
    <xf numFmtId="0" fontId="73" fillId="0" borderId="97" xfId="0" applyFont="1" applyBorder="1" applyAlignment="1" applyProtection="1">
      <alignment horizontal="left" vertical="center" wrapText="1"/>
      <protection locked="0"/>
    </xf>
    <xf numFmtId="0" fontId="73" fillId="0" borderId="92" xfId="0" applyFont="1" applyBorder="1" applyAlignment="1" applyProtection="1">
      <alignment horizontal="left" vertical="center"/>
      <protection locked="0"/>
    </xf>
    <xf numFmtId="0" fontId="73" fillId="0" borderId="81" xfId="0" applyFont="1" applyBorder="1" applyAlignment="1" applyProtection="1">
      <alignment horizontal="left" vertical="center"/>
      <protection locked="0"/>
    </xf>
    <xf numFmtId="0" fontId="73" fillId="0" borderId="97" xfId="0" applyFont="1" applyBorder="1" applyAlignment="1" applyProtection="1">
      <alignment horizontal="left" vertical="center"/>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7" xfId="0" applyFont="1" applyFill="1" applyBorder="1" applyAlignment="1">
      <alignment horizontal="center" vertical="center"/>
    </xf>
    <xf numFmtId="0" fontId="74" fillId="0" borderId="88" xfId="0" applyFont="1" applyBorder="1" applyAlignment="1" applyProtection="1">
      <alignment horizontal="left" vertical="center" wrapText="1"/>
      <protection locked="0"/>
    </xf>
    <xf numFmtId="0" fontId="74" fillId="0" borderId="34" xfId="0" applyFont="1" applyBorder="1" applyAlignment="1" applyProtection="1">
      <alignment horizontal="left" vertical="center" wrapText="1"/>
      <protection locked="0"/>
    </xf>
    <xf numFmtId="0" fontId="74" fillId="25" borderId="97" xfId="0" applyFont="1" applyFill="1" applyBorder="1" applyAlignment="1" applyProtection="1">
      <alignment horizontal="left" vertical="center" wrapText="1"/>
      <protection locked="0"/>
    </xf>
    <xf numFmtId="0" fontId="74" fillId="25" borderId="33" xfId="0" applyFont="1" applyFill="1" applyBorder="1" applyAlignment="1" applyProtection="1">
      <alignment horizontal="left" vertical="center"/>
      <protection locked="0"/>
    </xf>
    <xf numFmtId="0" fontId="74" fillId="30" borderId="33" xfId="0" applyFont="1" applyFill="1" applyBorder="1" applyAlignment="1" applyProtection="1">
      <alignment horizontal="left" vertical="center" wrapText="1"/>
      <protection locked="0"/>
    </xf>
    <xf numFmtId="0" fontId="61" fillId="0" borderId="92" xfId="0" applyFont="1" applyBorder="1" applyAlignment="1">
      <alignment horizontal="center"/>
    </xf>
    <xf numFmtId="0" fontId="61" fillId="0" borderId="81" xfId="0" applyFont="1" applyBorder="1" applyAlignment="1">
      <alignment horizontal="center"/>
    </xf>
    <xf numFmtId="0" fontId="61" fillId="0" borderId="97" xfId="0" applyFont="1" applyBorder="1" applyAlignment="1">
      <alignment horizontal="center"/>
    </xf>
    <xf numFmtId="0" fontId="73" fillId="0" borderId="92" xfId="0" applyFont="1" applyBorder="1" applyAlignment="1" applyProtection="1">
      <alignment horizontal="left" vertical="center" wrapText="1"/>
      <protection locked="0"/>
    </xf>
    <xf numFmtId="0" fontId="73" fillId="0" borderId="34" xfId="0" applyFont="1" applyBorder="1" applyAlignment="1" applyProtection="1">
      <alignment horizontal="left" vertical="center" wrapText="1"/>
      <protection locked="0"/>
    </xf>
    <xf numFmtId="0" fontId="74" fillId="0" borderId="34" xfId="0" applyFont="1" applyBorder="1" applyAlignment="1">
      <alignment vertical="center" wrapText="1"/>
    </xf>
    <xf numFmtId="0" fontId="74" fillId="0" borderId="43" xfId="0" applyFont="1" applyBorder="1" applyAlignment="1">
      <alignment vertical="center" wrapText="1"/>
    </xf>
    <xf numFmtId="0" fontId="74" fillId="0" borderId="33" xfId="0" applyFont="1" applyBorder="1" applyAlignment="1">
      <alignment vertical="center" wrapText="1"/>
    </xf>
    <xf numFmtId="0" fontId="74" fillId="0" borderId="38" xfId="0" applyFont="1" applyBorder="1" applyAlignment="1">
      <alignment vertical="center" wrapText="1"/>
    </xf>
    <xf numFmtId="0" fontId="74" fillId="0" borderId="33" xfId="0" applyFont="1" applyBorder="1" applyAlignment="1" applyProtection="1">
      <alignment horizontal="left" vertical="center" wrapText="1"/>
      <protection locked="0"/>
    </xf>
    <xf numFmtId="0" fontId="76" fillId="0" borderId="33" xfId="0" applyFont="1" applyBorder="1" applyAlignment="1" applyProtection="1">
      <alignment horizontal="left" vertical="center" wrapText="1"/>
      <protection locked="0"/>
    </xf>
    <xf numFmtId="0" fontId="73" fillId="5" borderId="33" xfId="0" applyFont="1" applyFill="1" applyBorder="1" applyAlignment="1" applyProtection="1">
      <alignment horizontal="left" vertical="center" wrapText="1"/>
      <protection locked="0"/>
    </xf>
    <xf numFmtId="0" fontId="74" fillId="28" borderId="92" xfId="0" applyFont="1" applyFill="1" applyBorder="1" applyAlignment="1" applyProtection="1">
      <alignment horizontal="left" vertical="top" wrapText="1"/>
      <protection locked="0"/>
    </xf>
    <xf numFmtId="0" fontId="74" fillId="28" borderId="81" xfId="0" applyFont="1" applyFill="1" applyBorder="1" applyAlignment="1" applyProtection="1">
      <alignment horizontal="left" vertical="top" wrapText="1"/>
      <protection locked="0"/>
    </xf>
    <xf numFmtId="0" fontId="74" fillId="28" borderId="97" xfId="0" applyFont="1" applyFill="1" applyBorder="1" applyAlignment="1" applyProtection="1">
      <alignment horizontal="left" vertical="top" wrapText="1"/>
      <protection locked="0"/>
    </xf>
    <xf numFmtId="0" fontId="74" fillId="29" borderId="33" xfId="0" applyFont="1" applyFill="1" applyBorder="1" applyAlignment="1" applyProtection="1">
      <alignment horizontal="left" vertical="top" wrapText="1"/>
      <protection locked="0"/>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2" fillId="19" borderId="81" xfId="0" applyFont="1" applyFill="1" applyBorder="1" applyAlignment="1">
      <alignment horizontal="center" vertical="center" wrapText="1"/>
    </xf>
    <xf numFmtId="0" fontId="72" fillId="19" borderId="97"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7" xfId="0" applyFont="1" applyFill="1" applyBorder="1" applyAlignment="1">
      <alignment horizontal="center"/>
    </xf>
    <xf numFmtId="0" fontId="73" fillId="0" borderId="69" xfId="0" applyFont="1" applyBorder="1" applyAlignment="1" applyProtection="1">
      <alignment horizontal="left" vertical="center" wrapText="1"/>
      <protection locked="0"/>
    </xf>
    <xf numFmtId="0" fontId="73" fillId="0" borderId="88" xfId="0" applyFont="1" applyBorder="1" applyAlignment="1" applyProtection="1">
      <alignment horizontal="left" vertical="center" wrapText="1"/>
      <protection locked="0"/>
    </xf>
    <xf numFmtId="0" fontId="74" fillId="0" borderId="92" xfId="0" applyFont="1" applyBorder="1" applyAlignment="1" applyProtection="1">
      <alignment horizontal="left" vertical="top"/>
      <protection locked="0"/>
    </xf>
    <xf numFmtId="0" fontId="74" fillId="0" borderId="81" xfId="0" applyFont="1" applyBorder="1" applyAlignment="1" applyProtection="1">
      <alignment horizontal="left" vertical="top"/>
      <protection locked="0"/>
    </xf>
    <xf numFmtId="0" fontId="74" fillId="0" borderId="97" xfId="0" applyFont="1" applyBorder="1" applyAlignment="1" applyProtection="1">
      <alignment horizontal="left" vertical="top"/>
      <protection locked="0"/>
    </xf>
    <xf numFmtId="0" fontId="71" fillId="19" borderId="106" xfId="0" applyFont="1" applyFill="1" applyBorder="1" applyAlignment="1">
      <alignment horizontal="center" vertical="center" wrapText="1"/>
    </xf>
    <xf numFmtId="0" fontId="71" fillId="19" borderId="19" xfId="0" applyFont="1" applyFill="1" applyBorder="1" applyAlignment="1">
      <alignment horizontal="center" vertical="center" wrapText="1"/>
    </xf>
    <xf numFmtId="0" fontId="71" fillId="19" borderId="86" xfId="0" applyFont="1" applyFill="1" applyBorder="1" applyAlignment="1">
      <alignment horizontal="center" vertical="center" wrapText="1"/>
    </xf>
    <xf numFmtId="0" fontId="71" fillId="19" borderId="107" xfId="0" applyFont="1" applyFill="1" applyBorder="1" applyAlignment="1">
      <alignment horizontal="center" vertical="center" wrapText="1"/>
    </xf>
    <xf numFmtId="0" fontId="71" fillId="19" borderId="0" xfId="0" applyFont="1" applyFill="1" applyAlignment="1">
      <alignment horizontal="center" vertical="center" wrapText="1"/>
    </xf>
    <xf numFmtId="0" fontId="71" fillId="19" borderId="87" xfId="0" applyFont="1" applyFill="1" applyBorder="1" applyAlignment="1">
      <alignment horizontal="center" vertical="center" wrapText="1"/>
    </xf>
    <xf numFmtId="0" fontId="74" fillId="22" borderId="92" xfId="0" applyFont="1" applyFill="1" applyBorder="1" applyAlignment="1" applyProtection="1">
      <alignment horizontal="left" vertical="top" wrapText="1"/>
      <protection locked="0"/>
    </xf>
    <xf numFmtId="0" fontId="74" fillId="22" borderId="81" xfId="0" applyFont="1" applyFill="1" applyBorder="1" applyAlignment="1" applyProtection="1">
      <alignment horizontal="left" vertical="top" wrapText="1"/>
      <protection locked="0"/>
    </xf>
    <xf numFmtId="0" fontId="74" fillId="22" borderId="97" xfId="0" applyFont="1" applyFill="1" applyBorder="1" applyAlignment="1" applyProtection="1">
      <alignment horizontal="left" vertical="top" wrapText="1"/>
      <protection locked="0"/>
    </xf>
    <xf numFmtId="0" fontId="73" fillId="25" borderId="97" xfId="0" applyFont="1" applyFill="1" applyBorder="1" applyAlignment="1" applyProtection="1">
      <alignment horizontal="left" vertical="center" wrapText="1"/>
      <protection locked="0"/>
    </xf>
    <xf numFmtId="0" fontId="74" fillId="28" borderId="92" xfId="0" applyFont="1" applyFill="1" applyBorder="1" applyAlignment="1" applyProtection="1">
      <alignment horizontal="left" vertical="center"/>
      <protection locked="0"/>
    </xf>
    <xf numFmtId="0" fontId="74" fillId="28" borderId="81" xfId="0" applyFont="1" applyFill="1" applyBorder="1" applyAlignment="1" applyProtection="1">
      <alignment horizontal="left" vertical="center"/>
      <protection locked="0"/>
    </xf>
    <xf numFmtId="0" fontId="74" fillId="28" borderId="97" xfId="0" applyFont="1" applyFill="1" applyBorder="1" applyAlignment="1" applyProtection="1">
      <alignment horizontal="left" vertical="center"/>
      <protection locked="0"/>
    </xf>
    <xf numFmtId="0" fontId="74" fillId="26" borderId="33" xfId="0" applyFont="1" applyFill="1" applyBorder="1" applyAlignment="1" applyProtection="1">
      <alignment horizontal="left" vertical="center" wrapText="1"/>
      <protection locked="0"/>
    </xf>
    <xf numFmtId="0" fontId="73" fillId="0" borderId="92" xfId="0" applyFont="1" applyBorder="1" applyAlignment="1" applyProtection="1">
      <alignment horizontal="center" vertical="center"/>
      <protection locked="0"/>
    </xf>
    <xf numFmtId="0" fontId="73" fillId="0" borderId="81" xfId="0" applyFont="1" applyBorder="1" applyAlignment="1" applyProtection="1">
      <alignment horizontal="center" vertical="center"/>
      <protection locked="0"/>
    </xf>
    <xf numFmtId="0" fontId="73" fillId="0" borderId="97" xfId="0" applyFont="1" applyBorder="1" applyAlignment="1" applyProtection="1">
      <alignment horizontal="center" vertical="center"/>
      <protection locked="0"/>
    </xf>
    <xf numFmtId="0" fontId="61" fillId="0" borderId="101" xfId="0" applyFont="1" applyBorder="1" applyAlignment="1">
      <alignment horizontal="left" vertical="center" wrapText="1"/>
    </xf>
    <xf numFmtId="0" fontId="61" fillId="0" borderId="102"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96"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92" xfId="0" applyFont="1" applyBorder="1" applyAlignment="1">
      <alignment horizontal="left" vertical="center" wrapText="1"/>
    </xf>
    <xf numFmtId="0" fontId="61" fillId="0" borderId="97" xfId="0" applyFont="1" applyBorder="1" applyAlignment="1">
      <alignment horizontal="left"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87" xfId="0" applyFont="1" applyBorder="1" applyAlignment="1">
      <alignment horizontal="center" vertical="center" wrapText="1"/>
    </xf>
    <xf numFmtId="0" fontId="60" fillId="0" borderId="68" xfId="0" applyFont="1" applyBorder="1" applyAlignment="1">
      <alignment horizontal="center" vertical="center" wrapText="1"/>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30" xfId="0" applyFont="1" applyFill="1" applyBorder="1" applyAlignment="1">
      <alignment horizontal="left" vertical="center"/>
    </xf>
    <xf numFmtId="0" fontId="24" fillId="2" borderId="3"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9" fontId="27" fillId="0" borderId="4" xfId="0" applyNumberFormat="1" applyFont="1" applyBorder="1" applyAlignment="1" applyProtection="1">
      <alignment horizontal="center" vertical="center"/>
      <protection hidden="1"/>
    </xf>
    <xf numFmtId="9" fontId="27"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83" fillId="0" borderId="4" xfId="0" applyFont="1" applyBorder="1" applyAlignment="1" applyProtection="1">
      <alignment horizontal="center" vertical="top" wrapText="1"/>
      <protection locked="0"/>
    </xf>
    <xf numFmtId="0" fontId="83" fillId="0" borderId="8"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84" fillId="0" borderId="28" xfId="0" applyFont="1" applyBorder="1" applyAlignment="1" applyProtection="1">
      <alignment horizontal="center" vertical="center" wrapText="1"/>
      <protection locked="0"/>
    </xf>
    <xf numFmtId="0" fontId="84" fillId="0" borderId="9"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5" xfId="0" applyFont="1" applyBorder="1" applyAlignment="1" applyProtection="1">
      <alignment horizontal="center" vertical="top"/>
      <protection hidden="1"/>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50" fillId="0" borderId="98" xfId="0" applyFont="1" applyBorder="1" applyAlignment="1" applyProtection="1">
      <alignment horizontal="center" vertical="top" wrapText="1"/>
      <protection locked="0"/>
    </xf>
    <xf numFmtId="0" fontId="50" fillId="0" borderId="99" xfId="0"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84" fillId="0" borderId="28" xfId="0" applyFont="1" applyBorder="1" applyAlignment="1" applyProtection="1">
      <alignment horizontal="center" vertical="top" wrapText="1"/>
      <protection locked="0"/>
    </xf>
    <xf numFmtId="0" fontId="84" fillId="0" borderId="9"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textRotation="90"/>
      <protection hidden="1"/>
    </xf>
    <xf numFmtId="0" fontId="49" fillId="0" borderId="5" xfId="0" applyFont="1" applyBorder="1" applyAlignment="1" applyProtection="1">
      <alignment horizontal="center" vertical="center" textRotation="90"/>
      <protection hidden="1"/>
    </xf>
    <xf numFmtId="0" fontId="27" fillId="0" borderId="4" xfId="0" applyFont="1" applyBorder="1" applyAlignment="1" applyProtection="1">
      <alignment horizontal="center" vertical="center" textRotation="90"/>
      <protection locked="0"/>
    </xf>
    <xf numFmtId="0" fontId="27" fillId="0" borderId="5" xfId="0" applyFont="1" applyBorder="1" applyAlignment="1" applyProtection="1">
      <alignment horizontal="center" vertical="center" textRotation="90"/>
      <protection locked="0"/>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49" fillId="0" borderId="4" xfId="0" applyFont="1" applyBorder="1" applyAlignment="1" applyProtection="1">
      <alignment horizontal="center" vertical="center" textRotation="90" wrapText="1"/>
      <protection hidden="1"/>
    </xf>
    <xf numFmtId="0" fontId="49" fillId="0" borderId="5" xfId="0" applyFont="1" applyBorder="1" applyAlignment="1" applyProtection="1">
      <alignment horizontal="center" vertical="center" textRotation="90" wrapText="1"/>
      <protection hidden="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5" xfId="0" applyFont="1" applyBorder="1" applyAlignment="1" applyProtection="1">
      <alignment horizontal="left" vertical="top" wrapText="1"/>
      <protection locked="0"/>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9" fillId="0" borderId="4" xfId="0" applyFont="1" applyBorder="1" applyAlignment="1" applyProtection="1">
      <alignment horizontal="center" vertical="center" wrapText="1"/>
      <protection locked="0"/>
    </xf>
    <xf numFmtId="0" fontId="49" fillId="0" borderId="8" xfId="0" applyFont="1" applyBorder="1" applyAlignment="1" applyProtection="1">
      <alignment horizontal="center" vertical="center" wrapText="1"/>
      <protection locked="0"/>
    </xf>
    <xf numFmtId="0" fontId="49" fillId="0" borderId="5" xfId="0" applyFont="1" applyBorder="1" applyAlignment="1" applyProtection="1">
      <alignment horizontal="center" vertical="center" wrapText="1"/>
      <protection locked="0"/>
    </xf>
    <xf numFmtId="0" fontId="80" fillId="0" borderId="4"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80" fillId="0" borderId="5" xfId="0" applyFont="1" applyBorder="1" applyAlignment="1" applyProtection="1">
      <alignment horizontal="center" vertical="center" wrapText="1"/>
      <protection locked="0"/>
    </xf>
    <xf numFmtId="0" fontId="81" fillId="0" borderId="28" xfId="0" applyFont="1" applyBorder="1" applyAlignment="1" applyProtection="1">
      <alignment horizontal="center" vertical="center" wrapText="1"/>
      <protection locked="0"/>
    </xf>
    <xf numFmtId="0" fontId="81" fillId="0" borderId="9" xfId="0" applyFont="1" applyBorder="1" applyAlignment="1" applyProtection="1">
      <alignment horizontal="center" vertical="center" wrapText="1"/>
      <protection locked="0"/>
    </xf>
    <xf numFmtId="0" fontId="81" fillId="0" borderId="3" xfId="0" applyFont="1" applyBorder="1" applyAlignment="1" applyProtection="1">
      <alignment horizontal="center" vertical="center" wrapText="1"/>
      <protection locked="0"/>
    </xf>
    <xf numFmtId="0" fontId="50" fillId="0" borderId="98" xfId="0" applyFont="1" applyBorder="1" applyAlignment="1" applyProtection="1">
      <alignment horizontal="center" vertical="center" wrapText="1"/>
      <protection locked="0"/>
    </xf>
    <xf numFmtId="0" fontId="50" fillId="0" borderId="99" xfId="0" applyFont="1" applyBorder="1" applyAlignment="1" applyProtection="1">
      <alignment horizontal="center" vertical="center" wrapText="1"/>
      <protection locked="0"/>
    </xf>
    <xf numFmtId="0" fontId="50" fillId="0" borderId="100" xfId="0" applyFont="1" applyBorder="1" applyAlignment="1" applyProtection="1">
      <alignment horizontal="center" vertical="center" wrapText="1"/>
      <protection locked="0"/>
    </xf>
    <xf numFmtId="0" fontId="49" fillId="0" borderId="4" xfId="0" applyFont="1" applyBorder="1" applyAlignment="1" applyProtection="1">
      <alignment horizontal="center" vertical="center"/>
      <protection hidden="1"/>
    </xf>
    <xf numFmtId="0" fontId="49" fillId="0" borderId="8" xfId="0" applyFont="1" applyBorder="1" applyAlignment="1" applyProtection="1">
      <alignment horizontal="center" vertical="center"/>
      <protection hidden="1"/>
    </xf>
    <xf numFmtId="0" fontId="49" fillId="0" borderId="5" xfId="0" applyFont="1" applyBorder="1" applyAlignment="1" applyProtection="1">
      <alignment horizontal="center" vertical="center"/>
      <protection hidden="1"/>
    </xf>
    <xf numFmtId="9" fontId="27" fillId="0" borderId="4" xfId="0" applyNumberFormat="1" applyFont="1" applyBorder="1" applyAlignment="1" applyProtection="1">
      <alignment horizontal="center" vertical="center" wrapText="1"/>
      <protection hidden="1"/>
    </xf>
    <xf numFmtId="9" fontId="27" fillId="0" borderId="8" xfId="0" applyNumberFormat="1" applyFont="1" applyBorder="1" applyAlignment="1" applyProtection="1">
      <alignment horizontal="center" vertical="center" wrapText="1"/>
      <protection hidden="1"/>
    </xf>
    <xf numFmtId="9" fontId="27" fillId="0" borderId="5" xfId="0" applyNumberFormat="1" applyFont="1" applyBorder="1" applyAlignment="1" applyProtection="1">
      <alignment horizontal="center" vertical="center" wrapText="1"/>
      <protection hidden="1"/>
    </xf>
    <xf numFmtId="9" fontId="27" fillId="0" borderId="4" xfId="0" applyNumberFormat="1" applyFont="1" applyBorder="1" applyAlignment="1" applyProtection="1">
      <alignment horizontal="center" vertical="center" wrapText="1"/>
      <protection locked="0"/>
    </xf>
    <xf numFmtId="9" fontId="27" fillId="0" borderId="8" xfId="0" applyNumberFormat="1" applyFont="1" applyBorder="1" applyAlignment="1" applyProtection="1">
      <alignment horizontal="center" vertical="center" wrapText="1"/>
      <protection locked="0"/>
    </xf>
    <xf numFmtId="9" fontId="27" fillId="0" borderId="5"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hidden="1"/>
    </xf>
    <xf numFmtId="0" fontId="49" fillId="0" borderId="8" xfId="0" applyFont="1" applyBorder="1" applyAlignment="1" applyProtection="1">
      <alignment horizontal="center" vertical="center" wrapText="1"/>
      <protection hidden="1"/>
    </xf>
    <xf numFmtId="0" fontId="49" fillId="0" borderId="5" xfId="0" applyFont="1" applyBorder="1" applyAlignment="1" applyProtection="1">
      <alignment horizontal="center" vertical="center" wrapText="1"/>
      <protection hidden="1"/>
    </xf>
    <xf numFmtId="0" fontId="50" fillId="0" borderId="75"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76"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1" fillId="0" borderId="30"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103"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4" xfId="0" applyFont="1" applyBorder="1" applyAlignment="1">
      <alignment horizontal="center" vertical="center" wrapText="1"/>
    </xf>
    <xf numFmtId="0" fontId="2" fillId="0" borderId="98"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3">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2380</xdr:rowOff>
    </xdr:from>
    <xdr:to>
      <xdr:col>5</xdr:col>
      <xdr:colOff>1423686</xdr:colOff>
      <xdr:row>4</xdr:row>
      <xdr:rowOff>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11315326" y="2380"/>
          <a:ext cx="623960" cy="767240"/>
        </a:xfrm>
        <a:prstGeom prst="rect">
          <a:avLst/>
        </a:prstGeom>
      </xdr:spPr>
    </xdr:pic>
    <xdr:clientData/>
  </xdr:twoCellAnchor>
  <xdr:twoCellAnchor editAs="oneCell">
    <xdr:from>
      <xdr:col>0</xdr:col>
      <xdr:colOff>266700</xdr:colOff>
      <xdr:row>0</xdr:row>
      <xdr:rowOff>82202</xdr:rowOff>
    </xdr:from>
    <xdr:to>
      <xdr:col>0</xdr:col>
      <xdr:colOff>1700386</xdr:colOff>
      <xdr:row>3</xdr:row>
      <xdr:rowOff>112822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82202"/>
          <a:ext cx="1433686" cy="602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123451</xdr:colOff>
      <xdr:row>0</xdr:row>
      <xdr:rowOff>189956</xdr:rowOff>
    </xdr:from>
    <xdr:to>
      <xdr:col>18</xdr:col>
      <xdr:colOff>759658</xdr:colOff>
      <xdr:row>3</xdr:row>
      <xdr:rowOff>52593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0780565" y="189956"/>
          <a:ext cx="636207" cy="766151"/>
        </a:xfrm>
        <a:prstGeom prst="rect">
          <a:avLst/>
        </a:prstGeom>
      </xdr:spPr>
    </xdr:pic>
    <xdr:clientData/>
  </xdr:twoCellAnchor>
  <xdr:twoCellAnchor editAs="oneCell">
    <xdr:from>
      <xdr:col>0</xdr:col>
      <xdr:colOff>361987</xdr:colOff>
      <xdr:row>0</xdr:row>
      <xdr:rowOff>97972</xdr:rowOff>
    </xdr:from>
    <xdr:to>
      <xdr:col>1</xdr:col>
      <xdr:colOff>2068285</xdr:colOff>
      <xdr:row>3</xdr:row>
      <xdr:rowOff>87506</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87" y="97972"/>
          <a:ext cx="2402984" cy="893048"/>
        </a:xfrm>
        <a:prstGeom prst="rect">
          <a:avLst/>
        </a:prstGeom>
      </xdr:spPr>
    </xdr:pic>
    <xdr:clientData/>
  </xdr:twoCellAnchor>
  <xdr:twoCellAnchor>
    <xdr:from>
      <xdr:col>0</xdr:col>
      <xdr:colOff>0</xdr:colOff>
      <xdr:row>25</xdr:row>
      <xdr:rowOff>288633</xdr:rowOff>
    </xdr:from>
    <xdr:to>
      <xdr:col>0</xdr:col>
      <xdr:colOff>1</xdr:colOff>
      <xdr:row>38</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39</xdr:row>
      <xdr:rowOff>0</xdr:rowOff>
    </xdr:from>
    <xdr:to>
      <xdr:col>0</xdr:col>
      <xdr:colOff>2</xdr:colOff>
      <xdr:row>39</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403860</xdr:colOff>
          <xdr:row>10</xdr:row>
          <xdr:rowOff>121920</xdr:rowOff>
        </xdr:from>
        <xdr:to>
          <xdr:col>19</xdr:col>
          <xdr:colOff>1021080</xdr:colOff>
          <xdr:row>10</xdr:row>
          <xdr:rowOff>335280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11</xdr:row>
          <xdr:rowOff>121920</xdr:rowOff>
        </xdr:from>
        <xdr:to>
          <xdr:col>19</xdr:col>
          <xdr:colOff>1021080</xdr:colOff>
          <xdr:row>11</xdr:row>
          <xdr:rowOff>335280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12</xdr:row>
          <xdr:rowOff>121920</xdr:rowOff>
        </xdr:from>
        <xdr:to>
          <xdr:col>19</xdr:col>
          <xdr:colOff>1021080</xdr:colOff>
          <xdr:row>12</xdr:row>
          <xdr:rowOff>335280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13</xdr:row>
          <xdr:rowOff>121920</xdr:rowOff>
        </xdr:from>
        <xdr:to>
          <xdr:col>19</xdr:col>
          <xdr:colOff>1021080</xdr:colOff>
          <xdr:row>13</xdr:row>
          <xdr:rowOff>335280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1048574</xdr:row>
          <xdr:rowOff>121920</xdr:rowOff>
        </xdr:from>
        <xdr:to>
          <xdr:col>19</xdr:col>
          <xdr:colOff>1021080</xdr:colOff>
          <xdr:row>1048575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14</xdr:row>
          <xdr:rowOff>121920</xdr:rowOff>
        </xdr:from>
        <xdr:to>
          <xdr:col>19</xdr:col>
          <xdr:colOff>1021080</xdr:colOff>
          <xdr:row>14</xdr:row>
          <xdr:rowOff>335280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15</xdr:row>
          <xdr:rowOff>121920</xdr:rowOff>
        </xdr:from>
        <xdr:to>
          <xdr:col>19</xdr:col>
          <xdr:colOff>1021080</xdr:colOff>
          <xdr:row>15</xdr:row>
          <xdr:rowOff>335280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16</xdr:row>
          <xdr:rowOff>121920</xdr:rowOff>
        </xdr:from>
        <xdr:to>
          <xdr:col>19</xdr:col>
          <xdr:colOff>1021080</xdr:colOff>
          <xdr:row>16</xdr:row>
          <xdr:rowOff>335280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17</xdr:row>
          <xdr:rowOff>121920</xdr:rowOff>
        </xdr:from>
        <xdr:to>
          <xdr:col>19</xdr:col>
          <xdr:colOff>1021080</xdr:colOff>
          <xdr:row>17</xdr:row>
          <xdr:rowOff>335280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18</xdr:row>
          <xdr:rowOff>121920</xdr:rowOff>
        </xdr:from>
        <xdr:to>
          <xdr:col>19</xdr:col>
          <xdr:colOff>1021080</xdr:colOff>
          <xdr:row>18</xdr:row>
          <xdr:rowOff>335280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19</xdr:row>
          <xdr:rowOff>121920</xdr:rowOff>
        </xdr:from>
        <xdr:to>
          <xdr:col>19</xdr:col>
          <xdr:colOff>1021080</xdr:colOff>
          <xdr:row>19</xdr:row>
          <xdr:rowOff>335280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20</xdr:row>
          <xdr:rowOff>121920</xdr:rowOff>
        </xdr:from>
        <xdr:to>
          <xdr:col>19</xdr:col>
          <xdr:colOff>1021080</xdr:colOff>
          <xdr:row>20</xdr:row>
          <xdr:rowOff>335280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21</xdr:row>
          <xdr:rowOff>121920</xdr:rowOff>
        </xdr:from>
        <xdr:to>
          <xdr:col>19</xdr:col>
          <xdr:colOff>1021080</xdr:colOff>
          <xdr:row>21</xdr:row>
          <xdr:rowOff>335280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22</xdr:row>
          <xdr:rowOff>121920</xdr:rowOff>
        </xdr:from>
        <xdr:to>
          <xdr:col>19</xdr:col>
          <xdr:colOff>1021080</xdr:colOff>
          <xdr:row>22</xdr:row>
          <xdr:rowOff>335280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23</xdr:row>
          <xdr:rowOff>121920</xdr:rowOff>
        </xdr:from>
        <xdr:to>
          <xdr:col>19</xdr:col>
          <xdr:colOff>1021080</xdr:colOff>
          <xdr:row>23</xdr:row>
          <xdr:rowOff>335280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24</xdr:row>
          <xdr:rowOff>121920</xdr:rowOff>
        </xdr:from>
        <xdr:to>
          <xdr:col>19</xdr:col>
          <xdr:colOff>1021080</xdr:colOff>
          <xdr:row>24</xdr:row>
          <xdr:rowOff>335280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25</xdr:row>
          <xdr:rowOff>121920</xdr:rowOff>
        </xdr:from>
        <xdr:to>
          <xdr:col>19</xdr:col>
          <xdr:colOff>1021080</xdr:colOff>
          <xdr:row>25</xdr:row>
          <xdr:rowOff>335280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26</xdr:row>
          <xdr:rowOff>121920</xdr:rowOff>
        </xdr:from>
        <xdr:to>
          <xdr:col>19</xdr:col>
          <xdr:colOff>1021080</xdr:colOff>
          <xdr:row>26</xdr:row>
          <xdr:rowOff>335280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27</xdr:row>
          <xdr:rowOff>121920</xdr:rowOff>
        </xdr:from>
        <xdr:to>
          <xdr:col>19</xdr:col>
          <xdr:colOff>1021080</xdr:colOff>
          <xdr:row>27</xdr:row>
          <xdr:rowOff>335280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28</xdr:row>
          <xdr:rowOff>121920</xdr:rowOff>
        </xdr:from>
        <xdr:to>
          <xdr:col>19</xdr:col>
          <xdr:colOff>1021080</xdr:colOff>
          <xdr:row>28</xdr:row>
          <xdr:rowOff>335280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29</xdr:row>
          <xdr:rowOff>121920</xdr:rowOff>
        </xdr:from>
        <xdr:to>
          <xdr:col>19</xdr:col>
          <xdr:colOff>1021080</xdr:colOff>
          <xdr:row>29</xdr:row>
          <xdr:rowOff>335280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30</xdr:row>
          <xdr:rowOff>121920</xdr:rowOff>
        </xdr:from>
        <xdr:to>
          <xdr:col>19</xdr:col>
          <xdr:colOff>1021080</xdr:colOff>
          <xdr:row>30</xdr:row>
          <xdr:rowOff>335280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31</xdr:row>
          <xdr:rowOff>121920</xdr:rowOff>
        </xdr:from>
        <xdr:to>
          <xdr:col>19</xdr:col>
          <xdr:colOff>1021080</xdr:colOff>
          <xdr:row>31</xdr:row>
          <xdr:rowOff>335280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32</xdr:row>
          <xdr:rowOff>121920</xdr:rowOff>
        </xdr:from>
        <xdr:to>
          <xdr:col>19</xdr:col>
          <xdr:colOff>1021080</xdr:colOff>
          <xdr:row>32</xdr:row>
          <xdr:rowOff>335280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33</xdr:row>
          <xdr:rowOff>121920</xdr:rowOff>
        </xdr:from>
        <xdr:to>
          <xdr:col>19</xdr:col>
          <xdr:colOff>1021080</xdr:colOff>
          <xdr:row>33</xdr:row>
          <xdr:rowOff>335280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34</xdr:row>
          <xdr:rowOff>121920</xdr:rowOff>
        </xdr:from>
        <xdr:to>
          <xdr:col>19</xdr:col>
          <xdr:colOff>1021080</xdr:colOff>
          <xdr:row>34</xdr:row>
          <xdr:rowOff>335280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35</xdr:row>
          <xdr:rowOff>121920</xdr:rowOff>
        </xdr:from>
        <xdr:to>
          <xdr:col>19</xdr:col>
          <xdr:colOff>1021080</xdr:colOff>
          <xdr:row>35</xdr:row>
          <xdr:rowOff>335280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36</xdr:row>
          <xdr:rowOff>121920</xdr:rowOff>
        </xdr:from>
        <xdr:to>
          <xdr:col>19</xdr:col>
          <xdr:colOff>1021080</xdr:colOff>
          <xdr:row>36</xdr:row>
          <xdr:rowOff>335280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37</xdr:row>
          <xdr:rowOff>121920</xdr:rowOff>
        </xdr:from>
        <xdr:to>
          <xdr:col>19</xdr:col>
          <xdr:colOff>1021080</xdr:colOff>
          <xdr:row>37</xdr:row>
          <xdr:rowOff>335280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38</xdr:row>
          <xdr:rowOff>0</xdr:rowOff>
        </xdr:from>
        <xdr:to>
          <xdr:col>19</xdr:col>
          <xdr:colOff>1021080</xdr:colOff>
          <xdr:row>38</xdr:row>
          <xdr:rowOff>213360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38</xdr:row>
          <xdr:rowOff>121920</xdr:rowOff>
        </xdr:from>
        <xdr:to>
          <xdr:col>19</xdr:col>
          <xdr:colOff>1021080</xdr:colOff>
          <xdr:row>38</xdr:row>
          <xdr:rowOff>335280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189955</xdr:colOff>
      <xdr:row>0</xdr:row>
      <xdr:rowOff>28387</xdr:rowOff>
    </xdr:from>
    <xdr:to>
      <xdr:col>1</xdr:col>
      <xdr:colOff>1009650</xdr:colOff>
      <xdr:row>3</xdr:row>
      <xdr:rowOff>57150</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955" y="28387"/>
          <a:ext cx="1647009" cy="812534"/>
        </a:xfrm>
        <a:prstGeom prst="rect">
          <a:avLst/>
        </a:prstGeom>
      </xdr:spPr>
    </xdr:pic>
    <xdr:clientData/>
  </xdr:twoCellAnchor>
  <xdr:twoCellAnchor editAs="oneCell">
    <xdr:from>
      <xdr:col>9</xdr:col>
      <xdr:colOff>197746</xdr:colOff>
      <xdr:row>0</xdr:row>
      <xdr:rowOff>0</xdr:rowOff>
    </xdr:from>
    <xdr:to>
      <xdr:col>9</xdr:col>
      <xdr:colOff>821706</xdr:colOff>
      <xdr:row>2</xdr:row>
      <xdr:rowOff>186215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13563226" y="0"/>
          <a:ext cx="623960" cy="767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62">
      <pivotArea type="all" dataOnly="0" outline="0" fieldPosition="0"/>
    </format>
    <format dxfId="61">
      <pivotArea field="0" type="button" dataOnly="0" labelOnly="1" outline="0" axis="axisRow" fieldPosition="0"/>
    </format>
    <format dxfId="60">
      <pivotArea field="1" type="button" dataOnly="0" labelOnly="1" outline="0" axis="axisRow" fieldPosition="1"/>
    </format>
    <format dxfId="59">
      <pivotArea dataOnly="0" labelOnly="1" outline="0" fieldPosition="0">
        <references count="1">
          <reference field="0" count="0"/>
        </references>
      </pivotArea>
    </format>
    <format dxfId="58">
      <pivotArea dataOnly="0" labelOnly="1" outline="0" fieldPosition="0">
        <references count="2">
          <reference field="0" count="1" selected="0">
            <x v="0"/>
          </reference>
          <reference field="1" count="5">
            <x v="0"/>
            <x v="6"/>
            <x v="7"/>
            <x v="8"/>
            <x v="9"/>
          </reference>
        </references>
      </pivotArea>
    </format>
    <format dxfId="57">
      <pivotArea dataOnly="0" labelOnly="1" outline="0" fieldPosition="0">
        <references count="2">
          <reference field="0" count="1" selected="0">
            <x v="1"/>
          </reference>
          <reference field="1" count="5">
            <x v="1"/>
            <x v="2"/>
            <x v="3"/>
            <x v="4"/>
            <x v="5"/>
          </reference>
        </references>
      </pivotArea>
    </format>
    <format dxfId="56">
      <pivotArea type="all" dataOnly="0" outline="0" fieldPosition="0"/>
    </format>
    <format dxfId="55">
      <pivotArea field="0" type="button" dataOnly="0" labelOnly="1" outline="0" axis="axisRow" fieldPosition="0"/>
    </format>
    <format dxfId="54">
      <pivotArea field="1" type="button" dataOnly="0" labelOnly="1" outline="0" axis="axisRow" fieldPosition="1"/>
    </format>
    <format dxfId="53">
      <pivotArea dataOnly="0" labelOnly="1" outline="0" fieldPosition="0">
        <references count="1">
          <reference field="0" count="0"/>
        </references>
      </pivotArea>
    </format>
    <format dxfId="52">
      <pivotArea dataOnly="0" labelOnly="1" outline="0" fieldPosition="0">
        <references count="2">
          <reference field="0" count="1" selected="0">
            <x v="0"/>
          </reference>
          <reference field="1" count="5">
            <x v="10"/>
            <x v="11"/>
            <x v="12"/>
            <x v="13"/>
            <x v="14"/>
          </reference>
        </references>
      </pivotArea>
    </format>
    <format dxfId="51">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0" dataDxfId="49">
  <autoFilter ref="B209:C219" xr:uid="{00000000-0009-0000-0100-000001000000}"/>
  <tableColumns count="2">
    <tableColumn id="1" xr3:uid="{00000000-0010-0000-0000-000001000000}" name="Criterios" dataDxfId="48"/>
    <tableColumn id="2" xr3:uid="{00000000-0010-0000-0000-000002000000}" name="Subcriterios" dataDxfId="4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5"/>
  <sheetViews>
    <sheetView zoomScale="110" zoomScaleNormal="110" workbookViewId="0">
      <selection activeCell="C21" sqref="C21:D21"/>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67" t="s">
        <v>153</v>
      </c>
      <c r="C2" s="268"/>
      <c r="D2" s="268"/>
      <c r="E2" s="268"/>
      <c r="F2" s="268"/>
      <c r="G2" s="268"/>
      <c r="H2" s="269"/>
    </row>
    <row r="3" spans="2:8" x14ac:dyDescent="0.3">
      <c r="B3" s="68"/>
      <c r="C3" s="69"/>
      <c r="D3" s="69"/>
      <c r="E3" s="69"/>
      <c r="F3" s="69"/>
      <c r="G3" s="69"/>
      <c r="H3" s="70"/>
    </row>
    <row r="4" spans="2:8" ht="63" customHeight="1" x14ac:dyDescent="0.3">
      <c r="B4" s="270" t="s">
        <v>196</v>
      </c>
      <c r="C4" s="271"/>
      <c r="D4" s="271"/>
      <c r="E4" s="271"/>
      <c r="F4" s="271"/>
      <c r="G4" s="271"/>
      <c r="H4" s="272"/>
    </row>
    <row r="5" spans="2:8" ht="63" customHeight="1" x14ac:dyDescent="0.3">
      <c r="B5" s="273"/>
      <c r="C5" s="274"/>
      <c r="D5" s="274"/>
      <c r="E5" s="274"/>
      <c r="F5" s="274"/>
      <c r="G5" s="274"/>
      <c r="H5" s="275"/>
    </row>
    <row r="6" spans="2:8" x14ac:dyDescent="0.3">
      <c r="B6" s="276" t="s">
        <v>151</v>
      </c>
      <c r="C6" s="277"/>
      <c r="D6" s="277"/>
      <c r="E6" s="277"/>
      <c r="F6" s="277"/>
      <c r="G6" s="277"/>
      <c r="H6" s="278"/>
    </row>
    <row r="7" spans="2:8" ht="95.25" customHeight="1" x14ac:dyDescent="0.3">
      <c r="B7" s="286" t="s">
        <v>156</v>
      </c>
      <c r="C7" s="287"/>
      <c r="D7" s="287"/>
      <c r="E7" s="287"/>
      <c r="F7" s="287"/>
      <c r="G7" s="287"/>
      <c r="H7" s="288"/>
    </row>
    <row r="8" spans="2:8" x14ac:dyDescent="0.3">
      <c r="B8" s="102"/>
      <c r="C8" s="103"/>
      <c r="D8" s="103"/>
      <c r="E8" s="103"/>
      <c r="F8" s="103"/>
      <c r="G8" s="103"/>
      <c r="H8" s="104"/>
    </row>
    <row r="9" spans="2:8" ht="16.5" customHeight="1" x14ac:dyDescent="0.3">
      <c r="B9" s="279" t="s">
        <v>189</v>
      </c>
      <c r="C9" s="280"/>
      <c r="D9" s="280"/>
      <c r="E9" s="280"/>
      <c r="F9" s="280"/>
      <c r="G9" s="280"/>
      <c r="H9" s="281"/>
    </row>
    <row r="10" spans="2:8" ht="44.25" customHeight="1" x14ac:dyDescent="0.3">
      <c r="B10" s="279"/>
      <c r="C10" s="280"/>
      <c r="D10" s="280"/>
      <c r="E10" s="280"/>
      <c r="F10" s="280"/>
      <c r="G10" s="280"/>
      <c r="H10" s="281"/>
    </row>
    <row r="11" spans="2:8" ht="15" thickBot="1" x14ac:dyDescent="0.35">
      <c r="B11" s="91"/>
      <c r="C11" s="94"/>
      <c r="D11" s="99"/>
      <c r="E11" s="100"/>
      <c r="F11" s="100"/>
      <c r="G11" s="101"/>
      <c r="H11" s="95"/>
    </row>
    <row r="12" spans="2:8" ht="15" thickTop="1" x14ac:dyDescent="0.3">
      <c r="B12" s="91"/>
      <c r="C12" s="282" t="s">
        <v>152</v>
      </c>
      <c r="D12" s="283"/>
      <c r="E12" s="284" t="s">
        <v>190</v>
      </c>
      <c r="F12" s="285"/>
      <c r="G12" s="94"/>
      <c r="H12" s="95"/>
    </row>
    <row r="13" spans="2:8" ht="35.25" customHeight="1" x14ac:dyDescent="0.3">
      <c r="B13" s="91"/>
      <c r="C13" s="254" t="s">
        <v>183</v>
      </c>
      <c r="D13" s="255"/>
      <c r="E13" s="256" t="s">
        <v>188</v>
      </c>
      <c r="F13" s="257"/>
      <c r="G13" s="94"/>
      <c r="H13" s="95"/>
    </row>
    <row r="14" spans="2:8" ht="17.25" customHeight="1" x14ac:dyDescent="0.3">
      <c r="B14" s="91"/>
      <c r="C14" s="254" t="s">
        <v>184</v>
      </c>
      <c r="D14" s="255"/>
      <c r="E14" s="256" t="s">
        <v>186</v>
      </c>
      <c r="F14" s="257"/>
      <c r="G14" s="94"/>
      <c r="H14" s="95"/>
    </row>
    <row r="15" spans="2:8" ht="19.5" customHeight="1" x14ac:dyDescent="0.3">
      <c r="B15" s="91"/>
      <c r="C15" s="254" t="s">
        <v>185</v>
      </c>
      <c r="D15" s="255"/>
      <c r="E15" s="256" t="s">
        <v>187</v>
      </c>
      <c r="F15" s="257"/>
      <c r="G15" s="94"/>
      <c r="H15" s="95"/>
    </row>
    <row r="16" spans="2:8" ht="69.75" customHeight="1" x14ac:dyDescent="0.3">
      <c r="B16" s="91"/>
      <c r="C16" s="254" t="s">
        <v>154</v>
      </c>
      <c r="D16" s="255"/>
      <c r="E16" s="256" t="s">
        <v>155</v>
      </c>
      <c r="F16" s="257"/>
      <c r="G16" s="94"/>
      <c r="H16" s="95"/>
    </row>
    <row r="17" spans="2:8" ht="34.5" customHeight="1" x14ac:dyDescent="0.3">
      <c r="B17" s="91"/>
      <c r="C17" s="258" t="s">
        <v>2</v>
      </c>
      <c r="D17" s="259"/>
      <c r="E17" s="250" t="s">
        <v>197</v>
      </c>
      <c r="F17" s="251"/>
      <c r="G17" s="94"/>
      <c r="H17" s="95"/>
    </row>
    <row r="18" spans="2:8" ht="27.75" customHeight="1" x14ac:dyDescent="0.3">
      <c r="B18" s="91"/>
      <c r="C18" s="258" t="s">
        <v>3</v>
      </c>
      <c r="D18" s="259"/>
      <c r="E18" s="250" t="s">
        <v>198</v>
      </c>
      <c r="F18" s="251"/>
      <c r="G18" s="94"/>
      <c r="H18" s="95"/>
    </row>
    <row r="19" spans="2:8" ht="28.5" customHeight="1" x14ac:dyDescent="0.3">
      <c r="B19" s="91"/>
      <c r="C19" s="258" t="s">
        <v>41</v>
      </c>
      <c r="D19" s="259"/>
      <c r="E19" s="250" t="s">
        <v>199</v>
      </c>
      <c r="F19" s="251"/>
      <c r="G19" s="94"/>
      <c r="H19" s="95"/>
    </row>
    <row r="20" spans="2:8" ht="72.75" customHeight="1" x14ac:dyDescent="0.3">
      <c r="B20" s="91"/>
      <c r="C20" s="258" t="s">
        <v>1</v>
      </c>
      <c r="D20" s="259"/>
      <c r="E20" s="250" t="s">
        <v>200</v>
      </c>
      <c r="F20" s="251"/>
      <c r="G20" s="94"/>
      <c r="H20" s="95"/>
    </row>
    <row r="21" spans="2:8" ht="64.5" customHeight="1" x14ac:dyDescent="0.3">
      <c r="B21" s="91"/>
      <c r="C21" s="258" t="s">
        <v>49</v>
      </c>
      <c r="D21" s="259"/>
      <c r="E21" s="250" t="s">
        <v>158</v>
      </c>
      <c r="F21" s="251"/>
      <c r="G21" s="94"/>
      <c r="H21" s="95"/>
    </row>
    <row r="22" spans="2:8" ht="71.25" customHeight="1" x14ac:dyDescent="0.3">
      <c r="B22" s="91"/>
      <c r="C22" s="258" t="s">
        <v>157</v>
      </c>
      <c r="D22" s="259"/>
      <c r="E22" s="250" t="s">
        <v>159</v>
      </c>
      <c r="F22" s="251"/>
      <c r="G22" s="94"/>
      <c r="H22" s="95"/>
    </row>
    <row r="23" spans="2:8" ht="55.5" customHeight="1" x14ac:dyDescent="0.3">
      <c r="B23" s="91"/>
      <c r="C23" s="252" t="s">
        <v>160</v>
      </c>
      <c r="D23" s="253"/>
      <c r="E23" s="250" t="s">
        <v>161</v>
      </c>
      <c r="F23" s="251"/>
      <c r="G23" s="94"/>
      <c r="H23" s="95"/>
    </row>
    <row r="24" spans="2:8" ht="42" customHeight="1" x14ac:dyDescent="0.3">
      <c r="B24" s="91"/>
      <c r="C24" s="252" t="s">
        <v>47</v>
      </c>
      <c r="D24" s="253"/>
      <c r="E24" s="250" t="s">
        <v>162</v>
      </c>
      <c r="F24" s="251"/>
      <c r="G24" s="94"/>
      <c r="H24" s="95"/>
    </row>
    <row r="25" spans="2:8" ht="59.25" customHeight="1" x14ac:dyDescent="0.3">
      <c r="B25" s="91"/>
      <c r="C25" s="252" t="s">
        <v>150</v>
      </c>
      <c r="D25" s="253"/>
      <c r="E25" s="250" t="s">
        <v>163</v>
      </c>
      <c r="F25" s="251"/>
      <c r="G25" s="94"/>
      <c r="H25" s="95"/>
    </row>
    <row r="26" spans="2:8" ht="23.25" customHeight="1" x14ac:dyDescent="0.3">
      <c r="B26" s="91"/>
      <c r="C26" s="252" t="s">
        <v>12</v>
      </c>
      <c r="D26" s="253"/>
      <c r="E26" s="250" t="s">
        <v>164</v>
      </c>
      <c r="F26" s="251"/>
      <c r="G26" s="94"/>
      <c r="H26" s="95"/>
    </row>
    <row r="27" spans="2:8" ht="30.75" customHeight="1" x14ac:dyDescent="0.3">
      <c r="B27" s="91"/>
      <c r="C27" s="252" t="s">
        <v>168</v>
      </c>
      <c r="D27" s="253"/>
      <c r="E27" s="250" t="s">
        <v>165</v>
      </c>
      <c r="F27" s="251"/>
      <c r="G27" s="94"/>
      <c r="H27" s="95"/>
    </row>
    <row r="28" spans="2:8" ht="35.25" customHeight="1" x14ac:dyDescent="0.3">
      <c r="B28" s="91"/>
      <c r="C28" s="252" t="s">
        <v>169</v>
      </c>
      <c r="D28" s="253"/>
      <c r="E28" s="250" t="s">
        <v>166</v>
      </c>
      <c r="F28" s="251"/>
      <c r="G28" s="94"/>
      <c r="H28" s="95"/>
    </row>
    <row r="29" spans="2:8" ht="33" customHeight="1" x14ac:dyDescent="0.3">
      <c r="B29" s="91"/>
      <c r="C29" s="252" t="s">
        <v>169</v>
      </c>
      <c r="D29" s="253"/>
      <c r="E29" s="250" t="s">
        <v>166</v>
      </c>
      <c r="F29" s="251"/>
      <c r="G29" s="94"/>
      <c r="H29" s="95"/>
    </row>
    <row r="30" spans="2:8" ht="30" customHeight="1" x14ac:dyDescent="0.3">
      <c r="B30" s="91"/>
      <c r="C30" s="252" t="s">
        <v>170</v>
      </c>
      <c r="D30" s="253"/>
      <c r="E30" s="250" t="s">
        <v>167</v>
      </c>
      <c r="F30" s="251"/>
      <c r="G30" s="94"/>
      <c r="H30" s="95"/>
    </row>
    <row r="31" spans="2:8" ht="35.25" customHeight="1" x14ac:dyDescent="0.3">
      <c r="B31" s="91"/>
      <c r="C31" s="252" t="s">
        <v>171</v>
      </c>
      <c r="D31" s="253"/>
      <c r="E31" s="250" t="s">
        <v>172</v>
      </c>
      <c r="F31" s="251"/>
      <c r="G31" s="94"/>
      <c r="H31" s="95"/>
    </row>
    <row r="32" spans="2:8" ht="31.5" customHeight="1" x14ac:dyDescent="0.3">
      <c r="B32" s="91"/>
      <c r="C32" s="252" t="s">
        <v>173</v>
      </c>
      <c r="D32" s="253"/>
      <c r="E32" s="250" t="s">
        <v>174</v>
      </c>
      <c r="F32" s="251"/>
      <c r="G32" s="94"/>
      <c r="H32" s="95"/>
    </row>
    <row r="33" spans="2:8" ht="35.25" customHeight="1" x14ac:dyDescent="0.3">
      <c r="B33" s="91"/>
      <c r="C33" s="252" t="s">
        <v>175</v>
      </c>
      <c r="D33" s="253"/>
      <c r="E33" s="250" t="s">
        <v>176</v>
      </c>
      <c r="F33" s="251"/>
      <c r="G33" s="94"/>
      <c r="H33" s="95"/>
    </row>
    <row r="34" spans="2:8" ht="59.25" customHeight="1" x14ac:dyDescent="0.3">
      <c r="B34" s="91"/>
      <c r="C34" s="252" t="s">
        <v>177</v>
      </c>
      <c r="D34" s="253"/>
      <c r="E34" s="250" t="s">
        <v>178</v>
      </c>
      <c r="F34" s="251"/>
      <c r="G34" s="94"/>
      <c r="H34" s="95"/>
    </row>
    <row r="35" spans="2:8" ht="29.25" customHeight="1" x14ac:dyDescent="0.3">
      <c r="B35" s="91"/>
      <c r="C35" s="252" t="s">
        <v>29</v>
      </c>
      <c r="D35" s="253"/>
      <c r="E35" s="250" t="s">
        <v>179</v>
      </c>
      <c r="F35" s="251"/>
      <c r="G35" s="94"/>
      <c r="H35" s="95"/>
    </row>
    <row r="36" spans="2:8" ht="82.5" customHeight="1" x14ac:dyDescent="0.3">
      <c r="B36" s="91"/>
      <c r="C36" s="252" t="s">
        <v>181</v>
      </c>
      <c r="D36" s="253"/>
      <c r="E36" s="250" t="s">
        <v>180</v>
      </c>
      <c r="F36" s="251"/>
      <c r="G36" s="94"/>
      <c r="H36" s="95"/>
    </row>
    <row r="37" spans="2:8" ht="46.5" customHeight="1" x14ac:dyDescent="0.3">
      <c r="B37" s="91"/>
      <c r="C37" s="252" t="s">
        <v>38</v>
      </c>
      <c r="D37" s="253"/>
      <c r="E37" s="250" t="s">
        <v>182</v>
      </c>
      <c r="F37" s="251"/>
      <c r="G37" s="94"/>
      <c r="H37" s="95"/>
    </row>
    <row r="38" spans="2:8" ht="6.75" customHeight="1" thickBot="1" x14ac:dyDescent="0.35">
      <c r="B38" s="91"/>
      <c r="C38" s="263"/>
      <c r="D38" s="264"/>
      <c r="E38" s="265"/>
      <c r="F38" s="266"/>
      <c r="G38" s="94"/>
      <c r="H38" s="95"/>
    </row>
    <row r="39" spans="2:8" ht="15" thickTop="1" x14ac:dyDescent="0.3">
      <c r="B39" s="91"/>
      <c r="C39" s="92"/>
      <c r="D39" s="92"/>
      <c r="E39" s="93"/>
      <c r="F39" s="93"/>
      <c r="G39" s="94"/>
      <c r="H39" s="95"/>
    </row>
    <row r="40" spans="2:8" ht="21" customHeight="1" x14ac:dyDescent="0.3">
      <c r="B40" s="260" t="s">
        <v>191</v>
      </c>
      <c r="C40" s="261"/>
      <c r="D40" s="261"/>
      <c r="E40" s="261"/>
      <c r="F40" s="261"/>
      <c r="G40" s="261"/>
      <c r="H40" s="262"/>
    </row>
    <row r="41" spans="2:8" ht="20.25" customHeight="1" x14ac:dyDescent="0.3">
      <c r="B41" s="260" t="s">
        <v>192</v>
      </c>
      <c r="C41" s="261"/>
      <c r="D41" s="261"/>
      <c r="E41" s="261"/>
      <c r="F41" s="261"/>
      <c r="G41" s="261"/>
      <c r="H41" s="262"/>
    </row>
    <row r="42" spans="2:8" ht="20.25" customHeight="1" x14ac:dyDescent="0.3">
      <c r="B42" s="260" t="s">
        <v>193</v>
      </c>
      <c r="C42" s="261"/>
      <c r="D42" s="261"/>
      <c r="E42" s="261"/>
      <c r="F42" s="261"/>
      <c r="G42" s="261"/>
      <c r="H42" s="262"/>
    </row>
    <row r="43" spans="2:8" ht="20.25" customHeight="1" x14ac:dyDescent="0.3">
      <c r="B43" s="260" t="s">
        <v>194</v>
      </c>
      <c r="C43" s="261"/>
      <c r="D43" s="261"/>
      <c r="E43" s="261"/>
      <c r="F43" s="261"/>
      <c r="G43" s="261"/>
      <c r="H43" s="262"/>
    </row>
    <row r="44" spans="2:8" x14ac:dyDescent="0.3">
      <c r="B44" s="260" t="s">
        <v>195</v>
      </c>
      <c r="C44" s="261"/>
      <c r="D44" s="261"/>
      <c r="E44" s="261"/>
      <c r="F44" s="261"/>
      <c r="G44" s="261"/>
      <c r="H44" s="262"/>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J52"/>
  <sheetViews>
    <sheetView workbookViewId="0">
      <selection activeCell="H7" sqref="H7"/>
    </sheetView>
  </sheetViews>
  <sheetFormatPr baseColWidth="10" defaultColWidth="11.44140625" defaultRowHeight="13.8" x14ac:dyDescent="0.25"/>
  <cols>
    <col min="1" max="1" width="29.44140625" style="149" customWidth="1"/>
    <col min="2" max="2" width="29.109375" style="149" customWidth="1"/>
    <col min="3" max="3" width="30.33203125" style="149" customWidth="1"/>
    <col min="4" max="4" width="31.88671875" style="149" customWidth="1"/>
    <col min="5" max="5" width="32.5546875" style="149" customWidth="1"/>
    <col min="6" max="6" width="32" style="149" customWidth="1"/>
    <col min="7" max="16384" width="11.44140625" style="149"/>
  </cols>
  <sheetData>
    <row r="1" spans="1:10" ht="15" customHeight="1" x14ac:dyDescent="0.25">
      <c r="A1" s="306"/>
      <c r="B1" s="308" t="s">
        <v>417</v>
      </c>
      <c r="C1" s="308"/>
      <c r="D1" s="308"/>
      <c r="E1" s="147" t="s">
        <v>259</v>
      </c>
      <c r="F1" s="309"/>
      <c r="G1" s="148"/>
      <c r="J1" s="291"/>
    </row>
    <row r="2" spans="1:10" ht="15" customHeight="1" x14ac:dyDescent="0.25">
      <c r="A2" s="307"/>
      <c r="B2" s="292"/>
      <c r="C2" s="292"/>
      <c r="D2" s="292"/>
      <c r="E2" s="151" t="s">
        <v>260</v>
      </c>
      <c r="F2" s="310"/>
      <c r="G2" s="148"/>
      <c r="J2" s="291"/>
    </row>
    <row r="3" spans="1:10" ht="15" customHeight="1" x14ac:dyDescent="0.25">
      <c r="A3" s="307"/>
      <c r="B3" s="292" t="s">
        <v>213</v>
      </c>
      <c r="C3" s="292"/>
      <c r="D3" s="292"/>
      <c r="E3" s="151" t="s">
        <v>261</v>
      </c>
      <c r="F3" s="310"/>
      <c r="G3" s="148"/>
      <c r="J3" s="291"/>
    </row>
    <row r="4" spans="1:10" ht="15.75" customHeight="1" x14ac:dyDescent="0.25">
      <c r="A4" s="307"/>
      <c r="B4" s="292"/>
      <c r="C4" s="292"/>
      <c r="D4" s="292"/>
      <c r="E4" s="151" t="s">
        <v>262</v>
      </c>
      <c r="F4" s="310"/>
      <c r="G4" s="148"/>
      <c r="J4" s="291"/>
    </row>
    <row r="5" spans="1:10" ht="15.75" customHeight="1" x14ac:dyDescent="0.25">
      <c r="A5" s="293"/>
      <c r="B5" s="294"/>
      <c r="C5" s="294"/>
      <c r="D5" s="294"/>
      <c r="E5" s="294"/>
      <c r="F5" s="295"/>
      <c r="G5" s="148"/>
      <c r="J5" s="150"/>
    </row>
    <row r="6" spans="1:10" ht="15" customHeight="1" x14ac:dyDescent="0.25">
      <c r="A6" s="296" t="s">
        <v>214</v>
      </c>
      <c r="B6" s="297"/>
      <c r="C6" s="297"/>
      <c r="D6" s="297"/>
      <c r="E6" s="297"/>
      <c r="F6" s="298"/>
    </row>
    <row r="7" spans="1:10" ht="15.75" customHeight="1" x14ac:dyDescent="0.25">
      <c r="A7" s="296"/>
      <c r="B7" s="297"/>
      <c r="C7" s="297"/>
      <c r="D7" s="297"/>
      <c r="E7" s="297"/>
      <c r="F7" s="298"/>
    </row>
    <row r="8" spans="1:10" ht="27" customHeight="1" x14ac:dyDescent="0.25">
      <c r="A8" s="299" t="s">
        <v>265</v>
      </c>
      <c r="B8" s="300"/>
      <c r="C8" s="300"/>
      <c r="D8" s="300"/>
      <c r="E8" s="300"/>
      <c r="F8" s="301"/>
    </row>
    <row r="9" spans="1:10" ht="77.25" customHeight="1" thickBot="1" x14ac:dyDescent="0.3">
      <c r="A9" s="302" t="s">
        <v>266</v>
      </c>
      <c r="B9" s="303"/>
      <c r="C9" s="303"/>
      <c r="D9" s="303"/>
      <c r="E9" s="303"/>
      <c r="F9" s="304"/>
    </row>
    <row r="10" spans="1:10" ht="18.75" customHeight="1" thickBot="1" x14ac:dyDescent="0.3">
      <c r="A10" s="305"/>
      <c r="B10" s="305"/>
      <c r="C10" s="305"/>
      <c r="D10" s="305"/>
      <c r="E10" s="305"/>
      <c r="F10" s="305"/>
    </row>
    <row r="11" spans="1:10" ht="22.5" customHeight="1" thickBot="1" x14ac:dyDescent="0.3">
      <c r="A11" s="152" t="s">
        <v>215</v>
      </c>
      <c r="B11" s="153" t="s">
        <v>216</v>
      </c>
      <c r="C11" s="153" t="s">
        <v>217</v>
      </c>
      <c r="D11" s="153" t="s">
        <v>216</v>
      </c>
      <c r="E11" s="153" t="s">
        <v>218</v>
      </c>
      <c r="F11" s="154" t="s">
        <v>216</v>
      </c>
    </row>
    <row r="12" spans="1:10" ht="60" customHeight="1" x14ac:dyDescent="0.25">
      <c r="A12" s="155" t="s">
        <v>222</v>
      </c>
      <c r="B12" s="201" t="s">
        <v>267</v>
      </c>
      <c r="C12" s="156" t="s">
        <v>268</v>
      </c>
      <c r="D12" s="201" t="s">
        <v>269</v>
      </c>
      <c r="E12" s="156" t="s">
        <v>270</v>
      </c>
      <c r="F12" s="202" t="s">
        <v>271</v>
      </c>
    </row>
    <row r="13" spans="1:10" ht="82.5" customHeight="1" x14ac:dyDescent="0.25">
      <c r="A13" s="157" t="s">
        <v>272</v>
      </c>
      <c r="B13" s="158" t="s">
        <v>273</v>
      </c>
      <c r="C13" s="159" t="s">
        <v>268</v>
      </c>
      <c r="D13" s="203" t="s">
        <v>274</v>
      </c>
      <c r="E13" s="159" t="s">
        <v>275</v>
      </c>
      <c r="F13" s="161" t="s">
        <v>276</v>
      </c>
    </row>
    <row r="14" spans="1:10" ht="73.5" customHeight="1" x14ac:dyDescent="0.25">
      <c r="A14" s="157" t="s">
        <v>219</v>
      </c>
      <c r="B14" s="158" t="s">
        <v>277</v>
      </c>
      <c r="C14" s="159" t="s">
        <v>268</v>
      </c>
      <c r="D14" s="160" t="s">
        <v>278</v>
      </c>
      <c r="E14" s="159" t="s">
        <v>279</v>
      </c>
      <c r="F14" s="161" t="s">
        <v>280</v>
      </c>
    </row>
    <row r="15" spans="1:10" ht="59.25" customHeight="1" x14ac:dyDescent="0.25">
      <c r="A15" s="157" t="s">
        <v>220</v>
      </c>
      <c r="B15" s="162" t="s">
        <v>281</v>
      </c>
      <c r="C15" s="159" t="s">
        <v>282</v>
      </c>
      <c r="D15" s="203"/>
      <c r="E15" s="159" t="s">
        <v>283</v>
      </c>
      <c r="F15" s="161" t="s">
        <v>284</v>
      </c>
    </row>
    <row r="16" spans="1:10" ht="69.75" customHeight="1" x14ac:dyDescent="0.25">
      <c r="A16" s="157" t="s">
        <v>221</v>
      </c>
      <c r="B16" s="160" t="s">
        <v>285</v>
      </c>
      <c r="C16" s="159" t="s">
        <v>268</v>
      </c>
      <c r="D16" s="204" t="s">
        <v>286</v>
      </c>
      <c r="E16" s="159" t="s">
        <v>287</v>
      </c>
      <c r="F16" s="233" t="s">
        <v>288</v>
      </c>
    </row>
    <row r="17" spans="1:6" ht="74.25" customHeight="1" x14ac:dyDescent="0.25">
      <c r="A17" s="157" t="s">
        <v>289</v>
      </c>
      <c r="B17" s="160" t="s">
        <v>290</v>
      </c>
      <c r="C17" s="159" t="s">
        <v>268</v>
      </c>
      <c r="D17" s="203" t="s">
        <v>291</v>
      </c>
      <c r="E17" s="159" t="s">
        <v>287</v>
      </c>
      <c r="F17" s="161" t="s">
        <v>292</v>
      </c>
    </row>
    <row r="18" spans="1:6" ht="73.5" customHeight="1" x14ac:dyDescent="0.25">
      <c r="A18" s="157" t="s">
        <v>223</v>
      </c>
      <c r="B18" s="160" t="s">
        <v>293</v>
      </c>
      <c r="C18" s="159" t="s">
        <v>294</v>
      </c>
      <c r="D18" s="205" t="s">
        <v>295</v>
      </c>
      <c r="E18" s="289" t="s">
        <v>296</v>
      </c>
      <c r="F18" s="206" t="s">
        <v>388</v>
      </c>
    </row>
    <row r="19" spans="1:6" ht="65.25" customHeight="1" x14ac:dyDescent="0.25">
      <c r="A19" s="157"/>
      <c r="B19" s="160"/>
      <c r="C19" s="159" t="s">
        <v>376</v>
      </c>
      <c r="D19" s="160" t="s">
        <v>298</v>
      </c>
      <c r="E19" s="290"/>
      <c r="F19" s="207" t="s">
        <v>299</v>
      </c>
    </row>
    <row r="20" spans="1:6" ht="66.75" customHeight="1" x14ac:dyDescent="0.25">
      <c r="A20" s="157"/>
      <c r="B20" s="160"/>
      <c r="C20" s="159" t="s">
        <v>300</v>
      </c>
      <c r="D20" s="160" t="s">
        <v>301</v>
      </c>
      <c r="E20" s="289" t="s">
        <v>296</v>
      </c>
      <c r="F20" s="233" t="s">
        <v>384</v>
      </c>
    </row>
    <row r="21" spans="1:6" ht="69" customHeight="1" x14ac:dyDescent="0.25">
      <c r="A21" s="157"/>
      <c r="B21" s="160"/>
      <c r="C21" s="159" t="s">
        <v>300</v>
      </c>
      <c r="D21" s="231" t="s">
        <v>389</v>
      </c>
      <c r="E21" s="290"/>
      <c r="F21" s="161"/>
    </row>
    <row r="22" spans="1:6" ht="61.5" customHeight="1" x14ac:dyDescent="0.25">
      <c r="A22" s="157"/>
      <c r="B22" s="160"/>
      <c r="C22" s="159" t="s">
        <v>303</v>
      </c>
      <c r="D22" s="232" t="s">
        <v>390</v>
      </c>
      <c r="E22" s="159" t="s">
        <v>296</v>
      </c>
      <c r="F22" s="161"/>
    </row>
    <row r="23" spans="1:6" ht="57.75" customHeight="1" x14ac:dyDescent="0.25">
      <c r="A23" s="157"/>
      <c r="B23" s="160"/>
      <c r="C23" s="159" t="s">
        <v>303</v>
      </c>
      <c r="D23" s="231" t="s">
        <v>387</v>
      </c>
      <c r="E23" s="159"/>
      <c r="F23" s="161"/>
    </row>
    <row r="24" spans="1:6" ht="62.25" customHeight="1" x14ac:dyDescent="0.25">
      <c r="A24" s="157"/>
      <c r="B24" s="160"/>
      <c r="C24" s="159"/>
      <c r="D24" s="163"/>
      <c r="E24" s="159"/>
      <c r="F24" s="161"/>
    </row>
    <row r="25" spans="1:6" ht="56.25" customHeight="1" thickBot="1" x14ac:dyDescent="0.3">
      <c r="A25" s="164"/>
      <c r="B25" s="165"/>
      <c r="C25" s="166"/>
      <c r="D25" s="167"/>
      <c r="E25" s="166"/>
      <c r="F25" s="168"/>
    </row>
    <row r="26" spans="1:6" ht="65.25" customHeight="1" x14ac:dyDescent="0.25">
      <c r="A26" s="169"/>
      <c r="B26" s="170"/>
      <c r="C26" s="169"/>
      <c r="D26" s="171"/>
      <c r="E26" s="169"/>
      <c r="F26" s="171"/>
    </row>
    <row r="27" spans="1:6" ht="62.25" customHeight="1" x14ac:dyDescent="0.25">
      <c r="A27" s="169"/>
      <c r="B27" s="170"/>
      <c r="C27" s="169"/>
      <c r="D27" s="171"/>
      <c r="E27" s="169"/>
      <c r="F27" s="171"/>
    </row>
    <row r="28" spans="1:6" ht="63" customHeight="1" x14ac:dyDescent="0.25">
      <c r="A28" s="169"/>
      <c r="B28" s="170"/>
      <c r="C28" s="169"/>
      <c r="D28" s="171"/>
      <c r="E28" s="169"/>
      <c r="F28" s="170"/>
    </row>
    <row r="29" spans="1:6" ht="51.75" customHeight="1" x14ac:dyDescent="0.25">
      <c r="A29" s="169"/>
      <c r="B29" s="170"/>
      <c r="C29" s="169"/>
      <c r="D29" s="171"/>
      <c r="E29" s="169"/>
      <c r="F29" s="170"/>
    </row>
    <row r="30" spans="1:6" ht="52.5" customHeight="1" x14ac:dyDescent="0.25">
      <c r="A30" s="169"/>
      <c r="B30" s="171"/>
      <c r="C30" s="169"/>
      <c r="D30" s="171"/>
      <c r="E30" s="169"/>
      <c r="F30" s="171"/>
    </row>
    <row r="31" spans="1:6" ht="63.75" customHeight="1" x14ac:dyDescent="0.25">
      <c r="A31" s="169"/>
      <c r="B31" s="171"/>
      <c r="C31" s="169"/>
      <c r="D31" s="171"/>
      <c r="E31" s="169"/>
      <c r="F31" s="171"/>
    </row>
    <row r="32" spans="1:6" ht="66" customHeight="1" x14ac:dyDescent="0.25">
      <c r="A32" s="169"/>
      <c r="B32" s="172"/>
      <c r="C32" s="169"/>
      <c r="D32" s="173"/>
      <c r="E32" s="169"/>
      <c r="F32" s="172"/>
    </row>
    <row r="33" spans="1:6" ht="55.5" customHeight="1" x14ac:dyDescent="0.25">
      <c r="A33" s="169"/>
      <c r="B33" s="172"/>
      <c r="C33" s="169"/>
      <c r="D33" s="173"/>
      <c r="E33" s="169"/>
      <c r="F33" s="174"/>
    </row>
    <row r="34" spans="1:6" ht="51.75" customHeight="1" x14ac:dyDescent="0.25">
      <c r="A34" s="169"/>
      <c r="B34" s="174"/>
      <c r="C34" s="169"/>
      <c r="D34" s="175"/>
      <c r="E34" s="169"/>
      <c r="F34" s="174"/>
    </row>
    <row r="35" spans="1:6" ht="55.5" customHeight="1" x14ac:dyDescent="0.25">
      <c r="A35" s="169"/>
      <c r="B35" s="174"/>
      <c r="C35" s="169"/>
      <c r="D35" s="174"/>
      <c r="E35" s="169"/>
      <c r="F35" s="174"/>
    </row>
    <row r="36" spans="1:6" ht="55.5" customHeight="1" x14ac:dyDescent="0.25">
      <c r="A36" s="169"/>
      <c r="B36" s="174"/>
      <c r="C36" s="169"/>
      <c r="D36" s="174"/>
      <c r="E36" s="169"/>
      <c r="F36" s="174"/>
    </row>
    <row r="37" spans="1:6" ht="54.75" customHeight="1" x14ac:dyDescent="0.25">
      <c r="A37" s="169"/>
      <c r="B37" s="174"/>
      <c r="C37" s="169"/>
      <c r="D37" s="174"/>
      <c r="E37" s="169"/>
      <c r="F37" s="174"/>
    </row>
    <row r="38" spans="1:6" ht="56.25" customHeight="1" x14ac:dyDescent="0.25">
      <c r="A38" s="169"/>
      <c r="B38" s="174"/>
      <c r="C38" s="169"/>
      <c r="D38" s="174"/>
      <c r="E38" s="169"/>
      <c r="F38" s="174"/>
    </row>
    <row r="39" spans="1:6" ht="54.75" customHeight="1" x14ac:dyDescent="0.25">
      <c r="A39" s="169"/>
      <c r="B39" s="172"/>
      <c r="C39" s="169"/>
      <c r="D39" s="173"/>
      <c r="E39" s="169"/>
      <c r="F39" s="172"/>
    </row>
    <row r="40" spans="1:6" ht="55.5" customHeight="1" x14ac:dyDescent="0.25">
      <c r="A40" s="169"/>
      <c r="B40" s="172"/>
      <c r="C40" s="169"/>
      <c r="D40" s="173"/>
      <c r="E40" s="169"/>
      <c r="F40" s="174"/>
    </row>
    <row r="41" spans="1:6" ht="54.75" customHeight="1" x14ac:dyDescent="0.25">
      <c r="A41" s="169"/>
      <c r="B41" s="174"/>
      <c r="C41" s="169"/>
      <c r="D41" s="175"/>
      <c r="E41" s="169"/>
      <c r="F41" s="174"/>
    </row>
    <row r="42" spans="1:6" ht="55.5" customHeight="1" x14ac:dyDescent="0.25">
      <c r="A42" s="169"/>
      <c r="B42" s="174"/>
      <c r="C42" s="169"/>
      <c r="D42" s="174"/>
      <c r="E42" s="169"/>
      <c r="F42" s="174"/>
    </row>
    <row r="43" spans="1:6" ht="56.25" customHeight="1" x14ac:dyDescent="0.25">
      <c r="A43" s="169"/>
      <c r="B43" s="174"/>
      <c r="C43" s="169"/>
      <c r="D43" s="174"/>
      <c r="E43" s="169"/>
      <c r="F43" s="174"/>
    </row>
    <row r="44" spans="1:6" ht="59.25" customHeight="1" x14ac:dyDescent="0.25">
      <c r="A44" s="169"/>
      <c r="B44" s="174"/>
      <c r="C44" s="169"/>
      <c r="D44" s="174"/>
      <c r="E44" s="169"/>
      <c r="F44" s="174"/>
    </row>
    <row r="45" spans="1:6" ht="55.5" customHeight="1" x14ac:dyDescent="0.25">
      <c r="A45" s="169"/>
      <c r="B45" s="174"/>
      <c r="C45" s="169"/>
      <c r="D45" s="174"/>
      <c r="E45" s="169"/>
      <c r="F45" s="174"/>
    </row>
    <row r="46" spans="1:6" ht="55.5" customHeight="1" x14ac:dyDescent="0.25">
      <c r="A46" s="169"/>
      <c r="B46" s="172"/>
      <c r="C46" s="169"/>
      <c r="D46" s="173"/>
      <c r="E46" s="169"/>
      <c r="F46" s="172"/>
    </row>
    <row r="47" spans="1:6" ht="56.25" customHeight="1" x14ac:dyDescent="0.25">
      <c r="A47" s="169"/>
      <c r="B47" s="172"/>
      <c r="C47" s="169"/>
      <c r="D47" s="173"/>
      <c r="E47" s="169"/>
      <c r="F47" s="174"/>
    </row>
    <row r="48" spans="1:6" ht="54" customHeight="1" x14ac:dyDescent="0.25">
      <c r="A48" s="169"/>
      <c r="B48" s="174"/>
      <c r="C48" s="169"/>
      <c r="D48" s="175"/>
      <c r="E48" s="169"/>
      <c r="F48" s="174"/>
    </row>
    <row r="49" spans="1:6" ht="56.25" customHeight="1" x14ac:dyDescent="0.25">
      <c r="A49" s="169"/>
      <c r="B49" s="174"/>
      <c r="C49" s="169"/>
      <c r="D49" s="174"/>
      <c r="E49" s="169"/>
      <c r="F49" s="174"/>
    </row>
    <row r="50" spans="1:6" ht="59.25" customHeight="1" x14ac:dyDescent="0.25">
      <c r="A50" s="169"/>
      <c r="B50" s="174"/>
      <c r="C50" s="169"/>
      <c r="D50" s="174"/>
      <c r="E50" s="169"/>
      <c r="F50" s="174"/>
    </row>
    <row r="51" spans="1:6" ht="54.75" customHeight="1" x14ac:dyDescent="0.25">
      <c r="A51" s="169"/>
      <c r="B51" s="174"/>
      <c r="C51" s="169"/>
      <c r="D51" s="174"/>
      <c r="E51" s="169"/>
      <c r="F51" s="174"/>
    </row>
    <row r="52" spans="1:6" ht="55.5" customHeight="1" x14ac:dyDescent="0.25">
      <c r="A52" s="169"/>
      <c r="B52" s="174"/>
      <c r="C52" s="169"/>
      <c r="D52" s="174"/>
      <c r="E52" s="169"/>
      <c r="F52" s="174"/>
    </row>
  </sheetData>
  <mergeCells count="12">
    <mergeCell ref="E18:E19"/>
    <mergeCell ref="E20:E21"/>
    <mergeCell ref="J1:J4"/>
    <mergeCell ref="B3:D4"/>
    <mergeCell ref="A5:F5"/>
    <mergeCell ref="A6:F7"/>
    <mergeCell ref="A8:F8"/>
    <mergeCell ref="A9:F9"/>
    <mergeCell ref="A10:F10"/>
    <mergeCell ref="A1:A4"/>
    <mergeCell ref="B1:D2"/>
    <mergeCell ref="F1:F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X1048575"/>
  <sheetViews>
    <sheetView zoomScale="70" zoomScaleNormal="70" workbookViewId="0">
      <selection activeCell="Y7" sqref="Y7"/>
    </sheetView>
  </sheetViews>
  <sheetFormatPr baseColWidth="10" defaultColWidth="11.44140625" defaultRowHeight="14.4" x14ac:dyDescent="0.3"/>
  <cols>
    <col min="1" max="1" width="10.21875" style="197" customWidth="1"/>
    <col min="2" max="2" width="39.44140625" style="198" customWidth="1"/>
    <col min="3" max="17" width="6.44140625" style="198" customWidth="1"/>
    <col min="18" max="18" width="8.109375" style="198" customWidth="1"/>
    <col min="19" max="19" width="13" style="199" customWidth="1"/>
    <col min="20" max="20" width="19.6640625" customWidth="1"/>
    <col min="21" max="23" width="11.44140625" hidden="1" customWidth="1"/>
  </cols>
  <sheetData>
    <row r="1" spans="1:24" ht="30.75" customHeight="1" x14ac:dyDescent="0.3">
      <c r="A1" s="317"/>
      <c r="B1" s="318"/>
      <c r="C1" s="311" t="s">
        <v>417</v>
      </c>
      <c r="D1" s="312"/>
      <c r="E1" s="312"/>
      <c r="F1" s="312"/>
      <c r="G1" s="312"/>
      <c r="H1" s="312"/>
      <c r="I1" s="312"/>
      <c r="J1" s="312"/>
      <c r="K1" s="312"/>
      <c r="L1" s="312"/>
      <c r="M1" s="312"/>
      <c r="N1" s="312"/>
      <c r="O1" s="312"/>
      <c r="P1" s="312"/>
      <c r="Q1" s="312"/>
      <c r="R1" s="313"/>
      <c r="S1" s="292"/>
      <c r="T1" s="329" t="s">
        <v>259</v>
      </c>
      <c r="U1" s="329"/>
      <c r="V1" s="329"/>
      <c r="W1" s="330"/>
    </row>
    <row r="2" spans="1:24" ht="25.5" customHeight="1" x14ac:dyDescent="0.3">
      <c r="A2" s="319"/>
      <c r="B2" s="320"/>
      <c r="C2" s="314"/>
      <c r="D2" s="315"/>
      <c r="E2" s="315"/>
      <c r="F2" s="315"/>
      <c r="G2" s="315"/>
      <c r="H2" s="315"/>
      <c r="I2" s="315"/>
      <c r="J2" s="315"/>
      <c r="K2" s="315"/>
      <c r="L2" s="315"/>
      <c r="M2" s="315"/>
      <c r="N2" s="315"/>
      <c r="O2" s="315"/>
      <c r="P2" s="315"/>
      <c r="Q2" s="315"/>
      <c r="R2" s="316"/>
      <c r="S2" s="292"/>
      <c r="T2" s="331" t="s">
        <v>260</v>
      </c>
      <c r="U2" s="331"/>
      <c r="V2" s="331"/>
      <c r="W2" s="332"/>
    </row>
    <row r="3" spans="1:24" ht="15" customHeight="1" x14ac:dyDescent="0.3">
      <c r="A3" s="319"/>
      <c r="B3" s="320"/>
      <c r="C3" s="311" t="s">
        <v>224</v>
      </c>
      <c r="D3" s="312"/>
      <c r="E3" s="312"/>
      <c r="F3" s="312"/>
      <c r="G3" s="312"/>
      <c r="H3" s="312"/>
      <c r="I3" s="312"/>
      <c r="J3" s="312"/>
      <c r="K3" s="312"/>
      <c r="L3" s="312"/>
      <c r="M3" s="312"/>
      <c r="N3" s="312"/>
      <c r="O3" s="312"/>
      <c r="P3" s="312"/>
      <c r="Q3" s="312"/>
      <c r="R3" s="313"/>
      <c r="S3" s="292"/>
      <c r="T3" s="331" t="s">
        <v>263</v>
      </c>
      <c r="U3" s="331"/>
      <c r="V3" s="331"/>
      <c r="W3" s="332"/>
    </row>
    <row r="4" spans="1:24" ht="15.75" customHeight="1" x14ac:dyDescent="0.3">
      <c r="A4" s="321"/>
      <c r="B4" s="322"/>
      <c r="C4" s="314"/>
      <c r="D4" s="315"/>
      <c r="E4" s="315"/>
      <c r="F4" s="315"/>
      <c r="G4" s="315"/>
      <c r="H4" s="315"/>
      <c r="I4" s="315"/>
      <c r="J4" s="315"/>
      <c r="K4" s="315"/>
      <c r="L4" s="315"/>
      <c r="M4" s="315"/>
      <c r="N4" s="315"/>
      <c r="O4" s="315"/>
      <c r="P4" s="315"/>
      <c r="Q4" s="315"/>
      <c r="R4" s="316"/>
      <c r="S4" s="292"/>
      <c r="T4" s="331" t="s">
        <v>262</v>
      </c>
      <c r="U4" s="331"/>
      <c r="V4" s="331"/>
      <c r="W4" s="332"/>
    </row>
    <row r="5" spans="1:24" ht="15.75" customHeight="1" x14ac:dyDescent="0.3">
      <c r="A5" s="333"/>
      <c r="B5" s="333"/>
      <c r="C5" s="333"/>
      <c r="D5" s="333"/>
      <c r="E5" s="333"/>
      <c r="F5" s="333"/>
      <c r="G5" s="333"/>
      <c r="H5" s="333"/>
      <c r="I5" s="333"/>
      <c r="J5" s="333"/>
      <c r="K5" s="333"/>
      <c r="L5" s="333"/>
      <c r="M5" s="333"/>
      <c r="N5" s="333"/>
      <c r="O5" s="333"/>
      <c r="P5" s="333"/>
      <c r="Q5" s="333"/>
      <c r="R5" s="333"/>
      <c r="S5" s="333"/>
      <c r="T5" s="322"/>
      <c r="U5" s="170"/>
      <c r="V5" s="170"/>
      <c r="W5" s="176"/>
    </row>
    <row r="6" spans="1:24" s="149" customFormat="1" ht="27" customHeight="1" x14ac:dyDescent="0.25">
      <c r="A6" s="334" t="str">
        <f>Contexto!A8</f>
        <v>PROCESO:  GESTION DE RECURSOS FISICOS</v>
      </c>
      <c r="B6" s="334"/>
      <c r="C6" s="334"/>
      <c r="D6" s="334"/>
      <c r="E6" s="334"/>
      <c r="F6" s="334"/>
      <c r="G6" s="334"/>
      <c r="H6" s="334"/>
      <c r="I6" s="334"/>
      <c r="J6" s="334"/>
      <c r="K6" s="334"/>
      <c r="L6" s="334"/>
      <c r="M6" s="334"/>
      <c r="N6" s="334"/>
      <c r="O6" s="334"/>
      <c r="P6" s="334"/>
      <c r="Q6" s="334"/>
      <c r="R6" s="334"/>
      <c r="S6" s="334"/>
      <c r="T6" s="334"/>
      <c r="W6" s="177"/>
    </row>
    <row r="7" spans="1:24" s="149" customFormat="1" ht="81" customHeight="1" thickBot="1" x14ac:dyDescent="0.3">
      <c r="A7" s="335"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35"/>
      <c r="C7" s="335"/>
      <c r="D7" s="335"/>
      <c r="E7" s="335"/>
      <c r="F7" s="335"/>
      <c r="G7" s="335"/>
      <c r="H7" s="335"/>
      <c r="I7" s="335"/>
      <c r="J7" s="335"/>
      <c r="K7" s="335"/>
      <c r="L7" s="335"/>
      <c r="M7" s="335"/>
      <c r="N7" s="335"/>
      <c r="O7" s="335"/>
      <c r="P7" s="335"/>
      <c r="Q7" s="335"/>
      <c r="R7" s="335"/>
      <c r="S7" s="335"/>
      <c r="T7" s="335"/>
      <c r="U7" s="178"/>
      <c r="V7" s="178"/>
      <c r="W7" s="179"/>
    </row>
    <row r="8" spans="1:24" s="149" customFormat="1" ht="26.25" customHeight="1" thickBot="1" x14ac:dyDescent="0.3">
      <c r="A8" s="180"/>
      <c r="B8" s="180"/>
      <c r="C8" s="180"/>
      <c r="D8" s="180"/>
      <c r="E8" s="180"/>
      <c r="F8" s="180"/>
      <c r="G8" s="180"/>
      <c r="H8" s="180"/>
      <c r="I8" s="180"/>
      <c r="J8" s="180"/>
      <c r="K8" s="180"/>
      <c r="L8" s="180"/>
      <c r="M8" s="180"/>
      <c r="N8" s="180"/>
      <c r="O8" s="180"/>
      <c r="P8" s="180"/>
      <c r="Q8" s="180"/>
      <c r="R8" s="180"/>
      <c r="S8" s="180"/>
      <c r="T8" s="181"/>
      <c r="X8" s="182"/>
    </row>
    <row r="9" spans="1:24" s="149" customFormat="1" ht="39.75" customHeight="1" thickBot="1" x14ac:dyDescent="0.3">
      <c r="A9" s="336"/>
      <c r="B9" s="336"/>
      <c r="C9" s="336" t="b">
        <v>0</v>
      </c>
      <c r="D9" s="336"/>
      <c r="E9" s="336"/>
      <c r="F9" s="336"/>
      <c r="G9" s="336"/>
      <c r="H9" s="336"/>
      <c r="I9" s="336"/>
      <c r="J9" s="336"/>
      <c r="K9" s="336"/>
      <c r="L9" s="336"/>
      <c r="M9" s="336"/>
      <c r="N9" s="336"/>
      <c r="O9" s="336"/>
      <c r="P9" s="336"/>
      <c r="Q9" s="336"/>
      <c r="R9" s="336"/>
      <c r="S9" s="336"/>
      <c r="T9" s="337"/>
    </row>
    <row r="10" spans="1:24" s="188" customFormat="1" ht="46.2" customHeight="1" thickBot="1" x14ac:dyDescent="0.35">
      <c r="A10" s="183" t="s">
        <v>225</v>
      </c>
      <c r="B10" s="184" t="s">
        <v>226</v>
      </c>
      <c r="C10" s="184" t="s">
        <v>227</v>
      </c>
      <c r="D10" s="184" t="s">
        <v>228</v>
      </c>
      <c r="E10" s="184" t="s">
        <v>229</v>
      </c>
      <c r="F10" s="184" t="s">
        <v>230</v>
      </c>
      <c r="G10" s="184" t="s">
        <v>231</v>
      </c>
      <c r="H10" s="184" t="s">
        <v>232</v>
      </c>
      <c r="I10" s="184" t="s">
        <v>233</v>
      </c>
      <c r="J10" s="184" t="s">
        <v>234</v>
      </c>
      <c r="K10" s="184" t="s">
        <v>235</v>
      </c>
      <c r="L10" s="184" t="s">
        <v>236</v>
      </c>
      <c r="M10" s="184" t="s">
        <v>237</v>
      </c>
      <c r="N10" s="184" t="s">
        <v>238</v>
      </c>
      <c r="O10" s="184" t="s">
        <v>239</v>
      </c>
      <c r="P10" s="184" t="s">
        <v>240</v>
      </c>
      <c r="Q10" s="184" t="s">
        <v>241</v>
      </c>
      <c r="R10" s="185" t="s">
        <v>242</v>
      </c>
      <c r="S10" s="186" t="s">
        <v>243</v>
      </c>
      <c r="T10" s="187" t="s">
        <v>244</v>
      </c>
    </row>
    <row r="11" spans="1:24" ht="46.2" customHeight="1" thickBot="1" x14ac:dyDescent="0.35">
      <c r="A11" s="189">
        <v>1</v>
      </c>
      <c r="B11" s="201" t="s">
        <v>305</v>
      </c>
      <c r="C11" s="190">
        <v>5</v>
      </c>
      <c r="D11" s="190">
        <v>4</v>
      </c>
      <c r="E11" s="190">
        <v>4</v>
      </c>
      <c r="F11" s="190">
        <v>5</v>
      </c>
      <c r="G11" s="190"/>
      <c r="H11" s="190"/>
      <c r="I11" s="190"/>
      <c r="J11" s="190"/>
      <c r="K11" s="190"/>
      <c r="L11" s="190"/>
      <c r="M11" s="190"/>
      <c r="N11" s="190"/>
      <c r="O11" s="190"/>
      <c r="P11" s="190"/>
      <c r="Q11" s="190"/>
      <c r="R11" s="189">
        <f>SUM(C11:Q11)</f>
        <v>18</v>
      </c>
      <c r="S11" s="192">
        <f>IF(ISERROR(AVERAGE(C11:Q11)),0,AVERAGE(C11:Q11))</f>
        <v>4.5</v>
      </c>
      <c r="T11" s="191"/>
    </row>
    <row r="12" spans="1:24" ht="45.75" customHeight="1" thickBot="1" x14ac:dyDescent="0.35">
      <c r="A12" s="189">
        <v>2</v>
      </c>
      <c r="B12" s="160" t="s">
        <v>306</v>
      </c>
      <c r="C12" s="190">
        <v>4</v>
      </c>
      <c r="D12" s="190">
        <v>4</v>
      </c>
      <c r="E12" s="190">
        <v>5</v>
      </c>
      <c r="F12" s="190">
        <v>4</v>
      </c>
      <c r="G12" s="190"/>
      <c r="H12" s="190"/>
      <c r="I12" s="190"/>
      <c r="J12" s="190"/>
      <c r="K12" s="190"/>
      <c r="L12" s="190"/>
      <c r="M12" s="190"/>
      <c r="N12" s="190"/>
      <c r="O12" s="190"/>
      <c r="P12" s="190"/>
      <c r="Q12" s="190"/>
      <c r="R12" s="189">
        <f>SUM(C12:Q12)</f>
        <v>17</v>
      </c>
      <c r="S12" s="192">
        <f t="shared" ref="S12:S14" si="0">IF(ISERROR(AVERAGE(C12:Q12)),0,AVERAGE(C12:Q12))</f>
        <v>4.25</v>
      </c>
      <c r="T12" s="191"/>
    </row>
    <row r="13" spans="1:24" ht="54.75" customHeight="1" thickBot="1" x14ac:dyDescent="0.35">
      <c r="A13" s="189">
        <v>3</v>
      </c>
      <c r="B13" s="160" t="s">
        <v>307</v>
      </c>
      <c r="C13" s="190">
        <v>5</v>
      </c>
      <c r="D13" s="190">
        <v>4</v>
      </c>
      <c r="E13" s="190">
        <v>4</v>
      </c>
      <c r="F13" s="190">
        <v>4</v>
      </c>
      <c r="G13" s="190"/>
      <c r="H13" s="190"/>
      <c r="I13" s="190"/>
      <c r="J13" s="190"/>
      <c r="K13" s="190"/>
      <c r="L13" s="190"/>
      <c r="M13" s="190"/>
      <c r="N13" s="190"/>
      <c r="O13" s="190"/>
      <c r="P13" s="190"/>
      <c r="Q13" s="190"/>
      <c r="R13" s="189">
        <f>SUM(C13:Q13)</f>
        <v>17</v>
      </c>
      <c r="S13" s="192">
        <f t="shared" si="0"/>
        <v>4.25</v>
      </c>
      <c r="T13" s="191"/>
    </row>
    <row r="14" spans="1:24" ht="39.75" customHeight="1" thickBot="1" x14ac:dyDescent="0.35">
      <c r="A14" s="189">
        <v>4</v>
      </c>
      <c r="B14" s="160" t="s">
        <v>285</v>
      </c>
      <c r="C14" s="190">
        <v>4</v>
      </c>
      <c r="D14" s="190">
        <v>5</v>
      </c>
      <c r="E14" s="190">
        <v>4</v>
      </c>
      <c r="F14" s="190">
        <v>5</v>
      </c>
      <c r="G14" s="190"/>
      <c r="H14" s="190"/>
      <c r="I14" s="190"/>
      <c r="J14" s="190"/>
      <c r="K14" s="190"/>
      <c r="L14" s="190"/>
      <c r="M14" s="190"/>
      <c r="N14" s="190"/>
      <c r="O14" s="190"/>
      <c r="P14" s="190"/>
      <c r="Q14" s="190"/>
      <c r="R14" s="189">
        <f>SUM(C14:Q14)</f>
        <v>18</v>
      </c>
      <c r="S14" s="192">
        <f t="shared" si="0"/>
        <v>4.5</v>
      </c>
      <c r="T14" s="191"/>
    </row>
    <row r="15" spans="1:24" ht="39.75" customHeight="1" thickBot="1" x14ac:dyDescent="0.35">
      <c r="A15" s="189">
        <v>5</v>
      </c>
      <c r="B15" s="162" t="s">
        <v>277</v>
      </c>
      <c r="C15" s="190">
        <v>3</v>
      </c>
      <c r="D15" s="190">
        <v>4</v>
      </c>
      <c r="E15" s="190">
        <v>3</v>
      </c>
      <c r="F15" s="190">
        <v>3</v>
      </c>
      <c r="G15" s="190"/>
      <c r="H15" s="190"/>
      <c r="I15" s="190"/>
      <c r="J15" s="190"/>
      <c r="K15" s="190"/>
      <c r="L15" s="190"/>
      <c r="M15" s="190"/>
      <c r="N15" s="190"/>
      <c r="O15" s="190"/>
      <c r="P15" s="190"/>
      <c r="Q15" s="190"/>
      <c r="R15" s="189">
        <f t="shared" ref="R15:R34" si="1">SUM(C15:Q15)</f>
        <v>13</v>
      </c>
      <c r="S15" s="192">
        <f t="shared" ref="S15:S34" si="2">IF(ISERROR(AVERAGE(C15:Q15)),0,AVERAGE(C15:Q15))</f>
        <v>3.25</v>
      </c>
      <c r="T15" s="191"/>
    </row>
    <row r="16" spans="1:24" ht="39.75" customHeight="1" thickBot="1" x14ac:dyDescent="0.35">
      <c r="A16" s="189">
        <v>6</v>
      </c>
      <c r="B16" s="162" t="s">
        <v>281</v>
      </c>
      <c r="C16" s="190">
        <v>4</v>
      </c>
      <c r="D16" s="190">
        <v>4</v>
      </c>
      <c r="E16" s="190">
        <v>4</v>
      </c>
      <c r="F16" s="190">
        <v>3</v>
      </c>
      <c r="G16" s="190"/>
      <c r="H16" s="190"/>
      <c r="I16" s="190"/>
      <c r="J16" s="190"/>
      <c r="K16" s="190"/>
      <c r="L16" s="190"/>
      <c r="M16" s="190"/>
      <c r="N16" s="190"/>
      <c r="O16" s="190"/>
      <c r="P16" s="190"/>
      <c r="Q16" s="190"/>
      <c r="R16" s="189">
        <f t="shared" si="1"/>
        <v>15</v>
      </c>
      <c r="S16" s="192">
        <f t="shared" si="2"/>
        <v>3.75</v>
      </c>
      <c r="T16" s="191"/>
    </row>
    <row r="17" spans="1:20" ht="49.5" customHeight="1" thickBot="1" x14ac:dyDescent="0.35">
      <c r="A17" s="189">
        <v>7</v>
      </c>
      <c r="B17" s="160" t="s">
        <v>293</v>
      </c>
      <c r="C17" s="190">
        <v>4</v>
      </c>
      <c r="D17" s="190">
        <v>4</v>
      </c>
      <c r="E17" s="190">
        <v>5</v>
      </c>
      <c r="F17" s="190">
        <v>4</v>
      </c>
      <c r="G17" s="190"/>
      <c r="H17" s="190"/>
      <c r="I17" s="190"/>
      <c r="J17" s="190"/>
      <c r="K17" s="190"/>
      <c r="L17" s="190"/>
      <c r="M17" s="190"/>
      <c r="N17" s="190"/>
      <c r="O17" s="190"/>
      <c r="P17" s="190"/>
      <c r="Q17" s="190"/>
      <c r="R17" s="189">
        <f t="shared" si="1"/>
        <v>17</v>
      </c>
      <c r="S17" s="192">
        <f t="shared" si="2"/>
        <v>4.25</v>
      </c>
      <c r="T17" s="191"/>
    </row>
    <row r="18" spans="1:20" ht="58.2" customHeight="1" thickBot="1" x14ac:dyDescent="0.35">
      <c r="A18" s="189">
        <v>8</v>
      </c>
      <c r="B18" s="201" t="s">
        <v>308</v>
      </c>
      <c r="C18" s="190">
        <v>5</v>
      </c>
      <c r="D18" s="190">
        <v>4</v>
      </c>
      <c r="E18" s="190">
        <v>4</v>
      </c>
      <c r="F18" s="190">
        <v>5</v>
      </c>
      <c r="G18" s="190"/>
      <c r="H18" s="190"/>
      <c r="I18" s="190"/>
      <c r="J18" s="190"/>
      <c r="K18" s="190"/>
      <c r="L18" s="190"/>
      <c r="M18" s="190"/>
      <c r="N18" s="190"/>
      <c r="O18" s="190"/>
      <c r="P18" s="190"/>
      <c r="Q18" s="190"/>
      <c r="R18" s="189">
        <f t="shared" si="1"/>
        <v>18</v>
      </c>
      <c r="S18" s="192">
        <f t="shared" si="2"/>
        <v>4.5</v>
      </c>
      <c r="T18" s="191"/>
    </row>
    <row r="19" spans="1:20" ht="47.25" customHeight="1" thickBot="1" x14ac:dyDescent="0.35">
      <c r="A19" s="189">
        <v>9</v>
      </c>
      <c r="B19" s="160" t="s">
        <v>309</v>
      </c>
      <c r="C19" s="190">
        <v>4</v>
      </c>
      <c r="D19" s="190">
        <v>4</v>
      </c>
      <c r="E19" s="190">
        <v>5</v>
      </c>
      <c r="F19" s="190">
        <v>4</v>
      </c>
      <c r="G19" s="190"/>
      <c r="H19" s="190"/>
      <c r="I19" s="190"/>
      <c r="J19" s="190"/>
      <c r="K19" s="190"/>
      <c r="L19" s="190"/>
      <c r="M19" s="190"/>
      <c r="N19" s="190"/>
      <c r="O19" s="190"/>
      <c r="P19" s="190"/>
      <c r="Q19" s="190"/>
      <c r="R19" s="189">
        <f t="shared" si="1"/>
        <v>17</v>
      </c>
      <c r="S19" s="192">
        <f t="shared" si="2"/>
        <v>4.25</v>
      </c>
      <c r="T19" s="191"/>
    </row>
    <row r="20" spans="1:20" ht="39.75" customHeight="1" thickBot="1" x14ac:dyDescent="0.35">
      <c r="A20" s="189">
        <v>10</v>
      </c>
      <c r="B20" s="160" t="s">
        <v>310</v>
      </c>
      <c r="C20" s="190">
        <v>4</v>
      </c>
      <c r="D20" s="190">
        <v>5</v>
      </c>
      <c r="E20" s="190">
        <v>4</v>
      </c>
      <c r="F20" s="190">
        <v>4</v>
      </c>
      <c r="G20" s="190"/>
      <c r="H20" s="190"/>
      <c r="I20" s="190"/>
      <c r="J20" s="190"/>
      <c r="K20" s="190"/>
      <c r="L20" s="190"/>
      <c r="M20" s="190"/>
      <c r="N20" s="190"/>
      <c r="O20" s="190"/>
      <c r="P20" s="190"/>
      <c r="Q20" s="190"/>
      <c r="R20" s="189">
        <f t="shared" si="1"/>
        <v>17</v>
      </c>
      <c r="S20" s="192">
        <f t="shared" si="2"/>
        <v>4.25</v>
      </c>
      <c r="T20" s="191"/>
    </row>
    <row r="21" spans="1:20" ht="65.400000000000006" customHeight="1" thickBot="1" x14ac:dyDescent="0.35">
      <c r="A21" s="189">
        <v>11</v>
      </c>
      <c r="B21" s="209" t="s">
        <v>286</v>
      </c>
      <c r="C21" s="190">
        <v>5</v>
      </c>
      <c r="D21" s="190">
        <v>5</v>
      </c>
      <c r="E21" s="190">
        <v>4</v>
      </c>
      <c r="F21" s="190">
        <v>5</v>
      </c>
      <c r="G21" s="190"/>
      <c r="H21" s="190"/>
      <c r="I21" s="190"/>
      <c r="J21" s="190"/>
      <c r="K21" s="190"/>
      <c r="L21" s="190"/>
      <c r="M21" s="190"/>
      <c r="N21" s="190"/>
      <c r="O21" s="190"/>
      <c r="P21" s="190"/>
      <c r="Q21" s="190"/>
      <c r="R21" s="189">
        <f t="shared" si="1"/>
        <v>19</v>
      </c>
      <c r="S21" s="192">
        <f t="shared" si="2"/>
        <v>4.75</v>
      </c>
      <c r="T21" s="191"/>
    </row>
    <row r="22" spans="1:20" ht="55.2" customHeight="1" thickBot="1" x14ac:dyDescent="0.35">
      <c r="A22" s="189">
        <v>12</v>
      </c>
      <c r="B22" s="160" t="s">
        <v>278</v>
      </c>
      <c r="C22" s="190">
        <v>4</v>
      </c>
      <c r="D22" s="190">
        <v>4</v>
      </c>
      <c r="E22" s="190">
        <v>4</v>
      </c>
      <c r="F22" s="190">
        <v>5</v>
      </c>
      <c r="G22" s="190"/>
      <c r="H22" s="190"/>
      <c r="I22" s="190"/>
      <c r="J22" s="190"/>
      <c r="K22" s="190"/>
      <c r="L22" s="190"/>
      <c r="M22" s="190"/>
      <c r="N22" s="190"/>
      <c r="O22" s="190"/>
      <c r="P22" s="190"/>
      <c r="Q22" s="190"/>
      <c r="R22" s="189">
        <f t="shared" si="1"/>
        <v>17</v>
      </c>
      <c r="S22" s="192">
        <f t="shared" si="2"/>
        <v>4.25</v>
      </c>
      <c r="T22" s="191"/>
    </row>
    <row r="23" spans="1:20" ht="74.25" customHeight="1" thickBot="1" x14ac:dyDescent="0.35">
      <c r="A23" s="189">
        <v>13</v>
      </c>
      <c r="B23" s="234" t="s">
        <v>291</v>
      </c>
      <c r="C23" s="190">
        <v>5</v>
      </c>
      <c r="D23" s="190">
        <v>5</v>
      </c>
      <c r="E23" s="190">
        <v>4</v>
      </c>
      <c r="F23" s="190">
        <v>5</v>
      </c>
      <c r="G23" s="190"/>
      <c r="H23" s="190"/>
      <c r="I23" s="190"/>
      <c r="J23" s="190"/>
      <c r="K23" s="190"/>
      <c r="L23" s="190"/>
      <c r="M23" s="190"/>
      <c r="N23" s="190"/>
      <c r="O23" s="190"/>
      <c r="P23" s="190"/>
      <c r="Q23" s="190"/>
      <c r="R23" s="189">
        <f t="shared" si="1"/>
        <v>19</v>
      </c>
      <c r="S23" s="192">
        <f t="shared" si="2"/>
        <v>4.75</v>
      </c>
      <c r="T23" s="191"/>
    </row>
    <row r="24" spans="1:20" ht="69" customHeight="1" thickBot="1" x14ac:dyDescent="0.35">
      <c r="A24" s="189">
        <v>14</v>
      </c>
      <c r="B24" s="210" t="s">
        <v>295</v>
      </c>
      <c r="C24" s="190">
        <v>5</v>
      </c>
      <c r="D24" s="190">
        <v>5</v>
      </c>
      <c r="E24" s="190">
        <v>5</v>
      </c>
      <c r="F24" s="190">
        <v>4</v>
      </c>
      <c r="G24" s="190"/>
      <c r="H24" s="190"/>
      <c r="I24" s="190"/>
      <c r="J24" s="190"/>
      <c r="K24" s="190"/>
      <c r="L24" s="190"/>
      <c r="M24" s="190"/>
      <c r="N24" s="190"/>
      <c r="O24" s="190"/>
      <c r="P24" s="190"/>
      <c r="Q24" s="190"/>
      <c r="R24" s="189">
        <f t="shared" si="1"/>
        <v>19</v>
      </c>
      <c r="S24" s="192">
        <f t="shared" si="2"/>
        <v>4.75</v>
      </c>
      <c r="T24" s="191"/>
    </row>
    <row r="25" spans="1:20" ht="51" customHeight="1" thickBot="1" x14ac:dyDescent="0.35">
      <c r="A25" s="189">
        <v>15</v>
      </c>
      <c r="B25" s="234" t="s">
        <v>298</v>
      </c>
      <c r="C25" s="190">
        <v>3</v>
      </c>
      <c r="D25" s="190">
        <v>4</v>
      </c>
      <c r="E25" s="190">
        <v>3</v>
      </c>
      <c r="F25" s="190">
        <v>3</v>
      </c>
      <c r="G25" s="190"/>
      <c r="H25" s="190"/>
      <c r="I25" s="190"/>
      <c r="J25" s="190"/>
      <c r="K25" s="190"/>
      <c r="L25" s="190"/>
      <c r="M25" s="190"/>
      <c r="N25" s="190"/>
      <c r="O25" s="190"/>
      <c r="P25" s="190"/>
      <c r="Q25" s="190"/>
      <c r="R25" s="189">
        <f t="shared" si="1"/>
        <v>13</v>
      </c>
      <c r="S25" s="192">
        <f t="shared" si="2"/>
        <v>3.25</v>
      </c>
      <c r="T25" s="191"/>
    </row>
    <row r="26" spans="1:20" ht="54.6" customHeight="1" thickBot="1" x14ac:dyDescent="0.35">
      <c r="A26" s="189">
        <v>16</v>
      </c>
      <c r="B26" s="160" t="s">
        <v>301</v>
      </c>
      <c r="C26" s="190">
        <v>5</v>
      </c>
      <c r="D26" s="190">
        <v>4</v>
      </c>
      <c r="E26" s="190">
        <v>4</v>
      </c>
      <c r="F26" s="190">
        <v>4</v>
      </c>
      <c r="G26" s="190"/>
      <c r="H26" s="190"/>
      <c r="I26" s="190"/>
      <c r="J26" s="190"/>
      <c r="K26" s="190"/>
      <c r="L26" s="190"/>
      <c r="M26" s="190"/>
      <c r="N26" s="190"/>
      <c r="O26" s="190"/>
      <c r="P26" s="190"/>
      <c r="Q26" s="190"/>
      <c r="R26" s="189">
        <f t="shared" si="1"/>
        <v>17</v>
      </c>
      <c r="S26" s="192">
        <f t="shared" si="2"/>
        <v>4.25</v>
      </c>
      <c r="T26" s="191"/>
    </row>
    <row r="27" spans="1:20" ht="39.75" customHeight="1" thickBot="1" x14ac:dyDescent="0.35">
      <c r="A27" s="189">
        <v>17</v>
      </c>
      <c r="B27" s="229" t="s">
        <v>302</v>
      </c>
      <c r="C27" s="190">
        <v>5</v>
      </c>
      <c r="D27" s="190">
        <v>4</v>
      </c>
      <c r="E27" s="190">
        <v>5</v>
      </c>
      <c r="F27" s="190">
        <v>4</v>
      </c>
      <c r="G27" s="190"/>
      <c r="H27" s="190"/>
      <c r="I27" s="190"/>
      <c r="J27" s="190"/>
      <c r="K27" s="190"/>
      <c r="L27" s="190"/>
      <c r="M27" s="190"/>
      <c r="N27" s="190"/>
      <c r="O27" s="190"/>
      <c r="P27" s="190"/>
      <c r="Q27" s="190"/>
      <c r="R27" s="189">
        <f t="shared" si="1"/>
        <v>18</v>
      </c>
      <c r="S27" s="192">
        <f t="shared" si="2"/>
        <v>4.5</v>
      </c>
      <c r="T27" s="191"/>
    </row>
    <row r="28" spans="1:20" ht="39.75" customHeight="1" thickBot="1" x14ac:dyDescent="0.35">
      <c r="A28" s="189">
        <v>18</v>
      </c>
      <c r="B28" s="208" t="s">
        <v>304</v>
      </c>
      <c r="C28" s="190">
        <v>3</v>
      </c>
      <c r="D28" s="190">
        <v>4</v>
      </c>
      <c r="E28" s="190">
        <v>4</v>
      </c>
      <c r="F28" s="190">
        <v>5</v>
      </c>
      <c r="G28" s="190"/>
      <c r="H28" s="190"/>
      <c r="I28" s="190"/>
      <c r="J28" s="190"/>
      <c r="K28" s="190"/>
      <c r="L28" s="190"/>
      <c r="M28" s="190"/>
      <c r="N28" s="190"/>
      <c r="O28" s="190"/>
      <c r="P28" s="190"/>
      <c r="Q28" s="190"/>
      <c r="R28" s="189">
        <f t="shared" si="1"/>
        <v>16</v>
      </c>
      <c r="S28" s="192">
        <f t="shared" si="2"/>
        <v>4</v>
      </c>
      <c r="T28" s="191"/>
    </row>
    <row r="29" spans="1:20" ht="64.2" customHeight="1" thickBot="1" x14ac:dyDescent="0.35">
      <c r="A29" s="189">
        <v>19</v>
      </c>
      <c r="B29" s="244" t="s">
        <v>311</v>
      </c>
      <c r="C29" s="190">
        <v>4</v>
      </c>
      <c r="D29" s="190">
        <v>5</v>
      </c>
      <c r="E29" s="190">
        <v>4</v>
      </c>
      <c r="F29" s="190">
        <v>5</v>
      </c>
      <c r="G29" s="190"/>
      <c r="H29" s="190"/>
      <c r="I29" s="190"/>
      <c r="J29" s="190"/>
      <c r="K29" s="190"/>
      <c r="L29" s="190"/>
      <c r="M29" s="190"/>
      <c r="N29" s="190"/>
      <c r="O29" s="190"/>
      <c r="P29" s="190"/>
      <c r="Q29" s="190"/>
      <c r="R29" s="189">
        <f t="shared" si="1"/>
        <v>18</v>
      </c>
      <c r="S29" s="192">
        <f t="shared" si="2"/>
        <v>4.5</v>
      </c>
      <c r="T29" s="191"/>
    </row>
    <row r="30" spans="1:20" ht="70.2" customHeight="1" thickBot="1" x14ac:dyDescent="0.35">
      <c r="A30" s="189">
        <v>20</v>
      </c>
      <c r="B30" s="244" t="s">
        <v>276</v>
      </c>
      <c r="C30" s="190">
        <v>5</v>
      </c>
      <c r="D30" s="190">
        <v>4</v>
      </c>
      <c r="E30" s="190">
        <v>4</v>
      </c>
      <c r="F30" s="190">
        <v>4</v>
      </c>
      <c r="G30" s="190"/>
      <c r="H30" s="190"/>
      <c r="I30" s="190"/>
      <c r="J30" s="190"/>
      <c r="K30" s="190"/>
      <c r="L30" s="190"/>
      <c r="M30" s="190"/>
      <c r="N30" s="190"/>
      <c r="O30" s="190"/>
      <c r="P30" s="190"/>
      <c r="Q30" s="190"/>
      <c r="R30" s="189">
        <f t="shared" si="1"/>
        <v>17</v>
      </c>
      <c r="S30" s="192">
        <f t="shared" si="2"/>
        <v>4.25</v>
      </c>
      <c r="T30" s="191"/>
    </row>
    <row r="31" spans="1:20" ht="63" customHeight="1" thickBot="1" x14ac:dyDescent="0.35">
      <c r="A31" s="189">
        <v>21</v>
      </c>
      <c r="B31" s="206" t="s">
        <v>292</v>
      </c>
      <c r="C31" s="190">
        <v>4</v>
      </c>
      <c r="D31" s="190">
        <v>4</v>
      </c>
      <c r="E31" s="190">
        <v>4</v>
      </c>
      <c r="F31" s="190">
        <v>5</v>
      </c>
      <c r="G31" s="190"/>
      <c r="H31" s="190"/>
      <c r="I31" s="190"/>
      <c r="J31" s="190"/>
      <c r="K31" s="190"/>
      <c r="L31" s="190"/>
      <c r="M31" s="190"/>
      <c r="N31" s="190"/>
      <c r="O31" s="190"/>
      <c r="P31" s="190"/>
      <c r="Q31" s="190"/>
      <c r="R31" s="189">
        <f t="shared" si="1"/>
        <v>17</v>
      </c>
      <c r="S31" s="192">
        <f t="shared" si="2"/>
        <v>4.25</v>
      </c>
      <c r="T31" s="191"/>
    </row>
    <row r="32" spans="1:20" ht="51.6" customHeight="1" thickBot="1" x14ac:dyDescent="0.35">
      <c r="A32" s="189">
        <v>22</v>
      </c>
      <c r="B32" s="230" t="s">
        <v>288</v>
      </c>
      <c r="C32" s="190">
        <v>5</v>
      </c>
      <c r="D32" s="190">
        <v>5</v>
      </c>
      <c r="E32" s="190">
        <v>4</v>
      </c>
      <c r="F32" s="190">
        <v>4</v>
      </c>
      <c r="G32" s="190"/>
      <c r="H32" s="190"/>
      <c r="I32" s="190"/>
      <c r="J32" s="190"/>
      <c r="K32" s="190"/>
      <c r="L32" s="190"/>
      <c r="M32" s="190"/>
      <c r="N32" s="190"/>
      <c r="O32" s="190"/>
      <c r="P32" s="190"/>
      <c r="Q32" s="190"/>
      <c r="R32" s="189">
        <f t="shared" si="1"/>
        <v>18</v>
      </c>
      <c r="S32" s="192">
        <f t="shared" si="2"/>
        <v>4.5</v>
      </c>
      <c r="T32" s="191"/>
    </row>
    <row r="33" spans="1:20" ht="55.8" customHeight="1" thickBot="1" x14ac:dyDescent="0.35">
      <c r="A33" s="189">
        <v>23</v>
      </c>
      <c r="B33" s="161" t="s">
        <v>280</v>
      </c>
      <c r="C33" s="190">
        <v>4</v>
      </c>
      <c r="D33" s="190">
        <v>4</v>
      </c>
      <c r="E33" s="190">
        <v>4</v>
      </c>
      <c r="F33" s="190">
        <v>4</v>
      </c>
      <c r="G33" s="190"/>
      <c r="H33" s="190"/>
      <c r="I33" s="190"/>
      <c r="J33" s="190"/>
      <c r="K33" s="190"/>
      <c r="L33" s="190"/>
      <c r="M33" s="190"/>
      <c r="N33" s="190"/>
      <c r="O33" s="190"/>
      <c r="P33" s="190"/>
      <c r="Q33" s="190"/>
      <c r="R33" s="189">
        <f t="shared" si="1"/>
        <v>16</v>
      </c>
      <c r="S33" s="192">
        <f t="shared" si="2"/>
        <v>4</v>
      </c>
      <c r="T33" s="191"/>
    </row>
    <row r="34" spans="1:20" ht="60.6" customHeight="1" thickBot="1" x14ac:dyDescent="0.35">
      <c r="A34" s="189">
        <v>24</v>
      </c>
      <c r="B34" s="161" t="s">
        <v>284</v>
      </c>
      <c r="C34" s="190">
        <v>4</v>
      </c>
      <c r="D34" s="190">
        <v>4</v>
      </c>
      <c r="E34" s="190">
        <v>4</v>
      </c>
      <c r="F34" s="190">
        <v>4</v>
      </c>
      <c r="G34" s="190"/>
      <c r="H34" s="190"/>
      <c r="I34" s="190"/>
      <c r="J34" s="190"/>
      <c r="K34" s="190"/>
      <c r="L34" s="190"/>
      <c r="M34" s="190"/>
      <c r="N34" s="190"/>
      <c r="O34" s="190"/>
      <c r="P34" s="190"/>
      <c r="Q34" s="190"/>
      <c r="R34" s="189">
        <f t="shared" si="1"/>
        <v>16</v>
      </c>
      <c r="S34" s="192">
        <f t="shared" si="2"/>
        <v>4</v>
      </c>
      <c r="T34" s="191"/>
    </row>
    <row r="35" spans="1:20" ht="57.6" customHeight="1" thickBot="1" x14ac:dyDescent="0.35">
      <c r="A35" s="189">
        <v>25</v>
      </c>
      <c r="B35" s="206" t="s">
        <v>297</v>
      </c>
      <c r="C35" s="190">
        <v>4</v>
      </c>
      <c r="D35" s="190">
        <v>5</v>
      </c>
      <c r="E35" s="190">
        <v>5</v>
      </c>
      <c r="F35" s="190">
        <v>5</v>
      </c>
      <c r="G35" s="190"/>
      <c r="H35" s="190"/>
      <c r="I35" s="190"/>
      <c r="J35" s="190"/>
      <c r="K35" s="190"/>
      <c r="L35" s="190"/>
      <c r="M35" s="190"/>
      <c r="N35" s="190"/>
      <c r="O35" s="190"/>
      <c r="P35" s="190"/>
      <c r="Q35" s="190"/>
      <c r="R35" s="189">
        <f>SUM(C35:Q35)</f>
        <v>19</v>
      </c>
      <c r="S35" s="192">
        <f t="shared" ref="S35:S38" si="3">IF(ISERROR(AVERAGE(C35:Q35)),0,AVERAGE(C35:Q35))</f>
        <v>4.75</v>
      </c>
      <c r="T35" s="191"/>
    </row>
    <row r="36" spans="1:20" ht="69.599999999999994" customHeight="1" thickBot="1" x14ac:dyDescent="0.35">
      <c r="A36" s="189">
        <v>26</v>
      </c>
      <c r="B36" s="207" t="s">
        <v>312</v>
      </c>
      <c r="C36" s="190">
        <v>4</v>
      </c>
      <c r="D36" s="190">
        <v>5</v>
      </c>
      <c r="E36" s="190">
        <v>5</v>
      </c>
      <c r="F36" s="190">
        <v>5</v>
      </c>
      <c r="G36" s="190"/>
      <c r="H36" s="190"/>
      <c r="I36" s="190"/>
      <c r="J36" s="190"/>
      <c r="K36" s="190"/>
      <c r="L36" s="190"/>
      <c r="M36" s="190"/>
      <c r="N36" s="190"/>
      <c r="O36" s="190"/>
      <c r="P36" s="190"/>
      <c r="Q36" s="190"/>
      <c r="R36" s="189">
        <f t="shared" ref="R36:R38" si="4">SUM(C36:Q36)</f>
        <v>19</v>
      </c>
      <c r="S36" s="192">
        <f t="shared" si="3"/>
        <v>4.75</v>
      </c>
      <c r="T36" s="191"/>
    </row>
    <row r="37" spans="1:20" ht="68.400000000000006" customHeight="1" thickBot="1" x14ac:dyDescent="0.35">
      <c r="A37" s="189">
        <v>27</v>
      </c>
      <c r="B37" s="205" t="s">
        <v>383</v>
      </c>
      <c r="C37" s="190">
        <v>5</v>
      </c>
      <c r="D37" s="190">
        <v>5</v>
      </c>
      <c r="E37" s="190">
        <v>4</v>
      </c>
      <c r="F37" s="190">
        <v>5</v>
      </c>
      <c r="G37" s="190"/>
      <c r="H37" s="190"/>
      <c r="I37" s="190"/>
      <c r="J37" s="190"/>
      <c r="K37" s="190"/>
      <c r="L37" s="190"/>
      <c r="M37" s="190"/>
      <c r="N37" s="190"/>
      <c r="O37" s="190"/>
      <c r="P37" s="190"/>
      <c r="Q37" s="190"/>
      <c r="R37" s="189">
        <f t="shared" si="4"/>
        <v>19</v>
      </c>
      <c r="S37" s="192">
        <f t="shared" si="3"/>
        <v>4.75</v>
      </c>
      <c r="T37" s="191"/>
    </row>
    <row r="38" spans="1:20" ht="74.400000000000006" customHeight="1" thickBot="1" x14ac:dyDescent="0.35">
      <c r="A38" s="189">
        <v>28</v>
      </c>
      <c r="B38" s="234" t="s">
        <v>299</v>
      </c>
      <c r="C38" s="190">
        <v>4</v>
      </c>
      <c r="D38" s="190">
        <v>4</v>
      </c>
      <c r="E38" s="190">
        <v>4</v>
      </c>
      <c r="F38" s="190">
        <v>3</v>
      </c>
      <c r="G38" s="190"/>
      <c r="H38" s="190"/>
      <c r="I38" s="190"/>
      <c r="J38" s="190"/>
      <c r="K38" s="190"/>
      <c r="L38" s="190"/>
      <c r="M38" s="190"/>
      <c r="N38" s="190"/>
      <c r="O38" s="190"/>
      <c r="P38" s="190"/>
      <c r="Q38" s="190"/>
      <c r="R38" s="189">
        <f t="shared" si="4"/>
        <v>15</v>
      </c>
      <c r="S38" s="192">
        <f t="shared" si="3"/>
        <v>3.75</v>
      </c>
      <c r="T38" s="191"/>
    </row>
    <row r="39" spans="1:20" ht="50.25" customHeight="1" thickBot="1" x14ac:dyDescent="0.35">
      <c r="A39" s="193">
        <v>30</v>
      </c>
      <c r="B39" s="235" t="s">
        <v>384</v>
      </c>
      <c r="C39" s="194">
        <v>5</v>
      </c>
      <c r="D39" s="194">
        <v>5</v>
      </c>
      <c r="E39" s="194">
        <v>4</v>
      </c>
      <c r="F39" s="194">
        <v>5</v>
      </c>
      <c r="G39" s="194"/>
      <c r="H39" s="194"/>
      <c r="I39" s="194"/>
      <c r="J39" s="194"/>
      <c r="K39" s="194"/>
      <c r="L39" s="194"/>
      <c r="M39" s="194"/>
      <c r="N39" s="194"/>
      <c r="O39" s="194"/>
      <c r="P39" s="194"/>
      <c r="Q39" s="194"/>
      <c r="R39" s="193">
        <f>SUM(C39:Q39)</f>
        <v>19</v>
      </c>
      <c r="S39" s="195">
        <f>IF(ISERROR(AVERAGE(C39:Q39)),0,AVERAGE(C39:Q39))</f>
        <v>4.75</v>
      </c>
      <c r="T39" s="191"/>
    </row>
    <row r="40" spans="1:20" ht="24" customHeight="1" x14ac:dyDescent="0.3">
      <c r="A40" s="338" t="s">
        <v>245</v>
      </c>
      <c r="B40" s="339"/>
      <c r="C40" s="339"/>
      <c r="D40" s="339"/>
      <c r="E40" s="339"/>
      <c r="F40" s="339"/>
      <c r="G40" s="339"/>
      <c r="H40" s="339"/>
      <c r="I40" s="339"/>
      <c r="J40" s="339"/>
      <c r="K40" s="339"/>
      <c r="L40" s="339"/>
      <c r="M40" s="339"/>
      <c r="N40" s="339"/>
      <c r="O40" s="339"/>
      <c r="P40" s="339"/>
      <c r="Q40" s="339"/>
      <c r="R40" s="340"/>
      <c r="S40" s="196">
        <f>SUM(S11:S39)</f>
        <v>124.5</v>
      </c>
      <c r="T40" s="191"/>
    </row>
    <row r="41" spans="1:20" ht="28.5" customHeight="1" thickBot="1" x14ac:dyDescent="0.35">
      <c r="A41" s="326" t="s">
        <v>243</v>
      </c>
      <c r="B41" s="327"/>
      <c r="C41" s="327"/>
      <c r="D41" s="327"/>
      <c r="E41" s="328"/>
      <c r="F41" s="328"/>
      <c r="G41" s="328"/>
      <c r="H41" s="328"/>
      <c r="I41" s="328"/>
      <c r="J41" s="328"/>
      <c r="K41" s="328"/>
      <c r="L41" s="328"/>
      <c r="M41" s="328"/>
      <c r="N41" s="328"/>
      <c r="O41" s="328"/>
      <c r="P41" s="328"/>
      <c r="Q41" s="328"/>
      <c r="R41" s="328"/>
      <c r="S41" s="236">
        <f>AVERAGE(S11:S39)</f>
        <v>4.2931034482758621</v>
      </c>
    </row>
    <row r="42" spans="1:20" x14ac:dyDescent="0.3">
      <c r="E42" s="237" t="s">
        <v>392</v>
      </c>
      <c r="F42" s="238"/>
      <c r="G42" s="239"/>
      <c r="H42" s="323" t="s">
        <v>391</v>
      </c>
      <c r="I42" s="324"/>
      <c r="J42" s="324"/>
      <c r="K42" s="324"/>
      <c r="L42" s="324"/>
      <c r="M42" s="324"/>
      <c r="N42" s="324"/>
      <c r="O42" s="324"/>
      <c r="P42" s="324"/>
      <c r="Q42" s="324"/>
      <c r="R42" s="324"/>
      <c r="S42" s="325"/>
    </row>
    <row r="1048574" spans="20:20" ht="15" thickBot="1" x14ac:dyDescent="0.35"/>
    <row r="1048575" spans="20:20" x14ac:dyDescent="0.3">
      <c r="T1048575" s="191"/>
    </row>
  </sheetData>
  <mergeCells count="15">
    <mergeCell ref="C3:R4"/>
    <mergeCell ref="A1:B4"/>
    <mergeCell ref="H42:S42"/>
    <mergeCell ref="A41:R41"/>
    <mergeCell ref="T1:W1"/>
    <mergeCell ref="T2:W2"/>
    <mergeCell ref="T3:W3"/>
    <mergeCell ref="T4:W4"/>
    <mergeCell ref="A5:T5"/>
    <mergeCell ref="A6:T6"/>
    <mergeCell ref="A7:T7"/>
    <mergeCell ref="A9:T9"/>
    <mergeCell ref="A40:R40"/>
    <mergeCell ref="S1:S4"/>
    <mergeCell ref="C1:R2"/>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39" xr:uid="{00000000-0002-0000-0200-000000000000}">
      <formula1>1</formula1>
      <formula2>5</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19</xdr:col>
                    <xdr:colOff>403860</xdr:colOff>
                    <xdr:row>10</xdr:row>
                    <xdr:rowOff>121920</xdr:rowOff>
                  </from>
                  <to>
                    <xdr:col>19</xdr:col>
                    <xdr:colOff>1021080</xdr:colOff>
                    <xdr:row>10</xdr:row>
                    <xdr:rowOff>335280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19</xdr:col>
                    <xdr:colOff>403860</xdr:colOff>
                    <xdr:row>11</xdr:row>
                    <xdr:rowOff>121920</xdr:rowOff>
                  </from>
                  <to>
                    <xdr:col>19</xdr:col>
                    <xdr:colOff>1021080</xdr:colOff>
                    <xdr:row>11</xdr:row>
                    <xdr:rowOff>335280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19</xdr:col>
                    <xdr:colOff>403860</xdr:colOff>
                    <xdr:row>12</xdr:row>
                    <xdr:rowOff>121920</xdr:rowOff>
                  </from>
                  <to>
                    <xdr:col>19</xdr:col>
                    <xdr:colOff>1021080</xdr:colOff>
                    <xdr:row>12</xdr:row>
                    <xdr:rowOff>335280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19</xdr:col>
                    <xdr:colOff>403860</xdr:colOff>
                    <xdr:row>13</xdr:row>
                    <xdr:rowOff>121920</xdr:rowOff>
                  </from>
                  <to>
                    <xdr:col>19</xdr:col>
                    <xdr:colOff>1021080</xdr:colOff>
                    <xdr:row>13</xdr:row>
                    <xdr:rowOff>335280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19</xdr:col>
                    <xdr:colOff>403860</xdr:colOff>
                    <xdr:row>1048574</xdr:row>
                    <xdr:rowOff>121920</xdr:rowOff>
                  </from>
                  <to>
                    <xdr:col>19</xdr:col>
                    <xdr:colOff>1021080</xdr:colOff>
                    <xdr:row>1048575</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19</xdr:col>
                    <xdr:colOff>403860</xdr:colOff>
                    <xdr:row>14</xdr:row>
                    <xdr:rowOff>121920</xdr:rowOff>
                  </from>
                  <to>
                    <xdr:col>19</xdr:col>
                    <xdr:colOff>1021080</xdr:colOff>
                    <xdr:row>14</xdr:row>
                    <xdr:rowOff>335280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19</xdr:col>
                    <xdr:colOff>403860</xdr:colOff>
                    <xdr:row>15</xdr:row>
                    <xdr:rowOff>121920</xdr:rowOff>
                  </from>
                  <to>
                    <xdr:col>19</xdr:col>
                    <xdr:colOff>1021080</xdr:colOff>
                    <xdr:row>15</xdr:row>
                    <xdr:rowOff>335280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19</xdr:col>
                    <xdr:colOff>403860</xdr:colOff>
                    <xdr:row>16</xdr:row>
                    <xdr:rowOff>121920</xdr:rowOff>
                  </from>
                  <to>
                    <xdr:col>19</xdr:col>
                    <xdr:colOff>1021080</xdr:colOff>
                    <xdr:row>16</xdr:row>
                    <xdr:rowOff>335280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19</xdr:col>
                    <xdr:colOff>403860</xdr:colOff>
                    <xdr:row>17</xdr:row>
                    <xdr:rowOff>121920</xdr:rowOff>
                  </from>
                  <to>
                    <xdr:col>19</xdr:col>
                    <xdr:colOff>1021080</xdr:colOff>
                    <xdr:row>17</xdr:row>
                    <xdr:rowOff>335280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19</xdr:col>
                    <xdr:colOff>403860</xdr:colOff>
                    <xdr:row>18</xdr:row>
                    <xdr:rowOff>121920</xdr:rowOff>
                  </from>
                  <to>
                    <xdr:col>19</xdr:col>
                    <xdr:colOff>1021080</xdr:colOff>
                    <xdr:row>18</xdr:row>
                    <xdr:rowOff>335280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19</xdr:col>
                    <xdr:colOff>403860</xdr:colOff>
                    <xdr:row>19</xdr:row>
                    <xdr:rowOff>121920</xdr:rowOff>
                  </from>
                  <to>
                    <xdr:col>19</xdr:col>
                    <xdr:colOff>1021080</xdr:colOff>
                    <xdr:row>19</xdr:row>
                    <xdr:rowOff>335280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19</xdr:col>
                    <xdr:colOff>403860</xdr:colOff>
                    <xdr:row>20</xdr:row>
                    <xdr:rowOff>121920</xdr:rowOff>
                  </from>
                  <to>
                    <xdr:col>19</xdr:col>
                    <xdr:colOff>1021080</xdr:colOff>
                    <xdr:row>20</xdr:row>
                    <xdr:rowOff>335280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19</xdr:col>
                    <xdr:colOff>403860</xdr:colOff>
                    <xdr:row>21</xdr:row>
                    <xdr:rowOff>121920</xdr:rowOff>
                  </from>
                  <to>
                    <xdr:col>19</xdr:col>
                    <xdr:colOff>1021080</xdr:colOff>
                    <xdr:row>21</xdr:row>
                    <xdr:rowOff>335280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19</xdr:col>
                    <xdr:colOff>403860</xdr:colOff>
                    <xdr:row>22</xdr:row>
                    <xdr:rowOff>121920</xdr:rowOff>
                  </from>
                  <to>
                    <xdr:col>19</xdr:col>
                    <xdr:colOff>1021080</xdr:colOff>
                    <xdr:row>22</xdr:row>
                    <xdr:rowOff>335280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19</xdr:col>
                    <xdr:colOff>403860</xdr:colOff>
                    <xdr:row>23</xdr:row>
                    <xdr:rowOff>121920</xdr:rowOff>
                  </from>
                  <to>
                    <xdr:col>19</xdr:col>
                    <xdr:colOff>1021080</xdr:colOff>
                    <xdr:row>23</xdr:row>
                    <xdr:rowOff>335280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19</xdr:col>
                    <xdr:colOff>403860</xdr:colOff>
                    <xdr:row>24</xdr:row>
                    <xdr:rowOff>121920</xdr:rowOff>
                  </from>
                  <to>
                    <xdr:col>19</xdr:col>
                    <xdr:colOff>1021080</xdr:colOff>
                    <xdr:row>24</xdr:row>
                    <xdr:rowOff>335280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19</xdr:col>
                    <xdr:colOff>403860</xdr:colOff>
                    <xdr:row>25</xdr:row>
                    <xdr:rowOff>121920</xdr:rowOff>
                  </from>
                  <to>
                    <xdr:col>19</xdr:col>
                    <xdr:colOff>1021080</xdr:colOff>
                    <xdr:row>25</xdr:row>
                    <xdr:rowOff>335280</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19</xdr:col>
                    <xdr:colOff>403860</xdr:colOff>
                    <xdr:row>26</xdr:row>
                    <xdr:rowOff>121920</xdr:rowOff>
                  </from>
                  <to>
                    <xdr:col>19</xdr:col>
                    <xdr:colOff>1021080</xdr:colOff>
                    <xdr:row>26</xdr:row>
                    <xdr:rowOff>335280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19</xdr:col>
                    <xdr:colOff>403860</xdr:colOff>
                    <xdr:row>27</xdr:row>
                    <xdr:rowOff>121920</xdr:rowOff>
                  </from>
                  <to>
                    <xdr:col>19</xdr:col>
                    <xdr:colOff>1021080</xdr:colOff>
                    <xdr:row>27</xdr:row>
                    <xdr:rowOff>335280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19</xdr:col>
                    <xdr:colOff>403860</xdr:colOff>
                    <xdr:row>28</xdr:row>
                    <xdr:rowOff>121920</xdr:rowOff>
                  </from>
                  <to>
                    <xdr:col>19</xdr:col>
                    <xdr:colOff>1021080</xdr:colOff>
                    <xdr:row>28</xdr:row>
                    <xdr:rowOff>335280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19</xdr:col>
                    <xdr:colOff>403860</xdr:colOff>
                    <xdr:row>29</xdr:row>
                    <xdr:rowOff>121920</xdr:rowOff>
                  </from>
                  <to>
                    <xdr:col>19</xdr:col>
                    <xdr:colOff>1021080</xdr:colOff>
                    <xdr:row>29</xdr:row>
                    <xdr:rowOff>335280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19</xdr:col>
                    <xdr:colOff>403860</xdr:colOff>
                    <xdr:row>30</xdr:row>
                    <xdr:rowOff>121920</xdr:rowOff>
                  </from>
                  <to>
                    <xdr:col>19</xdr:col>
                    <xdr:colOff>1021080</xdr:colOff>
                    <xdr:row>30</xdr:row>
                    <xdr:rowOff>335280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19</xdr:col>
                    <xdr:colOff>403860</xdr:colOff>
                    <xdr:row>31</xdr:row>
                    <xdr:rowOff>121920</xdr:rowOff>
                  </from>
                  <to>
                    <xdr:col>19</xdr:col>
                    <xdr:colOff>1021080</xdr:colOff>
                    <xdr:row>31</xdr:row>
                    <xdr:rowOff>335280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19</xdr:col>
                    <xdr:colOff>403860</xdr:colOff>
                    <xdr:row>32</xdr:row>
                    <xdr:rowOff>121920</xdr:rowOff>
                  </from>
                  <to>
                    <xdr:col>19</xdr:col>
                    <xdr:colOff>1021080</xdr:colOff>
                    <xdr:row>32</xdr:row>
                    <xdr:rowOff>335280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19</xdr:col>
                    <xdr:colOff>403860</xdr:colOff>
                    <xdr:row>33</xdr:row>
                    <xdr:rowOff>121920</xdr:rowOff>
                  </from>
                  <to>
                    <xdr:col>19</xdr:col>
                    <xdr:colOff>1021080</xdr:colOff>
                    <xdr:row>33</xdr:row>
                    <xdr:rowOff>335280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19</xdr:col>
                    <xdr:colOff>403860</xdr:colOff>
                    <xdr:row>34</xdr:row>
                    <xdr:rowOff>121920</xdr:rowOff>
                  </from>
                  <to>
                    <xdr:col>19</xdr:col>
                    <xdr:colOff>1021080</xdr:colOff>
                    <xdr:row>34</xdr:row>
                    <xdr:rowOff>335280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19</xdr:col>
                    <xdr:colOff>403860</xdr:colOff>
                    <xdr:row>35</xdr:row>
                    <xdr:rowOff>121920</xdr:rowOff>
                  </from>
                  <to>
                    <xdr:col>19</xdr:col>
                    <xdr:colOff>1021080</xdr:colOff>
                    <xdr:row>35</xdr:row>
                    <xdr:rowOff>335280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19</xdr:col>
                    <xdr:colOff>403860</xdr:colOff>
                    <xdr:row>36</xdr:row>
                    <xdr:rowOff>121920</xdr:rowOff>
                  </from>
                  <to>
                    <xdr:col>19</xdr:col>
                    <xdr:colOff>1021080</xdr:colOff>
                    <xdr:row>36</xdr:row>
                    <xdr:rowOff>335280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19</xdr:col>
                    <xdr:colOff>403860</xdr:colOff>
                    <xdr:row>37</xdr:row>
                    <xdr:rowOff>121920</xdr:rowOff>
                  </from>
                  <to>
                    <xdr:col>19</xdr:col>
                    <xdr:colOff>1021080</xdr:colOff>
                    <xdr:row>37</xdr:row>
                    <xdr:rowOff>335280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19</xdr:col>
                    <xdr:colOff>403860</xdr:colOff>
                    <xdr:row>38</xdr:row>
                    <xdr:rowOff>0</xdr:rowOff>
                  </from>
                  <to>
                    <xdr:col>19</xdr:col>
                    <xdr:colOff>1021080</xdr:colOff>
                    <xdr:row>38</xdr:row>
                    <xdr:rowOff>213360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19</xdr:col>
                    <xdr:colOff>403860</xdr:colOff>
                    <xdr:row>38</xdr:row>
                    <xdr:rowOff>121920</xdr:rowOff>
                  </from>
                  <to>
                    <xdr:col>19</xdr:col>
                    <xdr:colOff>1021080</xdr:colOff>
                    <xdr:row>38</xdr:row>
                    <xdr:rowOff>335280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31"/>
  <sheetViews>
    <sheetView zoomScale="70" zoomScaleNormal="70" workbookViewId="0">
      <selection activeCell="O12" sqref="O12"/>
    </sheetView>
  </sheetViews>
  <sheetFormatPr baseColWidth="10" defaultColWidth="11.44140625" defaultRowHeight="13.8" x14ac:dyDescent="0.25"/>
  <cols>
    <col min="1" max="1" width="12.109375" style="149" customWidth="1"/>
    <col min="2" max="2" width="17.5546875" style="149" customWidth="1"/>
    <col min="3" max="3" width="29.21875" style="149" customWidth="1"/>
    <col min="4" max="4" width="18.21875" style="149" customWidth="1"/>
    <col min="5" max="5" width="38" style="149" customWidth="1"/>
    <col min="6" max="6" width="30.33203125" style="149" customWidth="1"/>
    <col min="7" max="7" width="18.33203125" style="149" customWidth="1"/>
    <col min="8" max="8" width="15.5546875" style="149" customWidth="1"/>
    <col min="9" max="9" width="19.33203125" style="149" customWidth="1"/>
    <col min="10" max="10" width="21.33203125" style="149" customWidth="1"/>
    <col min="11" max="16384" width="11.44140625" style="149"/>
  </cols>
  <sheetData>
    <row r="1" spans="1:14" ht="15" customHeight="1" x14ac:dyDescent="0.25">
      <c r="A1" s="486"/>
      <c r="B1" s="487"/>
      <c r="C1" s="292" t="s">
        <v>370</v>
      </c>
      <c r="D1" s="292"/>
      <c r="E1" s="292"/>
      <c r="F1" s="292"/>
      <c r="G1" s="292"/>
      <c r="H1" s="476" t="s">
        <v>264</v>
      </c>
      <c r="I1" s="477"/>
      <c r="J1" s="478"/>
      <c r="K1" s="148"/>
      <c r="N1" s="291"/>
    </row>
    <row r="2" spans="1:14" ht="30.75" customHeight="1" x14ac:dyDescent="0.25">
      <c r="A2" s="488"/>
      <c r="B2" s="489"/>
      <c r="C2" s="292"/>
      <c r="D2" s="292"/>
      <c r="E2" s="292"/>
      <c r="F2" s="292"/>
      <c r="G2" s="292"/>
      <c r="H2" s="481" t="s">
        <v>260</v>
      </c>
      <c r="I2" s="482"/>
      <c r="J2" s="479"/>
      <c r="K2" s="148"/>
      <c r="N2" s="291"/>
    </row>
    <row r="3" spans="1:14" ht="15" customHeight="1" x14ac:dyDescent="0.25">
      <c r="A3" s="488"/>
      <c r="B3" s="489"/>
      <c r="C3" s="292" t="s">
        <v>246</v>
      </c>
      <c r="D3" s="292"/>
      <c r="E3" s="292"/>
      <c r="F3" s="292"/>
      <c r="G3" s="292"/>
      <c r="H3" s="481" t="s">
        <v>261</v>
      </c>
      <c r="I3" s="482"/>
      <c r="J3" s="479"/>
      <c r="K3" s="148"/>
      <c r="N3" s="291"/>
    </row>
    <row r="4" spans="1:14" ht="15.75" customHeight="1" x14ac:dyDescent="0.25">
      <c r="A4" s="490"/>
      <c r="B4" s="316"/>
      <c r="C4" s="292"/>
      <c r="D4" s="292"/>
      <c r="E4" s="292"/>
      <c r="F4" s="292"/>
      <c r="G4" s="292"/>
      <c r="H4" s="481" t="s">
        <v>262</v>
      </c>
      <c r="I4" s="482"/>
      <c r="J4" s="480"/>
      <c r="K4" s="148"/>
      <c r="N4" s="291"/>
    </row>
    <row r="5" spans="1:14" ht="15.75" customHeight="1" x14ac:dyDescent="0.25">
      <c r="A5" s="483"/>
      <c r="B5" s="484"/>
      <c r="C5" s="484"/>
      <c r="D5" s="484"/>
      <c r="E5" s="484"/>
      <c r="F5" s="484"/>
      <c r="G5" s="484"/>
      <c r="H5" s="484"/>
      <c r="I5" s="484"/>
      <c r="J5" s="485"/>
      <c r="K5" s="148"/>
      <c r="N5" s="150"/>
    </row>
    <row r="6" spans="1:14" ht="15" customHeight="1" x14ac:dyDescent="0.25">
      <c r="A6" s="443" t="str">
        <f>Contexto!A8</f>
        <v>PROCESO:  GESTION DE RECURSOS FISICOS</v>
      </c>
      <c r="B6" s="444"/>
      <c r="C6" s="444"/>
      <c r="D6" s="444"/>
      <c r="E6" s="444"/>
      <c r="F6" s="444"/>
      <c r="G6" s="444"/>
      <c r="H6" s="444"/>
      <c r="I6" s="444"/>
      <c r="J6" s="445"/>
    </row>
    <row r="7" spans="1:14" ht="32.25" customHeight="1" thickBot="1" x14ac:dyDescent="0.3">
      <c r="A7" s="446"/>
      <c r="B7" s="447"/>
      <c r="C7" s="447"/>
      <c r="D7" s="447"/>
      <c r="E7" s="447"/>
      <c r="F7" s="447"/>
      <c r="G7" s="447"/>
      <c r="H7" s="447"/>
      <c r="I7" s="447"/>
      <c r="J7" s="448"/>
    </row>
    <row r="8" spans="1:14" ht="23.25" customHeight="1" x14ac:dyDescent="0.25">
      <c r="A8" s="459" t="s">
        <v>247</v>
      </c>
      <c r="B8" s="460"/>
      <c r="C8" s="460"/>
      <c r="D8" s="461"/>
      <c r="E8" s="419" t="s">
        <v>217</v>
      </c>
      <c r="F8" s="449"/>
      <c r="G8" s="449"/>
      <c r="H8" s="449"/>
      <c r="I8" s="449"/>
      <c r="J8" s="450"/>
    </row>
    <row r="9" spans="1:14" ht="23.25" customHeight="1" x14ac:dyDescent="0.25">
      <c r="A9" s="462"/>
      <c r="B9" s="463"/>
      <c r="C9" s="463"/>
      <c r="D9" s="464"/>
      <c r="E9" s="418" t="s">
        <v>248</v>
      </c>
      <c r="F9" s="418"/>
      <c r="G9" s="418" t="s">
        <v>249</v>
      </c>
      <c r="H9" s="418"/>
      <c r="I9" s="418"/>
      <c r="J9" s="418"/>
    </row>
    <row r="10" spans="1:14" ht="23.25" customHeight="1" x14ac:dyDescent="0.3">
      <c r="A10" s="462"/>
      <c r="B10" s="463"/>
      <c r="C10" s="463"/>
      <c r="D10" s="464"/>
      <c r="E10" s="382" t="s">
        <v>250</v>
      </c>
      <c r="F10" s="382"/>
      <c r="G10" s="451" t="s">
        <v>251</v>
      </c>
      <c r="H10" s="452"/>
      <c r="I10" s="452"/>
      <c r="J10" s="453"/>
    </row>
    <row r="11" spans="1:14" ht="43.5" customHeight="1" x14ac:dyDescent="0.25">
      <c r="A11" s="462"/>
      <c r="B11" s="463"/>
      <c r="C11" s="463"/>
      <c r="D11" s="464"/>
      <c r="E11" s="454" t="s">
        <v>313</v>
      </c>
      <c r="F11" s="455"/>
      <c r="G11" s="423" t="s">
        <v>314</v>
      </c>
      <c r="H11" s="423"/>
      <c r="I11" s="423"/>
      <c r="J11" s="423"/>
    </row>
    <row r="12" spans="1:14" ht="43.5" customHeight="1" x14ac:dyDescent="0.25">
      <c r="A12" s="462"/>
      <c r="B12" s="463"/>
      <c r="C12" s="463"/>
      <c r="D12" s="464"/>
      <c r="E12" s="413" t="s">
        <v>315</v>
      </c>
      <c r="F12" s="414"/>
      <c r="G12" s="436" t="s">
        <v>316</v>
      </c>
      <c r="H12" s="436"/>
      <c r="I12" s="436"/>
      <c r="J12" s="436"/>
    </row>
    <row r="13" spans="1:14" ht="43.5" customHeight="1" x14ac:dyDescent="0.25">
      <c r="A13" s="462"/>
      <c r="B13" s="463"/>
      <c r="C13" s="463"/>
      <c r="D13" s="464"/>
      <c r="E13" s="413" t="s">
        <v>317</v>
      </c>
      <c r="F13" s="414"/>
      <c r="G13" s="472" t="s">
        <v>318</v>
      </c>
      <c r="H13" s="472"/>
      <c r="I13" s="472"/>
      <c r="J13" s="472"/>
    </row>
    <row r="14" spans="1:14" ht="43.5" customHeight="1" x14ac:dyDescent="0.25">
      <c r="A14" s="462"/>
      <c r="B14" s="463"/>
      <c r="C14" s="463"/>
      <c r="D14" s="464"/>
      <c r="E14" s="408" t="s">
        <v>319</v>
      </c>
      <c r="F14" s="345"/>
      <c r="G14" s="472" t="s">
        <v>320</v>
      </c>
      <c r="H14" s="472"/>
      <c r="I14" s="472"/>
      <c r="J14" s="472"/>
    </row>
    <row r="15" spans="1:14" ht="49.5" customHeight="1" x14ac:dyDescent="0.25">
      <c r="A15" s="462"/>
      <c r="B15" s="463"/>
      <c r="C15" s="463"/>
      <c r="D15" s="464"/>
      <c r="E15" s="413" t="s">
        <v>321</v>
      </c>
      <c r="F15" s="414"/>
      <c r="G15" s="456" t="s">
        <v>322</v>
      </c>
      <c r="H15" s="457"/>
      <c r="I15" s="457"/>
      <c r="J15" s="458"/>
    </row>
    <row r="16" spans="1:14" ht="49.5" customHeight="1" x14ac:dyDescent="0.25">
      <c r="A16" s="462"/>
      <c r="B16" s="463"/>
      <c r="C16" s="463"/>
      <c r="D16" s="464"/>
      <c r="E16" s="408" t="s">
        <v>323</v>
      </c>
      <c r="F16" s="345"/>
      <c r="G16" s="465" t="s">
        <v>324</v>
      </c>
      <c r="H16" s="466"/>
      <c r="I16" s="466"/>
      <c r="J16" s="467"/>
    </row>
    <row r="17" spans="1:10" ht="54.75" customHeight="1" x14ac:dyDescent="0.25">
      <c r="A17" s="462"/>
      <c r="B17" s="463"/>
      <c r="C17" s="463"/>
      <c r="D17" s="464"/>
      <c r="E17" s="412" t="s">
        <v>325</v>
      </c>
      <c r="F17" s="468"/>
      <c r="G17" s="469" t="s">
        <v>326</v>
      </c>
      <c r="H17" s="470"/>
      <c r="I17" s="470"/>
      <c r="J17" s="471"/>
    </row>
    <row r="18" spans="1:10" ht="48.75" customHeight="1" x14ac:dyDescent="0.25">
      <c r="A18" s="462"/>
      <c r="B18" s="463"/>
      <c r="C18" s="463"/>
      <c r="D18" s="464"/>
      <c r="E18" s="408" t="s">
        <v>327</v>
      </c>
      <c r="F18" s="345"/>
      <c r="G18" s="439" t="s">
        <v>328</v>
      </c>
      <c r="H18" s="440"/>
      <c r="I18" s="440"/>
      <c r="J18" s="441"/>
    </row>
    <row r="19" spans="1:10" ht="54.75" customHeight="1" x14ac:dyDescent="0.25">
      <c r="A19" s="462"/>
      <c r="B19" s="463"/>
      <c r="C19" s="463"/>
      <c r="D19" s="464"/>
      <c r="E19" s="408" t="s">
        <v>394</v>
      </c>
      <c r="F19" s="345"/>
      <c r="G19" s="442" t="s">
        <v>329</v>
      </c>
      <c r="H19" s="442"/>
      <c r="I19" s="442"/>
      <c r="J19" s="442"/>
    </row>
    <row r="20" spans="1:10" ht="59.25" customHeight="1" x14ac:dyDescent="0.25">
      <c r="A20" s="462"/>
      <c r="B20" s="463"/>
      <c r="C20" s="463"/>
      <c r="D20" s="464"/>
      <c r="E20" s="408" t="s">
        <v>330</v>
      </c>
      <c r="F20" s="345"/>
      <c r="G20" s="415"/>
      <c r="H20" s="416"/>
      <c r="I20" s="416"/>
      <c r="J20" s="417"/>
    </row>
    <row r="21" spans="1:10" ht="49.5" customHeight="1" x14ac:dyDescent="0.25">
      <c r="A21" s="462"/>
      <c r="B21" s="463"/>
      <c r="C21" s="463"/>
      <c r="D21" s="464"/>
      <c r="E21" s="408" t="s">
        <v>393</v>
      </c>
      <c r="F21" s="345"/>
      <c r="G21" s="357"/>
      <c r="H21" s="357"/>
      <c r="I21" s="357"/>
      <c r="J21" s="357"/>
    </row>
    <row r="22" spans="1:10" ht="49.5" customHeight="1" x14ac:dyDescent="0.25">
      <c r="A22" s="462"/>
      <c r="B22" s="463"/>
      <c r="C22" s="463"/>
      <c r="D22" s="464"/>
      <c r="E22" s="413" t="s">
        <v>331</v>
      </c>
      <c r="F22" s="414"/>
      <c r="G22" s="473"/>
      <c r="H22" s="474"/>
      <c r="I22" s="474"/>
      <c r="J22" s="475"/>
    </row>
    <row r="23" spans="1:10" ht="49.5" customHeight="1" x14ac:dyDescent="0.25">
      <c r="A23" s="462"/>
      <c r="B23" s="463"/>
      <c r="C23" s="463"/>
      <c r="D23" s="464"/>
      <c r="E23" s="408" t="s">
        <v>332</v>
      </c>
      <c r="F23" s="345"/>
      <c r="G23" s="415"/>
      <c r="H23" s="416"/>
      <c r="I23" s="416"/>
      <c r="J23" s="417"/>
    </row>
    <row r="24" spans="1:10" ht="49.5" customHeight="1" x14ac:dyDescent="0.25">
      <c r="A24" s="462"/>
      <c r="B24" s="463"/>
      <c r="C24" s="463"/>
      <c r="D24" s="464"/>
      <c r="E24" s="413" t="s">
        <v>333</v>
      </c>
      <c r="F24" s="414"/>
      <c r="G24" s="415"/>
      <c r="H24" s="416"/>
      <c r="I24" s="416"/>
      <c r="J24" s="417"/>
    </row>
    <row r="25" spans="1:10" ht="67.5" customHeight="1" x14ac:dyDescent="0.25">
      <c r="A25" s="381" t="s">
        <v>215</v>
      </c>
      <c r="B25" s="381" t="s">
        <v>249</v>
      </c>
      <c r="C25" s="382" t="s">
        <v>252</v>
      </c>
      <c r="D25" s="382"/>
      <c r="E25" s="418" t="s">
        <v>253</v>
      </c>
      <c r="F25" s="382"/>
      <c r="G25" s="419" t="s">
        <v>254</v>
      </c>
      <c r="H25" s="420"/>
      <c r="I25" s="420"/>
      <c r="J25" s="421"/>
    </row>
    <row r="26" spans="1:10" ht="67.5" customHeight="1" x14ac:dyDescent="0.25">
      <c r="A26" s="381"/>
      <c r="B26" s="381"/>
      <c r="C26" s="422" t="s">
        <v>334</v>
      </c>
      <c r="D26" s="423"/>
      <c r="E26" s="431" t="s">
        <v>335</v>
      </c>
      <c r="F26" s="431"/>
      <c r="G26" s="432" t="s">
        <v>336</v>
      </c>
      <c r="H26" s="432"/>
      <c r="I26" s="432"/>
      <c r="J26" s="433"/>
    </row>
    <row r="27" spans="1:10" ht="78.75" customHeight="1" x14ac:dyDescent="0.25">
      <c r="A27" s="381"/>
      <c r="B27" s="381"/>
      <c r="C27" s="406" t="s">
        <v>337</v>
      </c>
      <c r="D27" s="407"/>
      <c r="E27" s="361" t="s">
        <v>338</v>
      </c>
      <c r="F27" s="361"/>
      <c r="G27" s="434" t="s">
        <v>339</v>
      </c>
      <c r="H27" s="434"/>
      <c r="I27" s="434"/>
      <c r="J27" s="435"/>
    </row>
    <row r="28" spans="1:10" ht="92.25" customHeight="1" x14ac:dyDescent="0.25">
      <c r="A28" s="381"/>
      <c r="B28" s="381"/>
      <c r="C28" s="406" t="s">
        <v>340</v>
      </c>
      <c r="D28" s="407"/>
      <c r="E28" s="436" t="s">
        <v>341</v>
      </c>
      <c r="F28" s="437"/>
      <c r="G28" s="434" t="s">
        <v>342</v>
      </c>
      <c r="H28" s="434"/>
      <c r="I28" s="434"/>
      <c r="J28" s="435"/>
    </row>
    <row r="29" spans="1:10" ht="63" customHeight="1" x14ac:dyDescent="0.25">
      <c r="A29" s="381"/>
      <c r="B29" s="381"/>
      <c r="C29" s="424" t="s">
        <v>343</v>
      </c>
      <c r="D29" s="425"/>
      <c r="E29" s="426" t="s">
        <v>398</v>
      </c>
      <c r="F29" s="426"/>
      <c r="G29" s="427"/>
      <c r="H29" s="428"/>
      <c r="I29" s="428"/>
      <c r="J29" s="429"/>
    </row>
    <row r="30" spans="1:10" ht="74.25" customHeight="1" x14ac:dyDescent="0.25">
      <c r="A30" s="381"/>
      <c r="B30" s="381"/>
      <c r="C30" s="406" t="s">
        <v>344</v>
      </c>
      <c r="D30" s="407"/>
      <c r="E30" s="430" t="s">
        <v>345</v>
      </c>
      <c r="F30" s="414"/>
      <c r="G30" s="427"/>
      <c r="H30" s="428"/>
      <c r="I30" s="428"/>
      <c r="J30" s="429"/>
    </row>
    <row r="31" spans="1:10" ht="70.5" customHeight="1" x14ac:dyDescent="0.25">
      <c r="A31" s="381"/>
      <c r="B31" s="381"/>
      <c r="C31" s="406" t="s">
        <v>346</v>
      </c>
      <c r="D31" s="407"/>
      <c r="E31" s="344" t="s">
        <v>404</v>
      </c>
      <c r="F31" s="408"/>
      <c r="G31" s="409"/>
      <c r="H31" s="409"/>
      <c r="I31" s="409"/>
      <c r="J31" s="410"/>
    </row>
    <row r="32" spans="1:10" ht="65.25" customHeight="1" x14ac:dyDescent="0.25">
      <c r="A32" s="381"/>
      <c r="B32" s="381"/>
      <c r="C32" s="406" t="s">
        <v>347</v>
      </c>
      <c r="D32" s="407"/>
      <c r="E32" s="411" t="s">
        <v>350</v>
      </c>
      <c r="F32" s="412"/>
      <c r="G32" s="409"/>
      <c r="H32" s="409"/>
      <c r="I32" s="409"/>
      <c r="J32" s="410"/>
    </row>
    <row r="33" spans="1:10" ht="64.5" customHeight="1" x14ac:dyDescent="0.25">
      <c r="A33" s="381"/>
      <c r="B33" s="381"/>
      <c r="C33" s="406" t="s">
        <v>348</v>
      </c>
      <c r="D33" s="407"/>
      <c r="E33" s="438" t="s">
        <v>408</v>
      </c>
      <c r="F33" s="438"/>
      <c r="G33" s="357"/>
      <c r="H33" s="357"/>
      <c r="I33" s="357"/>
      <c r="J33" s="355"/>
    </row>
    <row r="34" spans="1:10" ht="51" customHeight="1" x14ac:dyDescent="0.25">
      <c r="A34" s="381"/>
      <c r="B34" s="381"/>
      <c r="C34" s="402" t="s">
        <v>349</v>
      </c>
      <c r="D34" s="403"/>
      <c r="E34" s="404"/>
      <c r="F34" s="404"/>
      <c r="G34" s="404"/>
      <c r="H34" s="404"/>
      <c r="I34" s="404"/>
      <c r="J34" s="405"/>
    </row>
    <row r="35" spans="1:10" ht="51" customHeight="1" x14ac:dyDescent="0.25">
      <c r="A35" s="381"/>
      <c r="B35" s="381"/>
      <c r="C35" s="395"/>
      <c r="D35" s="396"/>
      <c r="E35" s="351"/>
      <c r="F35" s="352"/>
      <c r="G35" s="351"/>
      <c r="H35" s="353"/>
      <c r="I35" s="353"/>
      <c r="J35" s="352"/>
    </row>
    <row r="36" spans="1:10" ht="45.75" customHeight="1" x14ac:dyDescent="0.25">
      <c r="A36" s="381"/>
      <c r="B36" s="381"/>
      <c r="C36" s="395"/>
      <c r="D36" s="396"/>
      <c r="E36" s="351"/>
      <c r="F36" s="352"/>
      <c r="G36" s="351"/>
      <c r="H36" s="353"/>
      <c r="I36" s="353"/>
      <c r="J36" s="352"/>
    </row>
    <row r="37" spans="1:10" ht="41.25" customHeight="1" x14ac:dyDescent="0.25">
      <c r="A37" s="381"/>
      <c r="B37" s="381"/>
      <c r="C37" s="343"/>
      <c r="D37" s="343"/>
      <c r="E37" s="401"/>
      <c r="F37" s="401"/>
      <c r="G37" s="401"/>
      <c r="H37" s="401"/>
      <c r="I37" s="401"/>
      <c r="J37" s="401"/>
    </row>
    <row r="38" spans="1:10" ht="66" customHeight="1" thickBot="1" x14ac:dyDescent="0.35">
      <c r="A38" s="381"/>
      <c r="B38" s="381" t="s">
        <v>248</v>
      </c>
      <c r="C38" s="382" t="s">
        <v>255</v>
      </c>
      <c r="D38" s="382"/>
      <c r="E38" s="383" t="s">
        <v>256</v>
      </c>
      <c r="F38" s="384"/>
      <c r="G38" s="385" t="s">
        <v>257</v>
      </c>
      <c r="H38" s="386"/>
      <c r="I38" s="386"/>
      <c r="J38" s="387"/>
    </row>
    <row r="39" spans="1:10" ht="67.5" customHeight="1" x14ac:dyDescent="0.25">
      <c r="A39" s="381"/>
      <c r="B39" s="381"/>
      <c r="C39" s="388" t="s">
        <v>351</v>
      </c>
      <c r="D39" s="389"/>
      <c r="E39" s="390" t="s">
        <v>352</v>
      </c>
      <c r="F39" s="391"/>
      <c r="G39" s="392" t="s">
        <v>353</v>
      </c>
      <c r="H39" s="393"/>
      <c r="I39" s="393"/>
      <c r="J39" s="394"/>
    </row>
    <row r="40" spans="1:10" ht="75.75" customHeight="1" x14ac:dyDescent="0.25">
      <c r="A40" s="381"/>
      <c r="B40" s="381"/>
      <c r="C40" s="354" t="s">
        <v>354</v>
      </c>
      <c r="D40" s="362"/>
      <c r="E40" s="397" t="s">
        <v>355</v>
      </c>
      <c r="F40" s="362"/>
      <c r="G40" s="378" t="s">
        <v>356</v>
      </c>
      <c r="H40" s="379"/>
      <c r="I40" s="379"/>
      <c r="J40" s="380"/>
    </row>
    <row r="41" spans="1:10" ht="84.75" customHeight="1" x14ac:dyDescent="0.25">
      <c r="A41" s="381"/>
      <c r="B41" s="381"/>
      <c r="C41" s="354" t="s">
        <v>357</v>
      </c>
      <c r="D41" s="362"/>
      <c r="E41" s="373" t="s">
        <v>397</v>
      </c>
      <c r="F41" s="374"/>
      <c r="G41" s="398" t="s">
        <v>405</v>
      </c>
      <c r="H41" s="399"/>
      <c r="I41" s="399"/>
      <c r="J41" s="400"/>
    </row>
    <row r="42" spans="1:10" ht="109.5" customHeight="1" x14ac:dyDescent="0.25">
      <c r="A42" s="381"/>
      <c r="B42" s="381"/>
      <c r="C42" s="354" t="s">
        <v>358</v>
      </c>
      <c r="D42" s="355"/>
      <c r="E42" s="373" t="s">
        <v>359</v>
      </c>
      <c r="F42" s="374"/>
      <c r="G42" s="375" t="s">
        <v>360</v>
      </c>
      <c r="H42" s="376"/>
      <c r="I42" s="376"/>
      <c r="J42" s="377"/>
    </row>
    <row r="43" spans="1:10" ht="89.25" customHeight="1" x14ac:dyDescent="0.25">
      <c r="A43" s="381"/>
      <c r="B43" s="381"/>
      <c r="C43" s="356" t="s">
        <v>361</v>
      </c>
      <c r="D43" s="355"/>
      <c r="E43" s="354"/>
      <c r="F43" s="362"/>
      <c r="G43" s="378" t="s">
        <v>356</v>
      </c>
      <c r="H43" s="379"/>
      <c r="I43" s="379"/>
      <c r="J43" s="380"/>
    </row>
    <row r="44" spans="1:10" ht="111.75" customHeight="1" x14ac:dyDescent="0.25">
      <c r="A44" s="381"/>
      <c r="B44" s="381"/>
      <c r="C44" s="356" t="s">
        <v>362</v>
      </c>
      <c r="D44" s="355"/>
      <c r="E44" s="356"/>
      <c r="F44" s="355"/>
      <c r="G44" s="365" t="s">
        <v>363</v>
      </c>
      <c r="H44" s="366"/>
      <c r="I44" s="366"/>
      <c r="J44" s="367"/>
    </row>
    <row r="45" spans="1:10" ht="65.25" customHeight="1" x14ac:dyDescent="0.25">
      <c r="A45" s="381"/>
      <c r="B45" s="381"/>
      <c r="C45" s="368" t="s">
        <v>364</v>
      </c>
      <c r="D45" s="369"/>
      <c r="E45" s="356"/>
      <c r="F45" s="355"/>
      <c r="G45" s="370" t="s">
        <v>368</v>
      </c>
      <c r="H45" s="371"/>
      <c r="I45" s="371"/>
      <c r="J45" s="372"/>
    </row>
    <row r="46" spans="1:10" ht="50.25" customHeight="1" x14ac:dyDescent="0.25">
      <c r="A46" s="381"/>
      <c r="B46" s="381"/>
      <c r="C46" s="354" t="s">
        <v>365</v>
      </c>
      <c r="D46" s="355"/>
      <c r="E46" s="356"/>
      <c r="F46" s="355"/>
      <c r="G46" s="354"/>
      <c r="H46" s="361"/>
      <c r="I46" s="361"/>
      <c r="J46" s="362"/>
    </row>
    <row r="47" spans="1:10" ht="52.5" customHeight="1" x14ac:dyDescent="0.25">
      <c r="A47" s="381"/>
      <c r="B47" s="381"/>
      <c r="C47" s="363" t="s">
        <v>366</v>
      </c>
      <c r="D47" s="364"/>
      <c r="E47" s="358"/>
      <c r="F47" s="359"/>
      <c r="G47" s="358"/>
      <c r="H47" s="360"/>
      <c r="I47" s="360"/>
      <c r="J47" s="359"/>
    </row>
    <row r="48" spans="1:10" ht="48" customHeight="1" x14ac:dyDescent="0.25">
      <c r="A48" s="381"/>
      <c r="B48" s="381"/>
      <c r="C48" s="354" t="s">
        <v>367</v>
      </c>
      <c r="D48" s="355"/>
      <c r="E48" s="356"/>
      <c r="F48" s="355"/>
      <c r="G48" s="356"/>
      <c r="H48" s="357"/>
      <c r="I48" s="357"/>
      <c r="J48" s="355"/>
    </row>
    <row r="49" spans="1:10" ht="51.75" customHeight="1" x14ac:dyDescent="0.25">
      <c r="A49" s="381"/>
      <c r="B49" s="381"/>
      <c r="C49" s="344" t="s">
        <v>395</v>
      </c>
      <c r="D49" s="345"/>
      <c r="E49" s="358"/>
      <c r="F49" s="359"/>
      <c r="G49" s="358"/>
      <c r="H49" s="360"/>
      <c r="I49" s="360"/>
      <c r="J49" s="359"/>
    </row>
    <row r="50" spans="1:10" ht="54.75" customHeight="1" thickBot="1" x14ac:dyDescent="0.3">
      <c r="A50" s="381"/>
      <c r="B50" s="381"/>
      <c r="C50" s="344" t="s">
        <v>396</v>
      </c>
      <c r="D50" s="345"/>
      <c r="E50" s="346"/>
      <c r="F50" s="347"/>
      <c r="G50" s="346"/>
      <c r="H50" s="348"/>
      <c r="I50" s="348"/>
      <c r="J50" s="347"/>
    </row>
    <row r="51" spans="1:10" ht="53.25" customHeight="1" x14ac:dyDescent="0.25">
      <c r="A51" s="381"/>
      <c r="B51" s="381"/>
      <c r="C51" s="349"/>
      <c r="D51" s="350"/>
      <c r="E51" s="351"/>
      <c r="F51" s="352"/>
      <c r="G51" s="351"/>
      <c r="H51" s="353"/>
      <c r="I51" s="353"/>
      <c r="J51" s="352"/>
    </row>
    <row r="52" spans="1:10" ht="43.5" customHeight="1" x14ac:dyDescent="0.25">
      <c r="A52" s="381"/>
      <c r="B52" s="381"/>
      <c r="C52" s="343"/>
      <c r="D52" s="343"/>
      <c r="E52" s="343"/>
      <c r="F52" s="343"/>
      <c r="G52" s="343"/>
      <c r="H52" s="343"/>
      <c r="I52" s="343"/>
      <c r="J52" s="343"/>
    </row>
    <row r="53" spans="1:10" ht="48.75" customHeight="1" x14ac:dyDescent="0.25">
      <c r="A53" s="381"/>
      <c r="B53" s="381"/>
      <c r="C53" s="343"/>
      <c r="D53" s="343"/>
      <c r="E53" s="343"/>
      <c r="F53" s="343"/>
      <c r="G53" s="343"/>
      <c r="H53" s="343"/>
      <c r="I53" s="343"/>
      <c r="J53" s="343"/>
    </row>
    <row r="54" spans="1:10" x14ac:dyDescent="0.25">
      <c r="C54" s="200"/>
      <c r="D54" s="200"/>
      <c r="E54" s="342"/>
      <c r="F54" s="342"/>
      <c r="G54" s="342"/>
      <c r="H54" s="342"/>
      <c r="I54" s="342"/>
      <c r="J54" s="342"/>
    </row>
    <row r="55" spans="1:10" x14ac:dyDescent="0.25">
      <c r="C55" s="200"/>
      <c r="D55" s="200"/>
      <c r="E55" s="342"/>
      <c r="F55" s="342"/>
      <c r="G55" s="342"/>
      <c r="H55" s="342"/>
      <c r="I55" s="342"/>
      <c r="J55" s="342"/>
    </row>
    <row r="56" spans="1:10" x14ac:dyDescent="0.25">
      <c r="E56" s="341"/>
      <c r="F56" s="341"/>
      <c r="G56" s="341"/>
      <c r="H56" s="341"/>
      <c r="I56" s="341"/>
      <c r="J56" s="341"/>
    </row>
    <row r="57" spans="1:10" x14ac:dyDescent="0.25">
      <c r="E57" s="341"/>
      <c r="F57" s="341"/>
      <c r="G57" s="341"/>
      <c r="H57" s="341"/>
      <c r="I57" s="341"/>
      <c r="J57" s="341"/>
    </row>
    <row r="58" spans="1:10" x14ac:dyDescent="0.25">
      <c r="E58" s="341"/>
      <c r="F58" s="341"/>
      <c r="G58" s="341"/>
      <c r="H58" s="341"/>
      <c r="I58" s="341"/>
      <c r="J58" s="341"/>
    </row>
    <row r="59" spans="1:10" x14ac:dyDescent="0.25">
      <c r="E59" s="341"/>
      <c r="F59" s="341"/>
      <c r="G59" s="341"/>
      <c r="H59" s="341"/>
      <c r="I59" s="341"/>
      <c r="J59" s="341"/>
    </row>
    <row r="60" spans="1:10" x14ac:dyDescent="0.25">
      <c r="E60" s="341"/>
      <c r="F60" s="341"/>
      <c r="G60" s="341"/>
      <c r="H60" s="341"/>
      <c r="I60" s="341"/>
      <c r="J60" s="341"/>
    </row>
    <row r="61" spans="1:10" x14ac:dyDescent="0.25">
      <c r="E61" s="341"/>
      <c r="F61" s="341"/>
      <c r="G61" s="341"/>
      <c r="H61" s="341"/>
      <c r="I61" s="341"/>
      <c r="J61" s="341"/>
    </row>
    <row r="62" spans="1:10" x14ac:dyDescent="0.25">
      <c r="E62" s="341"/>
      <c r="F62" s="341"/>
      <c r="G62" s="341"/>
      <c r="H62" s="341"/>
      <c r="I62" s="341"/>
      <c r="J62" s="341"/>
    </row>
    <row r="63" spans="1:10" x14ac:dyDescent="0.25">
      <c r="E63" s="341"/>
      <c r="F63" s="341"/>
      <c r="G63" s="341"/>
      <c r="H63" s="341"/>
      <c r="I63" s="341"/>
      <c r="J63" s="341"/>
    </row>
    <row r="64" spans="1:10" x14ac:dyDescent="0.25">
      <c r="E64" s="341"/>
      <c r="F64" s="341"/>
      <c r="G64" s="341"/>
      <c r="H64" s="341"/>
      <c r="I64" s="341"/>
      <c r="J64" s="341"/>
    </row>
    <row r="65" spans="5:10" x14ac:dyDescent="0.25">
      <c r="E65" s="341"/>
      <c r="F65" s="341"/>
      <c r="G65" s="341"/>
      <c r="H65" s="341"/>
      <c r="I65" s="341"/>
      <c r="J65" s="341"/>
    </row>
    <row r="66" spans="5:10" x14ac:dyDescent="0.25">
      <c r="E66" s="341"/>
      <c r="F66" s="341"/>
      <c r="G66" s="341"/>
      <c r="H66" s="341"/>
      <c r="I66" s="341"/>
      <c r="J66" s="341"/>
    </row>
    <row r="67" spans="5:10" x14ac:dyDescent="0.25">
      <c r="E67" s="341"/>
      <c r="F67" s="341"/>
      <c r="G67" s="341"/>
      <c r="H67" s="341"/>
      <c r="I67" s="341"/>
      <c r="J67" s="341"/>
    </row>
    <row r="68" spans="5:10" x14ac:dyDescent="0.25">
      <c r="E68" s="341"/>
      <c r="F68" s="341"/>
      <c r="G68" s="341"/>
      <c r="H68" s="341"/>
      <c r="I68" s="341"/>
      <c r="J68" s="341"/>
    </row>
    <row r="69" spans="5:10" x14ac:dyDescent="0.25">
      <c r="E69" s="341"/>
      <c r="F69" s="341"/>
      <c r="G69" s="341"/>
      <c r="H69" s="341"/>
      <c r="I69" s="341"/>
      <c r="J69" s="341"/>
    </row>
    <row r="70" spans="5:10" x14ac:dyDescent="0.25">
      <c r="E70" s="341"/>
      <c r="F70" s="341"/>
      <c r="G70" s="341"/>
      <c r="H70" s="341"/>
      <c r="I70" s="341"/>
      <c r="J70" s="341"/>
    </row>
    <row r="71" spans="5:10" x14ac:dyDescent="0.25">
      <c r="E71" s="341"/>
      <c r="F71" s="341"/>
      <c r="G71" s="341"/>
      <c r="H71" s="341"/>
      <c r="I71" s="341"/>
      <c r="J71" s="341"/>
    </row>
    <row r="72" spans="5:10" x14ac:dyDescent="0.25">
      <c r="E72" s="341"/>
      <c r="F72" s="341"/>
      <c r="G72" s="341"/>
      <c r="H72" s="341"/>
      <c r="I72" s="341"/>
      <c r="J72" s="341"/>
    </row>
    <row r="73" spans="5:10" x14ac:dyDescent="0.25">
      <c r="E73" s="341"/>
      <c r="F73" s="341"/>
      <c r="G73" s="341"/>
      <c r="H73" s="341"/>
      <c r="I73" s="341"/>
      <c r="J73" s="341"/>
    </row>
    <row r="74" spans="5:10" x14ac:dyDescent="0.25">
      <c r="E74" s="341"/>
      <c r="F74" s="341"/>
      <c r="G74" s="341"/>
      <c r="H74" s="341"/>
      <c r="I74" s="341"/>
      <c r="J74" s="341"/>
    </row>
    <row r="75" spans="5:10" x14ac:dyDescent="0.25">
      <c r="E75" s="341"/>
      <c r="F75" s="341"/>
      <c r="G75" s="341"/>
      <c r="H75" s="341"/>
      <c r="I75" s="341"/>
      <c r="J75" s="341"/>
    </row>
    <row r="76" spans="5:10" x14ac:dyDescent="0.25">
      <c r="E76" s="341"/>
      <c r="F76" s="341"/>
      <c r="G76" s="341"/>
      <c r="H76" s="341"/>
      <c r="I76" s="341"/>
      <c r="J76" s="341"/>
    </row>
    <row r="77" spans="5:10" x14ac:dyDescent="0.25">
      <c r="E77" s="341"/>
      <c r="F77" s="341"/>
      <c r="G77" s="341"/>
      <c r="H77" s="341"/>
      <c r="I77" s="341"/>
      <c r="J77" s="341"/>
    </row>
    <row r="78" spans="5:10" x14ac:dyDescent="0.25">
      <c r="E78" s="341"/>
      <c r="F78" s="341"/>
      <c r="G78" s="341"/>
      <c r="H78" s="341"/>
      <c r="I78" s="341"/>
      <c r="J78" s="341"/>
    </row>
    <row r="79" spans="5:10" x14ac:dyDescent="0.25">
      <c r="E79" s="341"/>
      <c r="F79" s="341"/>
      <c r="G79" s="341"/>
      <c r="H79" s="341"/>
      <c r="I79" s="341"/>
      <c r="J79" s="341"/>
    </row>
    <row r="80" spans="5:10" x14ac:dyDescent="0.25">
      <c r="E80" s="341"/>
      <c r="F80" s="341"/>
      <c r="G80" s="341"/>
      <c r="H80" s="341"/>
      <c r="I80" s="341"/>
      <c r="J80" s="341"/>
    </row>
    <row r="81" spans="5:10" x14ac:dyDescent="0.25">
      <c r="E81" s="341"/>
      <c r="F81" s="341"/>
      <c r="G81" s="341"/>
      <c r="H81" s="341"/>
      <c r="I81" s="341"/>
      <c r="J81" s="341"/>
    </row>
    <row r="82" spans="5:10" x14ac:dyDescent="0.25">
      <c r="E82" s="341"/>
      <c r="F82" s="341"/>
      <c r="G82" s="341"/>
      <c r="H82" s="341"/>
      <c r="I82" s="341"/>
      <c r="J82" s="341"/>
    </row>
    <row r="83" spans="5:10" x14ac:dyDescent="0.25">
      <c r="E83" s="341"/>
      <c r="F83" s="341"/>
      <c r="G83" s="341"/>
      <c r="H83" s="341"/>
      <c r="I83" s="341"/>
      <c r="J83" s="341"/>
    </row>
    <row r="84" spans="5:10" x14ac:dyDescent="0.25">
      <c r="E84" s="341"/>
      <c r="F84" s="341"/>
      <c r="G84" s="341"/>
      <c r="H84" s="341"/>
      <c r="I84" s="341"/>
      <c r="J84" s="341"/>
    </row>
    <row r="85" spans="5:10" x14ac:dyDescent="0.25">
      <c r="E85" s="341"/>
      <c r="F85" s="341"/>
      <c r="G85" s="341"/>
      <c r="H85" s="341"/>
      <c r="I85" s="341"/>
      <c r="J85" s="341"/>
    </row>
    <row r="86" spans="5:10" x14ac:dyDescent="0.25">
      <c r="E86" s="341"/>
      <c r="F86" s="341"/>
      <c r="G86" s="341"/>
      <c r="H86" s="341"/>
      <c r="I86" s="341"/>
      <c r="J86" s="341"/>
    </row>
    <row r="87" spans="5:10" x14ac:dyDescent="0.25">
      <c r="E87" s="341"/>
      <c r="F87" s="341"/>
      <c r="G87" s="341"/>
      <c r="H87" s="341"/>
      <c r="I87" s="341"/>
      <c r="J87" s="341"/>
    </row>
    <row r="88" spans="5:10" x14ac:dyDescent="0.25">
      <c r="E88" s="341"/>
      <c r="F88" s="341"/>
      <c r="G88" s="341"/>
      <c r="H88" s="341"/>
      <c r="I88" s="341"/>
      <c r="J88" s="341"/>
    </row>
    <row r="89" spans="5:10" x14ac:dyDescent="0.25">
      <c r="E89" s="341"/>
      <c r="F89" s="341"/>
      <c r="G89" s="341"/>
      <c r="H89" s="341"/>
      <c r="I89" s="341"/>
      <c r="J89" s="341"/>
    </row>
    <row r="90" spans="5:10" x14ac:dyDescent="0.25">
      <c r="E90" s="341"/>
      <c r="F90" s="341"/>
      <c r="G90" s="341"/>
      <c r="H90" s="341"/>
      <c r="I90" s="341"/>
      <c r="J90" s="341"/>
    </row>
    <row r="91" spans="5:10" x14ac:dyDescent="0.25">
      <c r="E91" s="341"/>
      <c r="F91" s="341"/>
      <c r="G91" s="341"/>
      <c r="H91" s="341"/>
      <c r="I91" s="341"/>
      <c r="J91" s="341"/>
    </row>
    <row r="92" spans="5:10" x14ac:dyDescent="0.25">
      <c r="E92" s="341"/>
      <c r="F92" s="341"/>
      <c r="G92" s="341"/>
      <c r="H92" s="341"/>
      <c r="I92" s="341"/>
      <c r="J92" s="341"/>
    </row>
    <row r="93" spans="5:10" x14ac:dyDescent="0.25">
      <c r="E93" s="341"/>
      <c r="F93" s="341"/>
      <c r="G93" s="341"/>
      <c r="H93" s="341"/>
      <c r="I93" s="341"/>
      <c r="J93" s="341"/>
    </row>
    <row r="94" spans="5:10" x14ac:dyDescent="0.25">
      <c r="E94" s="341"/>
      <c r="F94" s="341"/>
      <c r="G94" s="341"/>
      <c r="H94" s="341"/>
      <c r="I94" s="341"/>
      <c r="J94" s="341"/>
    </row>
    <row r="95" spans="5:10" x14ac:dyDescent="0.25">
      <c r="E95" s="341"/>
      <c r="F95" s="341"/>
      <c r="G95" s="341"/>
      <c r="H95" s="341"/>
      <c r="I95" s="341"/>
      <c r="J95" s="341"/>
    </row>
    <row r="96" spans="5:10" x14ac:dyDescent="0.25">
      <c r="E96" s="341"/>
      <c r="F96" s="341"/>
      <c r="G96" s="341"/>
      <c r="H96" s="341"/>
      <c r="I96" s="341"/>
      <c r="J96" s="341"/>
    </row>
    <row r="97" spans="5:10" x14ac:dyDescent="0.25">
      <c r="E97" s="341"/>
      <c r="F97" s="341"/>
      <c r="G97" s="341"/>
      <c r="H97" s="341"/>
      <c r="I97" s="341"/>
      <c r="J97" s="341"/>
    </row>
    <row r="98" spans="5:10" x14ac:dyDescent="0.25">
      <c r="E98" s="341"/>
      <c r="F98" s="341"/>
      <c r="G98" s="341"/>
      <c r="H98" s="341"/>
      <c r="I98" s="341"/>
      <c r="J98" s="341"/>
    </row>
    <row r="99" spans="5:10" x14ac:dyDescent="0.25">
      <c r="E99" s="341"/>
      <c r="F99" s="341"/>
      <c r="G99" s="341"/>
      <c r="H99" s="341"/>
      <c r="I99" s="341"/>
      <c r="J99" s="341"/>
    </row>
    <row r="100" spans="5:10" x14ac:dyDescent="0.25">
      <c r="E100" s="341"/>
      <c r="F100" s="341"/>
      <c r="G100" s="341"/>
      <c r="H100" s="341"/>
      <c r="I100" s="341"/>
      <c r="J100" s="341"/>
    </row>
    <row r="101" spans="5:10" x14ac:dyDescent="0.25">
      <c r="E101" s="341"/>
      <c r="F101" s="341"/>
      <c r="G101" s="341"/>
      <c r="H101" s="341"/>
      <c r="I101" s="341"/>
      <c r="J101" s="341"/>
    </row>
    <row r="102" spans="5:10" x14ac:dyDescent="0.25">
      <c r="E102" s="341"/>
      <c r="F102" s="341"/>
      <c r="G102" s="341"/>
      <c r="H102" s="341"/>
      <c r="I102" s="341"/>
      <c r="J102" s="341"/>
    </row>
    <row r="103" spans="5:10" x14ac:dyDescent="0.25">
      <c r="E103" s="341"/>
      <c r="F103" s="341"/>
      <c r="G103" s="341"/>
      <c r="H103" s="341"/>
      <c r="I103" s="341"/>
      <c r="J103" s="341"/>
    </row>
    <row r="104" spans="5:10" x14ac:dyDescent="0.25">
      <c r="E104" s="341"/>
      <c r="F104" s="341"/>
      <c r="G104" s="341"/>
      <c r="H104" s="341"/>
      <c r="I104" s="341"/>
      <c r="J104" s="341"/>
    </row>
    <row r="105" spans="5:10" x14ac:dyDescent="0.25">
      <c r="E105" s="341"/>
      <c r="F105" s="341"/>
      <c r="G105" s="341"/>
      <c r="H105" s="341"/>
      <c r="I105" s="341"/>
      <c r="J105" s="341"/>
    </row>
    <row r="106" spans="5:10" x14ac:dyDescent="0.25">
      <c r="E106" s="341"/>
      <c r="F106" s="341"/>
      <c r="G106" s="341"/>
      <c r="H106" s="341"/>
      <c r="I106" s="341"/>
      <c r="J106" s="341"/>
    </row>
    <row r="107" spans="5:10" x14ac:dyDescent="0.25">
      <c r="E107" s="341"/>
      <c r="F107" s="341"/>
      <c r="G107" s="341"/>
      <c r="H107" s="341"/>
      <c r="I107" s="341"/>
      <c r="J107" s="341"/>
    </row>
    <row r="108" spans="5:10" x14ac:dyDescent="0.25">
      <c r="E108" s="341"/>
      <c r="F108" s="341"/>
      <c r="G108" s="341"/>
      <c r="H108" s="341"/>
      <c r="I108" s="341"/>
      <c r="J108" s="341"/>
    </row>
    <row r="109" spans="5:10" x14ac:dyDescent="0.25">
      <c r="E109" s="341"/>
      <c r="F109" s="341"/>
      <c r="G109" s="341"/>
      <c r="H109" s="341"/>
      <c r="I109" s="341"/>
      <c r="J109" s="341"/>
    </row>
    <row r="110" spans="5:10" x14ac:dyDescent="0.25">
      <c r="E110" s="341"/>
      <c r="F110" s="341"/>
      <c r="G110" s="341"/>
      <c r="H110" s="341"/>
      <c r="I110" s="341"/>
      <c r="J110" s="341"/>
    </row>
    <row r="111" spans="5:10" x14ac:dyDescent="0.25">
      <c r="E111" s="341"/>
      <c r="F111" s="341"/>
      <c r="G111" s="341"/>
      <c r="H111" s="341"/>
      <c r="I111" s="341"/>
      <c r="J111" s="341"/>
    </row>
    <row r="112" spans="5:10" x14ac:dyDescent="0.25">
      <c r="E112" s="341"/>
      <c r="F112" s="341"/>
      <c r="G112" s="341"/>
      <c r="H112" s="341"/>
      <c r="I112" s="341"/>
      <c r="J112" s="341"/>
    </row>
    <row r="113" spans="5:10" x14ac:dyDescent="0.25">
      <c r="E113" s="341"/>
      <c r="F113" s="341"/>
      <c r="G113" s="341"/>
      <c r="H113" s="341"/>
      <c r="I113" s="341"/>
      <c r="J113" s="341"/>
    </row>
    <row r="114" spans="5:10" x14ac:dyDescent="0.25">
      <c r="E114" s="341"/>
      <c r="F114" s="341"/>
      <c r="G114" s="341"/>
      <c r="H114" s="341"/>
      <c r="I114" s="341"/>
      <c r="J114" s="341"/>
    </row>
    <row r="115" spans="5:10" x14ac:dyDescent="0.25">
      <c r="E115" s="341"/>
      <c r="F115" s="341"/>
      <c r="G115" s="341"/>
      <c r="H115" s="341"/>
      <c r="I115" s="341"/>
      <c r="J115" s="341"/>
    </row>
    <row r="116" spans="5:10" x14ac:dyDescent="0.25">
      <c r="E116" s="341"/>
      <c r="F116" s="341"/>
      <c r="G116" s="341"/>
      <c r="H116" s="341"/>
      <c r="I116" s="341"/>
      <c r="J116" s="341"/>
    </row>
    <row r="117" spans="5:10" x14ac:dyDescent="0.25">
      <c r="E117" s="341"/>
      <c r="F117" s="341"/>
      <c r="G117" s="341"/>
      <c r="H117" s="341"/>
      <c r="I117" s="341"/>
      <c r="J117" s="341"/>
    </row>
    <row r="118" spans="5:10" x14ac:dyDescent="0.25">
      <c r="E118" s="341"/>
      <c r="F118" s="341"/>
      <c r="G118" s="341"/>
      <c r="H118" s="341"/>
      <c r="I118" s="341"/>
      <c r="J118" s="341"/>
    </row>
    <row r="119" spans="5:10" x14ac:dyDescent="0.25">
      <c r="E119" s="341"/>
      <c r="F119" s="341"/>
      <c r="G119" s="341"/>
      <c r="H119" s="341"/>
      <c r="I119" s="341"/>
      <c r="J119" s="341"/>
    </row>
    <row r="120" spans="5:10" x14ac:dyDescent="0.25">
      <c r="E120" s="341"/>
      <c r="F120" s="341"/>
      <c r="G120" s="341"/>
      <c r="H120" s="341"/>
      <c r="I120" s="341"/>
      <c r="J120" s="341"/>
    </row>
    <row r="121" spans="5:10" x14ac:dyDescent="0.25">
      <c r="E121" s="341"/>
      <c r="F121" s="341"/>
      <c r="G121" s="341"/>
      <c r="H121" s="341"/>
      <c r="I121" s="341"/>
      <c r="J121" s="341"/>
    </row>
    <row r="122" spans="5:10" x14ac:dyDescent="0.25">
      <c r="E122" s="341"/>
      <c r="F122" s="341"/>
      <c r="G122" s="341"/>
      <c r="H122" s="341"/>
      <c r="I122" s="341"/>
      <c r="J122" s="341"/>
    </row>
    <row r="123" spans="5:10" x14ac:dyDescent="0.25">
      <c r="E123" s="341"/>
      <c r="F123" s="341"/>
      <c r="G123" s="341"/>
      <c r="H123" s="341"/>
      <c r="I123" s="341"/>
      <c r="J123" s="341"/>
    </row>
    <row r="124" spans="5:10" x14ac:dyDescent="0.25">
      <c r="E124" s="341"/>
      <c r="F124" s="341"/>
      <c r="G124" s="341"/>
      <c r="H124" s="341"/>
      <c r="I124" s="341"/>
      <c r="J124" s="341"/>
    </row>
    <row r="125" spans="5:10" x14ac:dyDescent="0.25">
      <c r="E125" s="341"/>
      <c r="F125" s="341"/>
      <c r="G125" s="341"/>
      <c r="H125" s="341"/>
      <c r="I125" s="341"/>
      <c r="J125" s="341"/>
    </row>
    <row r="126" spans="5:10" x14ac:dyDescent="0.25">
      <c r="E126" s="341"/>
      <c r="F126" s="341"/>
      <c r="G126" s="341"/>
      <c r="H126" s="341"/>
      <c r="I126" s="341"/>
      <c r="J126" s="341"/>
    </row>
    <row r="127" spans="5:10" x14ac:dyDescent="0.25">
      <c r="E127" s="341"/>
      <c r="F127" s="341"/>
      <c r="G127" s="341"/>
      <c r="H127" s="341"/>
      <c r="I127" s="341"/>
      <c r="J127" s="341"/>
    </row>
    <row r="128" spans="5:10" x14ac:dyDescent="0.25">
      <c r="E128" s="341"/>
      <c r="F128" s="341"/>
      <c r="G128" s="341"/>
      <c r="H128" s="341"/>
      <c r="I128" s="341"/>
      <c r="J128" s="341"/>
    </row>
    <row r="129" spans="5:10" x14ac:dyDescent="0.25">
      <c r="E129" s="341"/>
      <c r="F129" s="341"/>
      <c r="G129" s="341"/>
      <c r="H129" s="341"/>
      <c r="I129" s="341"/>
      <c r="J129" s="341"/>
    </row>
    <row r="130" spans="5:10" x14ac:dyDescent="0.25">
      <c r="E130" s="341"/>
      <c r="F130" s="341"/>
      <c r="G130" s="341"/>
      <c r="H130" s="341"/>
      <c r="I130" s="341"/>
      <c r="J130" s="341"/>
    </row>
    <row r="131" spans="5:10" x14ac:dyDescent="0.25">
      <c r="E131" s="341"/>
      <c r="F131" s="341"/>
      <c r="G131" s="341"/>
      <c r="H131" s="341"/>
      <c r="I131" s="341"/>
      <c r="J131" s="341"/>
    </row>
  </sheetData>
  <mergeCells count="291">
    <mergeCell ref="H1:I1"/>
    <mergeCell ref="J1:J4"/>
    <mergeCell ref="N1:N4"/>
    <mergeCell ref="H2:I2"/>
    <mergeCell ref="H3:I3"/>
    <mergeCell ref="H4:I4"/>
    <mergeCell ref="A5:J5"/>
    <mergeCell ref="C1:G2"/>
    <mergeCell ref="C3:G4"/>
    <mergeCell ref="A1:B4"/>
    <mergeCell ref="A6:J7"/>
    <mergeCell ref="E8:J8"/>
    <mergeCell ref="E9:F9"/>
    <mergeCell ref="G9:J9"/>
    <mergeCell ref="E10:F10"/>
    <mergeCell ref="G10:J10"/>
    <mergeCell ref="E11:F11"/>
    <mergeCell ref="G11:J11"/>
    <mergeCell ref="E15:F15"/>
    <mergeCell ref="G15:J15"/>
    <mergeCell ref="A8:D24"/>
    <mergeCell ref="E16:F16"/>
    <mergeCell ref="G16:J16"/>
    <mergeCell ref="E17:F17"/>
    <mergeCell ref="G17:J17"/>
    <mergeCell ref="E12:F12"/>
    <mergeCell ref="G12:J12"/>
    <mergeCell ref="E13:F13"/>
    <mergeCell ref="G13:J13"/>
    <mergeCell ref="E14:F14"/>
    <mergeCell ref="G14:J14"/>
    <mergeCell ref="G22:J22"/>
    <mergeCell ref="E23:F23"/>
    <mergeCell ref="G23:J23"/>
    <mergeCell ref="E18:F18"/>
    <mergeCell ref="G18:J18"/>
    <mergeCell ref="E19:F19"/>
    <mergeCell ref="G19:J19"/>
    <mergeCell ref="E20:F20"/>
    <mergeCell ref="G20:J20"/>
    <mergeCell ref="E21:F21"/>
    <mergeCell ref="G21:J21"/>
    <mergeCell ref="E22:F22"/>
    <mergeCell ref="E24:F24"/>
    <mergeCell ref="G24:J24"/>
    <mergeCell ref="A25:A53"/>
    <mergeCell ref="B25:B37"/>
    <mergeCell ref="C25:D25"/>
    <mergeCell ref="E25:F25"/>
    <mergeCell ref="G25:J25"/>
    <mergeCell ref="C26:D26"/>
    <mergeCell ref="C29:D29"/>
    <mergeCell ref="E29:F29"/>
    <mergeCell ref="G29:J29"/>
    <mergeCell ref="C30:D30"/>
    <mergeCell ref="E30:F30"/>
    <mergeCell ref="G30:J30"/>
    <mergeCell ref="E26:F26"/>
    <mergeCell ref="G26:J26"/>
    <mergeCell ref="C27:D27"/>
    <mergeCell ref="E27:F27"/>
    <mergeCell ref="G27:J27"/>
    <mergeCell ref="C28:D28"/>
    <mergeCell ref="E28:F28"/>
    <mergeCell ref="G28:J28"/>
    <mergeCell ref="C33:D33"/>
    <mergeCell ref="E33:F33"/>
    <mergeCell ref="G33:J33"/>
    <mergeCell ref="C34:D34"/>
    <mergeCell ref="E34:F34"/>
    <mergeCell ref="G34:J34"/>
    <mergeCell ref="C31:D31"/>
    <mergeCell ref="E31:F31"/>
    <mergeCell ref="G31:J31"/>
    <mergeCell ref="C32:D32"/>
    <mergeCell ref="E32:F32"/>
    <mergeCell ref="G32:J32"/>
    <mergeCell ref="B38:B53"/>
    <mergeCell ref="C38:D38"/>
    <mergeCell ref="E38:F38"/>
    <mergeCell ref="G38:J38"/>
    <mergeCell ref="C39:D39"/>
    <mergeCell ref="E39:F39"/>
    <mergeCell ref="G39:J39"/>
    <mergeCell ref="C35:D35"/>
    <mergeCell ref="E35:F35"/>
    <mergeCell ref="G35:J35"/>
    <mergeCell ref="C36:D36"/>
    <mergeCell ref="E36:F36"/>
    <mergeCell ref="G36:J36"/>
    <mergeCell ref="C40:D40"/>
    <mergeCell ref="E40:F40"/>
    <mergeCell ref="G40:J40"/>
    <mergeCell ref="C41:D41"/>
    <mergeCell ref="E41:F41"/>
    <mergeCell ref="G41:J41"/>
    <mergeCell ref="C37:D37"/>
    <mergeCell ref="E37:F37"/>
    <mergeCell ref="G37:J37"/>
    <mergeCell ref="C44:D44"/>
    <mergeCell ref="E44:F44"/>
    <mergeCell ref="G44:J44"/>
    <mergeCell ref="C45:D45"/>
    <mergeCell ref="E45:F45"/>
    <mergeCell ref="G45:J45"/>
    <mergeCell ref="C42:D42"/>
    <mergeCell ref="E42:F42"/>
    <mergeCell ref="G42:J42"/>
    <mergeCell ref="C43:D43"/>
    <mergeCell ref="E43:F43"/>
    <mergeCell ref="G43:J43"/>
    <mergeCell ref="C48:D48"/>
    <mergeCell ref="E48:F48"/>
    <mergeCell ref="G48:J48"/>
    <mergeCell ref="C49:D49"/>
    <mergeCell ref="E49:F49"/>
    <mergeCell ref="G49:J49"/>
    <mergeCell ref="C46:D46"/>
    <mergeCell ref="E46:F46"/>
    <mergeCell ref="G46:J46"/>
    <mergeCell ref="C47:D47"/>
    <mergeCell ref="E47:F47"/>
    <mergeCell ref="G47:J47"/>
    <mergeCell ref="C52:D52"/>
    <mergeCell ref="E52:F52"/>
    <mergeCell ref="G52:J52"/>
    <mergeCell ref="C53:D53"/>
    <mergeCell ref="E53:F53"/>
    <mergeCell ref="G53:J53"/>
    <mergeCell ref="C50:D50"/>
    <mergeCell ref="E50:F50"/>
    <mergeCell ref="G50:J50"/>
    <mergeCell ref="C51:D51"/>
    <mergeCell ref="E51:F51"/>
    <mergeCell ref="G51:J51"/>
    <mergeCell ref="E57:F57"/>
    <mergeCell ref="G57:J57"/>
    <mergeCell ref="E58:F58"/>
    <mergeCell ref="G58:J58"/>
    <mergeCell ref="E59:F59"/>
    <mergeCell ref="G59:J59"/>
    <mergeCell ref="E54:F54"/>
    <mergeCell ref="G54:J54"/>
    <mergeCell ref="E55:F55"/>
    <mergeCell ref="G55:J55"/>
    <mergeCell ref="E56:F56"/>
    <mergeCell ref="G56:J56"/>
    <mergeCell ref="E63:F63"/>
    <mergeCell ref="G63:J63"/>
    <mergeCell ref="E64:F64"/>
    <mergeCell ref="G64:J64"/>
    <mergeCell ref="E65:F65"/>
    <mergeCell ref="G65:J65"/>
    <mergeCell ref="E60:F60"/>
    <mergeCell ref="G60:J60"/>
    <mergeCell ref="E61:F61"/>
    <mergeCell ref="G61:J61"/>
    <mergeCell ref="E62:F62"/>
    <mergeCell ref="G62:J62"/>
    <mergeCell ref="E69:F69"/>
    <mergeCell ref="G69:J69"/>
    <mergeCell ref="E70:F70"/>
    <mergeCell ref="G70:J70"/>
    <mergeCell ref="E71:F71"/>
    <mergeCell ref="G71:J71"/>
    <mergeCell ref="E66:F66"/>
    <mergeCell ref="G66:J66"/>
    <mergeCell ref="E67:F67"/>
    <mergeCell ref="G67:J67"/>
    <mergeCell ref="E68:F68"/>
    <mergeCell ref="G68:J68"/>
    <mergeCell ref="E75:F75"/>
    <mergeCell ref="G75:J75"/>
    <mergeCell ref="E76:F76"/>
    <mergeCell ref="G76:J76"/>
    <mergeCell ref="E77:F77"/>
    <mergeCell ref="G77:J77"/>
    <mergeCell ref="E72:F72"/>
    <mergeCell ref="G72:J72"/>
    <mergeCell ref="E73:F73"/>
    <mergeCell ref="G73:J73"/>
    <mergeCell ref="E74:F74"/>
    <mergeCell ref="G74:J74"/>
    <mergeCell ref="E81:F81"/>
    <mergeCell ref="G81:J81"/>
    <mergeCell ref="E82:F82"/>
    <mergeCell ref="G82:J82"/>
    <mergeCell ref="E83:F83"/>
    <mergeCell ref="G83:J83"/>
    <mergeCell ref="E78:F78"/>
    <mergeCell ref="G78:J78"/>
    <mergeCell ref="E79:F79"/>
    <mergeCell ref="G79:J79"/>
    <mergeCell ref="E80:F80"/>
    <mergeCell ref="G80:J80"/>
    <mergeCell ref="E87:F87"/>
    <mergeCell ref="G87:J87"/>
    <mergeCell ref="E88:F88"/>
    <mergeCell ref="G88:J88"/>
    <mergeCell ref="E89:F89"/>
    <mergeCell ref="G89:J89"/>
    <mergeCell ref="E84:F84"/>
    <mergeCell ref="G84:J84"/>
    <mergeCell ref="E85:F85"/>
    <mergeCell ref="G85:J85"/>
    <mergeCell ref="E86:F86"/>
    <mergeCell ref="G86:J86"/>
    <mergeCell ref="E93:F93"/>
    <mergeCell ref="G93:J93"/>
    <mergeCell ref="E94:F94"/>
    <mergeCell ref="G94:J94"/>
    <mergeCell ref="E95:F95"/>
    <mergeCell ref="G95:J95"/>
    <mergeCell ref="E90:F90"/>
    <mergeCell ref="G90:J90"/>
    <mergeCell ref="E91:F91"/>
    <mergeCell ref="G91:J91"/>
    <mergeCell ref="E92:F92"/>
    <mergeCell ref="G92:J92"/>
    <mergeCell ref="E99:F99"/>
    <mergeCell ref="G99:J99"/>
    <mergeCell ref="E100:F100"/>
    <mergeCell ref="G100:J100"/>
    <mergeCell ref="E101:F101"/>
    <mergeCell ref="G101:J101"/>
    <mergeCell ref="E96:F96"/>
    <mergeCell ref="G96:J96"/>
    <mergeCell ref="E97:F97"/>
    <mergeCell ref="G97:J97"/>
    <mergeCell ref="E98:F98"/>
    <mergeCell ref="G98:J98"/>
    <mergeCell ref="E105:F105"/>
    <mergeCell ref="G105:J105"/>
    <mergeCell ref="E106:F106"/>
    <mergeCell ref="G106:J106"/>
    <mergeCell ref="E107:F107"/>
    <mergeCell ref="G107:J107"/>
    <mergeCell ref="E102:F102"/>
    <mergeCell ref="G102:J102"/>
    <mergeCell ref="E103:F103"/>
    <mergeCell ref="G103:J103"/>
    <mergeCell ref="E104:F104"/>
    <mergeCell ref="G104:J104"/>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29:F129"/>
    <mergeCell ref="G129:J129"/>
    <mergeCell ref="E130:F130"/>
    <mergeCell ref="G130:J130"/>
    <mergeCell ref="E131:F131"/>
    <mergeCell ref="G131:J131"/>
    <mergeCell ref="E126:F126"/>
    <mergeCell ref="G126:J126"/>
    <mergeCell ref="E127:F127"/>
    <mergeCell ref="G127:J127"/>
    <mergeCell ref="E128:F128"/>
    <mergeCell ref="G128:J128"/>
    <mergeCell ref="E123:F123"/>
    <mergeCell ref="G123:J123"/>
    <mergeCell ref="E124:F124"/>
    <mergeCell ref="G124:J124"/>
    <mergeCell ref="E125:F125"/>
    <mergeCell ref="G125:J125"/>
    <mergeCell ref="E120:F120"/>
    <mergeCell ref="G120:J120"/>
    <mergeCell ref="E121:F121"/>
    <mergeCell ref="G121:J121"/>
    <mergeCell ref="E122:F122"/>
    <mergeCell ref="G122:J1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002060"/>
  </sheetPr>
  <dimension ref="A1:BS66"/>
  <sheetViews>
    <sheetView tabSelected="1" topLeftCell="A18" zoomScale="40" zoomScaleNormal="40" workbookViewId="0">
      <selection activeCell="E10" sqref="E10:E21"/>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7.886718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32.109375" style="1" customWidth="1"/>
    <col min="35" max="35" width="18.88671875" style="1" customWidth="1"/>
    <col min="36" max="36" width="16.88671875" style="1" customWidth="1"/>
    <col min="37" max="37" width="14.88671875" style="1" customWidth="1"/>
    <col min="38" max="38" width="117.6640625" style="1" customWidth="1"/>
    <col min="39" max="39" width="21" style="1" customWidth="1"/>
    <col min="40" max="16384" width="11.44140625" style="1"/>
  </cols>
  <sheetData>
    <row r="1" spans="1:71" ht="16.5" customHeight="1" x14ac:dyDescent="0.25">
      <c r="A1" s="495" t="s">
        <v>369</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98"/>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500"/>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506" t="s">
        <v>42</v>
      </c>
      <c r="B4" s="507"/>
      <c r="C4" s="493" t="s">
        <v>371</v>
      </c>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506" t="s">
        <v>124</v>
      </c>
      <c r="B5" s="507"/>
      <c r="C5" s="494" t="s">
        <v>372</v>
      </c>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506" t="s">
        <v>43</v>
      </c>
      <c r="B6" s="507"/>
      <c r="C6" s="494" t="s">
        <v>373</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501" t="s">
        <v>133</v>
      </c>
      <c r="B7" s="502"/>
      <c r="C7" s="503"/>
      <c r="D7" s="503"/>
      <c r="E7" s="503"/>
      <c r="F7" s="503"/>
      <c r="G7" s="503"/>
      <c r="H7" s="503"/>
      <c r="I7" s="503"/>
      <c r="J7" s="504"/>
      <c r="K7" s="505" t="s">
        <v>134</v>
      </c>
      <c r="L7" s="503"/>
      <c r="M7" s="503"/>
      <c r="N7" s="503"/>
      <c r="O7" s="503"/>
      <c r="P7" s="503"/>
      <c r="Q7" s="504"/>
      <c r="R7" s="505" t="s">
        <v>135</v>
      </c>
      <c r="S7" s="503"/>
      <c r="T7" s="503"/>
      <c r="U7" s="503"/>
      <c r="V7" s="503"/>
      <c r="W7" s="503"/>
      <c r="X7" s="503"/>
      <c r="Y7" s="503"/>
      <c r="Z7" s="504"/>
      <c r="AA7" s="505" t="s">
        <v>136</v>
      </c>
      <c r="AB7" s="503"/>
      <c r="AC7" s="503"/>
      <c r="AD7" s="503"/>
      <c r="AE7" s="503"/>
      <c r="AF7" s="503"/>
      <c r="AG7" s="504"/>
      <c r="AH7" s="505" t="s">
        <v>34</v>
      </c>
      <c r="AI7" s="503"/>
      <c r="AJ7" s="503"/>
      <c r="AK7" s="503"/>
      <c r="AL7" s="503"/>
      <c r="AM7" s="504"/>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583" t="s">
        <v>0</v>
      </c>
      <c r="B8" s="592" t="s">
        <v>2</v>
      </c>
      <c r="C8" s="580" t="s">
        <v>3</v>
      </c>
      <c r="D8" s="580" t="s">
        <v>41</v>
      </c>
      <c r="E8" s="579" t="s">
        <v>201</v>
      </c>
      <c r="F8" s="585" t="s">
        <v>1</v>
      </c>
      <c r="G8" s="136"/>
      <c r="H8" s="136"/>
      <c r="I8" s="579" t="s">
        <v>49</v>
      </c>
      <c r="J8" s="580" t="s">
        <v>129</v>
      </c>
      <c r="K8" s="581" t="s">
        <v>33</v>
      </c>
      <c r="L8" s="590" t="s">
        <v>5</v>
      </c>
      <c r="M8" s="579" t="s">
        <v>85</v>
      </c>
      <c r="N8" s="579" t="s">
        <v>90</v>
      </c>
      <c r="O8" s="591" t="s">
        <v>44</v>
      </c>
      <c r="P8" s="590" t="s">
        <v>5</v>
      </c>
      <c r="Q8" s="580" t="s">
        <v>47</v>
      </c>
      <c r="R8" s="587" t="s">
        <v>11</v>
      </c>
      <c r="S8" s="578" t="s">
        <v>150</v>
      </c>
      <c r="T8" s="579" t="s">
        <v>12</v>
      </c>
      <c r="U8" s="578" t="s">
        <v>8</v>
      </c>
      <c r="V8" s="578"/>
      <c r="W8" s="578"/>
      <c r="X8" s="578"/>
      <c r="Y8" s="578"/>
      <c r="Z8" s="578"/>
      <c r="AA8" s="589" t="s">
        <v>132</v>
      </c>
      <c r="AB8" s="589" t="s">
        <v>45</v>
      </c>
      <c r="AC8" s="589" t="s">
        <v>5</v>
      </c>
      <c r="AD8" s="589" t="s">
        <v>46</v>
      </c>
      <c r="AE8" s="589" t="s">
        <v>5</v>
      </c>
      <c r="AF8" s="589" t="s">
        <v>48</v>
      </c>
      <c r="AG8" s="587" t="s">
        <v>29</v>
      </c>
      <c r="AH8" s="578" t="s">
        <v>34</v>
      </c>
      <c r="AI8" s="578" t="s">
        <v>35</v>
      </c>
      <c r="AJ8" s="578" t="s">
        <v>36</v>
      </c>
      <c r="AK8" s="578" t="s">
        <v>37</v>
      </c>
      <c r="AL8" s="578" t="s">
        <v>413</v>
      </c>
      <c r="AM8" s="578"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584"/>
      <c r="B9" s="592"/>
      <c r="C9" s="578"/>
      <c r="D9" s="578"/>
      <c r="E9" s="581"/>
      <c r="F9" s="586"/>
      <c r="G9" s="136" t="s">
        <v>258</v>
      </c>
      <c r="H9" s="136" t="s">
        <v>202</v>
      </c>
      <c r="I9" s="580"/>
      <c r="J9" s="578"/>
      <c r="K9" s="580"/>
      <c r="L9" s="505"/>
      <c r="M9" s="580"/>
      <c r="N9" s="580"/>
      <c r="O9" s="505"/>
      <c r="P9" s="505"/>
      <c r="Q9" s="578"/>
      <c r="R9" s="588"/>
      <c r="S9" s="578"/>
      <c r="T9" s="580"/>
      <c r="U9" s="7" t="s">
        <v>13</v>
      </c>
      <c r="V9" s="7" t="s">
        <v>17</v>
      </c>
      <c r="W9" s="7" t="s">
        <v>28</v>
      </c>
      <c r="X9" s="7" t="s">
        <v>18</v>
      </c>
      <c r="Y9" s="7" t="s">
        <v>21</v>
      </c>
      <c r="Z9" s="7" t="s">
        <v>24</v>
      </c>
      <c r="AA9" s="589"/>
      <c r="AB9" s="589"/>
      <c r="AC9" s="589"/>
      <c r="AD9" s="589"/>
      <c r="AE9" s="589"/>
      <c r="AF9" s="589"/>
      <c r="AG9" s="588"/>
      <c r="AH9" s="578"/>
      <c r="AI9" s="578"/>
      <c r="AJ9" s="578"/>
      <c r="AK9" s="578"/>
      <c r="AL9" s="578"/>
      <c r="AM9" s="578"/>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56.75" customHeight="1" x14ac:dyDescent="0.3">
      <c r="A10" s="512">
        <v>1</v>
      </c>
      <c r="B10" s="593" t="s">
        <v>128</v>
      </c>
      <c r="C10" s="596" t="s">
        <v>374</v>
      </c>
      <c r="D10" s="599" t="s">
        <v>375</v>
      </c>
      <c r="E10" s="211" t="str">
        <f>Contexto!D22</f>
        <v>Deficiencia  en la planeacion y control de los contratos</v>
      </c>
      <c r="F10" s="602" t="s">
        <v>418</v>
      </c>
      <c r="G10" s="602" t="s">
        <v>377</v>
      </c>
      <c r="H10" s="617" t="s">
        <v>378</v>
      </c>
      <c r="I10" s="618" t="s">
        <v>117</v>
      </c>
      <c r="J10" s="621">
        <v>360</v>
      </c>
      <c r="K10" s="614" t="str">
        <f>IF(J10&lt;=0,"",IF(J10&lt;=2,"Muy Baja",IF(J10&lt;=24,"Baja",IF(J10&lt;=500,"Media",IF(J10&lt;=5000,"Alta","Muy Alta")))))</f>
        <v>Media</v>
      </c>
      <c r="L10" s="608">
        <f>IF(K10="","",IF(K10="Muy Baja",0.2,IF(K10="Baja",0.4,IF(K10="Media",0.6,IF(K10="Alta",0.8,IF(K10="Muy Alta",1,))))))</f>
        <v>0.6</v>
      </c>
      <c r="M10" s="611" t="s">
        <v>143</v>
      </c>
      <c r="N10" s="608"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614" t="str">
        <f>IF(OR(N10='Tabla Impacto'!$C$11,N10='Tabla Impacto'!$D$11),"Leve",IF(OR(N10='Tabla Impacto'!$C$12,N10='Tabla Impacto'!$D$12),"Menor",IF(OR(N10='Tabla Impacto'!$C$13,N10='Tabla Impacto'!$D$13),"Moderado",IF(OR(N10='Tabla Impacto'!$C$14,N10='Tabla Impacto'!$D$14),"Mayor",IF(OR(N10='Tabla Impacto'!$C$15,N10='Tabla Impacto'!$D$15),"Catastrófico","")))))</f>
        <v>Moderado</v>
      </c>
      <c r="P10" s="608">
        <f>IF(O10="","",IF(O10="Leve",0.2,IF(O10="Menor",0.4,IF(O10="Moderado",0.6,IF(O10="Mayor",0.8,IF(O10="Catastrófico",1,))))))</f>
        <v>0.6</v>
      </c>
      <c r="Q10" s="605"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6">
        <v>1</v>
      </c>
      <c r="S10" s="212" t="s">
        <v>406</v>
      </c>
      <c r="T10" s="213" t="str">
        <f>IF(OR(U11="preventivo",U11="detectivo"),"probabilidad",IF(U11="Correctivo","impacto",""))</f>
        <v>probabilidad</v>
      </c>
      <c r="U10" s="214" t="s">
        <v>14</v>
      </c>
      <c r="V10" s="214" t="s">
        <v>9</v>
      </c>
      <c r="W10" s="215" t="str">
        <f>IF(AND(U10="Preventivo",V10="Automático"),"50%",IF(AND(U10="Preventivo",V10="Manual"),"40%",IF(AND(U10="Detectivo",V10="Automático"),"40%",IF(AND(U10="Detectivo",V10="Manual"),"30%",IF(AND(U10="Correctivo",V10="Automático"),"35%",IF(AND(U10="Correctivo",V10="Manual"),"25%",""))))))</f>
        <v>40%</v>
      </c>
      <c r="X10" s="214" t="s">
        <v>19</v>
      </c>
      <c r="Y10" s="214" t="s">
        <v>22</v>
      </c>
      <c r="Z10" s="214" t="s">
        <v>113</v>
      </c>
      <c r="AA10" s="216">
        <f>IFERROR(IF(T10="Probabilidad",(L10-(+L10*W10)),IF(T10="Impacto",L10,"")),"")</f>
        <v>0.36</v>
      </c>
      <c r="AB10" s="217" t="str">
        <f>IFERROR(IF(AA10="","",IF(AA10&lt;=0.2,"Muy Baja",IF(AA10&lt;=0.4,"Baja",IF(AA10&lt;=0.6,"Media",IF(AA10&lt;=0.8,"Alta","Muy Alta"))))),"")</f>
        <v>Baja</v>
      </c>
      <c r="AC10" s="218">
        <f>+AA10</f>
        <v>0.36</v>
      </c>
      <c r="AD10" s="217" t="str">
        <f>IFERROR(IF(AE10="","",IF(AE10&lt;=0.2,"Leve",IF(AE10&lt;=0.4,"Menor",IF(AE10&lt;=0.6,"Moderado",IF(AE10&lt;=0.8,"Mayor","Catastrófico"))))),"")</f>
        <v>Moderado</v>
      </c>
      <c r="AE10" s="218">
        <f>IFERROR(IF(T10="Impacto",(P10-(+P10*W10)),IF(T10="Probabilidad",P10,"")),"")</f>
        <v>0.6</v>
      </c>
      <c r="AF10" s="219"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220" t="s">
        <v>130</v>
      </c>
      <c r="AH10" s="221" t="str">
        <f>DOFA!G39</f>
        <v>A9,F3,4. El director (a) de recursos Fisicos  trimestrealmente revisa el presupuesto y las necesidades de la entidad para planearlas en el Plan de Accion de la Direccion, dejando como evidencia:
el Plan de Accion.</v>
      </c>
      <c r="AI10" s="221" t="s">
        <v>379</v>
      </c>
      <c r="AJ10" s="222">
        <v>45659</v>
      </c>
      <c r="AK10" s="222">
        <v>46021</v>
      </c>
      <c r="AL10" s="491" t="s">
        <v>414</v>
      </c>
      <c r="AM10" s="115" t="s">
        <v>40</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29" customHeight="1" x14ac:dyDescent="0.25">
      <c r="A11" s="513"/>
      <c r="B11" s="594"/>
      <c r="C11" s="597"/>
      <c r="D11" s="600"/>
      <c r="E11" s="211" t="str">
        <f>Contexto!D17</f>
        <v>Falta de Presupuesto para cumplir con el correcto funcionamiento de los procesos de la entidad y metas del plan de desarrollo</v>
      </c>
      <c r="F11" s="603"/>
      <c r="G11" s="603"/>
      <c r="H11" s="617"/>
      <c r="I11" s="619"/>
      <c r="J11" s="622"/>
      <c r="K11" s="615"/>
      <c r="L11" s="609"/>
      <c r="M11" s="612"/>
      <c r="N11" s="609">
        <f>IF(NOT(ISERROR(MATCH(M11,_xlfn.ANCHORARRAY(F19),0))),L21&amp;"Por favor no seleccionar los criterios de impacto",M11)</f>
        <v>0</v>
      </c>
      <c r="O11" s="615"/>
      <c r="P11" s="609"/>
      <c r="Q11" s="606"/>
      <c r="R11" s="6">
        <v>2</v>
      </c>
      <c r="S11" s="212" t="s">
        <v>401</v>
      </c>
      <c r="T11" s="213" t="str">
        <f>IF(OR(U11="Preventivo",U11="Detectivo"),"Probabilidad",IF(U11="Correctivo","Impacto",""))</f>
        <v>Probabilidad</v>
      </c>
      <c r="U11" s="214" t="s">
        <v>14</v>
      </c>
      <c r="V11" s="214" t="s">
        <v>9</v>
      </c>
      <c r="W11" s="215" t="str">
        <f t="shared" ref="W11" si="0">IF(AND(U11="Preventivo",V11="Automático"),"50%",IF(AND(U11="Preventivo",V11="Manual"),"40%",IF(AND(U11="Detectivo",V11="Automático"),"40%",IF(AND(U11="Detectivo",V11="Manual"),"30%",IF(AND(U11="Correctivo",V11="Automático"),"35%",IF(AND(U11="Correctivo",V11="Manual"),"25%",""))))))</f>
        <v>40%</v>
      </c>
      <c r="X11" s="214" t="s">
        <v>19</v>
      </c>
      <c r="Y11" s="214" t="s">
        <v>22</v>
      </c>
      <c r="Z11" s="214" t="s">
        <v>113</v>
      </c>
      <c r="AA11" s="216">
        <f>IFERROR(IF(AND(T10="Probabilidad",T11="Probabilidad"),(AC10-(+AC10*W11)),IF(AND(T10="Impacto",T11="Probabilidad"),(L10-(+L10*W11)),IF(T11="Impacto",AC10,""))),"")</f>
        <v>0.216</v>
      </c>
      <c r="AB11" s="217" t="str">
        <f t="shared" ref="AB11" si="1">IFERROR(IF(AA11="","",IF(AA11&lt;=0.2,"Muy Baja",IF(AA11&lt;=0.4,"Baja",IF(AA11&lt;=0.6,"Media",IF(AA11&lt;=0.8,"Alta","Muy Alta"))))),"")</f>
        <v>Baja</v>
      </c>
      <c r="AC11" s="218">
        <f>+AA11</f>
        <v>0.216</v>
      </c>
      <c r="AD11" s="217" t="str">
        <f t="shared" ref="AD11" si="2">IFERROR(IF(AE11="","",IF(AE11&lt;=0.2,"Leve",IF(AE11&lt;=0.4,"Menor",IF(AE11&lt;=0.6,"Moderado",IF(AE11&lt;=0.8,"Mayor","Catastrófico"))))),"")</f>
        <v>Moderado</v>
      </c>
      <c r="AE11" s="218">
        <f>IFERROR(IF(AND(T10="Impacto",T11="Impacto"),(AE10-(+AE10*W11)),IF(AND(T10="Probabilidad",T11="Impacto"),(P10-(+P10*W11)),IF(T11="Probabilidad",AE10,""))),"")</f>
        <v>0.6</v>
      </c>
      <c r="AF11" s="219"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220" t="s">
        <v>130</v>
      </c>
      <c r="AH11" s="223" t="str">
        <f>DOFA!G41</f>
        <v>F3,4 A9. Trimestralmente la Direccion de Recursos Fisicos  revisa el presupuesto aprobado por la vigencia haciendo  programacion de compras y contratacion el plan anual de adquisicion, dejando como evidencia el Plan de Accion.</v>
      </c>
      <c r="AI11" s="221" t="s">
        <v>379</v>
      </c>
      <c r="AJ11" s="222">
        <v>45659</v>
      </c>
      <c r="AK11" s="222">
        <v>46021</v>
      </c>
      <c r="AL11" s="582"/>
      <c r="AM11" s="110" t="s">
        <v>40</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46.2" hidden="1" customHeight="1" x14ac:dyDescent="0.25">
      <c r="A12" s="513"/>
      <c r="B12" s="594"/>
      <c r="C12" s="597"/>
      <c r="D12" s="600"/>
      <c r="E12" s="137"/>
      <c r="F12" s="603"/>
      <c r="G12" s="603"/>
      <c r="H12" s="617"/>
      <c r="I12" s="619"/>
      <c r="J12" s="622"/>
      <c r="K12" s="615"/>
      <c r="L12" s="609"/>
      <c r="M12" s="612"/>
      <c r="N12" s="609">
        <f>IF(NOT(ISERROR(MATCH(M12,_xlfn.ANCHORARRAY(F20),0))),#REF!&amp;"Por favor no seleccionar los criterios de impacto",M12)</f>
        <v>0</v>
      </c>
      <c r="O12" s="615"/>
      <c r="P12" s="609"/>
      <c r="Q12" s="606"/>
      <c r="R12" s="6">
        <v>3</v>
      </c>
      <c r="S12" s="224"/>
      <c r="T12" s="213" t="str">
        <f t="shared" ref="T12:T15" si="4">IF(OR(U12="Preventivo",U12="Detectivo"),"Probabilidad",IF(U12="Correctivo","Impacto",""))</f>
        <v/>
      </c>
      <c r="U12" s="214"/>
      <c r="V12" s="214"/>
      <c r="W12" s="215" t="str">
        <f t="shared" ref="W12:W15" si="5">IF(AND(U12="Preventivo",V12="Automático"),"50%",IF(AND(U12="Preventivo",V12="Manual"),"40%",IF(AND(U12="Detectivo",V12="Automático"),"40%",IF(AND(U12="Detectivo",V12="Manual"),"30%",IF(AND(U12="Correctivo",V12="Automático"),"35%",IF(AND(U12="Correctivo",V12="Manual"),"25%",""))))))</f>
        <v/>
      </c>
      <c r="X12" s="214"/>
      <c r="Y12" s="214"/>
      <c r="Z12" s="214"/>
      <c r="AA12" s="216" t="str">
        <f>IFERROR(IF(AND(T11="Probabilidad",T12="Probabilidad"),(AC11-(+AC11*W12)),IF(AND(T11="Impacto",T12="Probabilidad"),(AC10-(+AC10*W12)),IF(T12="Impacto",AC11,""))),"")</f>
        <v/>
      </c>
      <c r="AB12" s="217" t="str">
        <f t="shared" ref="AB12:AB15" si="6">IFERROR(IF(AA12="","",IF(AA12&lt;=0.2,"Muy Baja",IF(AA12&lt;=0.4,"Baja",IF(AA12&lt;=0.6,"Media",IF(AA12&lt;=0.8,"Alta","Muy Alta"))))),"")</f>
        <v/>
      </c>
      <c r="AC12" s="218" t="str">
        <f t="shared" ref="AC12:AC15" si="7">+AA12</f>
        <v/>
      </c>
      <c r="AD12" s="217" t="str">
        <f t="shared" ref="AD12:AD15" si="8">IFERROR(IF(AE12="","",IF(AE12&lt;=0.2,"Leve",IF(AE12&lt;=0.4,"Menor",IF(AE12&lt;=0.6,"Moderado",IF(AE12&lt;=0.8,"Mayor","Catastrófico"))))),"")</f>
        <v/>
      </c>
      <c r="AE12" s="218" t="str">
        <f t="shared" ref="AE12:AE15" si="9">IFERROR(IF(AND(T11="Impacto",T12="Impacto"),(AE11-(+AE11*W12)),IF(AND(T11="Probabilidad",T12="Impacto"),(AE10-(+AE10*W12)),IF(T12="Probabilidad",AE11,""))),"")</f>
        <v/>
      </c>
      <c r="AF12" s="219" t="str">
        <f t="shared" ref="AF12:AF15"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220"/>
      <c r="AH12" s="223"/>
      <c r="AI12" s="225"/>
      <c r="AJ12" s="226"/>
      <c r="AK12" s="226"/>
      <c r="AL12" s="109"/>
      <c r="AM12" s="110"/>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46.5" hidden="1" customHeight="1" x14ac:dyDescent="0.25">
      <c r="A13" s="513"/>
      <c r="B13" s="594"/>
      <c r="C13" s="597"/>
      <c r="D13" s="600"/>
      <c r="E13" s="137"/>
      <c r="F13" s="603"/>
      <c r="G13" s="603"/>
      <c r="H13" s="617"/>
      <c r="I13" s="619"/>
      <c r="J13" s="622"/>
      <c r="K13" s="615"/>
      <c r="L13" s="609"/>
      <c r="M13" s="612"/>
      <c r="N13" s="609">
        <f>IF(NOT(ISERROR(MATCH(M13,_xlfn.ANCHORARRAY(F21),0))),#REF!&amp;"Por favor no seleccionar los criterios de impacto",M13)</f>
        <v>0</v>
      </c>
      <c r="O13" s="615"/>
      <c r="P13" s="609"/>
      <c r="Q13" s="606"/>
      <c r="R13" s="6">
        <v>4</v>
      </c>
      <c r="S13" s="227"/>
      <c r="T13" s="213" t="str">
        <f t="shared" si="4"/>
        <v/>
      </c>
      <c r="U13" s="214"/>
      <c r="V13" s="214"/>
      <c r="W13" s="215" t="str">
        <f t="shared" si="5"/>
        <v/>
      </c>
      <c r="X13" s="214"/>
      <c r="Y13" s="214"/>
      <c r="Z13" s="214"/>
      <c r="AA13" s="216" t="str">
        <f t="shared" ref="AA13:AA15" si="11">IFERROR(IF(AND(T12="Probabilidad",T13="Probabilidad"),(AC12-(+AC12*W13)),IF(AND(T12="Impacto",T13="Probabilidad"),(AC11-(+AC11*W13)),IF(T13="Impacto",AC12,""))),"")</f>
        <v/>
      </c>
      <c r="AB13" s="217" t="str">
        <f t="shared" si="6"/>
        <v/>
      </c>
      <c r="AC13" s="218" t="str">
        <f t="shared" si="7"/>
        <v/>
      </c>
      <c r="AD13" s="217" t="str">
        <f t="shared" si="8"/>
        <v/>
      </c>
      <c r="AE13" s="218" t="str">
        <f t="shared" si="9"/>
        <v/>
      </c>
      <c r="AF13" s="219" t="str">
        <f t="shared" si="10"/>
        <v/>
      </c>
      <c r="AG13" s="220"/>
      <c r="AH13" s="223"/>
      <c r="AI13" s="225"/>
      <c r="AJ13" s="226"/>
      <c r="AK13" s="226"/>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48.75" hidden="1" customHeight="1" x14ac:dyDescent="0.25">
      <c r="A14" s="513"/>
      <c r="B14" s="594"/>
      <c r="C14" s="597"/>
      <c r="D14" s="600"/>
      <c r="E14" s="137"/>
      <c r="F14" s="603"/>
      <c r="G14" s="603"/>
      <c r="H14" s="617"/>
      <c r="I14" s="619"/>
      <c r="J14" s="622"/>
      <c r="K14" s="615"/>
      <c r="L14" s="609"/>
      <c r="M14" s="612"/>
      <c r="N14" s="609">
        <f>IF(NOT(ISERROR(MATCH(M14,_xlfn.ANCHORARRAY(#REF!),0))),#REF!&amp;"Por favor no seleccionar los criterios de impacto",M14)</f>
        <v>0</v>
      </c>
      <c r="O14" s="615"/>
      <c r="P14" s="609"/>
      <c r="Q14" s="606"/>
      <c r="R14" s="6">
        <v>5</v>
      </c>
      <c r="S14" s="227"/>
      <c r="T14" s="213" t="str">
        <f t="shared" si="4"/>
        <v/>
      </c>
      <c r="U14" s="214"/>
      <c r="V14" s="214"/>
      <c r="W14" s="215" t="str">
        <f t="shared" si="5"/>
        <v/>
      </c>
      <c r="X14" s="214"/>
      <c r="Y14" s="214"/>
      <c r="Z14" s="214"/>
      <c r="AA14" s="216" t="str">
        <f t="shared" si="11"/>
        <v/>
      </c>
      <c r="AB14" s="217" t="str">
        <f t="shared" si="6"/>
        <v/>
      </c>
      <c r="AC14" s="218" t="str">
        <f t="shared" si="7"/>
        <v/>
      </c>
      <c r="AD14" s="217" t="str">
        <f t="shared" si="8"/>
        <v/>
      </c>
      <c r="AE14" s="218" t="str">
        <f t="shared" si="9"/>
        <v/>
      </c>
      <c r="AF14" s="219" t="str">
        <f t="shared" si="10"/>
        <v/>
      </c>
      <c r="AG14" s="220"/>
      <c r="AH14" s="223"/>
      <c r="AI14" s="225"/>
      <c r="AJ14" s="226"/>
      <c r="AK14" s="226"/>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25.5" hidden="1" customHeight="1" x14ac:dyDescent="0.25">
      <c r="A15" s="534"/>
      <c r="B15" s="595"/>
      <c r="C15" s="598"/>
      <c r="D15" s="601"/>
      <c r="E15" s="137"/>
      <c r="F15" s="604"/>
      <c r="G15" s="604"/>
      <c r="H15" s="617"/>
      <c r="I15" s="620"/>
      <c r="J15" s="623"/>
      <c r="K15" s="616"/>
      <c r="L15" s="610"/>
      <c r="M15" s="613"/>
      <c r="N15" s="610">
        <f>IF(NOT(ISERROR(MATCH(M15,_xlfn.ANCHORARRAY(#REF!),0))),L22&amp;"Por favor no seleccionar los criterios de impacto",M15)</f>
        <v>0</v>
      </c>
      <c r="O15" s="616"/>
      <c r="P15" s="610"/>
      <c r="Q15" s="607"/>
      <c r="R15" s="6">
        <v>6</v>
      </c>
      <c r="S15" s="227"/>
      <c r="T15" s="213" t="str">
        <f t="shared" si="4"/>
        <v/>
      </c>
      <c r="U15" s="214"/>
      <c r="V15" s="214"/>
      <c r="W15" s="215" t="str">
        <f t="shared" si="5"/>
        <v/>
      </c>
      <c r="X15" s="214"/>
      <c r="Y15" s="214"/>
      <c r="Z15" s="214"/>
      <c r="AA15" s="216" t="str">
        <f t="shared" si="11"/>
        <v/>
      </c>
      <c r="AB15" s="217" t="str">
        <f t="shared" si="6"/>
        <v/>
      </c>
      <c r="AC15" s="218" t="str">
        <f t="shared" si="7"/>
        <v/>
      </c>
      <c r="AD15" s="217" t="str">
        <f t="shared" si="8"/>
        <v/>
      </c>
      <c r="AE15" s="218" t="str">
        <f t="shared" si="9"/>
        <v/>
      </c>
      <c r="AF15" s="219" t="str">
        <f t="shared" si="10"/>
        <v/>
      </c>
      <c r="AG15" s="220"/>
      <c r="AH15" s="223"/>
      <c r="AI15" s="225"/>
      <c r="AJ15" s="226"/>
      <c r="AK15" s="226"/>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49.75" customHeight="1" x14ac:dyDescent="0.25">
      <c r="A16" s="512">
        <v>2</v>
      </c>
      <c r="B16" s="514" t="s">
        <v>127</v>
      </c>
      <c r="C16" s="516" t="s">
        <v>380</v>
      </c>
      <c r="D16" s="522" t="s">
        <v>381</v>
      </c>
      <c r="E16" s="138" t="str">
        <f>Contexto!D23</f>
        <v>Deficiencia de la aplicación correcta al MANUAL PARA EL MANEJO Y CONTROL DE LOS BIENES DEL MUNICIPIO</v>
      </c>
      <c r="F16" s="524" t="s">
        <v>419</v>
      </c>
      <c r="G16" s="602" t="s">
        <v>385</v>
      </c>
      <c r="H16" s="629" t="s">
        <v>409</v>
      </c>
      <c r="I16" s="624" t="s">
        <v>117</v>
      </c>
      <c r="J16" s="541">
        <v>360</v>
      </c>
      <c r="K16" s="544" t="str">
        <f>IF(J16&lt;=0,"",IF(J16&lt;=2,"Muy Baja",IF(J16&lt;=24,"Baja",IF(J16&lt;=500,"Media",IF(J16&lt;=5000,"Alta","Muy Alta")))))</f>
        <v>Media</v>
      </c>
      <c r="L16" s="530">
        <f>IF(K16="","",IF(K16="Muy Baja",0.2,IF(K16="Baja",0.4,IF(K16="Media",0.6,IF(K16="Alta",0.8,IF(K16="Muy Alta",1,))))))</f>
        <v>0.6</v>
      </c>
      <c r="M16" s="547" t="s">
        <v>206</v>
      </c>
      <c r="N16" s="530" t="str">
        <f>IF(NOT(ISERROR(MATCH(M16,'Tabla Impacto'!$B$221:$B$223,0))),'Tabla Impacto'!$F$223&amp;"Por favor no seleccionar los criterios de impacto(Afectación Económica o presupuestal y Pérdida Reputacional)",M16)</f>
        <v xml:space="preserve">     Entre 200 y 1000 SMLMV</v>
      </c>
      <c r="O16" s="544" t="str">
        <f>IF(OR(N16='Tabla Impacto'!$C$11,N16='Tabla Impacto'!$D$11),"Leve",IF(OR(N16='Tabla Impacto'!$C$12,N16='Tabla Impacto'!$D$12),"Menor",IF(OR(N16='Tabla Impacto'!$C$13,N16='Tabla Impacto'!$D$13),"Moderado",IF(OR(N16='Tabla Impacto'!$C$14,N16='Tabla Impacto'!$D$14),"Mayor",IF(OR(N16='Tabla Impacto'!$C$15,N16='Tabla Impacto'!$D$15),"Catastrófico","")))))</f>
        <v>Menor</v>
      </c>
      <c r="P16" s="530">
        <f>IF(O16="","",IF(O16="Leve",0.2,IF(O16="Menor",0.4,IF(O16="Moderado",0.6,IF(O16="Mayor",0.8,IF(O16="Catastrófico",1,))))))</f>
        <v>0.4</v>
      </c>
      <c r="Q16" s="510"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243" t="s">
        <v>407</v>
      </c>
      <c r="T16" s="107" t="str">
        <f>IF(OR(U16="Preventivo",U16="Detectivo"),"Probabilidad",IF(U16="Correctivo","Impacto",""))</f>
        <v>Probabilidad</v>
      </c>
      <c r="U16" s="113" t="s">
        <v>14</v>
      </c>
      <c r="V16" s="113" t="s">
        <v>9</v>
      </c>
      <c r="W16" s="114" t="str">
        <f>IF(AND(U16="Preventivo",V16="Automático"),"50%",IF(AND(U16="Preventivo",V16="Manual"),"40%",IF(AND(U16="Detectivo",V16="Automático"),"40%",IF(AND(U16="Detectivo",V16="Manual"),"30%",IF(AND(U16="Correctivo",V16="Automático"),"35%",IF(AND(U16="Correctivo",V16="Manual"),"25%",""))))))</f>
        <v>40%</v>
      </c>
      <c r="X16" s="113" t="s">
        <v>19</v>
      </c>
      <c r="Y16" s="113" t="s">
        <v>22</v>
      </c>
      <c r="Z16" s="113" t="s">
        <v>113</v>
      </c>
      <c r="AA16" s="108">
        <f>IFERROR(IF(T16="Probabilidad",(L16-(+L16*W16)),IF(T16="Impacto",L16,"")),"")</f>
        <v>0.36</v>
      </c>
      <c r="AB16" s="116" t="str">
        <f>IFERROR(IF(AA16="","",IF(AA16&lt;=0.2,"Muy Baja",IF(AA16&lt;=0.4,"Baja",IF(AA16&lt;=0.6,"Media",IF(AA16&lt;=0.8,"Alta","Muy Alta"))))),"")</f>
        <v>Baja</v>
      </c>
      <c r="AC16" s="117">
        <f>+AA16</f>
        <v>0.36</v>
      </c>
      <c r="AD16" s="116" t="str">
        <f>IFERROR(IF(AE16="","",IF(AE16&lt;=0.2,"Leve",IF(AE16&lt;=0.4,"Menor",IF(AE16&lt;=0.6,"Moderado",IF(AE16&lt;=0.8,"Mayor","Catastrófico"))))),"")</f>
        <v>Menor</v>
      </c>
      <c r="AE16" s="117">
        <f>IFERROR(IF(T16="Impacto",(P16-(+P16*W16)),IF(T16="Probabilidad",P16,"")),"")</f>
        <v>0.4</v>
      </c>
      <c r="AF16" s="118"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19" t="s">
        <v>130</v>
      </c>
      <c r="AH16" s="243" t="str">
        <f>DOFA!E33</f>
        <v>D4 04  Socializar la Politica para el uso adecuado de los bienes (devolutivos y de consumo) Politica de obligatorio cumplimiento, a travez de los medios de comunicación interna de la Administración Municipal</v>
      </c>
      <c r="AI16" s="221" t="s">
        <v>386</v>
      </c>
      <c r="AJ16" s="222">
        <v>45659</v>
      </c>
      <c r="AK16" s="222">
        <v>46021</v>
      </c>
      <c r="AL16" s="241" t="s">
        <v>415</v>
      </c>
      <c r="AM16" s="110" t="s">
        <v>40</v>
      </c>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144" customHeight="1" x14ac:dyDescent="0.25">
      <c r="A17" s="513"/>
      <c r="B17" s="515"/>
      <c r="C17" s="517"/>
      <c r="D17" s="523"/>
      <c r="E17" s="138" t="str">
        <f>Contexto!F20</f>
        <v>Deficiencia en el control de los inventarios periodicos.</v>
      </c>
      <c r="F17" s="524"/>
      <c r="G17" s="603"/>
      <c r="H17" s="630"/>
      <c r="I17" s="625"/>
      <c r="J17" s="542"/>
      <c r="K17" s="545"/>
      <c r="L17" s="531"/>
      <c r="M17" s="548"/>
      <c r="N17" s="531">
        <f>IF(NOT(ISERROR(MATCH(M17,_xlfn.ANCHORARRAY(F22),0))),L24&amp;"Por favor no seleccionar los criterios de impacto",M17)</f>
        <v>0</v>
      </c>
      <c r="O17" s="545"/>
      <c r="P17" s="531"/>
      <c r="Q17" s="511"/>
      <c r="R17" s="105">
        <v>2</v>
      </c>
      <c r="S17" s="240" t="s">
        <v>399</v>
      </c>
      <c r="T17" s="107" t="str">
        <f>IF(OR(U17="Preventivo",U17="Detectivo"),"Probabilidad",IF(U17="Correctivo","Impacto",""))</f>
        <v>Probabilidad</v>
      </c>
      <c r="U17" s="113" t="s">
        <v>14</v>
      </c>
      <c r="V17" s="113" t="s">
        <v>9</v>
      </c>
      <c r="W17" s="114" t="str">
        <f t="shared" ref="W17:W18" si="12">IF(AND(U17="Preventivo",V17="Automático"),"50%",IF(AND(U17="Preventivo",V17="Manual"),"40%",IF(AND(U17="Detectivo",V17="Automático"),"40%",IF(AND(U17="Detectivo",V17="Manual"),"30%",IF(AND(U17="Correctivo",V17="Automático"),"35%",IF(AND(U17="Correctivo",V17="Manual"),"25%",""))))))</f>
        <v>40%</v>
      </c>
      <c r="X17" s="113" t="s">
        <v>19</v>
      </c>
      <c r="Y17" s="113" t="s">
        <v>22</v>
      </c>
      <c r="Z17" s="113" t="s">
        <v>113</v>
      </c>
      <c r="AA17" s="108">
        <f>IFERROR(IF(AND(T16="Probabilidad",T17="Probabilidad"),(AC16-(+AC16*W17)),IF(AND(T16="Impacto",T17="Probabilidad"),(L16-(+L16*W17)),IF(T17="Impacto",AC16,""))),"")</f>
        <v>0.216</v>
      </c>
      <c r="AB17" s="116" t="str">
        <f t="shared" ref="AB17" si="13">IFERROR(IF(AA17="","",IF(AA17&lt;=0.2,"Muy Baja",IF(AA17&lt;=0.4,"Baja",IF(AA17&lt;=0.6,"Media",IF(AA17&lt;=0.8,"Alta","Muy Alta"))))),"")</f>
        <v>Baja</v>
      </c>
      <c r="AC17" s="117">
        <f>+AA17</f>
        <v>0.216</v>
      </c>
      <c r="AD17" s="116" t="str">
        <f t="shared" ref="AD17" si="14">IFERROR(IF(AE17="","",IF(AE17&lt;=0.2,"Leve",IF(AE17&lt;=0.4,"Menor",IF(AE17&lt;=0.6,"Moderado",IF(AE17&lt;=0.8,"Mayor","Catastrófico"))))),"")</f>
        <v>Menor</v>
      </c>
      <c r="AE17" s="117">
        <f>IFERROR(IF(AND(T16="Impacto",T17="Impacto"),(AE16-(+AE16*W17)),IF(AND(T16="Probabilidad",T17="Impacto"),(P16-(+P16*W17)),IF(T17="Probabilidad",AE16,""))),"")</f>
        <v>0.4</v>
      </c>
      <c r="AF17" s="118" t="str">
        <f t="shared" ref="AF17" si="1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119" t="s">
        <v>130</v>
      </c>
      <c r="AH17" s="248" t="str">
        <f>DOFA!G42</f>
        <v>F7 A11. Realizar proceso de toma física a las dependencias de la administración y generar las acciones de actualización de responsabilidades en inventario individual</v>
      </c>
      <c r="AI17" s="221" t="s">
        <v>386</v>
      </c>
      <c r="AJ17" s="222">
        <v>45659</v>
      </c>
      <c r="AK17" s="222">
        <v>46021</v>
      </c>
      <c r="AL17" s="247"/>
      <c r="AM17" s="110" t="s">
        <v>40</v>
      </c>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17.5" customHeight="1" x14ac:dyDescent="0.25">
      <c r="A18" s="513"/>
      <c r="B18" s="515"/>
      <c r="C18" s="517"/>
      <c r="D18" s="523"/>
      <c r="E18" s="138" t="str">
        <f>Contexto!F16</f>
        <v>Deficiente control al momentos de la desvinculacion o traslado de los Funcionarios</v>
      </c>
      <c r="F18" s="524"/>
      <c r="G18" s="603"/>
      <c r="H18" s="631"/>
      <c r="I18" s="625"/>
      <c r="J18" s="542"/>
      <c r="K18" s="545"/>
      <c r="L18" s="531"/>
      <c r="M18" s="548"/>
      <c r="N18" s="531">
        <f>IF(NOT(ISERROR(MATCH(M18,_xlfn.ANCHORARRAY(F23),0))),L25&amp;"Por favor no seleccionar los criterios de impacto",M18)</f>
        <v>0</v>
      </c>
      <c r="O18" s="545"/>
      <c r="P18" s="531"/>
      <c r="Q18" s="511"/>
      <c r="R18" s="105">
        <v>3</v>
      </c>
      <c r="S18" s="112" t="s">
        <v>402</v>
      </c>
      <c r="T18" s="107" t="str">
        <f t="shared" ref="T18" si="16">IF(OR(U18="Preventivo",U18="Detectivo"),"Probabilidad",IF(U18="Correctivo","Impacto",""))</f>
        <v>Probabilidad</v>
      </c>
      <c r="U18" s="113" t="s">
        <v>14</v>
      </c>
      <c r="V18" s="113" t="s">
        <v>9</v>
      </c>
      <c r="W18" s="114" t="str">
        <f t="shared" si="12"/>
        <v>40%</v>
      </c>
      <c r="X18" s="113" t="s">
        <v>19</v>
      </c>
      <c r="Y18" s="113" t="s">
        <v>22</v>
      </c>
      <c r="Z18" s="108" t="str">
        <f>IFERROR(IF(AND(S17="Probabilidad",S18="Probabilidad"),(AB17-(+AB17*V18)),IF(AND(S17="Impacto",S18="Probabilidad"),(AB16-(+AB16*V18)),IF(S18="Impacto",AB17,""))),"")</f>
        <v/>
      </c>
      <c r="AA18" s="108">
        <f>IFERROR(IF(AND(T17="Probabilidad",T18="Probabilidad"),(AC17-(+AC17*W18)),IF(AND(T17="Impacto",T18="Probabilidad"),(L17-(+L17*W18)),IF(T18="Impacto",AC17,""))),"")</f>
        <v>0.12959999999999999</v>
      </c>
      <c r="AB18" s="116" t="str">
        <f t="shared" ref="AB18" si="17">IFERROR(IF(AA18="","",IF(AA18&lt;=0.2,"Muy Baja",IF(AA18&lt;=0.4,"Baja",IF(AA18&lt;=0.6,"Media",IF(AA18&lt;=0.8,"Alta","Muy Alta"))))),"")</f>
        <v>Muy Baja</v>
      </c>
      <c r="AC18" s="117">
        <f>+AA18</f>
        <v>0.12959999999999999</v>
      </c>
      <c r="AD18" s="116" t="str">
        <f t="shared" ref="AD18" si="18">IFERROR(IF(AE18="","",IF(AE18&lt;=0.2,"Leve",IF(AE18&lt;=0.4,"Menor",IF(AE18&lt;=0.6,"Moderado",IF(AE18&lt;=0.8,"Mayor","Catastrófico"))))),"")</f>
        <v>Menor</v>
      </c>
      <c r="AE18" s="117">
        <f>IFERROR(IF(AND(T17="Impacto",T18="Impacto"),(AE17-(+AE17*W18)),IF(AND(T17="Probabilidad",T18="Impacto"),(P17-(+P17*W18)),IF(T18="Probabilidad",AE17,""))),"")</f>
        <v>0.4</v>
      </c>
      <c r="AF18" s="118" t="str">
        <f t="shared" ref="AF18" si="19">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Bajo</v>
      </c>
      <c r="AG18" s="119" t="s">
        <v>130</v>
      </c>
      <c r="AH18" s="223" t="str">
        <f>DOFA!E29</f>
        <v>D13, O4, 9. En la expedición de paz y salvo para el caso de desvinculacion de funcionarios,  Aplicando los procesos  de controles y procedimientos establecidos por la entidad</v>
      </c>
      <c r="AI18" s="225" t="s">
        <v>386</v>
      </c>
      <c r="AJ18" s="222">
        <v>45659</v>
      </c>
      <c r="AK18" s="222">
        <v>46021</v>
      </c>
      <c r="AL18" s="245" t="s">
        <v>411</v>
      </c>
      <c r="AM18" s="110" t="s">
        <v>40</v>
      </c>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01" customHeight="1" x14ac:dyDescent="0.25">
      <c r="A19" s="512">
        <v>3</v>
      </c>
      <c r="B19" s="560" t="s">
        <v>127</v>
      </c>
      <c r="C19" s="516" t="s">
        <v>380</v>
      </c>
      <c r="D19" s="562" t="s">
        <v>382</v>
      </c>
      <c r="E19" s="228" t="str">
        <f>Contexto!D18</f>
        <v>Inadecuado manejo de la informacion en la base de datos asociada al proceso de identificacion de los Bienes Fiscales y de uso Publico</v>
      </c>
      <c r="F19" s="524" t="s">
        <v>420</v>
      </c>
      <c r="G19" s="602" t="s">
        <v>385</v>
      </c>
      <c r="H19" s="626" t="s">
        <v>410</v>
      </c>
      <c r="I19" s="624" t="s">
        <v>117</v>
      </c>
      <c r="J19" s="541">
        <v>360</v>
      </c>
      <c r="K19" s="525" t="str">
        <f t="shared" ref="K19" si="20">IF(J19&lt;=0,"",IF(J19&lt;=2,"Muy Baja",IF(J19&lt;=24,"Baja",IF(J19&lt;=500,"Media",IF(J19&lt;=5000,"Alta","Muy Alta")))))</f>
        <v>Media</v>
      </c>
      <c r="L19" s="518">
        <f t="shared" ref="L19" si="21">IF(K19="","",IF(K19="Muy Baja",0.2,IF(K19="Baja",0.4,IF(K19="Media",0.6,IF(K19="Alta",0.8,IF(K19="Muy Alta",1,))))))</f>
        <v>0.6</v>
      </c>
      <c r="M19" s="564" t="s">
        <v>206</v>
      </c>
      <c r="N19" s="518" t="str">
        <f>IF(NOT(ISERROR(MATCH(M19,'Tabla Impacto'!$B$221:$B$223,0))),'Tabla Impacto'!$F$223&amp;"Por favor no seleccionar los criterios de impacto(Afectación Económica o presupuestal y Pérdida Reputacional)",M19)</f>
        <v xml:space="preserve">     Entre 200 y 1000 SMLMV</v>
      </c>
      <c r="O19" s="525" t="str">
        <f>IF(OR(N19='Tabla Impacto'!$C$11,N19='Tabla Impacto'!$D$11),"Leve",IF(OR(N19='Tabla Impacto'!$C$12,N19='Tabla Impacto'!$D$12),"Menor",IF(OR(N19='Tabla Impacto'!$C$13,N19='Tabla Impacto'!$D$13),"Moderado",IF(OR(N19='Tabla Impacto'!$C$14,N19='Tabla Impacto'!$D$14),"Mayor",IF(OR(N19='Tabla Impacto'!$C$15,N19='Tabla Impacto'!$D$15),"Catastrófico","")))))</f>
        <v>Menor</v>
      </c>
      <c r="P19" s="518">
        <f t="shared" ref="P19" si="22">IF(O19="","",IF(O19="Leve",0.2,IF(O19="Menor",0.4,IF(O19="Moderado",0.6,IF(O19="Mayor",0.8,IF(O19="Catastrófico",1,))))))</f>
        <v>0.4</v>
      </c>
      <c r="Q19" s="520" t="str">
        <f t="shared" ref="Q19" si="23">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512">
        <v>1</v>
      </c>
      <c r="S19" s="574" t="s">
        <v>403</v>
      </c>
      <c r="T19" s="576" t="s">
        <v>4</v>
      </c>
      <c r="U19" s="568" t="s">
        <v>14</v>
      </c>
      <c r="V19" s="568" t="s">
        <v>9</v>
      </c>
      <c r="W19" s="508" t="str">
        <f>IF(AND(U19="Preventivo",V19="Automático"),"50%",IF(AND(U19="Preventivo",V19="Manual"),"40%",IF(AND(U19="Detectivo",V19="Automático"),"40%",IF(AND(U19="Detectivo",V19="Manual"),"30%",IF(AND(U19="Correctivo",V19="Automático"),"35%",IF(AND(U19="Correctivo",V19="Manual"),"25%",""))))))</f>
        <v>40%</v>
      </c>
      <c r="X19" s="568" t="s">
        <v>19</v>
      </c>
      <c r="Y19" s="568" t="s">
        <v>22</v>
      </c>
      <c r="Z19" s="568" t="s">
        <v>113</v>
      </c>
      <c r="AA19" s="570">
        <f t="shared" ref="AA19" si="24">IFERROR(IF(AND(T18="Probabilidad",T19="Probabilidad"),(AC18-(+AC18*W19)),IF(AND(T18="Impacto",T19="Probabilidad"),(L18-(+L18*W19)),IF(T19="Impacto",AC18,""))),"")</f>
        <v>7.7759999999999996E-2</v>
      </c>
      <c r="AB19" s="572" t="str">
        <f t="shared" ref="AB19" si="25">IFERROR(IF(AA19="","",IF(AA19&lt;=0.2,"Muy Baja",IF(AA19&lt;=0.4,"Baja",IF(AA19&lt;=0.6,"Media",IF(AA19&lt;=0.8,"Alta","Muy Alta"))))),"")</f>
        <v>Muy Baja</v>
      </c>
      <c r="AC19" s="508">
        <f t="shared" ref="AC19" si="26">+AA19</f>
        <v>7.7759999999999996E-2</v>
      </c>
      <c r="AD19" s="572" t="str">
        <f t="shared" ref="AD19" si="27">IFERROR(IF(AE19="","",IF(AE19&lt;=0.2,"Leve",IF(AE19&lt;=0.4,"Menor",IF(AE19&lt;=0.6,"Moderado",IF(AE19&lt;=0.8,"Mayor","Catastrófico"))))),"")</f>
        <v>Menor</v>
      </c>
      <c r="AE19" s="508">
        <f t="shared" ref="AE19" si="28">IFERROR(IF(AND(T18="Impacto",T19="Impacto"),(AE18-(+AE18*W19)),IF(AND(T18="Probabilidad",T19="Impacto"),(P18-(+P18*W19)),IF(T19="Probabilidad",AE18,""))),"")</f>
        <v>0.4</v>
      </c>
      <c r="AF19" s="566" t="str">
        <f t="shared" ref="AF19" si="29">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Bajo</v>
      </c>
      <c r="AG19" s="568" t="s">
        <v>130</v>
      </c>
      <c r="AH19" s="241" t="str">
        <f>DOFA!G43</f>
        <v>F5 A4 Realizar mesas de Trabajo con el personal del grupo de Bienes Fiscales para hacer seguimiento a la informacion reportada en la base de datos asociada al proceso de identificacion de los Predios (bienes fiscales y de uso publico del municipio)</v>
      </c>
      <c r="AI19" s="223" t="s">
        <v>379</v>
      </c>
      <c r="AJ19" s="222">
        <v>45293</v>
      </c>
      <c r="AK19" s="222">
        <v>45656</v>
      </c>
      <c r="AL19" s="491" t="s">
        <v>416</v>
      </c>
      <c r="AM19" s="110" t="s">
        <v>40</v>
      </c>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77.5" customHeight="1" x14ac:dyDescent="0.25">
      <c r="A20" s="513"/>
      <c r="B20" s="561"/>
      <c r="C20" s="517"/>
      <c r="D20" s="563"/>
      <c r="E20" s="228" t="str">
        <f>Contexto!F18</f>
        <v>Presiones externas o de un superior jerárquico, para manipular informacion de los Bienes Fiscales y de uso Publico del Municipio de Ibague.</v>
      </c>
      <c r="F20" s="524"/>
      <c r="G20" s="603"/>
      <c r="H20" s="627"/>
      <c r="I20" s="625"/>
      <c r="J20" s="542"/>
      <c r="K20" s="526"/>
      <c r="L20" s="519"/>
      <c r="M20" s="565"/>
      <c r="N20" s="519">
        <f>IF(NOT(ISERROR(MATCH(M20,_xlfn.ANCHORARRAY(F28),0))),L30&amp;"Por favor no seleccionar los criterios de impacto",M20)</f>
        <v>0</v>
      </c>
      <c r="O20" s="526"/>
      <c r="P20" s="519"/>
      <c r="Q20" s="521"/>
      <c r="R20" s="534"/>
      <c r="S20" s="575"/>
      <c r="T20" s="577"/>
      <c r="U20" s="569"/>
      <c r="V20" s="569"/>
      <c r="W20" s="509"/>
      <c r="X20" s="569"/>
      <c r="Y20" s="569"/>
      <c r="Z20" s="569"/>
      <c r="AA20" s="571"/>
      <c r="AB20" s="573"/>
      <c r="AC20" s="509"/>
      <c r="AD20" s="573"/>
      <c r="AE20" s="509"/>
      <c r="AF20" s="567"/>
      <c r="AG20" s="569"/>
      <c r="AH20" s="249" t="str">
        <f>DOFA!G44</f>
        <v>F9 A12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v>
      </c>
      <c r="AI20" s="223" t="s">
        <v>379</v>
      </c>
      <c r="AJ20" s="222">
        <v>45659</v>
      </c>
      <c r="AK20" s="222">
        <v>46021</v>
      </c>
      <c r="AL20" s="492"/>
      <c r="AM20" s="110" t="s">
        <v>40</v>
      </c>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114.75" customHeight="1" x14ac:dyDescent="0.25">
      <c r="A21" s="513"/>
      <c r="B21" s="561"/>
      <c r="C21" s="517"/>
      <c r="D21" s="563"/>
      <c r="E21" s="138" t="str">
        <f>Contexto!F12</f>
        <v>Deficiente articulacion de la informacion entre procesos para la identificación de los predios de propiedad del Municipio.</v>
      </c>
      <c r="F21" s="524"/>
      <c r="G21" s="603"/>
      <c r="H21" s="628"/>
      <c r="I21" s="625"/>
      <c r="J21" s="542"/>
      <c r="K21" s="526"/>
      <c r="L21" s="519"/>
      <c r="M21" s="565"/>
      <c r="N21" s="519">
        <f>IF(NOT(ISERROR(MATCH(M21,_xlfn.ANCHORARRAY(F29),0))),L31&amp;"Por favor no seleccionar los criterios de impacto",M21)</f>
        <v>0</v>
      </c>
      <c r="O21" s="526"/>
      <c r="P21" s="519"/>
      <c r="Q21" s="521"/>
      <c r="R21" s="105">
        <v>2</v>
      </c>
      <c r="S21" s="223" t="s">
        <v>400</v>
      </c>
      <c r="T21" s="107" t="str">
        <f>IF(OR(U21="Preventivo",U21="Detectivo"),"Probabilidad",IF(U21="Correctivo","Impacto",""))</f>
        <v>Probabilidad</v>
      </c>
      <c r="U21" s="113" t="s">
        <v>14</v>
      </c>
      <c r="V21" s="113" t="s">
        <v>9</v>
      </c>
      <c r="W21" s="114" t="str">
        <f t="shared" ref="W21" si="30">IF(AND(U21="Preventivo",V21="Automático"),"50%",IF(AND(U21="Preventivo",V21="Manual"),"40%",IF(AND(U21="Detectivo",V21="Automático"),"40%",IF(AND(U21="Detectivo",V21="Manual"),"30%",IF(AND(U21="Correctivo",V21="Automático"),"35%",IF(AND(U21="Correctivo",V21="Manual"),"25%",""))))))</f>
        <v>40%</v>
      </c>
      <c r="X21" s="113" t="s">
        <v>19</v>
      </c>
      <c r="Y21" s="113" t="s">
        <v>22</v>
      </c>
      <c r="Z21" s="113" t="s">
        <v>113</v>
      </c>
      <c r="AA21" s="108">
        <f>AA19</f>
        <v>7.7759999999999996E-2</v>
      </c>
      <c r="AB21" s="116" t="str">
        <f t="shared" ref="AB21" si="31">IFERROR(IF(AA21="","",IF(AA21&lt;=0.2,"Muy Baja",IF(AA21&lt;=0.4,"Baja",IF(AA21&lt;=0.6,"Media",IF(AA21&lt;=0.8,"Alta","Muy Alta"))))),"")</f>
        <v>Muy Baja</v>
      </c>
      <c r="AC21" s="117">
        <f t="shared" ref="AC21" si="32">+AA21</f>
        <v>7.7759999999999996E-2</v>
      </c>
      <c r="AD21" s="116" t="str">
        <f>IFERROR(IF(AE21="","",IF(AE21&lt;=0.2,"Leve",IF(AE21&lt;=0.4,"Menor",IF(AE21&lt;=0.6,"Moderado",IF(AE21&lt;=0.8,"Mayor","Catastrófico"))))),"")</f>
        <v>Leve</v>
      </c>
      <c r="AE21" s="117">
        <f t="shared" ref="AE21" si="33">IFERROR(IF(AND(T20="Impacto",T21="Impacto"),(AE20-(+AE20*W21)),IF(AND(T20="Probabilidad",T21="Impacto"),(P20-(+P20*W21)),IF(T21="Probabilidad",AE20,""))),"")</f>
        <v>0</v>
      </c>
      <c r="AF21" s="118" t="str">
        <f t="shared" ref="AF21" si="34">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Bajo</v>
      </c>
      <c r="AG21" s="119" t="s">
        <v>130</v>
      </c>
      <c r="AH21" s="242" t="str">
        <f>DOFA!G45</f>
        <v>F9 A11  Socializar el  manual ADMINISTRACION DE BIENES FISCALES Y DE USO PUBLICO del municipio incluyendo los controles  al personal de apoyo que ingresen al grupo de bienes fiscales.</v>
      </c>
      <c r="AI21" s="223" t="s">
        <v>379</v>
      </c>
      <c r="AJ21" s="222">
        <v>45659</v>
      </c>
      <c r="AK21" s="222">
        <v>46021</v>
      </c>
      <c r="AL21" s="246" t="s">
        <v>412</v>
      </c>
      <c r="AM21" s="110" t="s">
        <v>40</v>
      </c>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hidden="1" customHeight="1" x14ac:dyDescent="0.25">
      <c r="A22" s="512">
        <v>4</v>
      </c>
      <c r="B22" s="535"/>
      <c r="C22" s="535"/>
      <c r="D22" s="553"/>
      <c r="E22" s="138"/>
      <c r="F22" s="556"/>
      <c r="G22" s="550"/>
      <c r="H22" s="139"/>
      <c r="I22" s="557"/>
      <c r="J22" s="541"/>
      <c r="K22" s="544" t="str">
        <f t="shared" ref="K22" si="35">IF(J22&lt;=0,"",IF(J22&lt;=2,"Muy Baja",IF(J22&lt;=24,"Baja",IF(J22&lt;=500,"Media",IF(J22&lt;=5000,"Alta","Muy Alta")))))</f>
        <v/>
      </c>
      <c r="L22" s="530" t="str">
        <f t="shared" ref="L22" si="36">IF(K22="","",IF(K22="Muy Baja",0.2,IF(K22="Baja",0.4,IF(K22="Media",0.6,IF(K22="Alta",0.8,IF(K22="Muy Alta",1,))))))</f>
        <v/>
      </c>
      <c r="M22" s="547"/>
      <c r="N22" s="530">
        <f>IF(NOT(ISERROR(MATCH(M22,'Tabla Impacto'!$B$221:$B$223,0))),'Tabla Impacto'!$F$223&amp;"Por favor no seleccionar los criterios de impacto(Afectación Económica o presupuestal y Pérdida Reputacional)",M22)</f>
        <v>0</v>
      </c>
      <c r="O22" s="544" t="str">
        <f>IF(OR(N22='Tabla Impacto'!$C$11,N22='Tabla Impacto'!$D$11),"Leve",IF(OR(N22='Tabla Impacto'!$C$12,N22='Tabla Impacto'!$D$12),"Menor",IF(OR(N22='Tabla Impacto'!$C$13,N22='Tabla Impacto'!$D$13),"Moderado",IF(OR(N22='Tabla Impacto'!$C$14,N22='Tabla Impacto'!$D$14),"Mayor",IF(OR(N22='Tabla Impacto'!$C$15,N22='Tabla Impacto'!$D$15),"Catastrófico","")))))</f>
        <v/>
      </c>
      <c r="P22" s="530" t="str">
        <f t="shared" ref="P22" si="37">IF(O22="","",IF(O22="Leve",0.2,IF(O22="Menor",0.4,IF(O22="Moderado",0.6,IF(O22="Mayor",0.8,IF(O22="Catastrófico",1,))))))</f>
        <v/>
      </c>
      <c r="Q22" s="510" t="str">
        <f t="shared" ref="Q22" si="38">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3"/>
      <c r="V22" s="113"/>
      <c r="W22" s="114" t="str">
        <f>IF(AND(U22="Preventivo",V22="Automático"),"50%",IF(AND(U22="Preventivo",V22="Manual"),"40%",IF(AND(U22="Detectivo",V22="Automático"),"40%",IF(AND(U22="Detectivo",V22="Manual"),"30%",IF(AND(U22="Correctivo",V22="Automático"),"35%",IF(AND(U22="Correctivo",V22="Manual"),"25%",""))))))</f>
        <v/>
      </c>
      <c r="X22" s="113"/>
      <c r="Y22" s="113"/>
      <c r="Z22" s="113"/>
      <c r="AA22" s="108" t="str">
        <f>IFERROR(IF(T22="Probabilidad",(L22-(+L22*W22)),IF(T22="Impacto",L22,"")),"")</f>
        <v/>
      </c>
      <c r="AB22" s="116" t="str">
        <f>IFERROR(IF(AA22="","",IF(AA22&lt;=0.2,"Muy Baja",IF(AA22&lt;=0.4,"Baja",IF(AA22&lt;=0.6,"Media",IF(AA22&lt;=0.8,"Alta","Muy Alta"))))),"")</f>
        <v/>
      </c>
      <c r="AC22" s="117" t="str">
        <f>+AA22</f>
        <v/>
      </c>
      <c r="AD22" s="116" t="str">
        <f>IFERROR(IF(AE22="","",IF(AE22&lt;=0.2,"Leve",IF(AE22&lt;=0.4,"Menor",IF(AE22&lt;=0.6,"Moderado",IF(AE22&lt;=0.8,"Mayor","Catastrófico"))))),"")</f>
        <v/>
      </c>
      <c r="AE22" s="117" t="str">
        <f>IFERROR(IF(T22="Impacto",(P22-(+P22*W22)),IF(T22="Probabilidad",P22,"")),"")</f>
        <v/>
      </c>
      <c r="AF22" s="118"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9"/>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hidden="1" customHeight="1" x14ac:dyDescent="0.25">
      <c r="A23" s="513"/>
      <c r="B23" s="536"/>
      <c r="C23" s="536"/>
      <c r="D23" s="554"/>
      <c r="E23" s="138"/>
      <c r="F23" s="556"/>
      <c r="G23" s="551"/>
      <c r="H23" s="139"/>
      <c r="I23" s="558"/>
      <c r="J23" s="542"/>
      <c r="K23" s="545"/>
      <c r="L23" s="531"/>
      <c r="M23" s="548"/>
      <c r="N23" s="531">
        <f>IF(NOT(ISERROR(MATCH(M23,_xlfn.ANCHORARRAY(F34),0))),L36&amp;"Por favor no seleccionar los criterios de impacto",M23)</f>
        <v>0</v>
      </c>
      <c r="O23" s="545"/>
      <c r="P23" s="531"/>
      <c r="Q23" s="511"/>
      <c r="R23" s="105">
        <v>2</v>
      </c>
      <c r="S23" s="106"/>
      <c r="T23" s="107" t="str">
        <f>IF(OR(U23="Preventivo",U23="Detectivo"),"Probabilidad",IF(U23="Correctivo","Impacto",""))</f>
        <v/>
      </c>
      <c r="U23" s="113"/>
      <c r="V23" s="113"/>
      <c r="W23" s="114" t="str">
        <f t="shared" ref="W23:W27" si="39">IF(AND(U23="Preventivo",V23="Automático"),"50%",IF(AND(U23="Preventivo",V23="Manual"),"40%",IF(AND(U23="Detectivo",V23="Automático"),"40%",IF(AND(U23="Detectivo",V23="Manual"),"30%",IF(AND(U23="Correctivo",V23="Automático"),"35%",IF(AND(U23="Correctivo",V23="Manual"),"25%",""))))))</f>
        <v/>
      </c>
      <c r="X23" s="113"/>
      <c r="Y23" s="113"/>
      <c r="Z23" s="113"/>
      <c r="AA23" s="108" t="str">
        <f>IFERROR(IF(AND(T22="Probabilidad",T23="Probabilidad"),(AC22-(+AC22*W23)),IF(AND(T22="Impacto",T23="Probabilidad"),(L22-(+L22*W23)),IF(T23="Impacto",AC22,""))),"")</f>
        <v/>
      </c>
      <c r="AB23" s="116" t="str">
        <f t="shared" ref="AB23:AB27" si="40">IFERROR(IF(AA23="","",IF(AA23&lt;=0.2,"Muy Baja",IF(AA23&lt;=0.4,"Baja",IF(AA23&lt;=0.6,"Media",IF(AA23&lt;=0.8,"Alta","Muy Alta"))))),"")</f>
        <v/>
      </c>
      <c r="AC23" s="117" t="str">
        <f>+AA23</f>
        <v/>
      </c>
      <c r="AD23" s="116" t="str">
        <f t="shared" ref="AD23:AD27" si="41">IFERROR(IF(AE23="","",IF(AE23&lt;=0.2,"Leve",IF(AE23&lt;=0.4,"Menor",IF(AE23&lt;=0.6,"Moderado",IF(AE23&lt;=0.8,"Mayor","Catastrófico"))))),"")</f>
        <v/>
      </c>
      <c r="AE23" s="117" t="str">
        <f>IFERROR(IF(AND(T22="Impacto",T23="Impacto"),(AE22-(+AE22*W23)),IF(AND(T22="Probabilidad",T23="Impacto"),(P22-(+P22*W23)),IF(T23="Probabilidad",AE22,""))),"")</f>
        <v/>
      </c>
      <c r="AF23" s="118" t="str">
        <f t="shared" ref="AF23:AF27" si="42">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9"/>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hidden="1" customHeight="1" x14ac:dyDescent="0.25">
      <c r="A24" s="513"/>
      <c r="B24" s="536"/>
      <c r="C24" s="536"/>
      <c r="D24" s="554"/>
      <c r="E24" s="138"/>
      <c r="F24" s="556"/>
      <c r="G24" s="551"/>
      <c r="H24" s="139"/>
      <c r="I24" s="558"/>
      <c r="J24" s="542"/>
      <c r="K24" s="545"/>
      <c r="L24" s="531"/>
      <c r="M24" s="548"/>
      <c r="N24" s="531">
        <f>IF(NOT(ISERROR(MATCH(M24,_xlfn.ANCHORARRAY(F35),0))),L37&amp;"Por favor no seleccionar los criterios de impacto",M24)</f>
        <v>0</v>
      </c>
      <c r="O24" s="545"/>
      <c r="P24" s="531"/>
      <c r="Q24" s="511"/>
      <c r="R24" s="105">
        <v>3</v>
      </c>
      <c r="S24" s="112"/>
      <c r="T24" s="107" t="str">
        <f t="shared" ref="T24:T27" si="43">IF(OR(U24="Preventivo",U24="Detectivo"),"Probabilidad",IF(U24="Correctivo","Impacto",""))</f>
        <v/>
      </c>
      <c r="U24" s="113"/>
      <c r="V24" s="113"/>
      <c r="W24" s="114" t="str">
        <f t="shared" si="39"/>
        <v/>
      </c>
      <c r="X24" s="113"/>
      <c r="Y24" s="113"/>
      <c r="Z24" s="113"/>
      <c r="AA24" s="108" t="str">
        <f>IFERROR(IF(AND(T23="Probabilidad",T24="Probabilidad"),(AC23-(+AC23*W24)),IF(AND(T23="Impacto",T24="Probabilidad"),(AC22-(+AC22*W24)),IF(T24="Impacto",AC23,""))),"")</f>
        <v/>
      </c>
      <c r="AB24" s="116" t="str">
        <f t="shared" si="40"/>
        <v/>
      </c>
      <c r="AC24" s="117" t="str">
        <f t="shared" ref="AC24:AC27" si="44">+AA24</f>
        <v/>
      </c>
      <c r="AD24" s="116" t="str">
        <f t="shared" si="41"/>
        <v/>
      </c>
      <c r="AE24" s="117" t="str">
        <f t="shared" ref="AE24:AE27" si="45">IFERROR(IF(AND(T23="Impacto",T24="Impacto"),(AE23-(+AE23*W24)),IF(AND(T23="Probabilidad",T24="Impacto"),(AE22-(+AE22*W24)),IF(T24="Probabilidad",AE23,""))),"")</f>
        <v/>
      </c>
      <c r="AF24" s="118" t="str">
        <f t="shared" si="42"/>
        <v/>
      </c>
      <c r="AG24" s="119"/>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hidden="1" customHeight="1" x14ac:dyDescent="0.25">
      <c r="A25" s="513"/>
      <c r="B25" s="536"/>
      <c r="C25" s="536"/>
      <c r="D25" s="554"/>
      <c r="E25" s="138"/>
      <c r="F25" s="556"/>
      <c r="G25" s="551"/>
      <c r="H25" s="139"/>
      <c r="I25" s="558"/>
      <c r="J25" s="542"/>
      <c r="K25" s="545"/>
      <c r="L25" s="531"/>
      <c r="M25" s="548"/>
      <c r="N25" s="531">
        <f>IF(NOT(ISERROR(MATCH(M25,_xlfn.ANCHORARRAY(F36),0))),L38&amp;"Por favor no seleccionar los criterios de impacto",M25)</f>
        <v>0</v>
      </c>
      <c r="O25" s="545"/>
      <c r="P25" s="531"/>
      <c r="Q25" s="511"/>
      <c r="R25" s="105">
        <v>4</v>
      </c>
      <c r="S25" s="106"/>
      <c r="T25" s="107" t="str">
        <f t="shared" si="43"/>
        <v/>
      </c>
      <c r="U25" s="113"/>
      <c r="V25" s="113"/>
      <c r="W25" s="114" t="str">
        <f t="shared" si="39"/>
        <v/>
      </c>
      <c r="X25" s="113"/>
      <c r="Y25" s="113"/>
      <c r="Z25" s="113"/>
      <c r="AA25" s="108" t="str">
        <f t="shared" ref="AA25:AA27" si="46">IFERROR(IF(AND(T24="Probabilidad",T25="Probabilidad"),(AC24-(+AC24*W25)),IF(AND(T24="Impacto",T25="Probabilidad"),(AC23-(+AC23*W25)),IF(T25="Impacto",AC24,""))),"")</f>
        <v/>
      </c>
      <c r="AB25" s="116" t="str">
        <f t="shared" si="40"/>
        <v/>
      </c>
      <c r="AC25" s="117" t="str">
        <f t="shared" si="44"/>
        <v/>
      </c>
      <c r="AD25" s="116" t="str">
        <f t="shared" si="41"/>
        <v/>
      </c>
      <c r="AE25" s="117" t="str">
        <f t="shared" si="45"/>
        <v/>
      </c>
      <c r="AF25" s="118" t="str">
        <f t="shared" si="42"/>
        <v/>
      </c>
      <c r="AG25" s="119"/>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hidden="1" customHeight="1" x14ac:dyDescent="0.25">
      <c r="A26" s="513"/>
      <c r="B26" s="536"/>
      <c r="C26" s="536"/>
      <c r="D26" s="554"/>
      <c r="E26" s="138"/>
      <c r="F26" s="556"/>
      <c r="G26" s="551"/>
      <c r="H26" s="139"/>
      <c r="I26" s="558"/>
      <c r="J26" s="542"/>
      <c r="K26" s="545"/>
      <c r="L26" s="531"/>
      <c r="M26" s="548"/>
      <c r="N26" s="531">
        <f>IF(NOT(ISERROR(MATCH(M26,_xlfn.ANCHORARRAY(F37),0))),L39&amp;"Por favor no seleccionar los criterios de impacto",M26)</f>
        <v>0</v>
      </c>
      <c r="O26" s="545"/>
      <c r="P26" s="531"/>
      <c r="Q26" s="511"/>
      <c r="R26" s="105">
        <v>5</v>
      </c>
      <c r="S26" s="106"/>
      <c r="T26" s="107" t="str">
        <f t="shared" si="43"/>
        <v/>
      </c>
      <c r="U26" s="113"/>
      <c r="V26" s="113"/>
      <c r="W26" s="114" t="str">
        <f t="shared" si="39"/>
        <v/>
      </c>
      <c r="X26" s="113"/>
      <c r="Y26" s="113"/>
      <c r="Z26" s="113"/>
      <c r="AA26" s="108" t="str">
        <f t="shared" si="46"/>
        <v/>
      </c>
      <c r="AB26" s="116" t="str">
        <f t="shared" si="40"/>
        <v/>
      </c>
      <c r="AC26" s="117" t="str">
        <f t="shared" si="44"/>
        <v/>
      </c>
      <c r="AD26" s="116" t="str">
        <f t="shared" si="41"/>
        <v/>
      </c>
      <c r="AE26" s="117" t="str">
        <f t="shared" si="45"/>
        <v/>
      </c>
      <c r="AF26" s="118" t="str">
        <f t="shared" si="42"/>
        <v/>
      </c>
      <c r="AG26" s="119"/>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hidden="1" customHeight="1" x14ac:dyDescent="0.25">
      <c r="A27" s="534"/>
      <c r="B27" s="537"/>
      <c r="C27" s="537"/>
      <c r="D27" s="555"/>
      <c r="E27" s="138"/>
      <c r="F27" s="556"/>
      <c r="G27" s="552"/>
      <c r="H27" s="139"/>
      <c r="I27" s="559"/>
      <c r="J27" s="543"/>
      <c r="K27" s="546"/>
      <c r="L27" s="532"/>
      <c r="M27" s="549"/>
      <c r="N27" s="532">
        <f>IF(NOT(ISERROR(MATCH(M27,_xlfn.ANCHORARRAY(F38),0))),L40&amp;"Por favor no seleccionar los criterios de impacto",M27)</f>
        <v>0</v>
      </c>
      <c r="O27" s="546"/>
      <c r="P27" s="532"/>
      <c r="Q27" s="533"/>
      <c r="R27" s="105">
        <v>6</v>
      </c>
      <c r="S27" s="106"/>
      <c r="T27" s="107" t="str">
        <f t="shared" si="43"/>
        <v/>
      </c>
      <c r="U27" s="113"/>
      <c r="V27" s="113"/>
      <c r="W27" s="114" t="str">
        <f t="shared" si="39"/>
        <v/>
      </c>
      <c r="X27" s="113"/>
      <c r="Y27" s="113"/>
      <c r="Z27" s="113"/>
      <c r="AA27" s="108" t="str">
        <f t="shared" si="46"/>
        <v/>
      </c>
      <c r="AB27" s="116" t="str">
        <f t="shared" si="40"/>
        <v/>
      </c>
      <c r="AC27" s="117" t="str">
        <f t="shared" si="44"/>
        <v/>
      </c>
      <c r="AD27" s="116" t="str">
        <f t="shared" si="41"/>
        <v/>
      </c>
      <c r="AE27" s="117" t="str">
        <f t="shared" si="45"/>
        <v/>
      </c>
      <c r="AF27" s="118" t="str">
        <f t="shared" si="42"/>
        <v/>
      </c>
      <c r="AG27" s="119"/>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hidden="1" customHeight="1" x14ac:dyDescent="0.25">
      <c r="A28" s="512">
        <v>5</v>
      </c>
      <c r="B28" s="535"/>
      <c r="C28" s="535"/>
      <c r="D28" s="553"/>
      <c r="E28" s="138"/>
      <c r="F28" s="556"/>
      <c r="G28" s="550"/>
      <c r="H28" s="139"/>
      <c r="I28" s="557"/>
      <c r="J28" s="541"/>
      <c r="K28" s="544" t="str">
        <f t="shared" ref="K28" si="47">IF(J28&lt;=0,"",IF(J28&lt;=2,"Muy Baja",IF(J28&lt;=24,"Baja",IF(J28&lt;=500,"Media",IF(J28&lt;=5000,"Alta","Muy Alta")))))</f>
        <v/>
      </c>
      <c r="L28" s="530" t="str">
        <f t="shared" ref="L28" si="48">IF(K28="","",IF(K28="Muy Baja",0.2,IF(K28="Baja",0.4,IF(K28="Media",0.6,IF(K28="Alta",0.8,IF(K28="Muy Alta",1,))))))</f>
        <v/>
      </c>
      <c r="M28" s="547"/>
      <c r="N28" s="530">
        <f>IF(NOT(ISERROR(MATCH(M28,'Tabla Impacto'!$B$221:$B$223,0))),'Tabla Impacto'!$F$223&amp;"Por favor no seleccionar los criterios de impacto(Afectación Económica o presupuestal y Pérdida Reputacional)",M28)</f>
        <v>0</v>
      </c>
      <c r="O28" s="544" t="str">
        <f>IF(OR(N28='Tabla Impacto'!$C$11,N28='Tabla Impacto'!$D$11),"Leve",IF(OR(N28='Tabla Impacto'!$C$12,N28='Tabla Impacto'!$D$12),"Menor",IF(OR(N28='Tabla Impacto'!$C$13,N28='Tabla Impacto'!$D$13),"Moderado",IF(OR(N28='Tabla Impacto'!$C$14,N28='Tabla Impacto'!$D$14),"Mayor",IF(OR(N28='Tabla Impacto'!$C$15,N28='Tabla Impacto'!$D$15),"Catastrófico","")))))</f>
        <v/>
      </c>
      <c r="P28" s="530" t="str">
        <f t="shared" ref="P28" si="49">IF(O28="","",IF(O28="Leve",0.2,IF(O28="Menor",0.4,IF(O28="Moderado",0.6,IF(O28="Mayor",0.8,IF(O28="Catastrófico",1,))))))</f>
        <v/>
      </c>
      <c r="Q28" s="510" t="str">
        <f t="shared" ref="Q28" si="50">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3"/>
      <c r="V28" s="113"/>
      <c r="W28" s="114" t="str">
        <f>IF(AND(U28="Preventivo",V28="Automático"),"50%",IF(AND(U28="Preventivo",V28="Manual"),"40%",IF(AND(U28="Detectivo",V28="Automático"),"40%",IF(AND(U28="Detectivo",V28="Manual"),"30%",IF(AND(U28="Correctivo",V28="Automático"),"35%",IF(AND(U28="Correctivo",V28="Manual"),"25%",""))))))</f>
        <v/>
      </c>
      <c r="X28" s="113"/>
      <c r="Y28" s="113"/>
      <c r="Z28" s="113"/>
      <c r="AA28" s="108" t="str">
        <f>IFERROR(IF(T28="Probabilidad",(L28-(+L28*W28)),IF(T28="Impacto",L28,"")),"")</f>
        <v/>
      </c>
      <c r="AB28" s="116" t="str">
        <f>IFERROR(IF(AA28="","",IF(AA28&lt;=0.2,"Muy Baja",IF(AA28&lt;=0.4,"Baja",IF(AA28&lt;=0.6,"Media",IF(AA28&lt;=0.8,"Alta","Muy Alta"))))),"")</f>
        <v/>
      </c>
      <c r="AC28" s="117" t="str">
        <f>+AA28</f>
        <v/>
      </c>
      <c r="AD28" s="116" t="str">
        <f>IFERROR(IF(AE28="","",IF(AE28&lt;=0.2,"Leve",IF(AE28&lt;=0.4,"Menor",IF(AE28&lt;=0.6,"Moderado",IF(AE28&lt;=0.8,"Mayor","Catastrófico"))))),"")</f>
        <v/>
      </c>
      <c r="AE28" s="117" t="str">
        <f>IFERROR(IF(T28="Impacto",(P28-(+P28*W28)),IF(T28="Probabilidad",P28,"")),"")</f>
        <v/>
      </c>
      <c r="AF28" s="118"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9"/>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hidden="1" customHeight="1" x14ac:dyDescent="0.25">
      <c r="A29" s="513"/>
      <c r="B29" s="536"/>
      <c r="C29" s="536"/>
      <c r="D29" s="554"/>
      <c r="E29" s="138"/>
      <c r="F29" s="556"/>
      <c r="G29" s="551"/>
      <c r="H29" s="139"/>
      <c r="I29" s="558"/>
      <c r="J29" s="542"/>
      <c r="K29" s="545"/>
      <c r="L29" s="531"/>
      <c r="M29" s="548"/>
      <c r="N29" s="531">
        <f>IF(NOT(ISERROR(MATCH(M29,_xlfn.ANCHORARRAY(F40),0))),L42&amp;"Por favor no seleccionar los criterios de impacto",M29)</f>
        <v>0</v>
      </c>
      <c r="O29" s="545"/>
      <c r="P29" s="531"/>
      <c r="Q29" s="511"/>
      <c r="R29" s="105">
        <v>2</v>
      </c>
      <c r="S29" s="106"/>
      <c r="T29" s="107" t="str">
        <f>IF(OR(U29="Preventivo",U29="Detectivo"),"Probabilidad",IF(U29="Correctivo","Impacto",""))</f>
        <v/>
      </c>
      <c r="U29" s="113"/>
      <c r="V29" s="113"/>
      <c r="W29" s="114" t="str">
        <f t="shared" ref="W29:W33" si="51">IF(AND(U29="Preventivo",V29="Automático"),"50%",IF(AND(U29="Preventivo",V29="Manual"),"40%",IF(AND(U29="Detectivo",V29="Automático"),"40%",IF(AND(U29="Detectivo",V29="Manual"),"30%",IF(AND(U29="Correctivo",V29="Automático"),"35%",IF(AND(U29="Correctivo",V29="Manual"),"25%",""))))))</f>
        <v/>
      </c>
      <c r="X29" s="113"/>
      <c r="Y29" s="113"/>
      <c r="Z29" s="113"/>
      <c r="AA29" s="108" t="str">
        <f>IFERROR(IF(AND(T28="Probabilidad",T29="Probabilidad"),(AC28-(+AC28*W29)),IF(AND(T28="Impacto",T29="Probabilidad"),(L28-(+L28*W29)),IF(T29="Impacto",AC28,""))),"")</f>
        <v/>
      </c>
      <c r="AB29" s="116" t="str">
        <f t="shared" ref="AB29:AB33" si="52">IFERROR(IF(AA29="","",IF(AA29&lt;=0.2,"Muy Baja",IF(AA29&lt;=0.4,"Baja",IF(AA29&lt;=0.6,"Media",IF(AA29&lt;=0.8,"Alta","Muy Alta"))))),"")</f>
        <v/>
      </c>
      <c r="AC29" s="117" t="str">
        <f>+AA29</f>
        <v/>
      </c>
      <c r="AD29" s="116" t="str">
        <f t="shared" ref="AD29:AD33" si="53">IFERROR(IF(AE29="","",IF(AE29&lt;=0.2,"Leve",IF(AE29&lt;=0.4,"Menor",IF(AE29&lt;=0.6,"Moderado",IF(AE29&lt;=0.8,"Mayor","Catastrófico"))))),"")</f>
        <v/>
      </c>
      <c r="AE29" s="117" t="str">
        <f>IFERROR(IF(AND(T28="Impacto",T29="Impacto"),(AE28-(+AE28*W29)),IF(AND(T28="Probabilidad",T29="Impacto"),(P28-(+P28*W29)),IF(T29="Probabilidad",AE28,""))),"")</f>
        <v/>
      </c>
      <c r="AF29" s="118" t="str">
        <f t="shared" ref="AF29:AF33" si="54">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9"/>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hidden="1" customHeight="1" x14ac:dyDescent="0.25">
      <c r="A30" s="513"/>
      <c r="B30" s="536"/>
      <c r="C30" s="536"/>
      <c r="D30" s="554"/>
      <c r="E30" s="138"/>
      <c r="F30" s="556"/>
      <c r="G30" s="551"/>
      <c r="H30" s="139"/>
      <c r="I30" s="558"/>
      <c r="J30" s="542"/>
      <c r="K30" s="545"/>
      <c r="L30" s="531"/>
      <c r="M30" s="548"/>
      <c r="N30" s="531">
        <f>IF(NOT(ISERROR(MATCH(M30,_xlfn.ANCHORARRAY(F41),0))),L43&amp;"Por favor no seleccionar los criterios de impacto",M30)</f>
        <v>0</v>
      </c>
      <c r="O30" s="545"/>
      <c r="P30" s="531"/>
      <c r="Q30" s="511"/>
      <c r="R30" s="105">
        <v>3</v>
      </c>
      <c r="S30" s="112"/>
      <c r="T30" s="107" t="str">
        <f t="shared" ref="T30:T33" si="55">IF(OR(U30="Preventivo",U30="Detectivo"),"Probabilidad",IF(U30="Correctivo","Impacto",""))</f>
        <v/>
      </c>
      <c r="U30" s="113"/>
      <c r="V30" s="113"/>
      <c r="W30" s="114" t="str">
        <f t="shared" si="51"/>
        <v/>
      </c>
      <c r="X30" s="113"/>
      <c r="Y30" s="113"/>
      <c r="Z30" s="113"/>
      <c r="AA30" s="108" t="str">
        <f>IFERROR(IF(AND(T29="Probabilidad",T30="Probabilidad"),(AC29-(+AC29*W30)),IF(AND(T29="Impacto",T30="Probabilidad"),(AC28-(+AC28*W30)),IF(T30="Impacto",AC29,""))),"")</f>
        <v/>
      </c>
      <c r="AB30" s="116" t="str">
        <f t="shared" si="52"/>
        <v/>
      </c>
      <c r="AC30" s="117" t="str">
        <f t="shared" ref="AC30:AC33" si="56">+AA30</f>
        <v/>
      </c>
      <c r="AD30" s="116" t="str">
        <f t="shared" si="53"/>
        <v/>
      </c>
      <c r="AE30" s="117" t="str">
        <f t="shared" ref="AE30:AE33" si="57">IFERROR(IF(AND(T29="Impacto",T30="Impacto"),(AE29-(+AE29*W30)),IF(AND(T29="Probabilidad",T30="Impacto"),(AE28-(+AE28*W30)),IF(T30="Probabilidad",AE29,""))),"")</f>
        <v/>
      </c>
      <c r="AF30" s="118" t="str">
        <f t="shared" si="54"/>
        <v/>
      </c>
      <c r="AG30" s="119"/>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hidden="1" customHeight="1" x14ac:dyDescent="0.25">
      <c r="A31" s="513"/>
      <c r="B31" s="536"/>
      <c r="C31" s="536"/>
      <c r="D31" s="554"/>
      <c r="E31" s="138"/>
      <c r="F31" s="556"/>
      <c r="G31" s="551"/>
      <c r="H31" s="139"/>
      <c r="I31" s="558"/>
      <c r="J31" s="542"/>
      <c r="K31" s="545"/>
      <c r="L31" s="531"/>
      <c r="M31" s="548"/>
      <c r="N31" s="531">
        <f>IF(NOT(ISERROR(MATCH(M31,_xlfn.ANCHORARRAY(F42),0))),L44&amp;"Por favor no seleccionar los criterios de impacto",M31)</f>
        <v>0</v>
      </c>
      <c r="O31" s="545"/>
      <c r="P31" s="531"/>
      <c r="Q31" s="511"/>
      <c r="R31" s="105">
        <v>4</v>
      </c>
      <c r="S31" s="106"/>
      <c r="T31" s="107" t="str">
        <f t="shared" si="55"/>
        <v/>
      </c>
      <c r="U31" s="113"/>
      <c r="V31" s="113"/>
      <c r="W31" s="114" t="str">
        <f t="shared" si="51"/>
        <v/>
      </c>
      <c r="X31" s="113"/>
      <c r="Y31" s="113"/>
      <c r="Z31" s="113"/>
      <c r="AA31" s="108" t="str">
        <f t="shared" ref="AA31:AA33" si="58">IFERROR(IF(AND(T30="Probabilidad",T31="Probabilidad"),(AC30-(+AC30*W31)),IF(AND(T30="Impacto",T31="Probabilidad"),(AC29-(+AC29*W31)),IF(T31="Impacto",AC30,""))),"")</f>
        <v/>
      </c>
      <c r="AB31" s="116" t="str">
        <f t="shared" si="52"/>
        <v/>
      </c>
      <c r="AC31" s="117" t="str">
        <f t="shared" si="56"/>
        <v/>
      </c>
      <c r="AD31" s="116" t="str">
        <f t="shared" si="53"/>
        <v/>
      </c>
      <c r="AE31" s="117" t="str">
        <f t="shared" si="57"/>
        <v/>
      </c>
      <c r="AF31" s="118" t="str">
        <f t="shared" si="54"/>
        <v/>
      </c>
      <c r="AG31" s="119"/>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hidden="1" customHeight="1" x14ac:dyDescent="0.25">
      <c r="A32" s="513"/>
      <c r="B32" s="536"/>
      <c r="C32" s="536"/>
      <c r="D32" s="554"/>
      <c r="E32" s="138"/>
      <c r="F32" s="556"/>
      <c r="G32" s="551"/>
      <c r="H32" s="139"/>
      <c r="I32" s="558"/>
      <c r="J32" s="542"/>
      <c r="K32" s="545"/>
      <c r="L32" s="531"/>
      <c r="M32" s="548"/>
      <c r="N32" s="531">
        <f>IF(NOT(ISERROR(MATCH(M32,_xlfn.ANCHORARRAY(F43),0))),L45&amp;"Por favor no seleccionar los criterios de impacto",M32)</f>
        <v>0</v>
      </c>
      <c r="O32" s="545"/>
      <c r="P32" s="531"/>
      <c r="Q32" s="511"/>
      <c r="R32" s="105">
        <v>5</v>
      </c>
      <c r="S32" s="106"/>
      <c r="T32" s="107" t="str">
        <f t="shared" si="55"/>
        <v/>
      </c>
      <c r="U32" s="113"/>
      <c r="V32" s="113"/>
      <c r="W32" s="114" t="str">
        <f t="shared" si="51"/>
        <v/>
      </c>
      <c r="X32" s="113"/>
      <c r="Y32" s="113"/>
      <c r="Z32" s="113"/>
      <c r="AA32" s="108" t="str">
        <f t="shared" si="58"/>
        <v/>
      </c>
      <c r="AB32" s="116" t="str">
        <f t="shared" si="52"/>
        <v/>
      </c>
      <c r="AC32" s="117" t="str">
        <f t="shared" si="56"/>
        <v/>
      </c>
      <c r="AD32" s="116" t="str">
        <f t="shared" si="53"/>
        <v/>
      </c>
      <c r="AE32" s="117" t="str">
        <f t="shared" si="57"/>
        <v/>
      </c>
      <c r="AF32" s="118" t="str">
        <f t="shared" si="54"/>
        <v/>
      </c>
      <c r="AG32" s="119"/>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hidden="1" customHeight="1" x14ac:dyDescent="0.25">
      <c r="A33" s="534"/>
      <c r="B33" s="537"/>
      <c r="C33" s="537"/>
      <c r="D33" s="555"/>
      <c r="E33" s="138"/>
      <c r="F33" s="556"/>
      <c r="G33" s="552"/>
      <c r="H33" s="139"/>
      <c r="I33" s="559"/>
      <c r="J33" s="543"/>
      <c r="K33" s="546"/>
      <c r="L33" s="532"/>
      <c r="M33" s="549"/>
      <c r="N33" s="532">
        <f>IF(NOT(ISERROR(MATCH(M33,_xlfn.ANCHORARRAY(F44),0))),L46&amp;"Por favor no seleccionar los criterios de impacto",M33)</f>
        <v>0</v>
      </c>
      <c r="O33" s="546"/>
      <c r="P33" s="532"/>
      <c r="Q33" s="533"/>
      <c r="R33" s="105">
        <v>6</v>
      </c>
      <c r="S33" s="106"/>
      <c r="T33" s="107" t="str">
        <f t="shared" si="55"/>
        <v/>
      </c>
      <c r="U33" s="113"/>
      <c r="V33" s="113"/>
      <c r="W33" s="114" t="str">
        <f t="shared" si="51"/>
        <v/>
      </c>
      <c r="X33" s="113"/>
      <c r="Y33" s="113"/>
      <c r="Z33" s="113"/>
      <c r="AA33" s="108" t="str">
        <f t="shared" si="58"/>
        <v/>
      </c>
      <c r="AB33" s="116" t="str">
        <f t="shared" si="52"/>
        <v/>
      </c>
      <c r="AC33" s="117" t="str">
        <f t="shared" si="56"/>
        <v/>
      </c>
      <c r="AD33" s="116" t="str">
        <f t="shared" si="53"/>
        <v/>
      </c>
      <c r="AE33" s="117" t="str">
        <f t="shared" si="57"/>
        <v/>
      </c>
      <c r="AF33" s="118" t="str">
        <f t="shared" si="54"/>
        <v/>
      </c>
      <c r="AG33" s="119"/>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hidden="1" customHeight="1" x14ac:dyDescent="0.25">
      <c r="A34" s="512">
        <v>6</v>
      </c>
      <c r="B34" s="535"/>
      <c r="C34" s="535"/>
      <c r="D34" s="553"/>
      <c r="E34" s="138"/>
      <c r="F34" s="556"/>
      <c r="G34" s="550"/>
      <c r="H34" s="139"/>
      <c r="I34" s="557"/>
      <c r="J34" s="541"/>
      <c r="K34" s="544" t="str">
        <f t="shared" ref="K34" si="59">IF(J34&lt;=0,"",IF(J34&lt;=2,"Muy Baja",IF(J34&lt;=24,"Baja",IF(J34&lt;=500,"Media",IF(J34&lt;=5000,"Alta","Muy Alta")))))</f>
        <v/>
      </c>
      <c r="L34" s="530" t="str">
        <f t="shared" ref="L34" si="60">IF(K34="","",IF(K34="Muy Baja",0.2,IF(K34="Baja",0.4,IF(K34="Media",0.6,IF(K34="Alta",0.8,IF(K34="Muy Alta",1,))))))</f>
        <v/>
      </c>
      <c r="M34" s="547"/>
      <c r="N34" s="530">
        <f>IF(NOT(ISERROR(MATCH(M34,'Tabla Impacto'!$B$221:$B$223,0))),'Tabla Impacto'!$F$223&amp;"Por favor no seleccionar los criterios de impacto(Afectación Económica o presupuestal y Pérdida Reputacional)",M34)</f>
        <v>0</v>
      </c>
      <c r="O34" s="544" t="str">
        <f>IF(OR(N34='Tabla Impacto'!$C$11,N34='Tabla Impacto'!$D$11),"Leve",IF(OR(N34='Tabla Impacto'!$C$12,N34='Tabla Impacto'!$D$12),"Menor",IF(OR(N34='Tabla Impacto'!$C$13,N34='Tabla Impacto'!$D$13),"Moderado",IF(OR(N34='Tabla Impacto'!$C$14,N34='Tabla Impacto'!$D$14),"Mayor",IF(OR(N34='Tabla Impacto'!$C$15,N34='Tabla Impacto'!$D$15),"Catastrófico","")))))</f>
        <v/>
      </c>
      <c r="P34" s="530" t="str">
        <f t="shared" ref="P34" si="61">IF(O34="","",IF(O34="Leve",0.2,IF(O34="Menor",0.4,IF(O34="Moderado",0.6,IF(O34="Mayor",0.8,IF(O34="Catastrófico",1,))))))</f>
        <v/>
      </c>
      <c r="Q34" s="510" t="str">
        <f t="shared" ref="Q34" si="62">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3"/>
      <c r="V34" s="113"/>
      <c r="W34" s="114" t="str">
        <f>IF(AND(U34="Preventivo",V34="Automático"),"50%",IF(AND(U34="Preventivo",V34="Manual"),"40%",IF(AND(U34="Detectivo",V34="Automático"),"40%",IF(AND(U34="Detectivo",V34="Manual"),"30%",IF(AND(U34="Correctivo",V34="Automático"),"35%",IF(AND(U34="Correctivo",V34="Manual"),"25%",""))))))</f>
        <v/>
      </c>
      <c r="X34" s="113"/>
      <c r="Y34" s="113"/>
      <c r="Z34" s="113"/>
      <c r="AA34" s="108" t="str">
        <f>IFERROR(IF(T34="Probabilidad",(L34-(+L34*W34)),IF(T34="Impacto",L34,"")),"")</f>
        <v/>
      </c>
      <c r="AB34" s="116" t="str">
        <f>IFERROR(IF(AA34="","",IF(AA34&lt;=0.2,"Muy Baja",IF(AA34&lt;=0.4,"Baja",IF(AA34&lt;=0.6,"Media",IF(AA34&lt;=0.8,"Alta","Muy Alta"))))),"")</f>
        <v/>
      </c>
      <c r="AC34" s="117" t="str">
        <f>+AA34</f>
        <v/>
      </c>
      <c r="AD34" s="116" t="str">
        <f>IFERROR(IF(AE34="","",IF(AE34&lt;=0.2,"Leve",IF(AE34&lt;=0.4,"Menor",IF(AE34&lt;=0.6,"Moderado",IF(AE34&lt;=0.8,"Mayor","Catastrófico"))))),"")</f>
        <v/>
      </c>
      <c r="AE34" s="117" t="str">
        <f>IFERROR(IF(T34="Impacto",(P34-(+P34*W34)),IF(T34="Probabilidad",P34,"")),"")</f>
        <v/>
      </c>
      <c r="AF34" s="118"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9"/>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hidden="1" customHeight="1" x14ac:dyDescent="0.25">
      <c r="A35" s="513"/>
      <c r="B35" s="536"/>
      <c r="C35" s="536"/>
      <c r="D35" s="554"/>
      <c r="E35" s="138"/>
      <c r="F35" s="556"/>
      <c r="G35" s="551"/>
      <c r="H35" s="139"/>
      <c r="I35" s="558"/>
      <c r="J35" s="542"/>
      <c r="K35" s="545"/>
      <c r="L35" s="531"/>
      <c r="M35" s="548"/>
      <c r="N35" s="531">
        <f>IF(NOT(ISERROR(MATCH(M35,_xlfn.ANCHORARRAY(F46),0))),L48&amp;"Por favor no seleccionar los criterios de impacto",M35)</f>
        <v>0</v>
      </c>
      <c r="O35" s="545"/>
      <c r="P35" s="531"/>
      <c r="Q35" s="511"/>
      <c r="R35" s="105">
        <v>2</v>
      </c>
      <c r="S35" s="106"/>
      <c r="T35" s="107" t="str">
        <f>IF(OR(U35="Preventivo",U35="Detectivo"),"Probabilidad",IF(U35="Correctivo","Impacto",""))</f>
        <v/>
      </c>
      <c r="U35" s="113"/>
      <c r="V35" s="113"/>
      <c r="W35" s="114" t="str">
        <f t="shared" ref="W35:W39" si="63">IF(AND(U35="Preventivo",V35="Automático"),"50%",IF(AND(U35="Preventivo",V35="Manual"),"40%",IF(AND(U35="Detectivo",V35="Automático"),"40%",IF(AND(U35="Detectivo",V35="Manual"),"30%",IF(AND(U35="Correctivo",V35="Automático"),"35%",IF(AND(U35="Correctivo",V35="Manual"),"25%",""))))))</f>
        <v/>
      </c>
      <c r="X35" s="113"/>
      <c r="Y35" s="113"/>
      <c r="Z35" s="113"/>
      <c r="AA35" s="108" t="str">
        <f>IFERROR(IF(AND(T34="Probabilidad",T35="Probabilidad"),(AC34-(+AC34*W35)),IF(AND(T34="Impacto",T35="Probabilidad"),(L34-(+L34*W35)),IF(T35="Impacto",AC34,""))),"")</f>
        <v/>
      </c>
      <c r="AB35" s="116" t="str">
        <f t="shared" ref="AB35:AB39" si="64">IFERROR(IF(AA35="","",IF(AA35&lt;=0.2,"Muy Baja",IF(AA35&lt;=0.4,"Baja",IF(AA35&lt;=0.6,"Media",IF(AA35&lt;=0.8,"Alta","Muy Alta"))))),"")</f>
        <v/>
      </c>
      <c r="AC35" s="117" t="str">
        <f>+AA35</f>
        <v/>
      </c>
      <c r="AD35" s="116" t="str">
        <f t="shared" ref="AD35:AD39" si="65">IFERROR(IF(AE35="","",IF(AE35&lt;=0.2,"Leve",IF(AE35&lt;=0.4,"Menor",IF(AE35&lt;=0.6,"Moderado",IF(AE35&lt;=0.8,"Mayor","Catastrófico"))))),"")</f>
        <v/>
      </c>
      <c r="AE35" s="117" t="str">
        <f>IFERROR(IF(AND(T34="Impacto",T35="Impacto"),(AE34-(+AE34*W35)),IF(AND(T34="Probabilidad",T35="Impacto"),(P34-(+P34*W35)),IF(T35="Probabilidad",AE34,""))),"")</f>
        <v/>
      </c>
      <c r="AF35" s="118" t="str">
        <f t="shared" ref="AF35:AF39" si="66">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9"/>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hidden="1" customHeight="1" x14ac:dyDescent="0.25">
      <c r="A36" s="513"/>
      <c r="B36" s="536"/>
      <c r="C36" s="536"/>
      <c r="D36" s="554"/>
      <c r="E36" s="138"/>
      <c r="F36" s="556"/>
      <c r="G36" s="551"/>
      <c r="H36" s="139"/>
      <c r="I36" s="558"/>
      <c r="J36" s="542"/>
      <c r="K36" s="545"/>
      <c r="L36" s="531"/>
      <c r="M36" s="548"/>
      <c r="N36" s="531">
        <f>IF(NOT(ISERROR(MATCH(M36,_xlfn.ANCHORARRAY(F47),0))),L49&amp;"Por favor no seleccionar los criterios de impacto",M36)</f>
        <v>0</v>
      </c>
      <c r="O36" s="545"/>
      <c r="P36" s="531"/>
      <c r="Q36" s="511"/>
      <c r="R36" s="105">
        <v>3</v>
      </c>
      <c r="S36" s="112"/>
      <c r="T36" s="107" t="str">
        <f t="shared" ref="T36:T39" si="67">IF(OR(U36="Preventivo",U36="Detectivo"),"Probabilidad",IF(U36="Correctivo","Impacto",""))</f>
        <v/>
      </c>
      <c r="U36" s="113"/>
      <c r="V36" s="113"/>
      <c r="W36" s="114" t="str">
        <f t="shared" si="63"/>
        <v/>
      </c>
      <c r="X36" s="113"/>
      <c r="Y36" s="113"/>
      <c r="Z36" s="113"/>
      <c r="AA36" s="108" t="str">
        <f>IFERROR(IF(AND(T35="Probabilidad",T36="Probabilidad"),(AC35-(+AC35*W36)),IF(AND(T35="Impacto",T36="Probabilidad"),(AC34-(+AC34*W36)),IF(T36="Impacto",AC35,""))),"")</f>
        <v/>
      </c>
      <c r="AB36" s="116" t="str">
        <f t="shared" si="64"/>
        <v/>
      </c>
      <c r="AC36" s="117" t="str">
        <f t="shared" ref="AC36:AC39" si="68">+AA36</f>
        <v/>
      </c>
      <c r="AD36" s="116" t="str">
        <f t="shared" si="65"/>
        <v/>
      </c>
      <c r="AE36" s="117" t="str">
        <f t="shared" ref="AE36:AE39" si="69">IFERROR(IF(AND(T35="Impacto",T36="Impacto"),(AE35-(+AE35*W36)),IF(AND(T35="Probabilidad",T36="Impacto"),(AE34-(+AE34*W36)),IF(T36="Probabilidad",AE35,""))),"")</f>
        <v/>
      </c>
      <c r="AF36" s="118" t="str">
        <f t="shared" si="66"/>
        <v/>
      </c>
      <c r="AG36" s="119"/>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hidden="1" customHeight="1" x14ac:dyDescent="0.25">
      <c r="A37" s="513"/>
      <c r="B37" s="536"/>
      <c r="C37" s="536"/>
      <c r="D37" s="554"/>
      <c r="E37" s="138"/>
      <c r="F37" s="556"/>
      <c r="G37" s="551"/>
      <c r="H37" s="139"/>
      <c r="I37" s="558"/>
      <c r="J37" s="542"/>
      <c r="K37" s="545"/>
      <c r="L37" s="531"/>
      <c r="M37" s="548"/>
      <c r="N37" s="531">
        <f>IF(NOT(ISERROR(MATCH(M37,_xlfn.ANCHORARRAY(F48),0))),L50&amp;"Por favor no seleccionar los criterios de impacto",M37)</f>
        <v>0</v>
      </c>
      <c r="O37" s="545"/>
      <c r="P37" s="531"/>
      <c r="Q37" s="511"/>
      <c r="R37" s="105">
        <v>4</v>
      </c>
      <c r="S37" s="106"/>
      <c r="T37" s="107" t="str">
        <f t="shared" si="67"/>
        <v/>
      </c>
      <c r="U37" s="113"/>
      <c r="V37" s="113"/>
      <c r="W37" s="114" t="str">
        <f t="shared" si="63"/>
        <v/>
      </c>
      <c r="X37" s="113"/>
      <c r="Y37" s="113"/>
      <c r="Z37" s="113"/>
      <c r="AA37" s="108" t="str">
        <f t="shared" ref="AA37:AA39" si="70">IFERROR(IF(AND(T36="Probabilidad",T37="Probabilidad"),(AC36-(+AC36*W37)),IF(AND(T36="Impacto",T37="Probabilidad"),(AC35-(+AC35*W37)),IF(T37="Impacto",AC36,""))),"")</f>
        <v/>
      </c>
      <c r="AB37" s="116" t="str">
        <f t="shared" si="64"/>
        <v/>
      </c>
      <c r="AC37" s="117" t="str">
        <f t="shared" si="68"/>
        <v/>
      </c>
      <c r="AD37" s="116" t="str">
        <f t="shared" si="65"/>
        <v/>
      </c>
      <c r="AE37" s="117" t="str">
        <f t="shared" si="69"/>
        <v/>
      </c>
      <c r="AF37" s="118" t="str">
        <f t="shared" si="66"/>
        <v/>
      </c>
      <c r="AG37" s="119"/>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hidden="1" customHeight="1" x14ac:dyDescent="0.25">
      <c r="A38" s="513"/>
      <c r="B38" s="536"/>
      <c r="C38" s="536"/>
      <c r="D38" s="554"/>
      <c r="E38" s="138"/>
      <c r="F38" s="556"/>
      <c r="G38" s="551"/>
      <c r="H38" s="139"/>
      <c r="I38" s="558"/>
      <c r="J38" s="542"/>
      <c r="K38" s="545"/>
      <c r="L38" s="531"/>
      <c r="M38" s="548"/>
      <c r="N38" s="531">
        <f>IF(NOT(ISERROR(MATCH(M38,_xlfn.ANCHORARRAY(F49),0))),L51&amp;"Por favor no seleccionar los criterios de impacto",M38)</f>
        <v>0</v>
      </c>
      <c r="O38" s="545"/>
      <c r="P38" s="531"/>
      <c r="Q38" s="511"/>
      <c r="R38" s="105">
        <v>5</v>
      </c>
      <c r="S38" s="106"/>
      <c r="T38" s="107" t="str">
        <f t="shared" si="67"/>
        <v/>
      </c>
      <c r="U38" s="113"/>
      <c r="V38" s="113"/>
      <c r="W38" s="114" t="str">
        <f t="shared" si="63"/>
        <v/>
      </c>
      <c r="X38" s="113"/>
      <c r="Y38" s="113"/>
      <c r="Z38" s="113"/>
      <c r="AA38" s="108" t="str">
        <f t="shared" si="70"/>
        <v/>
      </c>
      <c r="AB38" s="116" t="str">
        <f t="shared" si="64"/>
        <v/>
      </c>
      <c r="AC38" s="117" t="str">
        <f t="shared" si="68"/>
        <v/>
      </c>
      <c r="AD38" s="116" t="str">
        <f t="shared" si="65"/>
        <v/>
      </c>
      <c r="AE38" s="117" t="str">
        <f t="shared" si="69"/>
        <v/>
      </c>
      <c r="AF38" s="118" t="str">
        <f t="shared" si="66"/>
        <v/>
      </c>
      <c r="AG38" s="119"/>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hidden="1" customHeight="1" x14ac:dyDescent="0.25">
      <c r="A39" s="534"/>
      <c r="B39" s="537"/>
      <c r="C39" s="537"/>
      <c r="D39" s="555"/>
      <c r="E39" s="138"/>
      <c r="F39" s="556"/>
      <c r="G39" s="552"/>
      <c r="H39" s="139"/>
      <c r="I39" s="559"/>
      <c r="J39" s="543"/>
      <c r="K39" s="546"/>
      <c r="L39" s="532"/>
      <c r="M39" s="549"/>
      <c r="N39" s="532">
        <f>IF(NOT(ISERROR(MATCH(M39,_xlfn.ANCHORARRAY(F50),0))),L52&amp;"Por favor no seleccionar los criterios de impacto",M39)</f>
        <v>0</v>
      </c>
      <c r="O39" s="546"/>
      <c r="P39" s="532"/>
      <c r="Q39" s="533"/>
      <c r="R39" s="105">
        <v>6</v>
      </c>
      <c r="S39" s="106"/>
      <c r="T39" s="107" t="str">
        <f t="shared" si="67"/>
        <v/>
      </c>
      <c r="U39" s="113"/>
      <c r="V39" s="113"/>
      <c r="W39" s="114" t="str">
        <f t="shared" si="63"/>
        <v/>
      </c>
      <c r="X39" s="113"/>
      <c r="Y39" s="113"/>
      <c r="Z39" s="113"/>
      <c r="AA39" s="108" t="str">
        <f t="shared" si="70"/>
        <v/>
      </c>
      <c r="AB39" s="116" t="str">
        <f t="shared" si="64"/>
        <v/>
      </c>
      <c r="AC39" s="117" t="str">
        <f t="shared" si="68"/>
        <v/>
      </c>
      <c r="AD39" s="116" t="str">
        <f t="shared" si="65"/>
        <v/>
      </c>
      <c r="AE39" s="117" t="str">
        <f t="shared" si="69"/>
        <v/>
      </c>
      <c r="AF39" s="118" t="str">
        <f t="shared" si="66"/>
        <v/>
      </c>
      <c r="AG39" s="119"/>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hidden="1" customHeight="1" x14ac:dyDescent="0.25">
      <c r="A40" s="512">
        <v>7</v>
      </c>
      <c r="B40" s="535"/>
      <c r="C40" s="535"/>
      <c r="D40" s="535"/>
      <c r="E40" s="121"/>
      <c r="F40" s="539"/>
      <c r="G40" s="550"/>
      <c r="H40" s="124"/>
      <c r="I40" s="535"/>
      <c r="J40" s="541"/>
      <c r="K40" s="544" t="str">
        <f t="shared" ref="K40" si="71">IF(J40&lt;=0,"",IF(J40&lt;=2,"Muy Baja",IF(J40&lt;=24,"Baja",IF(J40&lt;=500,"Media",IF(J40&lt;=5000,"Alta","Muy Alta")))))</f>
        <v/>
      </c>
      <c r="L40" s="530" t="str">
        <f t="shared" ref="L40" si="72">IF(K40="","",IF(K40="Muy Baja",0.2,IF(K40="Baja",0.4,IF(K40="Media",0.6,IF(K40="Alta",0.8,IF(K40="Muy Alta",1,))))))</f>
        <v/>
      </c>
      <c r="M40" s="547"/>
      <c r="N40" s="530">
        <f>IF(NOT(ISERROR(MATCH(M40,'Tabla Impacto'!$B$221:$B$223,0))),'Tabla Impacto'!$F$223&amp;"Por favor no seleccionar los criterios de impacto(Afectación Económica o presupuestal y Pérdida Reputacional)",M40)</f>
        <v>0</v>
      </c>
      <c r="O40" s="544" t="str">
        <f>IF(OR(N40='Tabla Impacto'!$C$11,N40='Tabla Impacto'!$D$11),"Leve",IF(OR(N40='Tabla Impacto'!$C$12,N40='Tabla Impacto'!$D$12),"Menor",IF(OR(N40='Tabla Impacto'!$C$13,N40='Tabla Impacto'!$D$13),"Moderado",IF(OR(N40='Tabla Impacto'!$C$14,N40='Tabla Impacto'!$D$14),"Mayor",IF(OR(N40='Tabla Impacto'!$C$15,N40='Tabla Impacto'!$D$15),"Catastrófico","")))))</f>
        <v/>
      </c>
      <c r="P40" s="530" t="str">
        <f t="shared" ref="P40" si="73">IF(O40="","",IF(O40="Leve",0.2,IF(O40="Menor",0.4,IF(O40="Moderado",0.6,IF(O40="Mayor",0.8,IF(O40="Catastrófico",1,))))))</f>
        <v/>
      </c>
      <c r="Q40" s="510" t="str">
        <f t="shared" ref="Q40" si="74">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3"/>
      <c r="V40" s="113"/>
      <c r="W40" s="114" t="str">
        <f>IF(AND(U40="Preventivo",V40="Automático"),"50%",IF(AND(U40="Preventivo",V40="Manual"),"40%",IF(AND(U40="Detectivo",V40="Automático"),"40%",IF(AND(U40="Detectivo",V40="Manual"),"30%",IF(AND(U40="Correctivo",V40="Automático"),"35%",IF(AND(U40="Correctivo",V40="Manual"),"25%",""))))))</f>
        <v/>
      </c>
      <c r="X40" s="113"/>
      <c r="Y40" s="113"/>
      <c r="Z40" s="113"/>
      <c r="AA40" s="108" t="str">
        <f>IFERROR(IF(T40="Probabilidad",(L40-(+L40*W40)),IF(T40="Impacto",L40,"")),"")</f>
        <v/>
      </c>
      <c r="AB40" s="116" t="str">
        <f>IFERROR(IF(AA40="","",IF(AA40&lt;=0.2,"Muy Baja",IF(AA40&lt;=0.4,"Baja",IF(AA40&lt;=0.6,"Media",IF(AA40&lt;=0.8,"Alta","Muy Alta"))))),"")</f>
        <v/>
      </c>
      <c r="AC40" s="117" t="str">
        <f>+AA40</f>
        <v/>
      </c>
      <c r="AD40" s="116" t="str">
        <f>IFERROR(IF(AE40="","",IF(AE40&lt;=0.2,"Leve",IF(AE40&lt;=0.4,"Menor",IF(AE40&lt;=0.6,"Moderado",IF(AE40&lt;=0.8,"Mayor","Catastrófico"))))),"")</f>
        <v/>
      </c>
      <c r="AE40" s="117" t="str">
        <f>IFERROR(IF(T40="Impacto",(P40-(+P40*W40)),IF(T40="Probabilidad",P40,"")),"")</f>
        <v/>
      </c>
      <c r="AF40" s="118"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9"/>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hidden="1" customHeight="1" x14ac:dyDescent="0.25">
      <c r="A41" s="513"/>
      <c r="B41" s="536"/>
      <c r="C41" s="536"/>
      <c r="D41" s="536"/>
      <c r="E41" s="121"/>
      <c r="F41" s="539"/>
      <c r="G41" s="551"/>
      <c r="H41" s="124"/>
      <c r="I41" s="536"/>
      <c r="J41" s="542"/>
      <c r="K41" s="545"/>
      <c r="L41" s="531"/>
      <c r="M41" s="548"/>
      <c r="N41" s="531">
        <f>IF(NOT(ISERROR(MATCH(M41,_xlfn.ANCHORARRAY(F52),0))),L54&amp;"Por favor no seleccionar los criterios de impacto",M41)</f>
        <v>0</v>
      </c>
      <c r="O41" s="545"/>
      <c r="P41" s="531"/>
      <c r="Q41" s="511"/>
      <c r="R41" s="105">
        <v>2</v>
      </c>
      <c r="S41" s="106"/>
      <c r="T41" s="107" t="str">
        <f>IF(OR(U41="Preventivo",U41="Detectivo"),"Probabilidad",IF(U41="Correctivo","Impacto",""))</f>
        <v/>
      </c>
      <c r="U41" s="113"/>
      <c r="V41" s="113"/>
      <c r="W41" s="114" t="str">
        <f t="shared" ref="W41:W45" si="75">IF(AND(U41="Preventivo",V41="Automático"),"50%",IF(AND(U41="Preventivo",V41="Manual"),"40%",IF(AND(U41="Detectivo",V41="Automático"),"40%",IF(AND(U41="Detectivo",V41="Manual"),"30%",IF(AND(U41="Correctivo",V41="Automático"),"35%",IF(AND(U41="Correctivo",V41="Manual"),"25%",""))))))</f>
        <v/>
      </c>
      <c r="X41" s="113"/>
      <c r="Y41" s="113"/>
      <c r="Z41" s="113"/>
      <c r="AA41" s="108" t="str">
        <f>IFERROR(IF(AND(T40="Probabilidad",T41="Probabilidad"),(AC40-(+AC40*W41)),IF(AND(T40="Impacto",T41="Probabilidad"),(L40-(+L40*W41)),IF(T41="Impacto",AC40,""))),"")</f>
        <v/>
      </c>
      <c r="AB41" s="116" t="str">
        <f t="shared" ref="AB41:AB45" si="76">IFERROR(IF(AA41="","",IF(AA41&lt;=0.2,"Muy Baja",IF(AA41&lt;=0.4,"Baja",IF(AA41&lt;=0.6,"Media",IF(AA41&lt;=0.8,"Alta","Muy Alta"))))),"")</f>
        <v/>
      </c>
      <c r="AC41" s="117" t="str">
        <f>+AA41</f>
        <v/>
      </c>
      <c r="AD41" s="116" t="str">
        <f t="shared" ref="AD41:AD45" si="77">IFERROR(IF(AE41="","",IF(AE41&lt;=0.2,"Leve",IF(AE41&lt;=0.4,"Menor",IF(AE41&lt;=0.6,"Moderado",IF(AE41&lt;=0.8,"Mayor","Catastrófico"))))),"")</f>
        <v/>
      </c>
      <c r="AE41" s="117" t="str">
        <f>IFERROR(IF(AND(T40="Impacto",T41="Impacto"),(AE40-(+AE40*W41)),IF(AND(T40="Probabilidad",T41="Impacto"),(P40-(+P40*W41)),IF(T41="Probabilidad",AE40,""))),"")</f>
        <v/>
      </c>
      <c r="AF41" s="118" t="str">
        <f t="shared" ref="AF41:AF45" si="78">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9"/>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hidden="1" customHeight="1" x14ac:dyDescent="0.25">
      <c r="A42" s="513"/>
      <c r="B42" s="536"/>
      <c r="C42" s="536"/>
      <c r="D42" s="536"/>
      <c r="E42" s="121"/>
      <c r="F42" s="539"/>
      <c r="G42" s="551"/>
      <c r="H42" s="124"/>
      <c r="I42" s="536"/>
      <c r="J42" s="542"/>
      <c r="K42" s="545"/>
      <c r="L42" s="531"/>
      <c r="M42" s="548"/>
      <c r="N42" s="531">
        <f>IF(NOT(ISERROR(MATCH(M42,_xlfn.ANCHORARRAY(F53),0))),L55&amp;"Por favor no seleccionar los criterios de impacto",M42)</f>
        <v>0</v>
      </c>
      <c r="O42" s="545"/>
      <c r="P42" s="531"/>
      <c r="Q42" s="511"/>
      <c r="R42" s="105">
        <v>3</v>
      </c>
      <c r="S42" s="112"/>
      <c r="T42" s="107" t="str">
        <f t="shared" ref="T42:T45" si="79">IF(OR(U42="Preventivo",U42="Detectivo"),"Probabilidad",IF(U42="Correctivo","Impacto",""))</f>
        <v/>
      </c>
      <c r="U42" s="113"/>
      <c r="V42" s="113"/>
      <c r="W42" s="114" t="str">
        <f t="shared" si="75"/>
        <v/>
      </c>
      <c r="X42" s="113"/>
      <c r="Y42" s="113"/>
      <c r="Z42" s="113"/>
      <c r="AA42" s="108" t="str">
        <f>IFERROR(IF(AND(T41="Probabilidad",T42="Probabilidad"),(AC41-(+AC41*W42)),IF(AND(T41="Impacto",T42="Probabilidad"),(AC40-(+AC40*W42)),IF(T42="Impacto",AC41,""))),"")</f>
        <v/>
      </c>
      <c r="AB42" s="116" t="str">
        <f t="shared" si="76"/>
        <v/>
      </c>
      <c r="AC42" s="117" t="str">
        <f t="shared" ref="AC42:AC45" si="80">+AA42</f>
        <v/>
      </c>
      <c r="AD42" s="116" t="str">
        <f t="shared" si="77"/>
        <v/>
      </c>
      <c r="AE42" s="117" t="str">
        <f t="shared" ref="AE42:AE45" si="81">IFERROR(IF(AND(T41="Impacto",T42="Impacto"),(AE41-(+AE41*W42)),IF(AND(T41="Probabilidad",T42="Impacto"),(AE40-(+AE40*W42)),IF(T42="Probabilidad",AE41,""))),"")</f>
        <v/>
      </c>
      <c r="AF42" s="118" t="str">
        <f t="shared" si="78"/>
        <v/>
      </c>
      <c r="AG42" s="119"/>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hidden="1" customHeight="1" x14ac:dyDescent="0.25">
      <c r="A43" s="513"/>
      <c r="B43" s="536"/>
      <c r="C43" s="536"/>
      <c r="D43" s="536"/>
      <c r="E43" s="121"/>
      <c r="F43" s="539"/>
      <c r="G43" s="551"/>
      <c r="H43" s="124"/>
      <c r="I43" s="536"/>
      <c r="J43" s="542"/>
      <c r="K43" s="545"/>
      <c r="L43" s="531"/>
      <c r="M43" s="548"/>
      <c r="N43" s="531">
        <f>IF(NOT(ISERROR(MATCH(M43,_xlfn.ANCHORARRAY(F54),0))),L56&amp;"Por favor no seleccionar los criterios de impacto",M43)</f>
        <v>0</v>
      </c>
      <c r="O43" s="545"/>
      <c r="P43" s="531"/>
      <c r="Q43" s="511"/>
      <c r="R43" s="105">
        <v>4</v>
      </c>
      <c r="S43" s="106"/>
      <c r="T43" s="107" t="str">
        <f t="shared" si="79"/>
        <v/>
      </c>
      <c r="U43" s="113"/>
      <c r="V43" s="113"/>
      <c r="W43" s="114" t="str">
        <f t="shared" si="75"/>
        <v/>
      </c>
      <c r="X43" s="113"/>
      <c r="Y43" s="113"/>
      <c r="Z43" s="113"/>
      <c r="AA43" s="108" t="str">
        <f t="shared" ref="AA43:AA45" si="82">IFERROR(IF(AND(T42="Probabilidad",T43="Probabilidad"),(AC42-(+AC42*W43)),IF(AND(T42="Impacto",T43="Probabilidad"),(AC41-(+AC41*W43)),IF(T43="Impacto",AC42,""))),"")</f>
        <v/>
      </c>
      <c r="AB43" s="116" t="str">
        <f t="shared" si="76"/>
        <v/>
      </c>
      <c r="AC43" s="117" t="str">
        <f t="shared" si="80"/>
        <v/>
      </c>
      <c r="AD43" s="116" t="str">
        <f t="shared" si="77"/>
        <v/>
      </c>
      <c r="AE43" s="117" t="str">
        <f t="shared" si="81"/>
        <v/>
      </c>
      <c r="AF43" s="118" t="str">
        <f t="shared" si="78"/>
        <v/>
      </c>
      <c r="AG43" s="119"/>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hidden="1" customHeight="1" x14ac:dyDescent="0.25">
      <c r="A44" s="513"/>
      <c r="B44" s="536"/>
      <c r="C44" s="536"/>
      <c r="D44" s="536"/>
      <c r="E44" s="121"/>
      <c r="F44" s="539"/>
      <c r="G44" s="551"/>
      <c r="H44" s="124"/>
      <c r="I44" s="536"/>
      <c r="J44" s="542"/>
      <c r="K44" s="545"/>
      <c r="L44" s="531"/>
      <c r="M44" s="548"/>
      <c r="N44" s="531">
        <f>IF(NOT(ISERROR(MATCH(M44,_xlfn.ANCHORARRAY(F55),0))),L57&amp;"Por favor no seleccionar los criterios de impacto",M44)</f>
        <v>0</v>
      </c>
      <c r="O44" s="545"/>
      <c r="P44" s="531"/>
      <c r="Q44" s="511"/>
      <c r="R44" s="105">
        <v>5</v>
      </c>
      <c r="S44" s="106"/>
      <c r="T44" s="107" t="str">
        <f t="shared" si="79"/>
        <v/>
      </c>
      <c r="U44" s="113"/>
      <c r="V44" s="113"/>
      <c r="W44" s="114" t="str">
        <f t="shared" si="75"/>
        <v/>
      </c>
      <c r="X44" s="113"/>
      <c r="Y44" s="113"/>
      <c r="Z44" s="113"/>
      <c r="AA44" s="108" t="str">
        <f t="shared" si="82"/>
        <v/>
      </c>
      <c r="AB44" s="116" t="str">
        <f t="shared" si="76"/>
        <v/>
      </c>
      <c r="AC44" s="117" t="str">
        <f t="shared" si="80"/>
        <v/>
      </c>
      <c r="AD44" s="116" t="str">
        <f t="shared" si="77"/>
        <v/>
      </c>
      <c r="AE44" s="117" t="str">
        <f t="shared" si="81"/>
        <v/>
      </c>
      <c r="AF44" s="118" t="str">
        <f t="shared" si="78"/>
        <v/>
      </c>
      <c r="AG44" s="119"/>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hidden="1" customHeight="1" x14ac:dyDescent="0.25">
      <c r="A45" s="534"/>
      <c r="B45" s="537"/>
      <c r="C45" s="537"/>
      <c r="D45" s="537"/>
      <c r="E45" s="122"/>
      <c r="F45" s="540"/>
      <c r="G45" s="552"/>
      <c r="H45" s="125"/>
      <c r="I45" s="537"/>
      <c r="J45" s="543"/>
      <c r="K45" s="546"/>
      <c r="L45" s="532"/>
      <c r="M45" s="549"/>
      <c r="N45" s="532">
        <f>IF(NOT(ISERROR(MATCH(M45,_xlfn.ANCHORARRAY(F56),0))),L58&amp;"Por favor no seleccionar los criterios de impacto",M45)</f>
        <v>0</v>
      </c>
      <c r="O45" s="546"/>
      <c r="P45" s="532"/>
      <c r="Q45" s="533"/>
      <c r="R45" s="105">
        <v>6</v>
      </c>
      <c r="S45" s="106"/>
      <c r="T45" s="107" t="str">
        <f t="shared" si="79"/>
        <v/>
      </c>
      <c r="U45" s="113"/>
      <c r="V45" s="113"/>
      <c r="W45" s="114" t="str">
        <f t="shared" si="75"/>
        <v/>
      </c>
      <c r="X45" s="113"/>
      <c r="Y45" s="113"/>
      <c r="Z45" s="113"/>
      <c r="AA45" s="108" t="str">
        <f t="shared" si="82"/>
        <v/>
      </c>
      <c r="AB45" s="116" t="str">
        <f t="shared" si="76"/>
        <v/>
      </c>
      <c r="AC45" s="117" t="str">
        <f t="shared" si="80"/>
        <v/>
      </c>
      <c r="AD45" s="116" t="str">
        <f t="shared" si="77"/>
        <v/>
      </c>
      <c r="AE45" s="117" t="str">
        <f t="shared" si="81"/>
        <v/>
      </c>
      <c r="AF45" s="118" t="str">
        <f t="shared" si="78"/>
        <v/>
      </c>
      <c r="AG45" s="119"/>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hidden="1" customHeight="1" x14ac:dyDescent="0.25">
      <c r="A46" s="512">
        <v>8</v>
      </c>
      <c r="B46" s="535"/>
      <c r="C46" s="535"/>
      <c r="D46" s="535"/>
      <c r="E46" s="120"/>
      <c r="F46" s="538"/>
      <c r="G46" s="550"/>
      <c r="H46" s="123"/>
      <c r="I46" s="535"/>
      <c r="J46" s="541"/>
      <c r="K46" s="544" t="str">
        <f t="shared" ref="K46" si="83">IF(J46&lt;=0,"",IF(J46&lt;=2,"Muy Baja",IF(J46&lt;=24,"Baja",IF(J46&lt;=500,"Media",IF(J46&lt;=5000,"Alta","Muy Alta")))))</f>
        <v/>
      </c>
      <c r="L46" s="530" t="str">
        <f t="shared" ref="L46" si="84">IF(K46="","",IF(K46="Muy Baja",0.2,IF(K46="Baja",0.4,IF(K46="Media",0.6,IF(K46="Alta",0.8,IF(K46="Muy Alta",1,))))))</f>
        <v/>
      </c>
      <c r="M46" s="547"/>
      <c r="N46" s="530">
        <f>IF(NOT(ISERROR(MATCH(M46,'Tabla Impacto'!$B$221:$B$223,0))),'Tabla Impacto'!$F$223&amp;"Por favor no seleccionar los criterios de impacto(Afectación Económica o presupuestal y Pérdida Reputacional)",M46)</f>
        <v>0</v>
      </c>
      <c r="O46" s="544" t="str">
        <f>IF(OR(N46='Tabla Impacto'!$C$11,N46='Tabla Impacto'!$D$11),"Leve",IF(OR(N46='Tabla Impacto'!$C$12,N46='Tabla Impacto'!$D$12),"Menor",IF(OR(N46='Tabla Impacto'!$C$13,N46='Tabla Impacto'!$D$13),"Moderado",IF(OR(N46='Tabla Impacto'!$C$14,N46='Tabla Impacto'!$D$14),"Mayor",IF(OR(N46='Tabla Impacto'!$C$15,N46='Tabla Impacto'!$D$15),"Catastrófico","")))))</f>
        <v/>
      </c>
      <c r="P46" s="530" t="str">
        <f t="shared" ref="P46" si="85">IF(O46="","",IF(O46="Leve",0.2,IF(O46="Menor",0.4,IF(O46="Moderado",0.6,IF(O46="Mayor",0.8,IF(O46="Catastrófico",1,))))))</f>
        <v/>
      </c>
      <c r="Q46" s="510" t="str">
        <f t="shared" ref="Q46" si="86">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3"/>
      <c r="V46" s="113"/>
      <c r="W46" s="114" t="str">
        <f>IF(AND(U46="Preventivo",V46="Automático"),"50%",IF(AND(U46="Preventivo",V46="Manual"),"40%",IF(AND(U46="Detectivo",V46="Automático"),"40%",IF(AND(U46="Detectivo",V46="Manual"),"30%",IF(AND(U46="Correctivo",V46="Automático"),"35%",IF(AND(U46="Correctivo",V46="Manual"),"25%",""))))))</f>
        <v/>
      </c>
      <c r="X46" s="113"/>
      <c r="Y46" s="113"/>
      <c r="Z46" s="113"/>
      <c r="AA46" s="108" t="str">
        <f>IFERROR(IF(T46="Probabilidad",(L46-(+L46*W46)),IF(T46="Impacto",L46,"")),"")</f>
        <v/>
      </c>
      <c r="AB46" s="116" t="str">
        <f>IFERROR(IF(AA46="","",IF(AA46&lt;=0.2,"Muy Baja",IF(AA46&lt;=0.4,"Baja",IF(AA46&lt;=0.6,"Media",IF(AA46&lt;=0.8,"Alta","Muy Alta"))))),"")</f>
        <v/>
      </c>
      <c r="AC46" s="117" t="str">
        <f>+AA46</f>
        <v/>
      </c>
      <c r="AD46" s="116" t="str">
        <f>IFERROR(IF(AE46="","",IF(AE46&lt;=0.2,"Leve",IF(AE46&lt;=0.4,"Menor",IF(AE46&lt;=0.6,"Moderado",IF(AE46&lt;=0.8,"Mayor","Catastrófico"))))),"")</f>
        <v/>
      </c>
      <c r="AE46" s="117" t="str">
        <f>IFERROR(IF(T46="Impacto",(P46-(+P46*W46)),IF(T46="Probabilidad",P46,"")),"")</f>
        <v/>
      </c>
      <c r="AF46" s="118"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9"/>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hidden="1" customHeight="1" x14ac:dyDescent="0.25">
      <c r="A47" s="513"/>
      <c r="B47" s="536"/>
      <c r="C47" s="536"/>
      <c r="D47" s="536"/>
      <c r="E47" s="121"/>
      <c r="F47" s="539"/>
      <c r="G47" s="551"/>
      <c r="H47" s="124"/>
      <c r="I47" s="536"/>
      <c r="J47" s="542"/>
      <c r="K47" s="545"/>
      <c r="L47" s="531"/>
      <c r="M47" s="548"/>
      <c r="N47" s="531">
        <f>IF(NOT(ISERROR(MATCH(M47,_xlfn.ANCHORARRAY(F58),0))),L60&amp;"Por favor no seleccionar los criterios de impacto",M47)</f>
        <v>0</v>
      </c>
      <c r="O47" s="545"/>
      <c r="P47" s="531"/>
      <c r="Q47" s="511"/>
      <c r="R47" s="105">
        <v>2</v>
      </c>
      <c r="S47" s="106"/>
      <c r="T47" s="107" t="str">
        <f>IF(OR(U47="Preventivo",U47="Detectivo"),"Probabilidad",IF(U47="Correctivo","Impacto",""))</f>
        <v/>
      </c>
      <c r="U47" s="113"/>
      <c r="V47" s="113"/>
      <c r="W47" s="114" t="str">
        <f t="shared" ref="W47:W51" si="87">IF(AND(U47="Preventivo",V47="Automático"),"50%",IF(AND(U47="Preventivo",V47="Manual"),"40%",IF(AND(U47="Detectivo",V47="Automático"),"40%",IF(AND(U47="Detectivo",V47="Manual"),"30%",IF(AND(U47="Correctivo",V47="Automático"),"35%",IF(AND(U47="Correctivo",V47="Manual"),"25%",""))))))</f>
        <v/>
      </c>
      <c r="X47" s="113"/>
      <c r="Y47" s="113"/>
      <c r="Z47" s="113"/>
      <c r="AA47" s="108" t="str">
        <f>IFERROR(IF(AND(T46="Probabilidad",T47="Probabilidad"),(AC46-(+AC46*W47)),IF(AND(T46="Impacto",T47="Probabilidad"),(L46-(+L46*W47)),IF(T47="Impacto",AC46,""))),"")</f>
        <v/>
      </c>
      <c r="AB47" s="116" t="str">
        <f t="shared" ref="AB47:AB51" si="88">IFERROR(IF(AA47="","",IF(AA47&lt;=0.2,"Muy Baja",IF(AA47&lt;=0.4,"Baja",IF(AA47&lt;=0.6,"Media",IF(AA47&lt;=0.8,"Alta","Muy Alta"))))),"")</f>
        <v/>
      </c>
      <c r="AC47" s="117" t="str">
        <f>+AA47</f>
        <v/>
      </c>
      <c r="AD47" s="116" t="str">
        <f t="shared" ref="AD47:AD51" si="89">IFERROR(IF(AE47="","",IF(AE47&lt;=0.2,"Leve",IF(AE47&lt;=0.4,"Menor",IF(AE47&lt;=0.6,"Moderado",IF(AE47&lt;=0.8,"Mayor","Catastrófico"))))),"")</f>
        <v/>
      </c>
      <c r="AE47" s="117" t="str">
        <f>IFERROR(IF(AND(T46="Impacto",T47="Impacto"),(AE46-(+AE46*W47)),IF(AND(T46="Probabilidad",T47="Impacto"),(P46-(+P46*W47)),IF(T47="Probabilidad",AE46,""))),"")</f>
        <v/>
      </c>
      <c r="AF47" s="118" t="str">
        <f t="shared" ref="AF47:AF51" si="90">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9"/>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hidden="1" customHeight="1" x14ac:dyDescent="0.25">
      <c r="A48" s="513"/>
      <c r="B48" s="536"/>
      <c r="C48" s="536"/>
      <c r="D48" s="536"/>
      <c r="E48" s="121"/>
      <c r="F48" s="539"/>
      <c r="G48" s="551"/>
      <c r="H48" s="124"/>
      <c r="I48" s="536"/>
      <c r="J48" s="542"/>
      <c r="K48" s="545"/>
      <c r="L48" s="531"/>
      <c r="M48" s="548"/>
      <c r="N48" s="531">
        <f>IF(NOT(ISERROR(MATCH(M48,_xlfn.ANCHORARRAY(F59),0))),L61&amp;"Por favor no seleccionar los criterios de impacto",M48)</f>
        <v>0</v>
      </c>
      <c r="O48" s="545"/>
      <c r="P48" s="531"/>
      <c r="Q48" s="511"/>
      <c r="R48" s="105">
        <v>3</v>
      </c>
      <c r="S48" s="112"/>
      <c r="T48" s="107" t="str">
        <f t="shared" ref="T48:T51" si="91">IF(OR(U48="Preventivo",U48="Detectivo"),"Probabilidad",IF(U48="Correctivo","Impacto",""))</f>
        <v/>
      </c>
      <c r="U48" s="113"/>
      <c r="V48" s="113"/>
      <c r="W48" s="114" t="str">
        <f t="shared" si="87"/>
        <v/>
      </c>
      <c r="X48" s="113"/>
      <c r="Y48" s="113"/>
      <c r="Z48" s="113"/>
      <c r="AA48" s="108" t="str">
        <f>IFERROR(IF(AND(T47="Probabilidad",T48="Probabilidad"),(AC47-(+AC47*W48)),IF(AND(T47="Impacto",T48="Probabilidad"),(AC46-(+AC46*W48)),IF(T48="Impacto",AC47,""))),"")</f>
        <v/>
      </c>
      <c r="AB48" s="116" t="str">
        <f t="shared" si="88"/>
        <v/>
      </c>
      <c r="AC48" s="117" t="str">
        <f t="shared" ref="AC48:AC51" si="92">+AA48</f>
        <v/>
      </c>
      <c r="AD48" s="116" t="str">
        <f t="shared" si="89"/>
        <v/>
      </c>
      <c r="AE48" s="117" t="str">
        <f t="shared" ref="AE48:AE51" si="93">IFERROR(IF(AND(T47="Impacto",T48="Impacto"),(AE47-(+AE47*W48)),IF(AND(T47="Probabilidad",T48="Impacto"),(AE46-(+AE46*W48)),IF(T48="Probabilidad",AE47,""))),"")</f>
        <v/>
      </c>
      <c r="AF48" s="118" t="str">
        <f t="shared" si="90"/>
        <v/>
      </c>
      <c r="AG48" s="119"/>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hidden="1" customHeight="1" x14ac:dyDescent="0.25">
      <c r="A49" s="513"/>
      <c r="B49" s="536"/>
      <c r="C49" s="536"/>
      <c r="D49" s="536"/>
      <c r="E49" s="121"/>
      <c r="F49" s="539"/>
      <c r="G49" s="551"/>
      <c r="H49" s="124"/>
      <c r="I49" s="536"/>
      <c r="J49" s="542"/>
      <c r="K49" s="545"/>
      <c r="L49" s="531"/>
      <c r="M49" s="548"/>
      <c r="N49" s="531">
        <f>IF(NOT(ISERROR(MATCH(M49,_xlfn.ANCHORARRAY(F60),0))),L62&amp;"Por favor no seleccionar los criterios de impacto",M49)</f>
        <v>0</v>
      </c>
      <c r="O49" s="545"/>
      <c r="P49" s="531"/>
      <c r="Q49" s="511"/>
      <c r="R49" s="105">
        <v>4</v>
      </c>
      <c r="S49" s="106"/>
      <c r="T49" s="107" t="str">
        <f t="shared" si="91"/>
        <v/>
      </c>
      <c r="U49" s="113"/>
      <c r="V49" s="113"/>
      <c r="W49" s="114" t="str">
        <f t="shared" si="87"/>
        <v/>
      </c>
      <c r="X49" s="113"/>
      <c r="Y49" s="113"/>
      <c r="Z49" s="113"/>
      <c r="AA49" s="108" t="str">
        <f t="shared" ref="AA49:AA51" si="94">IFERROR(IF(AND(T48="Probabilidad",T49="Probabilidad"),(AC48-(+AC48*W49)),IF(AND(T48="Impacto",T49="Probabilidad"),(AC47-(+AC47*W49)),IF(T49="Impacto",AC48,""))),"")</f>
        <v/>
      </c>
      <c r="AB49" s="116" t="str">
        <f t="shared" si="88"/>
        <v/>
      </c>
      <c r="AC49" s="117" t="str">
        <f t="shared" si="92"/>
        <v/>
      </c>
      <c r="AD49" s="116" t="str">
        <f t="shared" si="89"/>
        <v/>
      </c>
      <c r="AE49" s="117" t="str">
        <f t="shared" si="93"/>
        <v/>
      </c>
      <c r="AF49" s="118" t="str">
        <f t="shared" si="90"/>
        <v/>
      </c>
      <c r="AG49" s="119"/>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hidden="1" customHeight="1" x14ac:dyDescent="0.25">
      <c r="A50" s="513"/>
      <c r="B50" s="536"/>
      <c r="C50" s="536"/>
      <c r="D50" s="536"/>
      <c r="E50" s="121"/>
      <c r="F50" s="539"/>
      <c r="G50" s="551"/>
      <c r="H50" s="124"/>
      <c r="I50" s="536"/>
      <c r="J50" s="542"/>
      <c r="K50" s="545"/>
      <c r="L50" s="531"/>
      <c r="M50" s="548"/>
      <c r="N50" s="531">
        <f>IF(NOT(ISERROR(MATCH(M50,_xlfn.ANCHORARRAY(F61),0))),L63&amp;"Por favor no seleccionar los criterios de impacto",M50)</f>
        <v>0</v>
      </c>
      <c r="O50" s="545"/>
      <c r="P50" s="531"/>
      <c r="Q50" s="511"/>
      <c r="R50" s="105">
        <v>5</v>
      </c>
      <c r="S50" s="106"/>
      <c r="T50" s="107" t="str">
        <f t="shared" si="91"/>
        <v/>
      </c>
      <c r="U50" s="113"/>
      <c r="V50" s="113"/>
      <c r="W50" s="114" t="str">
        <f t="shared" si="87"/>
        <v/>
      </c>
      <c r="X50" s="113"/>
      <c r="Y50" s="113"/>
      <c r="Z50" s="113"/>
      <c r="AA50" s="108" t="str">
        <f t="shared" si="94"/>
        <v/>
      </c>
      <c r="AB50" s="116" t="str">
        <f t="shared" si="88"/>
        <v/>
      </c>
      <c r="AC50" s="117" t="str">
        <f t="shared" si="92"/>
        <v/>
      </c>
      <c r="AD50" s="116" t="str">
        <f t="shared" si="89"/>
        <v/>
      </c>
      <c r="AE50" s="117" t="str">
        <f t="shared" si="93"/>
        <v/>
      </c>
      <c r="AF50" s="118" t="str">
        <f t="shared" si="90"/>
        <v/>
      </c>
      <c r="AG50" s="119"/>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hidden="1" customHeight="1" x14ac:dyDescent="0.25">
      <c r="A51" s="534"/>
      <c r="B51" s="537"/>
      <c r="C51" s="537"/>
      <c r="D51" s="537"/>
      <c r="E51" s="122"/>
      <c r="F51" s="540"/>
      <c r="G51" s="552"/>
      <c r="H51" s="125"/>
      <c r="I51" s="537"/>
      <c r="J51" s="543"/>
      <c r="K51" s="546"/>
      <c r="L51" s="532"/>
      <c r="M51" s="549"/>
      <c r="N51" s="532">
        <f>IF(NOT(ISERROR(MATCH(M51,_xlfn.ANCHORARRAY(F62),0))),L64&amp;"Por favor no seleccionar los criterios de impacto",M51)</f>
        <v>0</v>
      </c>
      <c r="O51" s="546"/>
      <c r="P51" s="532"/>
      <c r="Q51" s="533"/>
      <c r="R51" s="105">
        <v>6</v>
      </c>
      <c r="S51" s="106"/>
      <c r="T51" s="107" t="str">
        <f t="shared" si="91"/>
        <v/>
      </c>
      <c r="U51" s="113"/>
      <c r="V51" s="113"/>
      <c r="W51" s="114" t="str">
        <f t="shared" si="87"/>
        <v/>
      </c>
      <c r="X51" s="113"/>
      <c r="Y51" s="113"/>
      <c r="Z51" s="113"/>
      <c r="AA51" s="108" t="str">
        <f t="shared" si="94"/>
        <v/>
      </c>
      <c r="AB51" s="116" t="str">
        <f t="shared" si="88"/>
        <v/>
      </c>
      <c r="AC51" s="117" t="str">
        <f t="shared" si="92"/>
        <v/>
      </c>
      <c r="AD51" s="116" t="str">
        <f t="shared" si="89"/>
        <v/>
      </c>
      <c r="AE51" s="117" t="str">
        <f t="shared" si="93"/>
        <v/>
      </c>
      <c r="AF51" s="118" t="str">
        <f t="shared" si="90"/>
        <v/>
      </c>
      <c r="AG51" s="119"/>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hidden="1" customHeight="1" x14ac:dyDescent="0.25">
      <c r="A52" s="512">
        <v>9</v>
      </c>
      <c r="B52" s="535"/>
      <c r="C52" s="535"/>
      <c r="D52" s="535"/>
      <c r="E52" s="120"/>
      <c r="F52" s="538"/>
      <c r="G52" s="550"/>
      <c r="H52" s="123"/>
      <c r="I52" s="535"/>
      <c r="J52" s="541"/>
      <c r="K52" s="544" t="str">
        <f t="shared" ref="K52" si="95">IF(J52&lt;=0,"",IF(J52&lt;=2,"Muy Baja",IF(J52&lt;=24,"Baja",IF(J52&lt;=500,"Media",IF(J52&lt;=5000,"Alta","Muy Alta")))))</f>
        <v/>
      </c>
      <c r="L52" s="530" t="str">
        <f t="shared" ref="L52" si="96">IF(K52="","",IF(K52="Muy Baja",0.2,IF(K52="Baja",0.4,IF(K52="Media",0.6,IF(K52="Alta",0.8,IF(K52="Muy Alta",1,))))))</f>
        <v/>
      </c>
      <c r="M52" s="547"/>
      <c r="N52" s="530">
        <f>IF(NOT(ISERROR(MATCH(M52,'Tabla Impacto'!$B$221:$B$223,0))),'Tabla Impacto'!$F$223&amp;"Por favor no seleccionar los criterios de impacto(Afectación Económica o presupuestal y Pérdida Reputacional)",M52)</f>
        <v>0</v>
      </c>
      <c r="O52" s="544" t="str">
        <f>IF(OR(N52='Tabla Impacto'!$C$11,N52='Tabla Impacto'!$D$11),"Leve",IF(OR(N52='Tabla Impacto'!$C$12,N52='Tabla Impacto'!$D$12),"Menor",IF(OR(N52='Tabla Impacto'!$C$13,N52='Tabla Impacto'!$D$13),"Moderado",IF(OR(N52='Tabla Impacto'!$C$14,N52='Tabla Impacto'!$D$14),"Mayor",IF(OR(N52='Tabla Impacto'!$C$15,N52='Tabla Impacto'!$D$15),"Catastrófico","")))))</f>
        <v/>
      </c>
      <c r="P52" s="530" t="str">
        <f t="shared" ref="P52" si="97">IF(O52="","",IF(O52="Leve",0.2,IF(O52="Menor",0.4,IF(O52="Moderado",0.6,IF(O52="Mayor",0.8,IF(O52="Catastrófico",1,))))))</f>
        <v/>
      </c>
      <c r="Q52" s="510" t="str">
        <f t="shared" ref="Q52" si="98">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3"/>
      <c r="V52" s="113"/>
      <c r="W52" s="114" t="str">
        <f>IF(AND(U52="Preventivo",V52="Automático"),"50%",IF(AND(U52="Preventivo",V52="Manual"),"40%",IF(AND(U52="Detectivo",V52="Automático"),"40%",IF(AND(U52="Detectivo",V52="Manual"),"30%",IF(AND(U52="Correctivo",V52="Automático"),"35%",IF(AND(U52="Correctivo",V52="Manual"),"25%",""))))))</f>
        <v/>
      </c>
      <c r="X52" s="113"/>
      <c r="Y52" s="113"/>
      <c r="Z52" s="113"/>
      <c r="AA52" s="108" t="str">
        <f>IFERROR(IF(T52="Probabilidad",(L52-(+L52*W52)),IF(T52="Impacto",L52,"")),"")</f>
        <v/>
      </c>
      <c r="AB52" s="116" t="str">
        <f>IFERROR(IF(AA52="","",IF(AA52&lt;=0.2,"Muy Baja",IF(AA52&lt;=0.4,"Baja",IF(AA52&lt;=0.6,"Media",IF(AA52&lt;=0.8,"Alta","Muy Alta"))))),"")</f>
        <v/>
      </c>
      <c r="AC52" s="117" t="str">
        <f>+AA52</f>
        <v/>
      </c>
      <c r="AD52" s="116" t="str">
        <f>IFERROR(IF(AE52="","",IF(AE52&lt;=0.2,"Leve",IF(AE52&lt;=0.4,"Menor",IF(AE52&lt;=0.6,"Moderado",IF(AE52&lt;=0.8,"Mayor","Catastrófico"))))),"")</f>
        <v/>
      </c>
      <c r="AE52" s="117" t="str">
        <f>IFERROR(IF(T52="Impacto",(P52-(+P52*W52)),IF(T52="Probabilidad",P52,"")),"")</f>
        <v/>
      </c>
      <c r="AF52" s="118"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9"/>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hidden="1" customHeight="1" x14ac:dyDescent="0.25">
      <c r="A53" s="513"/>
      <c r="B53" s="536"/>
      <c r="C53" s="536"/>
      <c r="D53" s="536"/>
      <c r="E53" s="121"/>
      <c r="F53" s="539"/>
      <c r="G53" s="551"/>
      <c r="H53" s="124"/>
      <c r="I53" s="536"/>
      <c r="J53" s="542"/>
      <c r="K53" s="545"/>
      <c r="L53" s="531"/>
      <c r="M53" s="548"/>
      <c r="N53" s="531">
        <f>IF(NOT(ISERROR(MATCH(M53,_xlfn.ANCHORARRAY(F64),0))),L66&amp;"Por favor no seleccionar los criterios de impacto",M53)</f>
        <v>0</v>
      </c>
      <c r="O53" s="545"/>
      <c r="P53" s="531"/>
      <c r="Q53" s="511"/>
      <c r="R53" s="105">
        <v>2</v>
      </c>
      <c r="S53" s="106"/>
      <c r="T53" s="107" t="str">
        <f>IF(OR(U53="Preventivo",U53="Detectivo"),"Probabilidad",IF(U53="Correctivo","Impacto",""))</f>
        <v/>
      </c>
      <c r="U53" s="113"/>
      <c r="V53" s="113"/>
      <c r="W53" s="114" t="str">
        <f t="shared" ref="W53:W57" si="99">IF(AND(U53="Preventivo",V53="Automático"),"50%",IF(AND(U53="Preventivo",V53="Manual"),"40%",IF(AND(U53="Detectivo",V53="Automático"),"40%",IF(AND(U53="Detectivo",V53="Manual"),"30%",IF(AND(U53="Correctivo",V53="Automático"),"35%",IF(AND(U53="Correctivo",V53="Manual"),"25%",""))))))</f>
        <v/>
      </c>
      <c r="X53" s="113"/>
      <c r="Y53" s="113"/>
      <c r="Z53" s="113"/>
      <c r="AA53" s="108" t="str">
        <f>IFERROR(IF(AND(T52="Probabilidad",T53="Probabilidad"),(AC52-(+AC52*W53)),IF(AND(T52="Impacto",T53="Probabilidad"),(L52-(+L52*W53)),IF(T53="Impacto",AC52,""))),"")</f>
        <v/>
      </c>
      <c r="AB53" s="116" t="str">
        <f t="shared" ref="AB53:AB57" si="100">IFERROR(IF(AA53="","",IF(AA53&lt;=0.2,"Muy Baja",IF(AA53&lt;=0.4,"Baja",IF(AA53&lt;=0.6,"Media",IF(AA53&lt;=0.8,"Alta","Muy Alta"))))),"")</f>
        <v/>
      </c>
      <c r="AC53" s="117" t="str">
        <f>+AA53</f>
        <v/>
      </c>
      <c r="AD53" s="116" t="str">
        <f t="shared" ref="AD53:AD57" si="101">IFERROR(IF(AE53="","",IF(AE53&lt;=0.2,"Leve",IF(AE53&lt;=0.4,"Menor",IF(AE53&lt;=0.6,"Moderado",IF(AE53&lt;=0.8,"Mayor","Catastrófico"))))),"")</f>
        <v/>
      </c>
      <c r="AE53" s="117" t="str">
        <f>IFERROR(IF(AND(T52="Impacto",T53="Impacto"),(AE52-(+AE52*W53)),IF(AND(T52="Probabilidad",T53="Impacto"),(P52-(+P52*W53)),IF(T53="Probabilidad",AE52,""))),"")</f>
        <v/>
      </c>
      <c r="AF53" s="118" t="str">
        <f t="shared" ref="AF53:AF57" si="102">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9"/>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hidden="1" customHeight="1" x14ac:dyDescent="0.25">
      <c r="A54" s="513"/>
      <c r="B54" s="536"/>
      <c r="C54" s="536"/>
      <c r="D54" s="536"/>
      <c r="E54" s="121"/>
      <c r="F54" s="539"/>
      <c r="G54" s="551"/>
      <c r="H54" s="124"/>
      <c r="I54" s="536"/>
      <c r="J54" s="542"/>
      <c r="K54" s="545"/>
      <c r="L54" s="531"/>
      <c r="M54" s="548"/>
      <c r="N54" s="531">
        <f>IF(NOT(ISERROR(MATCH(M54,_xlfn.ANCHORARRAY(F65),0))),L67&amp;"Por favor no seleccionar los criterios de impacto",M54)</f>
        <v>0</v>
      </c>
      <c r="O54" s="545"/>
      <c r="P54" s="531"/>
      <c r="Q54" s="511"/>
      <c r="R54" s="105">
        <v>3</v>
      </c>
      <c r="S54" s="112"/>
      <c r="T54" s="107" t="str">
        <f t="shared" ref="T54:T57" si="103">IF(OR(U54="Preventivo",U54="Detectivo"),"Probabilidad",IF(U54="Correctivo","Impacto",""))</f>
        <v/>
      </c>
      <c r="U54" s="113"/>
      <c r="V54" s="113"/>
      <c r="W54" s="114" t="str">
        <f t="shared" si="99"/>
        <v/>
      </c>
      <c r="X54" s="113"/>
      <c r="Y54" s="113"/>
      <c r="Z54" s="113"/>
      <c r="AA54" s="108" t="str">
        <f>IFERROR(IF(AND(T53="Probabilidad",T54="Probabilidad"),(AC53-(+AC53*W54)),IF(AND(T53="Impacto",T54="Probabilidad"),(AC52-(+AC52*W54)),IF(T54="Impacto",AC53,""))),"")</f>
        <v/>
      </c>
      <c r="AB54" s="116" t="str">
        <f t="shared" si="100"/>
        <v/>
      </c>
      <c r="AC54" s="117" t="str">
        <f t="shared" ref="AC54:AC57" si="104">+AA54</f>
        <v/>
      </c>
      <c r="AD54" s="116" t="str">
        <f t="shared" si="101"/>
        <v/>
      </c>
      <c r="AE54" s="117" t="str">
        <f t="shared" ref="AE54:AE57" si="105">IFERROR(IF(AND(T53="Impacto",T54="Impacto"),(AE53-(+AE53*W54)),IF(AND(T53="Probabilidad",T54="Impacto"),(AE52-(+AE52*W54)),IF(T54="Probabilidad",AE53,""))),"")</f>
        <v/>
      </c>
      <c r="AF54" s="118" t="str">
        <f t="shared" si="102"/>
        <v/>
      </c>
      <c r="AG54" s="119"/>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hidden="1" customHeight="1" x14ac:dyDescent="0.25">
      <c r="A55" s="513"/>
      <c r="B55" s="536"/>
      <c r="C55" s="536"/>
      <c r="D55" s="536"/>
      <c r="E55" s="121"/>
      <c r="F55" s="539"/>
      <c r="G55" s="551"/>
      <c r="H55" s="124"/>
      <c r="I55" s="536"/>
      <c r="J55" s="542"/>
      <c r="K55" s="545"/>
      <c r="L55" s="531"/>
      <c r="M55" s="548"/>
      <c r="N55" s="531">
        <f>IF(NOT(ISERROR(MATCH(M55,_xlfn.ANCHORARRAY(F66),0))),L68&amp;"Por favor no seleccionar los criterios de impacto",M55)</f>
        <v>0</v>
      </c>
      <c r="O55" s="545"/>
      <c r="P55" s="531"/>
      <c r="Q55" s="511"/>
      <c r="R55" s="105">
        <v>4</v>
      </c>
      <c r="S55" s="106"/>
      <c r="T55" s="107" t="str">
        <f t="shared" si="103"/>
        <v/>
      </c>
      <c r="U55" s="113"/>
      <c r="V55" s="113"/>
      <c r="W55" s="114" t="str">
        <f t="shared" si="99"/>
        <v/>
      </c>
      <c r="X55" s="113"/>
      <c r="Y55" s="113"/>
      <c r="Z55" s="113"/>
      <c r="AA55" s="108" t="str">
        <f t="shared" ref="AA55:AA57" si="106">IFERROR(IF(AND(T54="Probabilidad",T55="Probabilidad"),(AC54-(+AC54*W55)),IF(AND(T54="Impacto",T55="Probabilidad"),(AC53-(+AC53*W55)),IF(T55="Impacto",AC54,""))),"")</f>
        <v/>
      </c>
      <c r="AB55" s="116" t="str">
        <f t="shared" si="100"/>
        <v/>
      </c>
      <c r="AC55" s="117" t="str">
        <f t="shared" si="104"/>
        <v/>
      </c>
      <c r="AD55" s="116" t="str">
        <f t="shared" si="101"/>
        <v/>
      </c>
      <c r="AE55" s="117" t="str">
        <f t="shared" si="105"/>
        <v/>
      </c>
      <c r="AF55" s="118" t="str">
        <f t="shared" si="102"/>
        <v/>
      </c>
      <c r="AG55" s="119"/>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hidden="1" customHeight="1" x14ac:dyDescent="0.25">
      <c r="A56" s="513"/>
      <c r="B56" s="536"/>
      <c r="C56" s="536"/>
      <c r="D56" s="536"/>
      <c r="E56" s="121"/>
      <c r="F56" s="539"/>
      <c r="G56" s="551"/>
      <c r="H56" s="124"/>
      <c r="I56" s="536"/>
      <c r="J56" s="542"/>
      <c r="K56" s="545"/>
      <c r="L56" s="531"/>
      <c r="M56" s="548"/>
      <c r="N56" s="531">
        <f>IF(NOT(ISERROR(MATCH(M56,_xlfn.ANCHORARRAY(F67),0))),L69&amp;"Por favor no seleccionar los criterios de impacto",M56)</f>
        <v>0</v>
      </c>
      <c r="O56" s="545"/>
      <c r="P56" s="531"/>
      <c r="Q56" s="511"/>
      <c r="R56" s="105">
        <v>5</v>
      </c>
      <c r="S56" s="106"/>
      <c r="T56" s="107" t="str">
        <f t="shared" si="103"/>
        <v/>
      </c>
      <c r="U56" s="113"/>
      <c r="V56" s="113"/>
      <c r="W56" s="114" t="str">
        <f t="shared" si="99"/>
        <v/>
      </c>
      <c r="X56" s="113"/>
      <c r="Y56" s="113"/>
      <c r="Z56" s="113"/>
      <c r="AA56" s="108" t="str">
        <f t="shared" si="106"/>
        <v/>
      </c>
      <c r="AB56" s="116" t="str">
        <f t="shared" si="100"/>
        <v/>
      </c>
      <c r="AC56" s="117" t="str">
        <f t="shared" si="104"/>
        <v/>
      </c>
      <c r="AD56" s="116" t="str">
        <f t="shared" si="101"/>
        <v/>
      </c>
      <c r="AE56" s="117" t="str">
        <f t="shared" si="105"/>
        <v/>
      </c>
      <c r="AF56" s="118" t="str">
        <f t="shared" si="102"/>
        <v/>
      </c>
      <c r="AG56" s="119"/>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hidden="1" customHeight="1" x14ac:dyDescent="0.25">
      <c r="A57" s="534"/>
      <c r="B57" s="537"/>
      <c r="C57" s="537"/>
      <c r="D57" s="537"/>
      <c r="E57" s="122"/>
      <c r="F57" s="540"/>
      <c r="G57" s="552"/>
      <c r="H57" s="125"/>
      <c r="I57" s="537"/>
      <c r="J57" s="543"/>
      <c r="K57" s="546"/>
      <c r="L57" s="532"/>
      <c r="M57" s="549"/>
      <c r="N57" s="532">
        <f>IF(NOT(ISERROR(MATCH(M57,_xlfn.ANCHORARRAY(F68),0))),L70&amp;"Por favor no seleccionar los criterios de impacto",M57)</f>
        <v>0</v>
      </c>
      <c r="O57" s="546"/>
      <c r="P57" s="532"/>
      <c r="Q57" s="533"/>
      <c r="R57" s="105">
        <v>6</v>
      </c>
      <c r="S57" s="106"/>
      <c r="T57" s="107" t="str">
        <f t="shared" si="103"/>
        <v/>
      </c>
      <c r="U57" s="113"/>
      <c r="V57" s="113"/>
      <c r="W57" s="114" t="str">
        <f t="shared" si="99"/>
        <v/>
      </c>
      <c r="X57" s="113"/>
      <c r="Y57" s="113"/>
      <c r="Z57" s="113"/>
      <c r="AA57" s="108" t="str">
        <f t="shared" si="106"/>
        <v/>
      </c>
      <c r="AB57" s="116" t="str">
        <f t="shared" si="100"/>
        <v/>
      </c>
      <c r="AC57" s="117" t="str">
        <f t="shared" si="104"/>
        <v/>
      </c>
      <c r="AD57" s="116" t="str">
        <f t="shared" si="101"/>
        <v/>
      </c>
      <c r="AE57" s="117" t="str">
        <f t="shared" si="105"/>
        <v/>
      </c>
      <c r="AF57" s="118" t="str">
        <f t="shared" si="102"/>
        <v/>
      </c>
      <c r="AG57" s="119"/>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19.5" hidden="1" customHeight="1" x14ac:dyDescent="0.25">
      <c r="A58" s="512">
        <v>10</v>
      </c>
      <c r="B58" s="535"/>
      <c r="C58" s="535"/>
      <c r="D58" s="535"/>
      <c r="E58" s="120"/>
      <c r="F58" s="538"/>
      <c r="G58" s="550"/>
      <c r="H58" s="123"/>
      <c r="I58" s="535"/>
      <c r="J58" s="541"/>
      <c r="K58" s="544" t="str">
        <f t="shared" ref="K58" si="107">IF(J58&lt;=0,"",IF(J58&lt;=2,"Muy Baja",IF(J58&lt;=24,"Baja",IF(J58&lt;=500,"Media",IF(J58&lt;=5000,"Alta","Muy Alta")))))</f>
        <v/>
      </c>
      <c r="L58" s="530" t="str">
        <f t="shared" ref="L58" si="108">IF(K58="","",IF(K58="Muy Baja",0.2,IF(K58="Baja",0.4,IF(K58="Media",0.6,IF(K58="Alta",0.8,IF(K58="Muy Alta",1,))))))</f>
        <v/>
      </c>
      <c r="M58" s="547"/>
      <c r="N58" s="530">
        <f>IF(NOT(ISERROR(MATCH(M58,'Tabla Impacto'!$B$221:$B$223,0))),'Tabla Impacto'!$F$223&amp;"Por favor no seleccionar los criterios de impacto(Afectación Económica o presupuestal y Pérdida Reputacional)",M58)</f>
        <v>0</v>
      </c>
      <c r="O58" s="544" t="str">
        <f>IF(OR(N58='Tabla Impacto'!$C$11,N58='Tabla Impacto'!$D$11),"Leve",IF(OR(N58='Tabla Impacto'!$C$12,N58='Tabla Impacto'!$D$12),"Menor",IF(OR(N58='Tabla Impacto'!$C$13,N58='Tabla Impacto'!$D$13),"Moderado",IF(OR(N58='Tabla Impacto'!$C$14,N58='Tabla Impacto'!$D$14),"Mayor",IF(OR(N58='Tabla Impacto'!$C$15,N58='Tabla Impacto'!$D$15),"Catastrófico","")))))</f>
        <v/>
      </c>
      <c r="P58" s="530" t="str">
        <f t="shared" ref="P58" si="109">IF(O58="","",IF(O58="Leve",0.2,IF(O58="Menor",0.4,IF(O58="Moderado",0.6,IF(O58="Mayor",0.8,IF(O58="Catastrófico",1,))))))</f>
        <v/>
      </c>
      <c r="Q58" s="510" t="str">
        <f t="shared" ref="Q58" si="110">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3"/>
      <c r="V58" s="113"/>
      <c r="W58" s="114" t="str">
        <f>IF(AND(U58="Preventivo",V58="Automático"),"50%",IF(AND(U58="Preventivo",V58="Manual"),"40%",IF(AND(U58="Detectivo",V58="Automático"),"40%",IF(AND(U58="Detectivo",V58="Manual"),"30%",IF(AND(U58="Correctivo",V58="Automático"),"35%",IF(AND(U58="Correctivo",V58="Manual"),"25%",""))))))</f>
        <v/>
      </c>
      <c r="X58" s="113"/>
      <c r="Y58" s="113"/>
      <c r="Z58" s="113"/>
      <c r="AA58" s="108" t="str">
        <f>IFERROR(IF(T58="Probabilidad",(L58-(+L58*W58)),IF(T58="Impacto",L58,"")),"")</f>
        <v/>
      </c>
      <c r="AB58" s="116" t="str">
        <f>IFERROR(IF(AA58="","",IF(AA58&lt;=0.2,"Muy Baja",IF(AA58&lt;=0.4,"Baja",IF(AA58&lt;=0.6,"Media",IF(AA58&lt;=0.8,"Alta","Muy Alta"))))),"")</f>
        <v/>
      </c>
      <c r="AC58" s="117" t="str">
        <f>+AA58</f>
        <v/>
      </c>
      <c r="AD58" s="116" t="str">
        <f>IFERROR(IF(AE58="","",IF(AE58&lt;=0.2,"Leve",IF(AE58&lt;=0.4,"Menor",IF(AE58&lt;=0.6,"Moderado",IF(AE58&lt;=0.8,"Mayor","Catastrófico"))))),"")</f>
        <v/>
      </c>
      <c r="AE58" s="117" t="str">
        <f>IFERROR(IF(T58="Impacto",(P58-(+P58*W58)),IF(T58="Probabilidad",P58,"")),"")</f>
        <v/>
      </c>
      <c r="AF58" s="118"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9"/>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19.5" hidden="1" customHeight="1" x14ac:dyDescent="0.25">
      <c r="A59" s="513"/>
      <c r="B59" s="536"/>
      <c r="C59" s="536"/>
      <c r="D59" s="536"/>
      <c r="E59" s="121"/>
      <c r="F59" s="539"/>
      <c r="G59" s="551"/>
      <c r="H59" s="124"/>
      <c r="I59" s="536"/>
      <c r="J59" s="542"/>
      <c r="K59" s="545"/>
      <c r="L59" s="531"/>
      <c r="M59" s="548"/>
      <c r="N59" s="531">
        <f>IF(NOT(ISERROR(MATCH(M59,_xlfn.ANCHORARRAY(F70),0))),L72&amp;"Por favor no seleccionar los criterios de impacto",M59)</f>
        <v>0</v>
      </c>
      <c r="O59" s="545"/>
      <c r="P59" s="531"/>
      <c r="Q59" s="511"/>
      <c r="R59" s="105">
        <v>2</v>
      </c>
      <c r="S59" s="106"/>
      <c r="T59" s="107" t="str">
        <f>IF(OR(U59="Preventivo",U59="Detectivo"),"Probabilidad",IF(U59="Correctivo","Impacto",""))</f>
        <v/>
      </c>
      <c r="U59" s="113"/>
      <c r="V59" s="113"/>
      <c r="W59" s="114" t="str">
        <f t="shared" ref="W59:W63" si="111">IF(AND(U59="Preventivo",V59="Automático"),"50%",IF(AND(U59="Preventivo",V59="Manual"),"40%",IF(AND(U59="Detectivo",V59="Automático"),"40%",IF(AND(U59="Detectivo",V59="Manual"),"30%",IF(AND(U59="Correctivo",V59="Automático"),"35%",IF(AND(U59="Correctivo",V59="Manual"),"25%",""))))))</f>
        <v/>
      </c>
      <c r="X59" s="113"/>
      <c r="Y59" s="113"/>
      <c r="Z59" s="113"/>
      <c r="AA59" s="108" t="str">
        <f>IFERROR(IF(AND(T58="Probabilidad",T59="Probabilidad"),(AC58-(+AC58*W59)),IF(AND(T58="Impacto",T59="Probabilidad"),(L58-(+L58*W59)),IF(T59="Impacto",AC58,""))),"")</f>
        <v/>
      </c>
      <c r="AB59" s="116" t="str">
        <f t="shared" ref="AB59:AB63" si="112">IFERROR(IF(AA59="","",IF(AA59&lt;=0.2,"Muy Baja",IF(AA59&lt;=0.4,"Baja",IF(AA59&lt;=0.6,"Media",IF(AA59&lt;=0.8,"Alta","Muy Alta"))))),"")</f>
        <v/>
      </c>
      <c r="AC59" s="117" t="str">
        <f>+AA59</f>
        <v/>
      </c>
      <c r="AD59" s="116" t="str">
        <f t="shared" ref="AD59:AD63" si="113">IFERROR(IF(AE59="","",IF(AE59&lt;=0.2,"Leve",IF(AE59&lt;=0.4,"Menor",IF(AE59&lt;=0.6,"Moderado",IF(AE59&lt;=0.8,"Mayor","Catastrófico"))))),"")</f>
        <v/>
      </c>
      <c r="AE59" s="117" t="str">
        <f>IFERROR(IF(AND(T58="Impacto",T59="Impacto"),(AE58-(+AE58*W59)),IF(AND(T58="Probabilidad",T59="Impacto"),(P58-(+P58*W59)),IF(T59="Probabilidad",AE58,""))),"")</f>
        <v/>
      </c>
      <c r="AF59" s="118" t="str">
        <f t="shared" ref="AF59:AF63" si="114">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9"/>
      <c r="AH59" s="109"/>
      <c r="AI59" s="110"/>
      <c r="AJ59" s="111"/>
      <c r="AK59" s="111"/>
      <c r="AL59" s="109"/>
      <c r="AM59" s="110"/>
    </row>
    <row r="60" spans="1:71" ht="19.5" hidden="1" customHeight="1" x14ac:dyDescent="0.25">
      <c r="A60" s="513"/>
      <c r="B60" s="536"/>
      <c r="C60" s="536"/>
      <c r="D60" s="536"/>
      <c r="E60" s="121"/>
      <c r="F60" s="539"/>
      <c r="G60" s="551"/>
      <c r="H60" s="124"/>
      <c r="I60" s="536"/>
      <c r="J60" s="542"/>
      <c r="K60" s="545"/>
      <c r="L60" s="531"/>
      <c r="M60" s="548"/>
      <c r="N60" s="531">
        <f>IF(NOT(ISERROR(MATCH(M60,_xlfn.ANCHORARRAY(F71),0))),L73&amp;"Por favor no seleccionar los criterios de impacto",M60)</f>
        <v>0</v>
      </c>
      <c r="O60" s="545"/>
      <c r="P60" s="531"/>
      <c r="Q60" s="511"/>
      <c r="R60" s="105">
        <v>3</v>
      </c>
      <c r="S60" s="112"/>
      <c r="T60" s="107" t="str">
        <f t="shared" ref="T60:T63" si="115">IF(OR(U60="Preventivo",U60="Detectivo"),"Probabilidad",IF(U60="Correctivo","Impacto",""))</f>
        <v/>
      </c>
      <c r="U60" s="113"/>
      <c r="V60" s="113"/>
      <c r="W60" s="114" t="str">
        <f t="shared" si="111"/>
        <v/>
      </c>
      <c r="X60" s="113"/>
      <c r="Y60" s="113"/>
      <c r="Z60" s="113"/>
      <c r="AA60" s="108" t="str">
        <f>IFERROR(IF(AND(T59="Probabilidad",T60="Probabilidad"),(AC59-(+AC59*W60)),IF(AND(T59="Impacto",T60="Probabilidad"),(AC58-(+AC58*W60)),IF(T60="Impacto",AC59,""))),"")</f>
        <v/>
      </c>
      <c r="AB60" s="116" t="str">
        <f t="shared" si="112"/>
        <v/>
      </c>
      <c r="AC60" s="117" t="str">
        <f t="shared" ref="AC60:AC63" si="116">+AA60</f>
        <v/>
      </c>
      <c r="AD60" s="116" t="str">
        <f t="shared" si="113"/>
        <v/>
      </c>
      <c r="AE60" s="117" t="str">
        <f t="shared" ref="AE60:AE63" si="117">IFERROR(IF(AND(T59="Impacto",T60="Impacto"),(AE59-(+AE59*W60)),IF(AND(T59="Probabilidad",T60="Impacto"),(AE58-(+AE58*W60)),IF(T60="Probabilidad",AE59,""))),"")</f>
        <v/>
      </c>
      <c r="AF60" s="118" t="str">
        <f t="shared" si="114"/>
        <v/>
      </c>
      <c r="AG60" s="119"/>
      <c r="AH60" s="109"/>
      <c r="AI60" s="110"/>
      <c r="AJ60" s="111"/>
      <c r="AK60" s="111"/>
      <c r="AL60" s="109"/>
      <c r="AM60" s="110"/>
    </row>
    <row r="61" spans="1:71" ht="19.5" hidden="1" customHeight="1" x14ac:dyDescent="0.25">
      <c r="A61" s="513"/>
      <c r="B61" s="536"/>
      <c r="C61" s="536"/>
      <c r="D61" s="536"/>
      <c r="E61" s="121"/>
      <c r="F61" s="539"/>
      <c r="G61" s="551"/>
      <c r="H61" s="124"/>
      <c r="I61" s="536"/>
      <c r="J61" s="542"/>
      <c r="K61" s="545"/>
      <c r="L61" s="531"/>
      <c r="M61" s="548"/>
      <c r="N61" s="531">
        <f>IF(NOT(ISERROR(MATCH(M61,_xlfn.ANCHORARRAY(F72),0))),L74&amp;"Por favor no seleccionar los criterios de impacto",M61)</f>
        <v>0</v>
      </c>
      <c r="O61" s="545"/>
      <c r="P61" s="531"/>
      <c r="Q61" s="511"/>
      <c r="R61" s="105">
        <v>4</v>
      </c>
      <c r="S61" s="106"/>
      <c r="T61" s="107" t="str">
        <f t="shared" si="115"/>
        <v/>
      </c>
      <c r="U61" s="113"/>
      <c r="V61" s="113"/>
      <c r="W61" s="114" t="str">
        <f t="shared" si="111"/>
        <v/>
      </c>
      <c r="X61" s="113"/>
      <c r="Y61" s="113"/>
      <c r="Z61" s="113"/>
      <c r="AA61" s="108" t="str">
        <f t="shared" ref="AA61:AA63" si="118">IFERROR(IF(AND(T60="Probabilidad",T61="Probabilidad"),(AC60-(+AC60*W61)),IF(AND(T60="Impacto",T61="Probabilidad"),(AC59-(+AC59*W61)),IF(T61="Impacto",AC60,""))),"")</f>
        <v/>
      </c>
      <c r="AB61" s="116" t="str">
        <f t="shared" si="112"/>
        <v/>
      </c>
      <c r="AC61" s="117" t="str">
        <f t="shared" si="116"/>
        <v/>
      </c>
      <c r="AD61" s="116" t="str">
        <f t="shared" si="113"/>
        <v/>
      </c>
      <c r="AE61" s="117" t="str">
        <f t="shared" si="117"/>
        <v/>
      </c>
      <c r="AF61" s="118" t="str">
        <f t="shared" si="114"/>
        <v/>
      </c>
      <c r="AG61" s="119"/>
      <c r="AH61" s="109"/>
      <c r="AI61" s="110"/>
      <c r="AJ61" s="111"/>
      <c r="AK61" s="111"/>
      <c r="AL61" s="109"/>
      <c r="AM61" s="110"/>
    </row>
    <row r="62" spans="1:71" ht="19.5" hidden="1" customHeight="1" x14ac:dyDescent="0.25">
      <c r="A62" s="513"/>
      <c r="B62" s="536"/>
      <c r="C62" s="536"/>
      <c r="D62" s="536"/>
      <c r="E62" s="121"/>
      <c r="F62" s="539"/>
      <c r="G62" s="551"/>
      <c r="H62" s="124"/>
      <c r="I62" s="536"/>
      <c r="J62" s="542"/>
      <c r="K62" s="545"/>
      <c r="L62" s="531"/>
      <c r="M62" s="548"/>
      <c r="N62" s="531">
        <f>IF(NOT(ISERROR(MATCH(M62,_xlfn.ANCHORARRAY(F73),0))),L75&amp;"Por favor no seleccionar los criterios de impacto",M62)</f>
        <v>0</v>
      </c>
      <c r="O62" s="545"/>
      <c r="P62" s="531"/>
      <c r="Q62" s="511"/>
      <c r="R62" s="105">
        <v>5</v>
      </c>
      <c r="S62" s="106"/>
      <c r="T62" s="107" t="str">
        <f t="shared" si="115"/>
        <v/>
      </c>
      <c r="U62" s="113"/>
      <c r="V62" s="113"/>
      <c r="W62" s="114" t="str">
        <f t="shared" si="111"/>
        <v/>
      </c>
      <c r="X62" s="113"/>
      <c r="Y62" s="113"/>
      <c r="Z62" s="113"/>
      <c r="AA62" s="108" t="str">
        <f t="shared" si="118"/>
        <v/>
      </c>
      <c r="AB62" s="116" t="str">
        <f t="shared" si="112"/>
        <v/>
      </c>
      <c r="AC62" s="117" t="str">
        <f t="shared" si="116"/>
        <v/>
      </c>
      <c r="AD62" s="116" t="str">
        <f t="shared" si="113"/>
        <v/>
      </c>
      <c r="AE62" s="117" t="str">
        <f t="shared" si="117"/>
        <v/>
      </c>
      <c r="AF62" s="118" t="str">
        <f t="shared" si="114"/>
        <v/>
      </c>
      <c r="AG62" s="119"/>
      <c r="AH62" s="109"/>
      <c r="AI62" s="110"/>
      <c r="AJ62" s="111"/>
      <c r="AK62" s="111"/>
      <c r="AL62" s="109"/>
      <c r="AM62" s="110"/>
    </row>
    <row r="63" spans="1:71" ht="19.5" hidden="1" customHeight="1" x14ac:dyDescent="0.25">
      <c r="A63" s="534"/>
      <c r="B63" s="537"/>
      <c r="C63" s="537"/>
      <c r="D63" s="537"/>
      <c r="E63" s="122"/>
      <c r="F63" s="540"/>
      <c r="G63" s="552"/>
      <c r="H63" s="125"/>
      <c r="I63" s="537"/>
      <c r="J63" s="543"/>
      <c r="K63" s="546"/>
      <c r="L63" s="532"/>
      <c r="M63" s="549"/>
      <c r="N63" s="532">
        <f>IF(NOT(ISERROR(MATCH(M63,_xlfn.ANCHORARRAY(F74),0))),L76&amp;"Por favor no seleccionar los criterios de impacto",M63)</f>
        <v>0</v>
      </c>
      <c r="O63" s="546"/>
      <c r="P63" s="532"/>
      <c r="Q63" s="533"/>
      <c r="R63" s="105">
        <v>6</v>
      </c>
      <c r="S63" s="106"/>
      <c r="T63" s="107" t="str">
        <f t="shared" si="115"/>
        <v/>
      </c>
      <c r="U63" s="113"/>
      <c r="V63" s="113"/>
      <c r="W63" s="114" t="str">
        <f t="shared" si="111"/>
        <v/>
      </c>
      <c r="X63" s="113"/>
      <c r="Y63" s="113"/>
      <c r="Z63" s="113"/>
      <c r="AA63" s="108" t="str">
        <f t="shared" si="118"/>
        <v/>
      </c>
      <c r="AB63" s="116" t="str">
        <f t="shared" si="112"/>
        <v/>
      </c>
      <c r="AC63" s="117" t="str">
        <f t="shared" si="116"/>
        <v/>
      </c>
      <c r="AD63" s="116" t="str">
        <f t="shared" si="113"/>
        <v/>
      </c>
      <c r="AE63" s="117" t="str">
        <f t="shared" si="117"/>
        <v/>
      </c>
      <c r="AF63" s="118" t="str">
        <f t="shared" si="114"/>
        <v/>
      </c>
      <c r="AG63" s="119"/>
      <c r="AH63" s="109"/>
      <c r="AI63" s="110"/>
      <c r="AJ63" s="111"/>
      <c r="AK63" s="111"/>
      <c r="AL63" s="109"/>
      <c r="AM63" s="110"/>
    </row>
    <row r="64" spans="1:71" ht="49.5" customHeight="1" x14ac:dyDescent="0.25">
      <c r="A64" s="6"/>
      <c r="B64" s="527" t="s">
        <v>125</v>
      </c>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9"/>
    </row>
    <row r="66" spans="2:2" s="1" customFormat="1" x14ac:dyDescent="0.25">
      <c r="B66" s="24" t="s">
        <v>137</v>
      </c>
    </row>
  </sheetData>
  <dataConsolidate/>
  <mergeCells count="216">
    <mergeCell ref="Q34:Q39"/>
    <mergeCell ref="N16:N18"/>
    <mergeCell ref="O16:O18"/>
    <mergeCell ref="P16:P18"/>
    <mergeCell ref="K16:K18"/>
    <mergeCell ref="L16:L18"/>
    <mergeCell ref="M16:M18"/>
    <mergeCell ref="K19:K21"/>
    <mergeCell ref="L19:L21"/>
    <mergeCell ref="P34:P39"/>
    <mergeCell ref="G58:G63"/>
    <mergeCell ref="I10:I15"/>
    <mergeCell ref="J10:J15"/>
    <mergeCell ref="I16:I18"/>
    <mergeCell ref="J16:J18"/>
    <mergeCell ref="G16:G18"/>
    <mergeCell ref="G19:G21"/>
    <mergeCell ref="I19:I21"/>
    <mergeCell ref="J19:J21"/>
    <mergeCell ref="J34:J39"/>
    <mergeCell ref="G22:G27"/>
    <mergeCell ref="G28:G33"/>
    <mergeCell ref="G34:G39"/>
    <mergeCell ref="G40:G45"/>
    <mergeCell ref="H19:H21"/>
    <mergeCell ref="H16:H18"/>
    <mergeCell ref="A10:A15"/>
    <mergeCell ref="B10:B15"/>
    <mergeCell ref="C10:C15"/>
    <mergeCell ref="D10:D15"/>
    <mergeCell ref="F10:F15"/>
    <mergeCell ref="Q10:Q15"/>
    <mergeCell ref="L10:L15"/>
    <mergeCell ref="M10:M15"/>
    <mergeCell ref="N10:N15"/>
    <mergeCell ref="O10:O15"/>
    <mergeCell ref="P10:P15"/>
    <mergeCell ref="H10:H15"/>
    <mergeCell ref="G10:G15"/>
    <mergeCell ref="K10:K15"/>
    <mergeCell ref="E8:E9"/>
    <mergeCell ref="AL10:AL11"/>
    <mergeCell ref="A8:A9"/>
    <mergeCell ref="I8:I9"/>
    <mergeCell ref="F8:F9"/>
    <mergeCell ref="D8:D9"/>
    <mergeCell ref="C8:C9"/>
    <mergeCell ref="AG8:AG9"/>
    <mergeCell ref="R8:R9"/>
    <mergeCell ref="AF8:AF9"/>
    <mergeCell ref="AE8:AE9"/>
    <mergeCell ref="AA8:AA9"/>
    <mergeCell ref="S8:S9"/>
    <mergeCell ref="AD8:AD9"/>
    <mergeCell ref="AB8:AB9"/>
    <mergeCell ref="AC8:AC9"/>
    <mergeCell ref="J8:J9"/>
    <mergeCell ref="K8:K9"/>
    <mergeCell ref="L8:L9"/>
    <mergeCell ref="O8:O9"/>
    <mergeCell ref="P8:P9"/>
    <mergeCell ref="B8:B9"/>
    <mergeCell ref="Q8:Q9"/>
    <mergeCell ref="M8:M9"/>
    <mergeCell ref="AH8:AH9"/>
    <mergeCell ref="AM8:AM9"/>
    <mergeCell ref="AL8:AL9"/>
    <mergeCell ref="AK8:AK9"/>
    <mergeCell ref="AJ8:AJ9"/>
    <mergeCell ref="AI8:AI9"/>
    <mergeCell ref="U8:Z8"/>
    <mergeCell ref="N8:N9"/>
    <mergeCell ref="T8:T9"/>
    <mergeCell ref="AF19:AF20"/>
    <mergeCell ref="Y19:Y20"/>
    <mergeCell ref="Z19:Z20"/>
    <mergeCell ref="AG19:AG20"/>
    <mergeCell ref="AA19:AA20"/>
    <mergeCell ref="AB19:AB20"/>
    <mergeCell ref="AC19:AC20"/>
    <mergeCell ref="AD19:AD20"/>
    <mergeCell ref="P22:P27"/>
    <mergeCell ref="Q22:Q27"/>
    <mergeCell ref="S19:S20"/>
    <mergeCell ref="T19:T20"/>
    <mergeCell ref="U19:U20"/>
    <mergeCell ref="V19:V20"/>
    <mergeCell ref="W19:W20"/>
    <mergeCell ref="X19:X20"/>
    <mergeCell ref="R19:R20"/>
    <mergeCell ref="A19:A21"/>
    <mergeCell ref="B19:B21"/>
    <mergeCell ref="C19:C21"/>
    <mergeCell ref="D19:D21"/>
    <mergeCell ref="F19:F21"/>
    <mergeCell ref="P28:P33"/>
    <mergeCell ref="Q28:Q33"/>
    <mergeCell ref="N28:N33"/>
    <mergeCell ref="O28:O33"/>
    <mergeCell ref="A22:A27"/>
    <mergeCell ref="B22:B27"/>
    <mergeCell ref="C22:C27"/>
    <mergeCell ref="D22:D27"/>
    <mergeCell ref="F22:F27"/>
    <mergeCell ref="I22:I27"/>
    <mergeCell ref="J22:J27"/>
    <mergeCell ref="K22:K27"/>
    <mergeCell ref="L22:L27"/>
    <mergeCell ref="M22:M27"/>
    <mergeCell ref="N22:N27"/>
    <mergeCell ref="O22:O27"/>
    <mergeCell ref="M19:M21"/>
    <mergeCell ref="O40:O45"/>
    <mergeCell ref="A28:A33"/>
    <mergeCell ref="B28:B33"/>
    <mergeCell ref="C28:C33"/>
    <mergeCell ref="A34:A39"/>
    <mergeCell ref="B34:B39"/>
    <mergeCell ref="C34:C39"/>
    <mergeCell ref="D34:D39"/>
    <mergeCell ref="F34:F39"/>
    <mergeCell ref="I34:I39"/>
    <mergeCell ref="D28:D33"/>
    <mergeCell ref="F28:F33"/>
    <mergeCell ref="M34:M39"/>
    <mergeCell ref="N34:N39"/>
    <mergeCell ref="O34:O39"/>
    <mergeCell ref="I28:I33"/>
    <mergeCell ref="J28:J33"/>
    <mergeCell ref="K28:K33"/>
    <mergeCell ref="L28:L33"/>
    <mergeCell ref="M28:M33"/>
    <mergeCell ref="K34:K39"/>
    <mergeCell ref="L34:L39"/>
    <mergeCell ref="A46:A51"/>
    <mergeCell ref="B46:B51"/>
    <mergeCell ref="C46:C51"/>
    <mergeCell ref="D46:D51"/>
    <mergeCell ref="F46:F51"/>
    <mergeCell ref="A40:A45"/>
    <mergeCell ref="B40:B45"/>
    <mergeCell ref="C40:C45"/>
    <mergeCell ref="D40:D45"/>
    <mergeCell ref="F40:F45"/>
    <mergeCell ref="F52:F57"/>
    <mergeCell ref="I52:I57"/>
    <mergeCell ref="J52:J57"/>
    <mergeCell ref="K52:K57"/>
    <mergeCell ref="L52:L57"/>
    <mergeCell ref="P40:P45"/>
    <mergeCell ref="Q40:Q45"/>
    <mergeCell ref="I46:I51"/>
    <mergeCell ref="J46:J51"/>
    <mergeCell ref="K46:K51"/>
    <mergeCell ref="L46:L51"/>
    <mergeCell ref="M46:M51"/>
    <mergeCell ref="I40:I45"/>
    <mergeCell ref="J40:J45"/>
    <mergeCell ref="K40:K45"/>
    <mergeCell ref="L40:L45"/>
    <mergeCell ref="N46:N51"/>
    <mergeCell ref="O46:O51"/>
    <mergeCell ref="P46:P51"/>
    <mergeCell ref="Q46:Q51"/>
    <mergeCell ref="G46:G51"/>
    <mergeCell ref="G52:G57"/>
    <mergeCell ref="M40:M45"/>
    <mergeCell ref="N40:N45"/>
    <mergeCell ref="B64:AM64"/>
    <mergeCell ref="P52:P57"/>
    <mergeCell ref="Q52:Q57"/>
    <mergeCell ref="A58:A63"/>
    <mergeCell ref="B58:B63"/>
    <mergeCell ref="C58:C63"/>
    <mergeCell ref="D58:D63"/>
    <mergeCell ref="F58:F63"/>
    <mergeCell ref="I58:I63"/>
    <mergeCell ref="J58:J63"/>
    <mergeCell ref="K58:K63"/>
    <mergeCell ref="L58:L63"/>
    <mergeCell ref="M58:M63"/>
    <mergeCell ref="N58:N63"/>
    <mergeCell ref="O58:O63"/>
    <mergeCell ref="P58:P63"/>
    <mergeCell ref="Q58:Q63"/>
    <mergeCell ref="M52:M57"/>
    <mergeCell ref="N52:N57"/>
    <mergeCell ref="O52:O57"/>
    <mergeCell ref="A52:A57"/>
    <mergeCell ref="B52:B57"/>
    <mergeCell ref="C52:C57"/>
    <mergeCell ref="D52:D57"/>
    <mergeCell ref="AL19:AL20"/>
    <mergeCell ref="C4:AM4"/>
    <mergeCell ref="C5:AM5"/>
    <mergeCell ref="C6:AM6"/>
    <mergeCell ref="A1:AM2"/>
    <mergeCell ref="A7:J7"/>
    <mergeCell ref="K7:Q7"/>
    <mergeCell ref="R7:Z7"/>
    <mergeCell ref="AA7:AG7"/>
    <mergeCell ref="AH7:AM7"/>
    <mergeCell ref="A4:B4"/>
    <mergeCell ref="A5:B5"/>
    <mergeCell ref="A6:B6"/>
    <mergeCell ref="AE19:AE20"/>
    <mergeCell ref="Q16:Q18"/>
    <mergeCell ref="A16:A18"/>
    <mergeCell ref="B16:B18"/>
    <mergeCell ref="C16:C18"/>
    <mergeCell ref="P19:P21"/>
    <mergeCell ref="Q19:Q21"/>
    <mergeCell ref="D16:D18"/>
    <mergeCell ref="F16:F18"/>
    <mergeCell ref="N19:N21"/>
    <mergeCell ref="O19:O21"/>
  </mergeCells>
  <conditionalFormatting sqref="K10 K16 K19 K22 K28 K34 K40 K46 K52 K58">
    <cfRule type="cellIs" dxfId="46" priority="840" operator="equal">
      <formula>"Baja"</formula>
    </cfRule>
    <cfRule type="cellIs" dxfId="45" priority="839" operator="equal">
      <formula>"Media"</formula>
    </cfRule>
    <cfRule type="cellIs" dxfId="44" priority="838" operator="equal">
      <formula>"Alta"</formula>
    </cfRule>
    <cfRule type="cellIs" dxfId="43" priority="837" operator="equal">
      <formula>"Muy Alta"</formula>
    </cfRule>
    <cfRule type="cellIs" dxfId="42" priority="841" operator="equal">
      <formula>"Muy Baja"</formula>
    </cfRule>
  </conditionalFormatting>
  <conditionalFormatting sqref="N10:N63">
    <cfRule type="containsText" dxfId="41" priority="519" operator="containsText" text="❌">
      <formula>NOT(ISERROR(SEARCH("❌",N10)))</formula>
    </cfRule>
  </conditionalFormatting>
  <conditionalFormatting sqref="O10 O16 O19 O22 O28 O34 O40 O46 O52 O58">
    <cfRule type="cellIs" dxfId="40" priority="836" operator="equal">
      <formula>"Leve"</formula>
    </cfRule>
    <cfRule type="cellIs" dxfId="39" priority="835" operator="equal">
      <formula>"Menor"</formula>
    </cfRule>
    <cfRule type="cellIs" dxfId="38" priority="834" operator="equal">
      <formula>"Moderado"</formula>
    </cfRule>
    <cfRule type="cellIs" dxfId="37" priority="833" operator="equal">
      <formula>"Mayor"</formula>
    </cfRule>
    <cfRule type="cellIs" dxfId="36" priority="832" operator="equal">
      <formula>"Catastrófico"</formula>
    </cfRule>
  </conditionalFormatting>
  <conditionalFormatting sqref="Q10">
    <cfRule type="cellIs" dxfId="35" priority="831" operator="equal">
      <formula>"Bajo"</formula>
    </cfRule>
    <cfRule type="cellIs" dxfId="34" priority="830" operator="equal">
      <formula>"Moderado"</formula>
    </cfRule>
    <cfRule type="cellIs" dxfId="33" priority="829" operator="equal">
      <formula>"Alto"</formula>
    </cfRule>
    <cfRule type="cellIs" dxfId="32" priority="828" operator="equal">
      <formula>"Extremo"</formula>
    </cfRule>
  </conditionalFormatting>
  <conditionalFormatting sqref="Q16 Q19 Q22 Q28 Q34 Q40 Q46 Q52 Q58">
    <cfRule type="cellIs" dxfId="31" priority="761" operator="equal">
      <formula>"Bajo"</formula>
    </cfRule>
    <cfRule type="cellIs" dxfId="30" priority="760" operator="equal">
      <formula>"Moderado"</formula>
    </cfRule>
    <cfRule type="cellIs" dxfId="29" priority="759" operator="equal">
      <formula>"Alto"</formula>
    </cfRule>
    <cfRule type="cellIs" dxfId="28" priority="758" operator="equal">
      <formula>"Extremo"</formula>
    </cfRule>
  </conditionalFormatting>
  <conditionalFormatting sqref="AB10:AB19">
    <cfRule type="cellIs" dxfId="27" priority="53" operator="equal">
      <formula>"Alta"</formula>
    </cfRule>
    <cfRule type="cellIs" dxfId="26" priority="54" operator="equal">
      <formula>"Media"</formula>
    </cfRule>
    <cfRule type="cellIs" dxfId="25" priority="55" operator="equal">
      <formula>"Baja"</formula>
    </cfRule>
    <cfRule type="cellIs" dxfId="24" priority="56" operator="equal">
      <formula>"Muy Baja"</formula>
    </cfRule>
    <cfRule type="cellIs" dxfId="23" priority="52" operator="equal">
      <formula>"Muy Alta"</formula>
    </cfRule>
  </conditionalFormatting>
  <conditionalFormatting sqref="AB21:AB63">
    <cfRule type="cellIs" dxfId="22" priority="39" operator="equal">
      <formula>"Alta"</formula>
    </cfRule>
    <cfRule type="cellIs" dxfId="21" priority="42" operator="equal">
      <formula>"Muy Baja"</formula>
    </cfRule>
    <cfRule type="cellIs" dxfId="20" priority="41" operator="equal">
      <formula>"Baja"</formula>
    </cfRule>
    <cfRule type="cellIs" dxfId="19" priority="40" operator="equal">
      <formula>"Media"</formula>
    </cfRule>
    <cfRule type="cellIs" dxfId="18" priority="38" operator="equal">
      <formula>"Muy Alta"</formula>
    </cfRule>
  </conditionalFormatting>
  <conditionalFormatting sqref="AD10:AD19">
    <cfRule type="cellIs" dxfId="17" priority="47" operator="equal">
      <formula>"Catastrófico"</formula>
    </cfRule>
    <cfRule type="cellIs" dxfId="16" priority="51" operator="equal">
      <formula>"Leve"</formula>
    </cfRule>
    <cfRule type="cellIs" dxfId="15" priority="50" operator="equal">
      <formula>"Menor"</formula>
    </cfRule>
    <cfRule type="cellIs" dxfId="14" priority="49" operator="equal">
      <formula>"Moderado"</formula>
    </cfRule>
    <cfRule type="cellIs" dxfId="13" priority="48" operator="equal">
      <formula>"Mayor"</formula>
    </cfRule>
  </conditionalFormatting>
  <conditionalFormatting sqref="AD21:AD63">
    <cfRule type="cellIs" dxfId="12" priority="34" operator="equal">
      <formula>"Mayor"</formula>
    </cfRule>
    <cfRule type="cellIs" dxfId="11" priority="37" operator="equal">
      <formula>"Leve"</formula>
    </cfRule>
    <cfRule type="cellIs" dxfId="10" priority="36" operator="equal">
      <formula>"Menor"</formula>
    </cfRule>
    <cfRule type="cellIs" dxfId="9" priority="35" operator="equal">
      <formula>"Moderado"</formula>
    </cfRule>
    <cfRule type="cellIs" dxfId="8" priority="33" operator="equal">
      <formula>"Catastrófico"</formula>
    </cfRule>
  </conditionalFormatting>
  <conditionalFormatting sqref="AF10:AF19">
    <cfRule type="cellIs" dxfId="7" priority="46" operator="equal">
      <formula>"Bajo"</formula>
    </cfRule>
    <cfRule type="cellIs" dxfId="6" priority="45" operator="equal">
      <formula>"Moderado"</formula>
    </cfRule>
    <cfRule type="cellIs" dxfId="5" priority="44" operator="equal">
      <formula>"Alto"</formula>
    </cfRule>
    <cfRule type="cellIs" dxfId="4" priority="43" operator="equal">
      <formula>"Extremo"</formula>
    </cfRule>
  </conditionalFormatting>
  <conditionalFormatting sqref="AF21:AF63">
    <cfRule type="cellIs" dxfId="3" priority="30" operator="equal">
      <formula>"Alto"</formula>
    </cfRule>
    <cfRule type="cellIs" dxfId="2" priority="31" operator="equal">
      <formula>"Moderado"</formula>
    </cfRule>
    <cfRule type="cellIs" dxfId="1" priority="32" operator="equal">
      <formula>"Bajo"</formula>
    </cfRule>
    <cfRule type="cellIs" dxfId="0" priority="29" operator="equal">
      <formula>"Extremo"</formula>
    </cfRule>
  </conditionalFormatting>
  <dataValidations count="1">
    <dataValidation type="list" allowBlank="1" showInputMessage="1" showErrorMessage="1" sqref="G10:G63" xr:uid="{00000000-0002-0000-0900-000000000000}">
      <formula1>"Gestión, FISCAL,"</formula1>
    </dataValidation>
  </dataValidations>
  <pageMargins left="0.70866141732283472" right="0.70866141732283472" top="0.74803149606299213" bottom="0.74803149606299213" header="0.31496062992125984" footer="0.31496062992125984"/>
  <pageSetup paperSize="281" scale="40" orientation="landscape" r:id="rId1"/>
  <extLst>
    <ext xmlns:x14="http://schemas.microsoft.com/office/spreadsheetml/2009/9/main" uri="{CCE6A557-97BC-4b89-ADB6-D9C93CAAB3DF}">
      <x14:dataValidations xmlns:xm="http://schemas.microsoft.com/office/excel/2006/main" count="17">
        <x14:dataValidation type="list" allowBlank="1" showInputMessage="1" showErrorMessage="1" xr:uid="{61E1EC37-4068-4DA0-9E66-8BDF9EB427E6}">
          <x14:formula1>
            <xm:f>'Tabla Valoración controles'!$D$4:$D$6</xm:f>
          </x14:formula1>
          <xm:sqref>U10:U19 U21:U63</xm:sqref>
        </x14:dataValidation>
        <x14:dataValidation type="list" allowBlank="1" showInputMessage="1" showErrorMessage="1" xr:uid="{1103AC3A-8441-42E2-9703-5A055C00C4AB}">
          <x14:formula1>
            <xm:f>'Tabla Valoración controles'!$D$7:$D$8</xm:f>
          </x14:formula1>
          <xm:sqref>V10:V19 V21:V63</xm:sqref>
        </x14:dataValidation>
        <x14:dataValidation type="list" allowBlank="1" showInputMessage="1" showErrorMessage="1" xr:uid="{57066FF0-CB0B-4A5F-91B7-C2B74471F658}">
          <x14:formula1>
            <xm:f>'Tabla Valoración controles'!$D$9:$D$10</xm:f>
          </x14:formula1>
          <xm:sqref>X10:X19 X21:X63</xm:sqref>
        </x14:dataValidation>
        <x14:dataValidation type="list" allowBlank="1" showInputMessage="1" showErrorMessage="1" xr:uid="{5E089BCF-8D0F-4297-9543-DBDFF3112181}">
          <x14:formula1>
            <xm:f>'Tabla Valoración controles'!$D$11:$D$12</xm:f>
          </x14:formula1>
          <xm:sqref>Y10:Y19 Y21:Y63</xm:sqref>
        </x14:dataValidation>
        <x14:dataValidation type="list" allowBlank="1" showInputMessage="1" showErrorMessage="1" xr:uid="{9BC6E2E2-9280-48B2-8EDC-631E35D973FA}">
          <x14:formula1>
            <xm:f>'Opciones Tratamiento'!$B$9:$B$10</xm:f>
          </x14:formula1>
          <xm:sqref>AM10:AM11 AM13:AM14 AM16:AM23 AM25:AM26 AM28:AM29 AM31:AM32 AM34:AM35 AM37:AM38 AM40:AM41 AM43:AM44 AM46:AM47 AM49:AM50 AM52:AM53 AM55:AM56 AM58:AM59 AM61:AM62</xm:sqref>
        </x14:dataValidation>
        <x14:dataValidation type="list" allowBlank="1" showInputMessage="1" showErrorMessage="1" xr:uid="{B6E7E0A9-90F5-4DAD-B8D5-849B45BB78FB}">
          <x14:formula1>
            <xm:f>'Tabla Valoración controles'!$D$13:$D$14</xm:f>
          </x14:formula1>
          <xm:sqref>Z10:Z17 Z19 Z21:Z63</xm:sqref>
        </x14:dataValidation>
        <x14:dataValidation type="list" allowBlank="1" showInputMessage="1" showErrorMessage="1" xr:uid="{9F3C7492-5B57-4E5C-89D2-8DF18665DBDE}">
          <x14:formula1>
            <xm:f>'Opciones Tratamiento'!$B$2:$B$5</xm:f>
          </x14:formula1>
          <xm:sqref>AG60:AG63 AG24:AG28 AG30:AG34 AG36:AG40 AG42:AG46 AG48:AG52 AG54:AG58 AG10:AG19 AG21:AG22</xm:sqref>
        </x14:dataValidation>
        <x14:dataValidation type="custom" allowBlank="1" showInputMessage="1" showErrorMessage="1" error="Recuerde que las acciones se generan bajo la medida de mitigar el riesgo" xr:uid="{91F57FC9-465B-4DD1-A1B1-FEA62E3FA1E2}">
          <x14:formula1>
            <xm:f>IF(OR(AG10='Opciones Tratamiento'!$B$2,AG10='Opciones Tratamiento'!$B$3,AG10='Opciones Tratamiento'!$B$4),ISBLANK(AG10),ISTEXT(AG10))</xm:f>
          </x14:formula1>
          <xm:sqref>AH10:AH15 AH18 AH21:AH63</xm:sqref>
        </x14:dataValidation>
        <x14:dataValidation type="custom" allowBlank="1" showInputMessage="1" showErrorMessage="1" error="Recuerde que las acciones se generan bajo la medida de mitigar el riesgo" xr:uid="{29A36D2E-90C0-41DB-AE3C-C85406CA4504}">
          <x14:formula1>
            <xm:f>IF(OR(AG12='Opciones Tratamiento'!$B$2,AG12='Opciones Tratamiento'!$B$3,AG12='Opciones Tratamiento'!$B$4),ISBLANK(AG12),ISTEXT(AG12))</xm:f>
          </x14:formula1>
          <xm:sqref>AI12:AI15 AI18 AI22:AI63</xm:sqref>
        </x14:dataValidation>
        <x14:dataValidation type="custom" allowBlank="1" showInputMessage="1" showErrorMessage="1" error="Recuerde que las acciones se generan bajo la medida de mitigar el riesgo" xr:uid="{D81F2516-59F6-4A2D-B636-72D4695AB8D2}">
          <x14:formula1>
            <xm:f>IF(OR(AG12='Opciones Tratamiento'!$B$2,AG12='Opciones Tratamiento'!$B$3,AG12='Opciones Tratamiento'!$B$4),ISBLANK(AG12),ISTEXT(AG12))</xm:f>
          </x14:formula1>
          <xm:sqref>AJ12:AJ15 AJ22:AJ63</xm:sqref>
        </x14:dataValidation>
        <x14:dataValidation type="custom" allowBlank="1" showInputMessage="1" showErrorMessage="1" error="Recuerde que las acciones se generan bajo la medida de mitigar el riesgo" xr:uid="{DBE2B056-C6A1-40F8-AEB2-35D83D8186A8}">
          <x14:formula1>
            <xm:f>IF(OR(AG12='Opciones Tratamiento'!$B$2,AG12='Opciones Tratamiento'!$B$3,AG12='Opciones Tratamiento'!$B$4),ISBLANK(AG12),ISTEXT(AG12))</xm:f>
          </x14:formula1>
          <xm:sqref>AK12:AK15 AK22:AK63</xm:sqref>
        </x14:dataValidation>
        <x14:dataValidation type="custom" allowBlank="1" showInputMessage="1" showErrorMessage="1" error="Recuerde que las acciones se generan bajo la medida de mitigar el riesgo" xr:uid="{F5521D90-6031-41C3-8CEE-B2BB6C6DDD18}">
          <x14:formula1>
            <xm:f>IF(OR(AG12='Opciones Tratamiento'!$B$2,AG12='Opciones Tratamiento'!$B$3,AG12='Opciones Tratamiento'!$B$4),ISBLANK(AG12),ISTEXT(AG12))</xm:f>
          </x14:formula1>
          <xm:sqref>AL12:AL15 AL22:AL63</xm:sqref>
        </x14:dataValidation>
        <x14:dataValidation type="list" allowBlank="1" showInputMessage="1" showErrorMessage="1" xr:uid="{73CAA0CE-46E1-47F3-AF51-7C5E9707D366}">
          <x14:formula1>
            <xm:f>'C:\Users\HOME\Downloads\[Formato Matriz de Riesgos 2021 (1).xlsx]Opciones Tratamiento'!#REF!</xm:f>
          </x14:formula1>
          <xm:sqref>AG59 AG53 AG47 AG23 AG29 AG35 AG41</xm:sqref>
        </x14:dataValidation>
        <x14:dataValidation type="custom" allowBlank="1" showInputMessage="1" showErrorMessage="1" error="Recuerde que las acciones se generan bajo la medida de mitigar el riesgo" xr:uid="{0DF7BC46-6709-46B5-BF7E-FADA9109B17A}">
          <x14:formula1>
            <xm:f>IF(OR(AG16='Opciones Tratamiento'!$B$2,AG16='Opciones Tratamiento'!$B$3,AG16='Opciones Tratamiento'!$B$4),ISBLANK(AG16),ISTEXT(AG16))</xm:f>
          </x14:formula1>
          <xm:sqref>S17</xm:sqref>
        </x14:dataValidation>
        <x14:dataValidation type="list" allowBlank="1" showInputMessage="1" showErrorMessage="1" xr:uid="{52DAD627-43CD-42B9-B58B-203760D798B9}">
          <x14:formula1>
            <xm:f>'Opciones Tratamiento'!$B$13:$B$19</xm:f>
          </x14:formula1>
          <xm:sqref>I10:I63</xm:sqref>
        </x14:dataValidation>
        <x14:dataValidation type="list" allowBlank="1" showInputMessage="1" showErrorMessage="1" xr:uid="{1A7FCFCB-8DDB-4975-8B57-48B7AC8B5686}">
          <x14:formula1>
            <xm:f>'Opciones Tratamiento'!$E$2:$E$4</xm:f>
          </x14:formula1>
          <xm:sqref>B10:B63</xm:sqref>
        </x14:dataValidation>
        <x14:dataValidation type="list" allowBlank="1" showInputMessage="1" showErrorMessage="1" xr:uid="{BEA8AA5A-CF43-4F60-9C6C-81E41F85DBF5}">
          <x14:formula1>
            <xm:f>'Tabla Impacto'!$F$210:$F$221</xm:f>
          </x14:formula1>
          <xm:sqref>M10:M63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CU140"/>
  <sheetViews>
    <sheetView zoomScale="55" zoomScaleNormal="55" workbookViewId="0">
      <selection activeCell="T24" sqref="T24:U25"/>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717" t="s">
        <v>148</v>
      </c>
      <c r="C2" s="717"/>
      <c r="D2" s="717"/>
      <c r="E2" s="717"/>
      <c r="F2" s="717"/>
      <c r="G2" s="717"/>
      <c r="H2" s="717"/>
      <c r="I2" s="717"/>
      <c r="J2" s="685" t="s">
        <v>2</v>
      </c>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717"/>
      <c r="C3" s="717"/>
      <c r="D3" s="717"/>
      <c r="E3" s="717"/>
      <c r="F3" s="717"/>
      <c r="G3" s="717"/>
      <c r="H3" s="717"/>
      <c r="I3" s="717"/>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717"/>
      <c r="C4" s="717"/>
      <c r="D4" s="717"/>
      <c r="E4" s="717"/>
      <c r="F4" s="717"/>
      <c r="G4" s="717"/>
      <c r="H4" s="717"/>
      <c r="I4" s="717"/>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632" t="s">
        <v>4</v>
      </c>
      <c r="C6" s="632"/>
      <c r="D6" s="633"/>
      <c r="E6" s="670" t="s">
        <v>110</v>
      </c>
      <c r="F6" s="671"/>
      <c r="G6" s="671"/>
      <c r="H6" s="671"/>
      <c r="I6" s="672"/>
      <c r="J6" s="681" t="str">
        <f>IF(AND('Mapa final'!$K$10="Muy Alta",'Mapa final'!$O$10="Leve"),CONCATENATE("R",'Mapa final'!$A$10),"")</f>
        <v/>
      </c>
      <c r="K6" s="682"/>
      <c r="L6" s="682" t="str">
        <f>IF(AND('Mapa final'!$K$16="Muy Alta",'Mapa final'!$O$16="Leve"),CONCATENATE("R",'Mapa final'!$A$16),"")</f>
        <v/>
      </c>
      <c r="M6" s="682"/>
      <c r="N6" s="682" t="str">
        <f>IF(AND('Mapa final'!$K$19="Muy Alta",'Mapa final'!$O$19="Leve"),CONCATENATE("R",'Mapa final'!$A$19),"")</f>
        <v/>
      </c>
      <c r="O6" s="684"/>
      <c r="P6" s="681" t="str">
        <f>IF(AND('Mapa final'!$K$10="Muy Alta",'Mapa final'!$O$10="Menor"),CONCATENATE("R",'Mapa final'!$A$10),"")</f>
        <v/>
      </c>
      <c r="Q6" s="682"/>
      <c r="R6" s="682" t="str">
        <f>IF(AND('Mapa final'!$K$16="Muy Alta",'Mapa final'!$O$16="Menor"),CONCATENATE("R",'Mapa final'!$A$16),"")</f>
        <v/>
      </c>
      <c r="S6" s="682"/>
      <c r="T6" s="682" t="str">
        <f>IF(AND('Mapa final'!$K$19="Muy Alta",'Mapa final'!$O$19="Menor"),CONCATENATE("R",'Mapa final'!$A$19),"")</f>
        <v/>
      </c>
      <c r="U6" s="684"/>
      <c r="V6" s="681" t="str">
        <f>IF(AND('Mapa final'!$K$10="Muy Alta",'Mapa final'!$O$10="Moderado"),CONCATENATE("R",'Mapa final'!$A$10),"")</f>
        <v/>
      </c>
      <c r="W6" s="682"/>
      <c r="X6" s="682" t="str">
        <f>IF(AND('Mapa final'!$K$16="Muy Alta",'Mapa final'!$O$16="Moderado"),CONCATENATE("R",'Mapa final'!$A$16),"")</f>
        <v/>
      </c>
      <c r="Y6" s="682"/>
      <c r="Z6" s="682" t="str">
        <f>IF(AND('Mapa final'!$K$19="Muy Alta",'Mapa final'!$O$19="Moderado"),CONCATENATE("R",'Mapa final'!$A$19),"")</f>
        <v/>
      </c>
      <c r="AA6" s="684"/>
      <c r="AB6" s="681" t="str">
        <f>IF(AND('Mapa final'!$K$10="Muy Alta",'Mapa final'!$O$10="Mayor"),CONCATENATE("R",'Mapa final'!$A$10),"")</f>
        <v/>
      </c>
      <c r="AC6" s="682"/>
      <c r="AD6" s="682" t="str">
        <f>IF(AND('Mapa final'!$K$16="Muy Alta",'Mapa final'!$O$16="Mayor"),CONCATENATE("R",'Mapa final'!$A$16),"")</f>
        <v/>
      </c>
      <c r="AE6" s="682"/>
      <c r="AF6" s="682" t="str">
        <f>IF(AND('Mapa final'!$K$19="Muy Alta",'Mapa final'!$O$19="Mayor"),CONCATENATE("R",'Mapa final'!$A$19),"")</f>
        <v/>
      </c>
      <c r="AG6" s="684"/>
      <c r="AH6" s="696" t="str">
        <f>IF(AND('Mapa final'!$K$10="Muy Alta",'Mapa final'!$O$10="Catastrófico"),CONCATENATE("R",'Mapa final'!$A$10),"")</f>
        <v/>
      </c>
      <c r="AI6" s="697"/>
      <c r="AJ6" s="697" t="str">
        <f>IF(AND('Mapa final'!$K$16="Muy Alta",'Mapa final'!$O$16="Catastrófico"),CONCATENATE("R",'Mapa final'!$A$16),"")</f>
        <v/>
      </c>
      <c r="AK6" s="697"/>
      <c r="AL6" s="697" t="str">
        <f>IF(AND('Mapa final'!$K$19="Muy Alta",'Mapa final'!$O$19="Catastrófico"),CONCATENATE("R",'Mapa final'!$A$19),"")</f>
        <v/>
      </c>
      <c r="AM6" s="698"/>
      <c r="AO6" s="634" t="s">
        <v>77</v>
      </c>
      <c r="AP6" s="635"/>
      <c r="AQ6" s="635"/>
      <c r="AR6" s="635"/>
      <c r="AS6" s="635"/>
      <c r="AT6" s="63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632"/>
      <c r="C7" s="632"/>
      <c r="D7" s="633"/>
      <c r="E7" s="673"/>
      <c r="F7" s="674"/>
      <c r="G7" s="674"/>
      <c r="H7" s="674"/>
      <c r="I7" s="675"/>
      <c r="J7" s="683"/>
      <c r="K7" s="679"/>
      <c r="L7" s="679"/>
      <c r="M7" s="679"/>
      <c r="N7" s="679"/>
      <c r="O7" s="680"/>
      <c r="P7" s="683"/>
      <c r="Q7" s="679"/>
      <c r="R7" s="679"/>
      <c r="S7" s="679"/>
      <c r="T7" s="679"/>
      <c r="U7" s="680"/>
      <c r="V7" s="683"/>
      <c r="W7" s="679"/>
      <c r="X7" s="679"/>
      <c r="Y7" s="679"/>
      <c r="Z7" s="679"/>
      <c r="AA7" s="680"/>
      <c r="AB7" s="683"/>
      <c r="AC7" s="679"/>
      <c r="AD7" s="679"/>
      <c r="AE7" s="679"/>
      <c r="AF7" s="679"/>
      <c r="AG7" s="680"/>
      <c r="AH7" s="690"/>
      <c r="AI7" s="691"/>
      <c r="AJ7" s="691"/>
      <c r="AK7" s="691"/>
      <c r="AL7" s="691"/>
      <c r="AM7" s="692"/>
      <c r="AN7" s="67"/>
      <c r="AO7" s="637"/>
      <c r="AP7" s="638"/>
      <c r="AQ7" s="638"/>
      <c r="AR7" s="638"/>
      <c r="AS7" s="638"/>
      <c r="AT7" s="63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632"/>
      <c r="C8" s="632"/>
      <c r="D8" s="633"/>
      <c r="E8" s="673"/>
      <c r="F8" s="674"/>
      <c r="G8" s="674"/>
      <c r="H8" s="674"/>
      <c r="I8" s="675"/>
      <c r="J8" s="683" t="str">
        <f>IF(AND('Mapa final'!$K$22="Muy Alta",'Mapa final'!$O$22="Leve"),CONCATENATE("R",'Mapa final'!$A$22),"")</f>
        <v/>
      </c>
      <c r="K8" s="679"/>
      <c r="L8" s="679" t="str">
        <f>IF(AND('Mapa final'!$K$28="Muy Alta",'Mapa final'!$O$28="Leve"),CONCATENATE("R",'Mapa final'!$A$28),"")</f>
        <v/>
      </c>
      <c r="M8" s="679"/>
      <c r="N8" s="679" t="str">
        <f>IF(AND('Mapa final'!$K$34="Muy Alta",'Mapa final'!$O$34="Leve"),CONCATENATE("R",'Mapa final'!$A$34),"")</f>
        <v/>
      </c>
      <c r="O8" s="680"/>
      <c r="P8" s="683" t="str">
        <f>IF(AND('Mapa final'!$K$22="Muy Alta",'Mapa final'!$O$22="Menor"),CONCATENATE("R",'Mapa final'!$A$22),"")</f>
        <v/>
      </c>
      <c r="Q8" s="679"/>
      <c r="R8" s="679" t="str">
        <f>IF(AND('Mapa final'!$K$28="Muy Alta",'Mapa final'!$O$28="Menor"),CONCATENATE("R",'Mapa final'!$A$28),"")</f>
        <v/>
      </c>
      <c r="S8" s="679"/>
      <c r="T8" s="679" t="str">
        <f>IF(AND('Mapa final'!$K$34="Muy Alta",'Mapa final'!$O$34="Menor"),CONCATENATE("R",'Mapa final'!$A$34),"")</f>
        <v/>
      </c>
      <c r="U8" s="680"/>
      <c r="V8" s="683" t="str">
        <f>IF(AND('Mapa final'!$K$22="Muy Alta",'Mapa final'!$O$22="Moderado"),CONCATENATE("R",'Mapa final'!$A$22),"")</f>
        <v/>
      </c>
      <c r="W8" s="679"/>
      <c r="X8" s="679" t="str">
        <f>IF(AND('Mapa final'!$K$28="Muy Alta",'Mapa final'!$O$28="Moderado"),CONCATENATE("R",'Mapa final'!$A$28),"")</f>
        <v/>
      </c>
      <c r="Y8" s="679"/>
      <c r="Z8" s="679" t="str">
        <f>IF(AND('Mapa final'!$K$34="Muy Alta",'Mapa final'!$O$34="Moderado"),CONCATENATE("R",'Mapa final'!$A$34),"")</f>
        <v/>
      </c>
      <c r="AA8" s="680"/>
      <c r="AB8" s="683" t="str">
        <f>IF(AND('Mapa final'!$K$22="Muy Alta",'Mapa final'!$O$22="Mayor"),CONCATENATE("R",'Mapa final'!$A$22),"")</f>
        <v/>
      </c>
      <c r="AC8" s="679"/>
      <c r="AD8" s="679" t="str">
        <f>IF(AND('Mapa final'!$K$28="Muy Alta",'Mapa final'!$O$28="Mayor"),CONCATENATE("R",'Mapa final'!$A$28),"")</f>
        <v/>
      </c>
      <c r="AE8" s="679"/>
      <c r="AF8" s="679" t="str">
        <f>IF(AND('Mapa final'!$K$34="Muy Alta",'Mapa final'!$O$34="Mayor"),CONCATENATE("R",'Mapa final'!$A$34),"")</f>
        <v/>
      </c>
      <c r="AG8" s="680"/>
      <c r="AH8" s="690" t="str">
        <f>IF(AND('Mapa final'!$K$22="Muy Alta",'Mapa final'!$O$22="Catastrófico"),CONCATENATE("R",'Mapa final'!$A$22),"")</f>
        <v/>
      </c>
      <c r="AI8" s="691"/>
      <c r="AJ8" s="691" t="str">
        <f>IF(AND('Mapa final'!$K$28="Muy Alta",'Mapa final'!$O$28="Catastrófico"),CONCATENATE("R",'Mapa final'!$A$28),"")</f>
        <v/>
      </c>
      <c r="AK8" s="691"/>
      <c r="AL8" s="691" t="str">
        <f>IF(AND('Mapa final'!$K$34="Muy Alta",'Mapa final'!$O$34="Catastrófico"),CONCATENATE("R",'Mapa final'!$A$34),"")</f>
        <v/>
      </c>
      <c r="AM8" s="692"/>
      <c r="AN8" s="67"/>
      <c r="AO8" s="637"/>
      <c r="AP8" s="638"/>
      <c r="AQ8" s="638"/>
      <c r="AR8" s="638"/>
      <c r="AS8" s="638"/>
      <c r="AT8" s="63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632"/>
      <c r="C9" s="632"/>
      <c r="D9" s="633"/>
      <c r="E9" s="673"/>
      <c r="F9" s="674"/>
      <c r="G9" s="674"/>
      <c r="H9" s="674"/>
      <c r="I9" s="675"/>
      <c r="J9" s="683"/>
      <c r="K9" s="679"/>
      <c r="L9" s="679"/>
      <c r="M9" s="679"/>
      <c r="N9" s="679"/>
      <c r="O9" s="680"/>
      <c r="P9" s="683"/>
      <c r="Q9" s="679"/>
      <c r="R9" s="679"/>
      <c r="S9" s="679"/>
      <c r="T9" s="679"/>
      <c r="U9" s="680"/>
      <c r="V9" s="683"/>
      <c r="W9" s="679"/>
      <c r="X9" s="679"/>
      <c r="Y9" s="679"/>
      <c r="Z9" s="679"/>
      <c r="AA9" s="680"/>
      <c r="AB9" s="683"/>
      <c r="AC9" s="679"/>
      <c r="AD9" s="679"/>
      <c r="AE9" s="679"/>
      <c r="AF9" s="679"/>
      <c r="AG9" s="680"/>
      <c r="AH9" s="690"/>
      <c r="AI9" s="691"/>
      <c r="AJ9" s="691"/>
      <c r="AK9" s="691"/>
      <c r="AL9" s="691"/>
      <c r="AM9" s="692"/>
      <c r="AN9" s="67"/>
      <c r="AO9" s="637"/>
      <c r="AP9" s="638"/>
      <c r="AQ9" s="638"/>
      <c r="AR9" s="638"/>
      <c r="AS9" s="638"/>
      <c r="AT9" s="63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632"/>
      <c r="C10" s="632"/>
      <c r="D10" s="633"/>
      <c r="E10" s="673"/>
      <c r="F10" s="674"/>
      <c r="G10" s="674"/>
      <c r="H10" s="674"/>
      <c r="I10" s="675"/>
      <c r="J10" s="683" t="str">
        <f>IF(AND('Mapa final'!$K$40="Muy Alta",'Mapa final'!$O$40="Leve"),CONCATENATE("R",'Mapa final'!$A$40),"")</f>
        <v/>
      </c>
      <c r="K10" s="679"/>
      <c r="L10" s="679" t="str">
        <f>IF(AND('Mapa final'!$K$46="Muy Alta",'Mapa final'!$O$46="Leve"),CONCATENATE("R",'Mapa final'!$A$46),"")</f>
        <v/>
      </c>
      <c r="M10" s="679"/>
      <c r="N10" s="679" t="str">
        <f>IF(AND('Mapa final'!$K$52="Muy Alta",'Mapa final'!$O$52="Leve"),CONCATENATE("R",'Mapa final'!$A$52),"")</f>
        <v/>
      </c>
      <c r="O10" s="680"/>
      <c r="P10" s="683" t="str">
        <f>IF(AND('Mapa final'!$K$40="Muy Alta",'Mapa final'!$O$40="Menor"),CONCATENATE("R",'Mapa final'!$A$40),"")</f>
        <v/>
      </c>
      <c r="Q10" s="679"/>
      <c r="R10" s="679" t="str">
        <f>IF(AND('Mapa final'!$K$46="Muy Alta",'Mapa final'!$O$46="Menor"),CONCATENATE("R",'Mapa final'!$A$46),"")</f>
        <v/>
      </c>
      <c r="S10" s="679"/>
      <c r="T10" s="679" t="str">
        <f>IF(AND('Mapa final'!$K$52="Muy Alta",'Mapa final'!$O$52="Menor"),CONCATENATE("R",'Mapa final'!$A$52),"")</f>
        <v/>
      </c>
      <c r="U10" s="680"/>
      <c r="V10" s="683" t="str">
        <f>IF(AND('Mapa final'!$K$40="Muy Alta",'Mapa final'!$O$40="Moderado"),CONCATENATE("R",'Mapa final'!$A$40),"")</f>
        <v/>
      </c>
      <c r="W10" s="679"/>
      <c r="X10" s="679" t="str">
        <f>IF(AND('Mapa final'!$K$46="Muy Alta",'Mapa final'!$O$46="Moderado"),CONCATENATE("R",'Mapa final'!$A$46),"")</f>
        <v/>
      </c>
      <c r="Y10" s="679"/>
      <c r="Z10" s="679" t="str">
        <f>IF(AND('Mapa final'!$K$52="Muy Alta",'Mapa final'!$O$52="Moderado"),CONCATENATE("R",'Mapa final'!$A$52),"")</f>
        <v/>
      </c>
      <c r="AA10" s="680"/>
      <c r="AB10" s="683" t="str">
        <f>IF(AND('Mapa final'!$K$40="Muy Alta",'Mapa final'!$O$40="Mayor"),CONCATENATE("R",'Mapa final'!$A$40),"")</f>
        <v/>
      </c>
      <c r="AC10" s="679"/>
      <c r="AD10" s="679" t="str">
        <f>IF(AND('Mapa final'!$K$46="Muy Alta",'Mapa final'!$O$46="Mayor"),CONCATENATE("R",'Mapa final'!$A$46),"")</f>
        <v/>
      </c>
      <c r="AE10" s="679"/>
      <c r="AF10" s="679" t="str">
        <f>IF(AND('Mapa final'!$K$52="Muy Alta",'Mapa final'!$O$52="Mayor"),CONCATENATE("R",'Mapa final'!$A$52),"")</f>
        <v/>
      </c>
      <c r="AG10" s="680"/>
      <c r="AH10" s="690" t="str">
        <f>IF(AND('Mapa final'!$K$40="Muy Alta",'Mapa final'!$O$40="Catastrófico"),CONCATENATE("R",'Mapa final'!$A$40),"")</f>
        <v/>
      </c>
      <c r="AI10" s="691"/>
      <c r="AJ10" s="691" t="str">
        <f>IF(AND('Mapa final'!$K$46="Muy Alta",'Mapa final'!$O$46="Catastrófico"),CONCATENATE("R",'Mapa final'!$A$46),"")</f>
        <v/>
      </c>
      <c r="AK10" s="691"/>
      <c r="AL10" s="691" t="str">
        <f>IF(AND('Mapa final'!$K$52="Muy Alta",'Mapa final'!$O$52="Catastrófico"),CONCATENATE("R",'Mapa final'!$A$52),"")</f>
        <v/>
      </c>
      <c r="AM10" s="692"/>
      <c r="AN10" s="67"/>
      <c r="AO10" s="637"/>
      <c r="AP10" s="638"/>
      <c r="AQ10" s="638"/>
      <c r="AR10" s="638"/>
      <c r="AS10" s="638"/>
      <c r="AT10" s="63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632"/>
      <c r="C11" s="632"/>
      <c r="D11" s="633"/>
      <c r="E11" s="673"/>
      <c r="F11" s="674"/>
      <c r="G11" s="674"/>
      <c r="H11" s="674"/>
      <c r="I11" s="675"/>
      <c r="J11" s="683"/>
      <c r="K11" s="679"/>
      <c r="L11" s="679"/>
      <c r="M11" s="679"/>
      <c r="N11" s="679"/>
      <c r="O11" s="680"/>
      <c r="P11" s="683"/>
      <c r="Q11" s="679"/>
      <c r="R11" s="679"/>
      <c r="S11" s="679"/>
      <c r="T11" s="679"/>
      <c r="U11" s="680"/>
      <c r="V11" s="683"/>
      <c r="W11" s="679"/>
      <c r="X11" s="679"/>
      <c r="Y11" s="679"/>
      <c r="Z11" s="679"/>
      <c r="AA11" s="680"/>
      <c r="AB11" s="683"/>
      <c r="AC11" s="679"/>
      <c r="AD11" s="679"/>
      <c r="AE11" s="679"/>
      <c r="AF11" s="679"/>
      <c r="AG11" s="680"/>
      <c r="AH11" s="690"/>
      <c r="AI11" s="691"/>
      <c r="AJ11" s="691"/>
      <c r="AK11" s="691"/>
      <c r="AL11" s="691"/>
      <c r="AM11" s="692"/>
      <c r="AN11" s="67"/>
      <c r="AO11" s="637"/>
      <c r="AP11" s="638"/>
      <c r="AQ11" s="638"/>
      <c r="AR11" s="638"/>
      <c r="AS11" s="638"/>
      <c r="AT11" s="63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632"/>
      <c r="C12" s="632"/>
      <c r="D12" s="633"/>
      <c r="E12" s="673"/>
      <c r="F12" s="674"/>
      <c r="G12" s="674"/>
      <c r="H12" s="674"/>
      <c r="I12" s="675"/>
      <c r="J12" s="683" t="str">
        <f>IF(AND('Mapa final'!$K$58="Muy Alta",'Mapa final'!$O$58="Leve"),CONCATENATE("R",'Mapa final'!$A$58),"")</f>
        <v/>
      </c>
      <c r="K12" s="679"/>
      <c r="L12" s="679" t="str">
        <f>IF(AND('Mapa final'!$K$64="Muy Alta",'Mapa final'!$O$64="Leve"),CONCATENATE("R",'Mapa final'!$A$64),"")</f>
        <v/>
      </c>
      <c r="M12" s="679"/>
      <c r="N12" s="679" t="str">
        <f>IF(AND('Mapa final'!$K$70="Muy Alta",'Mapa final'!$O$70="Leve"),CONCATENATE("R",'Mapa final'!$A$70),"")</f>
        <v/>
      </c>
      <c r="O12" s="680"/>
      <c r="P12" s="683" t="str">
        <f>IF(AND('Mapa final'!$K$58="Muy Alta",'Mapa final'!$O$58="Menor"),CONCATENATE("R",'Mapa final'!$A$58),"")</f>
        <v/>
      </c>
      <c r="Q12" s="679"/>
      <c r="R12" s="679" t="str">
        <f>IF(AND('Mapa final'!$K$64="Muy Alta",'Mapa final'!$O$64="Menor"),CONCATENATE("R",'Mapa final'!$A$64),"")</f>
        <v/>
      </c>
      <c r="S12" s="679"/>
      <c r="T12" s="679" t="str">
        <f>IF(AND('Mapa final'!$K$70="Muy Alta",'Mapa final'!$O$70="Menor"),CONCATENATE("R",'Mapa final'!$A$70),"")</f>
        <v/>
      </c>
      <c r="U12" s="680"/>
      <c r="V12" s="683" t="str">
        <f>IF(AND('Mapa final'!$K$58="Muy Alta",'Mapa final'!$O$58="Moderado"),CONCATENATE("R",'Mapa final'!$A$58),"")</f>
        <v/>
      </c>
      <c r="W12" s="679"/>
      <c r="X12" s="679" t="str">
        <f>IF(AND('Mapa final'!$K$64="Muy Alta",'Mapa final'!$O$64="Moderado"),CONCATENATE("R",'Mapa final'!$A$64),"")</f>
        <v/>
      </c>
      <c r="Y12" s="679"/>
      <c r="Z12" s="679" t="str">
        <f>IF(AND('Mapa final'!$K$70="Muy Alta",'Mapa final'!$O$70="Moderado"),CONCATENATE("R",'Mapa final'!$A$70),"")</f>
        <v/>
      </c>
      <c r="AA12" s="680"/>
      <c r="AB12" s="683" t="str">
        <f>IF(AND('Mapa final'!$K$58="Muy Alta",'Mapa final'!$O$58="Mayor"),CONCATENATE("R",'Mapa final'!$A$58),"")</f>
        <v/>
      </c>
      <c r="AC12" s="679"/>
      <c r="AD12" s="679" t="str">
        <f>IF(AND('Mapa final'!$K$64="Muy Alta",'Mapa final'!$O$64="Mayor"),CONCATENATE("R",'Mapa final'!$A$64),"")</f>
        <v/>
      </c>
      <c r="AE12" s="679"/>
      <c r="AF12" s="679" t="str">
        <f>IF(AND('Mapa final'!$K$70="Muy Alta",'Mapa final'!$O$70="Mayor"),CONCATENATE("R",'Mapa final'!$A$70),"")</f>
        <v/>
      </c>
      <c r="AG12" s="680"/>
      <c r="AH12" s="690" t="str">
        <f>IF(AND('Mapa final'!$K$58="Muy Alta",'Mapa final'!$O$58="Catastrófico"),CONCATENATE("R",'Mapa final'!$A$58),"")</f>
        <v/>
      </c>
      <c r="AI12" s="691"/>
      <c r="AJ12" s="691" t="str">
        <f>IF(AND('Mapa final'!$K$64="Muy Alta",'Mapa final'!$O$64="Catastrófico"),CONCATENATE("R",'Mapa final'!$A$64),"")</f>
        <v/>
      </c>
      <c r="AK12" s="691"/>
      <c r="AL12" s="691" t="str">
        <f>IF(AND('Mapa final'!$K$70="Muy Alta",'Mapa final'!$O$70="Catastrófico"),CONCATENATE("R",'Mapa final'!$A$70),"")</f>
        <v/>
      </c>
      <c r="AM12" s="692"/>
      <c r="AN12" s="67"/>
      <c r="AO12" s="637"/>
      <c r="AP12" s="638"/>
      <c r="AQ12" s="638"/>
      <c r="AR12" s="638"/>
      <c r="AS12" s="638"/>
      <c r="AT12" s="63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632"/>
      <c r="C13" s="632"/>
      <c r="D13" s="633"/>
      <c r="E13" s="676"/>
      <c r="F13" s="677"/>
      <c r="G13" s="677"/>
      <c r="H13" s="677"/>
      <c r="I13" s="678"/>
      <c r="J13" s="683"/>
      <c r="K13" s="679"/>
      <c r="L13" s="679"/>
      <c r="M13" s="679"/>
      <c r="N13" s="679"/>
      <c r="O13" s="680"/>
      <c r="P13" s="683"/>
      <c r="Q13" s="679"/>
      <c r="R13" s="679"/>
      <c r="S13" s="679"/>
      <c r="T13" s="679"/>
      <c r="U13" s="680"/>
      <c r="V13" s="683"/>
      <c r="W13" s="679"/>
      <c r="X13" s="679"/>
      <c r="Y13" s="679"/>
      <c r="Z13" s="679"/>
      <c r="AA13" s="680"/>
      <c r="AB13" s="683"/>
      <c r="AC13" s="679"/>
      <c r="AD13" s="679"/>
      <c r="AE13" s="679"/>
      <c r="AF13" s="679"/>
      <c r="AG13" s="680"/>
      <c r="AH13" s="693"/>
      <c r="AI13" s="694"/>
      <c r="AJ13" s="694"/>
      <c r="AK13" s="694"/>
      <c r="AL13" s="694"/>
      <c r="AM13" s="695"/>
      <c r="AN13" s="67"/>
      <c r="AO13" s="640"/>
      <c r="AP13" s="641"/>
      <c r="AQ13" s="641"/>
      <c r="AR13" s="641"/>
      <c r="AS13" s="641"/>
      <c r="AT13" s="64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632"/>
      <c r="C14" s="632"/>
      <c r="D14" s="633"/>
      <c r="E14" s="670" t="s">
        <v>109</v>
      </c>
      <c r="F14" s="671"/>
      <c r="G14" s="671"/>
      <c r="H14" s="671"/>
      <c r="I14" s="671"/>
      <c r="J14" s="705" t="str">
        <f>IF(AND('Mapa final'!$K$10="Alta",'Mapa final'!$O$10="Leve"),CONCATENATE("R",'Mapa final'!$A$10),"")</f>
        <v/>
      </c>
      <c r="K14" s="706"/>
      <c r="L14" s="706" t="str">
        <f>IF(AND('Mapa final'!$K$16="Alta",'Mapa final'!$O$16="Leve"),CONCATENATE("R",'Mapa final'!$A$16),"")</f>
        <v/>
      </c>
      <c r="M14" s="706"/>
      <c r="N14" s="706" t="str">
        <f>IF(AND('Mapa final'!$K$19="Alta",'Mapa final'!$O$19="Leve"),CONCATENATE("R",'Mapa final'!$A$19),"")</f>
        <v/>
      </c>
      <c r="O14" s="707"/>
      <c r="P14" s="705" t="str">
        <f>IF(AND('Mapa final'!$K$10="Alta",'Mapa final'!$O$10="Menor"),CONCATENATE("R",'Mapa final'!$A$10),"")</f>
        <v/>
      </c>
      <c r="Q14" s="706"/>
      <c r="R14" s="706" t="str">
        <f>IF(AND('Mapa final'!$K$16="Alta",'Mapa final'!$O$16="Menor"),CONCATENATE("R",'Mapa final'!$A$16),"")</f>
        <v/>
      </c>
      <c r="S14" s="706"/>
      <c r="T14" s="706" t="str">
        <f>IF(AND('Mapa final'!$K$19="Alta",'Mapa final'!$O$19="Menor"),CONCATENATE("R",'Mapa final'!$A$19),"")</f>
        <v/>
      </c>
      <c r="U14" s="707"/>
      <c r="V14" s="681" t="str">
        <f>IF(AND('Mapa final'!$K$10="Alta",'Mapa final'!$O$10="Moderado"),CONCATENATE("R",'Mapa final'!$A$10),"")</f>
        <v/>
      </c>
      <c r="W14" s="682"/>
      <c r="X14" s="682" t="str">
        <f>IF(AND('Mapa final'!$K$16="Alta",'Mapa final'!$O$16="Moderado"),CONCATENATE("R",'Mapa final'!$A$16),"")</f>
        <v/>
      </c>
      <c r="Y14" s="682"/>
      <c r="Z14" s="682" t="str">
        <f>IF(AND('Mapa final'!$K$19="Alta",'Mapa final'!$O$19="Moderado"),CONCATENATE("R",'Mapa final'!$A$19),"")</f>
        <v/>
      </c>
      <c r="AA14" s="684"/>
      <c r="AB14" s="681" t="str">
        <f>IF(AND('Mapa final'!$K$10="Alta",'Mapa final'!$O$10="Mayor"),CONCATENATE("R",'Mapa final'!$A$10),"")</f>
        <v/>
      </c>
      <c r="AC14" s="682"/>
      <c r="AD14" s="682" t="str">
        <f>IF(AND('Mapa final'!$K$16="Alta",'Mapa final'!$O$16="Mayor"),CONCATENATE("R",'Mapa final'!$A$16),"")</f>
        <v/>
      </c>
      <c r="AE14" s="682"/>
      <c r="AF14" s="682" t="str">
        <f>IF(AND('Mapa final'!$K$19="Alta",'Mapa final'!$O$19="Mayor"),CONCATENATE("R",'Mapa final'!$A$19),"")</f>
        <v/>
      </c>
      <c r="AG14" s="684"/>
      <c r="AH14" s="696" t="str">
        <f>IF(AND('Mapa final'!$K$10="Alta",'Mapa final'!$O$10="Catastrófico"),CONCATENATE("R",'Mapa final'!$A$10),"")</f>
        <v/>
      </c>
      <c r="AI14" s="697"/>
      <c r="AJ14" s="697" t="str">
        <f>IF(AND('Mapa final'!$K$16="Alta",'Mapa final'!$O$16="Catastrófico"),CONCATENATE("R",'Mapa final'!$A$16),"")</f>
        <v/>
      </c>
      <c r="AK14" s="697"/>
      <c r="AL14" s="697" t="str">
        <f>IF(AND('Mapa final'!$K$19="Alta",'Mapa final'!$O$19="Catastrófico"),CONCATENATE("R",'Mapa final'!$A$19),"")</f>
        <v/>
      </c>
      <c r="AM14" s="698"/>
      <c r="AN14" s="67"/>
      <c r="AO14" s="643" t="s">
        <v>78</v>
      </c>
      <c r="AP14" s="644"/>
      <c r="AQ14" s="644"/>
      <c r="AR14" s="644"/>
      <c r="AS14" s="644"/>
      <c r="AT14" s="64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632"/>
      <c r="C15" s="632"/>
      <c r="D15" s="633"/>
      <c r="E15" s="673"/>
      <c r="F15" s="674"/>
      <c r="G15" s="674"/>
      <c r="H15" s="674"/>
      <c r="I15" s="674"/>
      <c r="J15" s="699"/>
      <c r="K15" s="700"/>
      <c r="L15" s="700"/>
      <c r="M15" s="700"/>
      <c r="N15" s="700"/>
      <c r="O15" s="701"/>
      <c r="P15" s="699"/>
      <c r="Q15" s="700"/>
      <c r="R15" s="700"/>
      <c r="S15" s="700"/>
      <c r="T15" s="700"/>
      <c r="U15" s="701"/>
      <c r="V15" s="683"/>
      <c r="W15" s="679"/>
      <c r="X15" s="679"/>
      <c r="Y15" s="679"/>
      <c r="Z15" s="679"/>
      <c r="AA15" s="680"/>
      <c r="AB15" s="683"/>
      <c r="AC15" s="679"/>
      <c r="AD15" s="679"/>
      <c r="AE15" s="679"/>
      <c r="AF15" s="679"/>
      <c r="AG15" s="680"/>
      <c r="AH15" s="690"/>
      <c r="AI15" s="691"/>
      <c r="AJ15" s="691"/>
      <c r="AK15" s="691"/>
      <c r="AL15" s="691"/>
      <c r="AM15" s="692"/>
      <c r="AN15" s="67"/>
      <c r="AO15" s="646"/>
      <c r="AP15" s="647"/>
      <c r="AQ15" s="647"/>
      <c r="AR15" s="647"/>
      <c r="AS15" s="647"/>
      <c r="AT15" s="64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632"/>
      <c r="C16" s="632"/>
      <c r="D16" s="633"/>
      <c r="E16" s="673"/>
      <c r="F16" s="674"/>
      <c r="G16" s="674"/>
      <c r="H16" s="674"/>
      <c r="I16" s="674"/>
      <c r="J16" s="699" t="str">
        <f>IF(AND('Mapa final'!$K$22="Alta",'Mapa final'!$O$22="Leve"),CONCATENATE("R",'Mapa final'!$A$22),"")</f>
        <v/>
      </c>
      <c r="K16" s="700"/>
      <c r="L16" s="700" t="str">
        <f>IF(AND('Mapa final'!$K$28="Alta",'Mapa final'!$O$28="Leve"),CONCATENATE("R",'Mapa final'!$A$28),"")</f>
        <v/>
      </c>
      <c r="M16" s="700"/>
      <c r="N16" s="700" t="str">
        <f>IF(AND('Mapa final'!$K$34="Alta",'Mapa final'!$O$34="Leve"),CONCATENATE("R",'Mapa final'!$A$34),"")</f>
        <v/>
      </c>
      <c r="O16" s="701"/>
      <c r="P16" s="699" t="str">
        <f>IF(AND('Mapa final'!$K$22="Alta",'Mapa final'!$O$22="Menor"),CONCATENATE("R",'Mapa final'!$A$22),"")</f>
        <v/>
      </c>
      <c r="Q16" s="700"/>
      <c r="R16" s="700" t="str">
        <f>IF(AND('Mapa final'!$K$28="Alta",'Mapa final'!$O$28="Menor"),CONCATENATE("R",'Mapa final'!$A$28),"")</f>
        <v/>
      </c>
      <c r="S16" s="700"/>
      <c r="T16" s="700" t="str">
        <f>IF(AND('Mapa final'!$K$34="Alta",'Mapa final'!$O$34="Menor"),CONCATENATE("R",'Mapa final'!$A$34),"")</f>
        <v/>
      </c>
      <c r="U16" s="701"/>
      <c r="V16" s="683" t="str">
        <f>IF(AND('Mapa final'!$K$22="Alta",'Mapa final'!$O$22="Moderado"),CONCATENATE("R",'Mapa final'!$A$22),"")</f>
        <v/>
      </c>
      <c r="W16" s="679"/>
      <c r="X16" s="679" t="str">
        <f>IF(AND('Mapa final'!$K$28="Alta",'Mapa final'!$O$28="Moderado"),CONCATENATE("R",'Mapa final'!$A$28),"")</f>
        <v/>
      </c>
      <c r="Y16" s="679"/>
      <c r="Z16" s="679" t="str">
        <f>IF(AND('Mapa final'!$K$34="Alta",'Mapa final'!$O$34="Moderado"),CONCATENATE("R",'Mapa final'!$A$34),"")</f>
        <v/>
      </c>
      <c r="AA16" s="680"/>
      <c r="AB16" s="683" t="str">
        <f>IF(AND('Mapa final'!$K$22="Alta",'Mapa final'!$O$22="Mayor"),CONCATENATE("R",'Mapa final'!$A$22),"")</f>
        <v/>
      </c>
      <c r="AC16" s="679"/>
      <c r="AD16" s="679" t="str">
        <f>IF(AND('Mapa final'!$K$28="Alta",'Mapa final'!$O$28="Mayor"),CONCATENATE("R",'Mapa final'!$A$28),"")</f>
        <v/>
      </c>
      <c r="AE16" s="679"/>
      <c r="AF16" s="679" t="str">
        <f>IF(AND('Mapa final'!$K$34="Alta",'Mapa final'!$O$34="Mayor"),CONCATENATE("R",'Mapa final'!$A$34),"")</f>
        <v/>
      </c>
      <c r="AG16" s="680"/>
      <c r="AH16" s="690" t="str">
        <f>IF(AND('Mapa final'!$K$22="Alta",'Mapa final'!$O$22="Catastrófico"),CONCATENATE("R",'Mapa final'!$A$22),"")</f>
        <v/>
      </c>
      <c r="AI16" s="691"/>
      <c r="AJ16" s="691" t="str">
        <f>IF(AND('Mapa final'!$K$28="Alta",'Mapa final'!$O$28="Catastrófico"),CONCATENATE("R",'Mapa final'!$A$28),"")</f>
        <v/>
      </c>
      <c r="AK16" s="691"/>
      <c r="AL16" s="691" t="str">
        <f>IF(AND('Mapa final'!$K$34="Alta",'Mapa final'!$O$34="Catastrófico"),CONCATENATE("R",'Mapa final'!$A$34),"")</f>
        <v/>
      </c>
      <c r="AM16" s="692"/>
      <c r="AN16" s="67"/>
      <c r="AO16" s="646"/>
      <c r="AP16" s="647"/>
      <c r="AQ16" s="647"/>
      <c r="AR16" s="647"/>
      <c r="AS16" s="647"/>
      <c r="AT16" s="64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632"/>
      <c r="C17" s="632"/>
      <c r="D17" s="633"/>
      <c r="E17" s="673"/>
      <c r="F17" s="674"/>
      <c r="G17" s="674"/>
      <c r="H17" s="674"/>
      <c r="I17" s="674"/>
      <c r="J17" s="699"/>
      <c r="K17" s="700"/>
      <c r="L17" s="700"/>
      <c r="M17" s="700"/>
      <c r="N17" s="700"/>
      <c r="O17" s="701"/>
      <c r="P17" s="699"/>
      <c r="Q17" s="700"/>
      <c r="R17" s="700"/>
      <c r="S17" s="700"/>
      <c r="T17" s="700"/>
      <c r="U17" s="701"/>
      <c r="V17" s="683"/>
      <c r="W17" s="679"/>
      <c r="X17" s="679"/>
      <c r="Y17" s="679"/>
      <c r="Z17" s="679"/>
      <c r="AA17" s="680"/>
      <c r="AB17" s="683"/>
      <c r="AC17" s="679"/>
      <c r="AD17" s="679"/>
      <c r="AE17" s="679"/>
      <c r="AF17" s="679"/>
      <c r="AG17" s="680"/>
      <c r="AH17" s="690"/>
      <c r="AI17" s="691"/>
      <c r="AJ17" s="691"/>
      <c r="AK17" s="691"/>
      <c r="AL17" s="691"/>
      <c r="AM17" s="692"/>
      <c r="AN17" s="67"/>
      <c r="AO17" s="646"/>
      <c r="AP17" s="647"/>
      <c r="AQ17" s="647"/>
      <c r="AR17" s="647"/>
      <c r="AS17" s="647"/>
      <c r="AT17" s="64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632"/>
      <c r="C18" s="632"/>
      <c r="D18" s="633"/>
      <c r="E18" s="673"/>
      <c r="F18" s="674"/>
      <c r="G18" s="674"/>
      <c r="H18" s="674"/>
      <c r="I18" s="674"/>
      <c r="J18" s="699" t="str">
        <f>IF(AND('Mapa final'!$K$40="Alta",'Mapa final'!$O$40="Leve"),CONCATENATE("R",'Mapa final'!$A$40),"")</f>
        <v/>
      </c>
      <c r="K18" s="700"/>
      <c r="L18" s="700" t="str">
        <f>IF(AND('Mapa final'!$K$46="Alta",'Mapa final'!$O$46="Leve"),CONCATENATE("R",'Mapa final'!$A$46),"")</f>
        <v/>
      </c>
      <c r="M18" s="700"/>
      <c r="N18" s="700" t="str">
        <f>IF(AND('Mapa final'!$K$52="Alta",'Mapa final'!$O$52="Leve"),CONCATENATE("R",'Mapa final'!$A$52),"")</f>
        <v/>
      </c>
      <c r="O18" s="701"/>
      <c r="P18" s="699" t="str">
        <f>IF(AND('Mapa final'!$K$40="Alta",'Mapa final'!$O$40="Menor"),CONCATENATE("R",'Mapa final'!$A$40),"")</f>
        <v/>
      </c>
      <c r="Q18" s="700"/>
      <c r="R18" s="700" t="str">
        <f>IF(AND('Mapa final'!$K$46="Alta",'Mapa final'!$O$46="Menor"),CONCATENATE("R",'Mapa final'!$A$46),"")</f>
        <v/>
      </c>
      <c r="S18" s="700"/>
      <c r="T18" s="700" t="str">
        <f>IF(AND('Mapa final'!$K$52="Alta",'Mapa final'!$O$52="Menor"),CONCATENATE("R",'Mapa final'!$A$52),"")</f>
        <v/>
      </c>
      <c r="U18" s="701"/>
      <c r="V18" s="683" t="str">
        <f>IF(AND('Mapa final'!$K$40="Alta",'Mapa final'!$O$40="Moderado"),CONCATENATE("R",'Mapa final'!$A$40),"")</f>
        <v/>
      </c>
      <c r="W18" s="679"/>
      <c r="X18" s="679" t="str">
        <f>IF(AND('Mapa final'!$K$46="Alta",'Mapa final'!$O$46="Moderado"),CONCATENATE("R",'Mapa final'!$A$46),"")</f>
        <v/>
      </c>
      <c r="Y18" s="679"/>
      <c r="Z18" s="679" t="str">
        <f>IF(AND('Mapa final'!$K$52="Alta",'Mapa final'!$O$52="Moderado"),CONCATENATE("R",'Mapa final'!$A$52),"")</f>
        <v/>
      </c>
      <c r="AA18" s="680"/>
      <c r="AB18" s="683" t="str">
        <f>IF(AND('Mapa final'!$K$40="Alta",'Mapa final'!$O$40="Mayor"),CONCATENATE("R",'Mapa final'!$A$40),"")</f>
        <v/>
      </c>
      <c r="AC18" s="679"/>
      <c r="AD18" s="679" t="str">
        <f>IF(AND('Mapa final'!$K$46="Alta",'Mapa final'!$O$46="Mayor"),CONCATENATE("R",'Mapa final'!$A$46),"")</f>
        <v/>
      </c>
      <c r="AE18" s="679"/>
      <c r="AF18" s="679" t="str">
        <f>IF(AND('Mapa final'!$K$52="Alta",'Mapa final'!$O$52="Mayor"),CONCATENATE("R",'Mapa final'!$A$52),"")</f>
        <v/>
      </c>
      <c r="AG18" s="680"/>
      <c r="AH18" s="690" t="str">
        <f>IF(AND('Mapa final'!$K$40="Alta",'Mapa final'!$O$40="Catastrófico"),CONCATENATE("R",'Mapa final'!$A$40),"")</f>
        <v/>
      </c>
      <c r="AI18" s="691"/>
      <c r="AJ18" s="691" t="str">
        <f>IF(AND('Mapa final'!$K$46="Alta",'Mapa final'!$O$46="Catastrófico"),CONCATENATE("R",'Mapa final'!$A$46),"")</f>
        <v/>
      </c>
      <c r="AK18" s="691"/>
      <c r="AL18" s="691" t="str">
        <f>IF(AND('Mapa final'!$K$52="Alta",'Mapa final'!$O$52="Catastrófico"),CONCATENATE("R",'Mapa final'!$A$52),"")</f>
        <v/>
      </c>
      <c r="AM18" s="692"/>
      <c r="AN18" s="67"/>
      <c r="AO18" s="646"/>
      <c r="AP18" s="647"/>
      <c r="AQ18" s="647"/>
      <c r="AR18" s="647"/>
      <c r="AS18" s="647"/>
      <c r="AT18" s="64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632"/>
      <c r="C19" s="632"/>
      <c r="D19" s="633"/>
      <c r="E19" s="673"/>
      <c r="F19" s="674"/>
      <c r="G19" s="674"/>
      <c r="H19" s="674"/>
      <c r="I19" s="674"/>
      <c r="J19" s="699"/>
      <c r="K19" s="700"/>
      <c r="L19" s="700"/>
      <c r="M19" s="700"/>
      <c r="N19" s="700"/>
      <c r="O19" s="701"/>
      <c r="P19" s="699"/>
      <c r="Q19" s="700"/>
      <c r="R19" s="700"/>
      <c r="S19" s="700"/>
      <c r="T19" s="700"/>
      <c r="U19" s="701"/>
      <c r="V19" s="683"/>
      <c r="W19" s="679"/>
      <c r="X19" s="679"/>
      <c r="Y19" s="679"/>
      <c r="Z19" s="679"/>
      <c r="AA19" s="680"/>
      <c r="AB19" s="683"/>
      <c r="AC19" s="679"/>
      <c r="AD19" s="679"/>
      <c r="AE19" s="679"/>
      <c r="AF19" s="679"/>
      <c r="AG19" s="680"/>
      <c r="AH19" s="690"/>
      <c r="AI19" s="691"/>
      <c r="AJ19" s="691"/>
      <c r="AK19" s="691"/>
      <c r="AL19" s="691"/>
      <c r="AM19" s="692"/>
      <c r="AN19" s="67"/>
      <c r="AO19" s="646"/>
      <c r="AP19" s="647"/>
      <c r="AQ19" s="647"/>
      <c r="AR19" s="647"/>
      <c r="AS19" s="647"/>
      <c r="AT19" s="64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632"/>
      <c r="C20" s="632"/>
      <c r="D20" s="633"/>
      <c r="E20" s="673"/>
      <c r="F20" s="674"/>
      <c r="G20" s="674"/>
      <c r="H20" s="674"/>
      <c r="I20" s="674"/>
      <c r="J20" s="699" t="str">
        <f>IF(AND('Mapa final'!$K$58="Alta",'Mapa final'!$O$58="Leve"),CONCATENATE("R",'Mapa final'!$A$58),"")</f>
        <v/>
      </c>
      <c r="K20" s="700"/>
      <c r="L20" s="700" t="str">
        <f>IF(AND('Mapa final'!$K$64="Alta",'Mapa final'!$O$64="Leve"),CONCATENATE("R",'Mapa final'!$A$64),"")</f>
        <v/>
      </c>
      <c r="M20" s="700"/>
      <c r="N20" s="700" t="str">
        <f>IF(AND('Mapa final'!$K$70="Alta",'Mapa final'!$O$70="Leve"),CONCATENATE("R",'Mapa final'!$A$70),"")</f>
        <v/>
      </c>
      <c r="O20" s="701"/>
      <c r="P20" s="699" t="str">
        <f>IF(AND('Mapa final'!$K$58="Alta",'Mapa final'!$O$58="Menor"),CONCATENATE("R",'Mapa final'!$A$58),"")</f>
        <v/>
      </c>
      <c r="Q20" s="700"/>
      <c r="R20" s="700" t="str">
        <f>IF(AND('Mapa final'!$K$64="Alta",'Mapa final'!$O$64="Menor"),CONCATENATE("R",'Mapa final'!$A$64),"")</f>
        <v/>
      </c>
      <c r="S20" s="700"/>
      <c r="T20" s="700" t="str">
        <f>IF(AND('Mapa final'!$K$70="Alta",'Mapa final'!$O$70="Menor"),CONCATENATE("R",'Mapa final'!$A$70),"")</f>
        <v/>
      </c>
      <c r="U20" s="701"/>
      <c r="V20" s="683" t="str">
        <f>IF(AND('Mapa final'!$K$58="Alta",'Mapa final'!$O$58="Moderado"),CONCATENATE("R",'Mapa final'!$A$58),"")</f>
        <v/>
      </c>
      <c r="W20" s="679"/>
      <c r="X20" s="679" t="str">
        <f>IF(AND('Mapa final'!$K$64="Alta",'Mapa final'!$O$64="Moderado"),CONCATENATE("R",'Mapa final'!$A$64),"")</f>
        <v/>
      </c>
      <c r="Y20" s="679"/>
      <c r="Z20" s="679" t="str">
        <f>IF(AND('Mapa final'!$K$70="Alta",'Mapa final'!$O$70="Moderado"),CONCATENATE("R",'Mapa final'!$A$70),"")</f>
        <v/>
      </c>
      <c r="AA20" s="680"/>
      <c r="AB20" s="683" t="str">
        <f>IF(AND('Mapa final'!$K$58="Alta",'Mapa final'!$O$58="Mayor"),CONCATENATE("R",'Mapa final'!$A$58),"")</f>
        <v/>
      </c>
      <c r="AC20" s="679"/>
      <c r="AD20" s="679" t="str">
        <f>IF(AND('Mapa final'!$K$64="Alta",'Mapa final'!$O$64="Mayor"),CONCATENATE("R",'Mapa final'!$A$64),"")</f>
        <v/>
      </c>
      <c r="AE20" s="679"/>
      <c r="AF20" s="679" t="str">
        <f>IF(AND('Mapa final'!$K$70="Alta",'Mapa final'!$O$70="Mayor"),CONCATENATE("R",'Mapa final'!$A$70),"")</f>
        <v/>
      </c>
      <c r="AG20" s="680"/>
      <c r="AH20" s="690" t="str">
        <f>IF(AND('Mapa final'!$K$58="Alta",'Mapa final'!$O$58="Catastrófico"),CONCATENATE("R",'Mapa final'!$A$58),"")</f>
        <v/>
      </c>
      <c r="AI20" s="691"/>
      <c r="AJ20" s="691" t="str">
        <f>IF(AND('Mapa final'!$K$64="Alta",'Mapa final'!$O$64="Catastrófico"),CONCATENATE("R",'Mapa final'!$A$64),"")</f>
        <v/>
      </c>
      <c r="AK20" s="691"/>
      <c r="AL20" s="691" t="str">
        <f>IF(AND('Mapa final'!$K$70="Alta",'Mapa final'!$O$70="Catastrófico"),CONCATENATE("R",'Mapa final'!$A$70),"")</f>
        <v/>
      </c>
      <c r="AM20" s="692"/>
      <c r="AN20" s="67"/>
      <c r="AO20" s="646"/>
      <c r="AP20" s="647"/>
      <c r="AQ20" s="647"/>
      <c r="AR20" s="647"/>
      <c r="AS20" s="647"/>
      <c r="AT20" s="64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632"/>
      <c r="C21" s="632"/>
      <c r="D21" s="633"/>
      <c r="E21" s="676"/>
      <c r="F21" s="677"/>
      <c r="G21" s="677"/>
      <c r="H21" s="677"/>
      <c r="I21" s="677"/>
      <c r="J21" s="702"/>
      <c r="K21" s="703"/>
      <c r="L21" s="703"/>
      <c r="M21" s="703"/>
      <c r="N21" s="703"/>
      <c r="O21" s="704"/>
      <c r="P21" s="702"/>
      <c r="Q21" s="703"/>
      <c r="R21" s="703"/>
      <c r="S21" s="703"/>
      <c r="T21" s="703"/>
      <c r="U21" s="704"/>
      <c r="V21" s="687"/>
      <c r="W21" s="688"/>
      <c r="X21" s="688"/>
      <c r="Y21" s="688"/>
      <c r="Z21" s="688"/>
      <c r="AA21" s="689"/>
      <c r="AB21" s="687"/>
      <c r="AC21" s="688"/>
      <c r="AD21" s="688"/>
      <c r="AE21" s="688"/>
      <c r="AF21" s="688"/>
      <c r="AG21" s="689"/>
      <c r="AH21" s="693"/>
      <c r="AI21" s="694"/>
      <c r="AJ21" s="694"/>
      <c r="AK21" s="694"/>
      <c r="AL21" s="694"/>
      <c r="AM21" s="695"/>
      <c r="AN21" s="67"/>
      <c r="AO21" s="649"/>
      <c r="AP21" s="650"/>
      <c r="AQ21" s="650"/>
      <c r="AR21" s="650"/>
      <c r="AS21" s="650"/>
      <c r="AT21" s="65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632"/>
      <c r="C22" s="632"/>
      <c r="D22" s="633"/>
      <c r="E22" s="670" t="s">
        <v>111</v>
      </c>
      <c r="F22" s="671"/>
      <c r="G22" s="671"/>
      <c r="H22" s="671"/>
      <c r="I22" s="672"/>
      <c r="J22" s="705" t="str">
        <f>IF(AND('Mapa final'!$K$10="Media",'Mapa final'!$O$10="Leve"),CONCATENATE("R",'Mapa final'!$A$10),"")</f>
        <v/>
      </c>
      <c r="K22" s="706"/>
      <c r="L22" s="706" t="str">
        <f>IF(AND('Mapa final'!$K$16="Media",'Mapa final'!$O$16="Leve"),CONCATENATE("R",'Mapa final'!$A$16),"")</f>
        <v/>
      </c>
      <c r="M22" s="706"/>
      <c r="N22" s="706" t="str">
        <f>IF(AND('Mapa final'!$K$19="Media",'Mapa final'!$O$19="Leve"),CONCATENATE("R",'Mapa final'!$A$19),"")</f>
        <v/>
      </c>
      <c r="O22" s="707"/>
      <c r="P22" s="705" t="str">
        <f>IF(AND('Mapa final'!$K$10="Media",'Mapa final'!$O$10="Menor"),CONCATENATE("R",'Mapa final'!$A$10),"")</f>
        <v/>
      </c>
      <c r="Q22" s="706"/>
      <c r="R22" s="706" t="str">
        <f>IF(AND('Mapa final'!$K$16="Media",'Mapa final'!$O$16="Menor"),CONCATENATE("R",'Mapa final'!$A$16),"")</f>
        <v>R2</v>
      </c>
      <c r="S22" s="706"/>
      <c r="T22" s="706" t="str">
        <f>IF(AND('Mapa final'!$K$19="Media",'Mapa final'!$O$19="Menor"),CONCATENATE("R",'Mapa final'!$A$19),"")</f>
        <v>R3</v>
      </c>
      <c r="U22" s="707"/>
      <c r="V22" s="705" t="str">
        <f>IF(AND('Mapa final'!$K$10="Media",'Mapa final'!$O$10="Moderado"),CONCATENATE("R",'Mapa final'!$A$10),"")</f>
        <v>R1</v>
      </c>
      <c r="W22" s="706"/>
      <c r="X22" s="706" t="str">
        <f>IF(AND('Mapa final'!$K$16="Media",'Mapa final'!$O$16="Moderado"),CONCATENATE("R",'Mapa final'!$A$16),"")</f>
        <v/>
      </c>
      <c r="Y22" s="706"/>
      <c r="Z22" s="706" t="str">
        <f>IF(AND('Mapa final'!$K$19="Media",'Mapa final'!$O$19="Moderado"),CONCATENATE("R",'Mapa final'!$A$19),"")</f>
        <v/>
      </c>
      <c r="AA22" s="707"/>
      <c r="AB22" s="681" t="str">
        <f>IF(AND('Mapa final'!$K$10="Media",'Mapa final'!$O$10="Mayor"),CONCATENATE("R",'Mapa final'!$A$10),"")</f>
        <v/>
      </c>
      <c r="AC22" s="682"/>
      <c r="AD22" s="682" t="str">
        <f>IF(AND('Mapa final'!$K$16="Media",'Mapa final'!$O$16="Mayor"),CONCATENATE("R",'Mapa final'!$A$16),"")</f>
        <v/>
      </c>
      <c r="AE22" s="682"/>
      <c r="AF22" s="682" t="str">
        <f>IF(AND('Mapa final'!$K$19="Media",'Mapa final'!$O$19="Mayor"),CONCATENATE("R",'Mapa final'!$A$19),"")</f>
        <v/>
      </c>
      <c r="AG22" s="684"/>
      <c r="AH22" s="696" t="str">
        <f>IF(AND('Mapa final'!$K$10="Media",'Mapa final'!$O$10="Catastrófico"),CONCATENATE("R",'Mapa final'!$A$10),"")</f>
        <v/>
      </c>
      <c r="AI22" s="697"/>
      <c r="AJ22" s="697" t="str">
        <f>IF(AND('Mapa final'!$K$16="Media",'Mapa final'!$O$16="Catastrófico"),CONCATENATE("R",'Mapa final'!$A$16),"")</f>
        <v/>
      </c>
      <c r="AK22" s="697"/>
      <c r="AL22" s="697" t="str">
        <f>IF(AND('Mapa final'!$K$19="Media",'Mapa final'!$O$19="Catastrófico"),CONCATENATE("R",'Mapa final'!$A$19),"")</f>
        <v/>
      </c>
      <c r="AM22" s="698"/>
      <c r="AN22" s="67"/>
      <c r="AO22" s="652" t="s">
        <v>79</v>
      </c>
      <c r="AP22" s="653"/>
      <c r="AQ22" s="653"/>
      <c r="AR22" s="653"/>
      <c r="AS22" s="653"/>
      <c r="AT22" s="65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632"/>
      <c r="C23" s="632"/>
      <c r="D23" s="633"/>
      <c r="E23" s="673"/>
      <c r="F23" s="674"/>
      <c r="G23" s="674"/>
      <c r="H23" s="674"/>
      <c r="I23" s="675"/>
      <c r="J23" s="699"/>
      <c r="K23" s="700"/>
      <c r="L23" s="700"/>
      <c r="M23" s="700"/>
      <c r="N23" s="700"/>
      <c r="O23" s="701"/>
      <c r="P23" s="699"/>
      <c r="Q23" s="700"/>
      <c r="R23" s="700"/>
      <c r="S23" s="700"/>
      <c r="T23" s="700"/>
      <c r="U23" s="701"/>
      <c r="V23" s="699"/>
      <c r="W23" s="700"/>
      <c r="X23" s="700"/>
      <c r="Y23" s="700"/>
      <c r="Z23" s="700"/>
      <c r="AA23" s="701"/>
      <c r="AB23" s="683"/>
      <c r="AC23" s="679"/>
      <c r="AD23" s="679"/>
      <c r="AE23" s="679"/>
      <c r="AF23" s="679"/>
      <c r="AG23" s="680"/>
      <c r="AH23" s="690"/>
      <c r="AI23" s="691"/>
      <c r="AJ23" s="691"/>
      <c r="AK23" s="691"/>
      <c r="AL23" s="691"/>
      <c r="AM23" s="692"/>
      <c r="AN23" s="67"/>
      <c r="AO23" s="655"/>
      <c r="AP23" s="656"/>
      <c r="AQ23" s="656"/>
      <c r="AR23" s="656"/>
      <c r="AS23" s="656"/>
      <c r="AT23" s="65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632"/>
      <c r="C24" s="632"/>
      <c r="D24" s="633"/>
      <c r="E24" s="673"/>
      <c r="F24" s="674"/>
      <c r="G24" s="674"/>
      <c r="H24" s="674"/>
      <c r="I24" s="675"/>
      <c r="J24" s="699" t="str">
        <f>IF(AND('Mapa final'!$K$22="Media",'Mapa final'!$O$22="Leve"),CONCATENATE("R",'Mapa final'!$A$22),"")</f>
        <v/>
      </c>
      <c r="K24" s="700"/>
      <c r="L24" s="700" t="str">
        <f>IF(AND('Mapa final'!$K$28="Media",'Mapa final'!$O$28="Leve"),CONCATENATE("R",'Mapa final'!$A$28),"")</f>
        <v/>
      </c>
      <c r="M24" s="700"/>
      <c r="N24" s="700" t="str">
        <f>IF(AND('Mapa final'!$K$34="Media",'Mapa final'!$O$34="Leve"),CONCATENATE("R",'Mapa final'!$A$34),"")</f>
        <v/>
      </c>
      <c r="O24" s="701"/>
      <c r="P24" s="699" t="str">
        <f>IF(AND('Mapa final'!$K$22="Media",'Mapa final'!$O$22="Menor"),CONCATENATE("R",'Mapa final'!$A$22),"")</f>
        <v/>
      </c>
      <c r="Q24" s="700"/>
      <c r="R24" s="700" t="str">
        <f>IF(AND('Mapa final'!$K$28="Media",'Mapa final'!$O$28="Menor"),CONCATENATE("R",'Mapa final'!$A$28),"")</f>
        <v/>
      </c>
      <c r="S24" s="700"/>
      <c r="T24" s="700" t="str">
        <f>IF(AND('Mapa final'!$K$34="Media",'Mapa final'!$O$34="Menor"),CONCATENATE("R",'Mapa final'!$A$34),"")</f>
        <v/>
      </c>
      <c r="U24" s="701"/>
      <c r="V24" s="699" t="str">
        <f>IF(AND('Mapa final'!$K$22="Media",'Mapa final'!$O$22="Moderado"),CONCATENATE("R",'Mapa final'!$A$22),"")</f>
        <v/>
      </c>
      <c r="W24" s="700"/>
      <c r="X24" s="700" t="str">
        <f>IF(AND('Mapa final'!$K$28="Media",'Mapa final'!$O$28="Moderado"),CONCATENATE("R",'Mapa final'!$A$28),"")</f>
        <v/>
      </c>
      <c r="Y24" s="700"/>
      <c r="Z24" s="700" t="str">
        <f>IF(AND('Mapa final'!$K$34="Media",'Mapa final'!$O$34="Moderado"),CONCATENATE("R",'Mapa final'!$A$34),"")</f>
        <v/>
      </c>
      <c r="AA24" s="701"/>
      <c r="AB24" s="683" t="str">
        <f>IF(AND('Mapa final'!$K$22="Media",'Mapa final'!$O$22="Mayor"),CONCATENATE("R",'Mapa final'!$A$22),"")</f>
        <v/>
      </c>
      <c r="AC24" s="679"/>
      <c r="AD24" s="679" t="str">
        <f>IF(AND('Mapa final'!$K$28="Media",'Mapa final'!$O$28="Mayor"),CONCATENATE("R",'Mapa final'!$A$28),"")</f>
        <v/>
      </c>
      <c r="AE24" s="679"/>
      <c r="AF24" s="679" t="str">
        <f>IF(AND('Mapa final'!$K$34="Media",'Mapa final'!$O$34="Mayor"),CONCATENATE("R",'Mapa final'!$A$34),"")</f>
        <v/>
      </c>
      <c r="AG24" s="680"/>
      <c r="AH24" s="690" t="str">
        <f>IF(AND('Mapa final'!$K$22="Media",'Mapa final'!$O$22="Catastrófico"),CONCATENATE("R",'Mapa final'!$A$22),"")</f>
        <v/>
      </c>
      <c r="AI24" s="691"/>
      <c r="AJ24" s="691" t="str">
        <f>IF(AND('Mapa final'!$K$28="Media",'Mapa final'!$O$28="Catastrófico"),CONCATENATE("R",'Mapa final'!$A$28),"")</f>
        <v/>
      </c>
      <c r="AK24" s="691"/>
      <c r="AL24" s="691" t="str">
        <f>IF(AND('Mapa final'!$K$34="Media",'Mapa final'!$O$34="Catastrófico"),CONCATENATE("R",'Mapa final'!$A$34),"")</f>
        <v/>
      </c>
      <c r="AM24" s="692"/>
      <c r="AN24" s="67"/>
      <c r="AO24" s="655"/>
      <c r="AP24" s="656"/>
      <c r="AQ24" s="656"/>
      <c r="AR24" s="656"/>
      <c r="AS24" s="656"/>
      <c r="AT24" s="65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632"/>
      <c r="C25" s="632"/>
      <c r="D25" s="633"/>
      <c r="E25" s="673"/>
      <c r="F25" s="674"/>
      <c r="G25" s="674"/>
      <c r="H25" s="674"/>
      <c r="I25" s="675"/>
      <c r="J25" s="699"/>
      <c r="K25" s="700"/>
      <c r="L25" s="700"/>
      <c r="M25" s="700"/>
      <c r="N25" s="700"/>
      <c r="O25" s="701"/>
      <c r="P25" s="699"/>
      <c r="Q25" s="700"/>
      <c r="R25" s="700"/>
      <c r="S25" s="700"/>
      <c r="T25" s="700"/>
      <c r="U25" s="701"/>
      <c r="V25" s="699"/>
      <c r="W25" s="700"/>
      <c r="X25" s="700"/>
      <c r="Y25" s="700"/>
      <c r="Z25" s="700"/>
      <c r="AA25" s="701"/>
      <c r="AB25" s="683"/>
      <c r="AC25" s="679"/>
      <c r="AD25" s="679"/>
      <c r="AE25" s="679"/>
      <c r="AF25" s="679"/>
      <c r="AG25" s="680"/>
      <c r="AH25" s="690"/>
      <c r="AI25" s="691"/>
      <c r="AJ25" s="691"/>
      <c r="AK25" s="691"/>
      <c r="AL25" s="691"/>
      <c r="AM25" s="692"/>
      <c r="AN25" s="67"/>
      <c r="AO25" s="655"/>
      <c r="AP25" s="656"/>
      <c r="AQ25" s="656"/>
      <c r="AR25" s="656"/>
      <c r="AS25" s="656"/>
      <c r="AT25" s="65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632"/>
      <c r="C26" s="632"/>
      <c r="D26" s="633"/>
      <c r="E26" s="673"/>
      <c r="F26" s="674"/>
      <c r="G26" s="674"/>
      <c r="H26" s="674"/>
      <c r="I26" s="675"/>
      <c r="J26" s="699" t="str">
        <f>IF(AND('Mapa final'!$K$40="Media",'Mapa final'!$O$40="Leve"),CONCATENATE("R",'Mapa final'!$A$40),"")</f>
        <v/>
      </c>
      <c r="K26" s="700"/>
      <c r="L26" s="700" t="str">
        <f>IF(AND('Mapa final'!$K$46="Media",'Mapa final'!$O$46="Leve"),CONCATENATE("R",'Mapa final'!$A$46),"")</f>
        <v/>
      </c>
      <c r="M26" s="700"/>
      <c r="N26" s="700" t="str">
        <f>IF(AND('Mapa final'!$K$52="Media",'Mapa final'!$O$52="Leve"),CONCATENATE("R",'Mapa final'!$A$52),"")</f>
        <v/>
      </c>
      <c r="O26" s="701"/>
      <c r="P26" s="699" t="str">
        <f>IF(AND('Mapa final'!$K$40="Media",'Mapa final'!$O$40="Menor"),CONCATENATE("R",'Mapa final'!$A$40),"")</f>
        <v/>
      </c>
      <c r="Q26" s="700"/>
      <c r="R26" s="700" t="str">
        <f>IF(AND('Mapa final'!$K$46="Media",'Mapa final'!$O$46="Menor"),CONCATENATE("R",'Mapa final'!$A$46),"")</f>
        <v/>
      </c>
      <c r="S26" s="700"/>
      <c r="T26" s="700" t="str">
        <f>IF(AND('Mapa final'!$K$52="Media",'Mapa final'!$O$52="Menor"),CONCATENATE("R",'Mapa final'!$A$52),"")</f>
        <v/>
      </c>
      <c r="U26" s="701"/>
      <c r="V26" s="699" t="str">
        <f>IF(AND('Mapa final'!$K$40="Media",'Mapa final'!$O$40="Moderado"),CONCATENATE("R",'Mapa final'!$A$40),"")</f>
        <v/>
      </c>
      <c r="W26" s="700"/>
      <c r="X26" s="700" t="str">
        <f>IF(AND('Mapa final'!$K$46="Media",'Mapa final'!$O$46="Moderado"),CONCATENATE("R",'Mapa final'!$A$46),"")</f>
        <v/>
      </c>
      <c r="Y26" s="700"/>
      <c r="Z26" s="700" t="str">
        <f>IF(AND('Mapa final'!$K$52="Media",'Mapa final'!$O$52="Moderado"),CONCATENATE("R",'Mapa final'!$A$52),"")</f>
        <v/>
      </c>
      <c r="AA26" s="701"/>
      <c r="AB26" s="683" t="str">
        <f>IF(AND('Mapa final'!$K$40="Media",'Mapa final'!$O$40="Mayor"),CONCATENATE("R",'Mapa final'!$A$40),"")</f>
        <v/>
      </c>
      <c r="AC26" s="679"/>
      <c r="AD26" s="679" t="str">
        <f>IF(AND('Mapa final'!$K$46="Media",'Mapa final'!$O$46="Mayor"),CONCATENATE("R",'Mapa final'!$A$46),"")</f>
        <v/>
      </c>
      <c r="AE26" s="679"/>
      <c r="AF26" s="679" t="str">
        <f>IF(AND('Mapa final'!$K$52="Media",'Mapa final'!$O$52="Mayor"),CONCATENATE("R",'Mapa final'!$A$52),"")</f>
        <v/>
      </c>
      <c r="AG26" s="680"/>
      <c r="AH26" s="690" t="str">
        <f>IF(AND('Mapa final'!$K$40="Media",'Mapa final'!$O$40="Catastrófico"),CONCATENATE("R",'Mapa final'!$A$40),"")</f>
        <v/>
      </c>
      <c r="AI26" s="691"/>
      <c r="AJ26" s="691" t="str">
        <f>IF(AND('Mapa final'!$K$46="Media",'Mapa final'!$O$46="Catastrófico"),CONCATENATE("R",'Mapa final'!$A$46),"")</f>
        <v/>
      </c>
      <c r="AK26" s="691"/>
      <c r="AL26" s="691" t="str">
        <f>IF(AND('Mapa final'!$K$52="Media",'Mapa final'!$O$52="Catastrófico"),CONCATENATE("R",'Mapa final'!$A$52),"")</f>
        <v/>
      </c>
      <c r="AM26" s="692"/>
      <c r="AN26" s="67"/>
      <c r="AO26" s="655"/>
      <c r="AP26" s="656"/>
      <c r="AQ26" s="656"/>
      <c r="AR26" s="656"/>
      <c r="AS26" s="656"/>
      <c r="AT26" s="65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632"/>
      <c r="C27" s="632"/>
      <c r="D27" s="633"/>
      <c r="E27" s="673"/>
      <c r="F27" s="674"/>
      <c r="G27" s="674"/>
      <c r="H27" s="674"/>
      <c r="I27" s="675"/>
      <c r="J27" s="699"/>
      <c r="K27" s="700"/>
      <c r="L27" s="700"/>
      <c r="M27" s="700"/>
      <c r="N27" s="700"/>
      <c r="O27" s="701"/>
      <c r="P27" s="699"/>
      <c r="Q27" s="700"/>
      <c r="R27" s="700"/>
      <c r="S27" s="700"/>
      <c r="T27" s="700"/>
      <c r="U27" s="701"/>
      <c r="V27" s="699"/>
      <c r="W27" s="700"/>
      <c r="X27" s="700"/>
      <c r="Y27" s="700"/>
      <c r="Z27" s="700"/>
      <c r="AA27" s="701"/>
      <c r="AB27" s="683"/>
      <c r="AC27" s="679"/>
      <c r="AD27" s="679"/>
      <c r="AE27" s="679"/>
      <c r="AF27" s="679"/>
      <c r="AG27" s="680"/>
      <c r="AH27" s="690"/>
      <c r="AI27" s="691"/>
      <c r="AJ27" s="691"/>
      <c r="AK27" s="691"/>
      <c r="AL27" s="691"/>
      <c r="AM27" s="692"/>
      <c r="AN27" s="67"/>
      <c r="AO27" s="655"/>
      <c r="AP27" s="656"/>
      <c r="AQ27" s="656"/>
      <c r="AR27" s="656"/>
      <c r="AS27" s="656"/>
      <c r="AT27" s="65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632"/>
      <c r="C28" s="632"/>
      <c r="D28" s="633"/>
      <c r="E28" s="673"/>
      <c r="F28" s="674"/>
      <c r="G28" s="674"/>
      <c r="H28" s="674"/>
      <c r="I28" s="675"/>
      <c r="J28" s="699" t="str">
        <f>IF(AND('Mapa final'!$K$58="Media",'Mapa final'!$O$58="Leve"),CONCATENATE("R",'Mapa final'!$A$58),"")</f>
        <v/>
      </c>
      <c r="K28" s="700"/>
      <c r="L28" s="700" t="str">
        <f>IF(AND('Mapa final'!$K$64="Media",'Mapa final'!$O$64="Leve"),CONCATENATE("R",'Mapa final'!$A$64),"")</f>
        <v/>
      </c>
      <c r="M28" s="700"/>
      <c r="N28" s="700" t="str">
        <f>IF(AND('Mapa final'!$K$70="Media",'Mapa final'!$O$70="Leve"),CONCATENATE("R",'Mapa final'!$A$70),"")</f>
        <v/>
      </c>
      <c r="O28" s="701"/>
      <c r="P28" s="699" t="str">
        <f>IF(AND('Mapa final'!$K$58="Media",'Mapa final'!$O$58="Menor"),CONCATENATE("R",'Mapa final'!$A$58),"")</f>
        <v/>
      </c>
      <c r="Q28" s="700"/>
      <c r="R28" s="700" t="str">
        <f>IF(AND('Mapa final'!$K$64="Media",'Mapa final'!$O$64="Menor"),CONCATENATE("R",'Mapa final'!$A$64),"")</f>
        <v/>
      </c>
      <c r="S28" s="700"/>
      <c r="T28" s="700" t="str">
        <f>IF(AND('Mapa final'!$K$70="Media",'Mapa final'!$O$70="Menor"),CONCATENATE("R",'Mapa final'!$A$70),"")</f>
        <v/>
      </c>
      <c r="U28" s="701"/>
      <c r="V28" s="699" t="str">
        <f>IF(AND('Mapa final'!$K$58="Media",'Mapa final'!$O$58="Moderado"),CONCATENATE("R",'Mapa final'!$A$58),"")</f>
        <v/>
      </c>
      <c r="W28" s="700"/>
      <c r="X28" s="700" t="str">
        <f>IF(AND('Mapa final'!$K$64="Media",'Mapa final'!$O$64="Moderado"),CONCATENATE("R",'Mapa final'!$A$64),"")</f>
        <v/>
      </c>
      <c r="Y28" s="700"/>
      <c r="Z28" s="700" t="str">
        <f>IF(AND('Mapa final'!$K$70="Media",'Mapa final'!$O$70="Moderado"),CONCATENATE("R",'Mapa final'!$A$70),"")</f>
        <v/>
      </c>
      <c r="AA28" s="701"/>
      <c r="AB28" s="683" t="str">
        <f>IF(AND('Mapa final'!$K$58="Media",'Mapa final'!$O$58="Mayor"),CONCATENATE("R",'Mapa final'!$A$58),"")</f>
        <v/>
      </c>
      <c r="AC28" s="679"/>
      <c r="AD28" s="679" t="str">
        <f>IF(AND('Mapa final'!$K$64="Media",'Mapa final'!$O$64="Mayor"),CONCATENATE("R",'Mapa final'!$A$64),"")</f>
        <v/>
      </c>
      <c r="AE28" s="679"/>
      <c r="AF28" s="679" t="str">
        <f>IF(AND('Mapa final'!$K$70="Media",'Mapa final'!$O$70="Mayor"),CONCATENATE("R",'Mapa final'!$A$70),"")</f>
        <v/>
      </c>
      <c r="AG28" s="680"/>
      <c r="AH28" s="690" t="str">
        <f>IF(AND('Mapa final'!$K$58="Media",'Mapa final'!$O$58="Catastrófico"),CONCATENATE("R",'Mapa final'!$A$58),"")</f>
        <v/>
      </c>
      <c r="AI28" s="691"/>
      <c r="AJ28" s="691" t="str">
        <f>IF(AND('Mapa final'!$K$64="Media",'Mapa final'!$O$64="Catastrófico"),CONCATENATE("R",'Mapa final'!$A$64),"")</f>
        <v/>
      </c>
      <c r="AK28" s="691"/>
      <c r="AL28" s="691" t="str">
        <f>IF(AND('Mapa final'!$K$70="Media",'Mapa final'!$O$70="Catastrófico"),CONCATENATE("R",'Mapa final'!$A$70),"")</f>
        <v/>
      </c>
      <c r="AM28" s="692"/>
      <c r="AN28" s="67"/>
      <c r="AO28" s="655"/>
      <c r="AP28" s="656"/>
      <c r="AQ28" s="656"/>
      <c r="AR28" s="656"/>
      <c r="AS28" s="656"/>
      <c r="AT28" s="65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632"/>
      <c r="C29" s="632"/>
      <c r="D29" s="633"/>
      <c r="E29" s="676"/>
      <c r="F29" s="677"/>
      <c r="G29" s="677"/>
      <c r="H29" s="677"/>
      <c r="I29" s="678"/>
      <c r="J29" s="699"/>
      <c r="K29" s="700"/>
      <c r="L29" s="700"/>
      <c r="M29" s="700"/>
      <c r="N29" s="700"/>
      <c r="O29" s="701"/>
      <c r="P29" s="702"/>
      <c r="Q29" s="703"/>
      <c r="R29" s="703"/>
      <c r="S29" s="703"/>
      <c r="T29" s="703"/>
      <c r="U29" s="704"/>
      <c r="V29" s="702"/>
      <c r="W29" s="703"/>
      <c r="X29" s="703"/>
      <c r="Y29" s="703"/>
      <c r="Z29" s="703"/>
      <c r="AA29" s="704"/>
      <c r="AB29" s="687"/>
      <c r="AC29" s="688"/>
      <c r="AD29" s="688"/>
      <c r="AE29" s="688"/>
      <c r="AF29" s="688"/>
      <c r="AG29" s="689"/>
      <c r="AH29" s="693"/>
      <c r="AI29" s="694"/>
      <c r="AJ29" s="694"/>
      <c r="AK29" s="694"/>
      <c r="AL29" s="694"/>
      <c r="AM29" s="695"/>
      <c r="AN29" s="67"/>
      <c r="AO29" s="658"/>
      <c r="AP29" s="659"/>
      <c r="AQ29" s="659"/>
      <c r="AR29" s="659"/>
      <c r="AS29" s="659"/>
      <c r="AT29" s="66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632"/>
      <c r="C30" s="632"/>
      <c r="D30" s="633"/>
      <c r="E30" s="670" t="s">
        <v>108</v>
      </c>
      <c r="F30" s="671"/>
      <c r="G30" s="671"/>
      <c r="H30" s="671"/>
      <c r="I30" s="671"/>
      <c r="J30" s="714" t="str">
        <f>IF(AND('Mapa final'!$K$10="Baja",'Mapa final'!$O$10="Leve"),CONCATENATE("R",'Mapa final'!$A$10),"")</f>
        <v/>
      </c>
      <c r="K30" s="715"/>
      <c r="L30" s="715" t="str">
        <f>IF(AND('Mapa final'!$K$16="Baja",'Mapa final'!$O$16="Leve"),CONCATENATE("R",'Mapa final'!$A$16),"")</f>
        <v/>
      </c>
      <c r="M30" s="715"/>
      <c r="N30" s="715" t="str">
        <f>IF(AND('Mapa final'!$K$19="Baja",'Mapa final'!$O$19="Leve"),CONCATENATE("R",'Mapa final'!$A$19),"")</f>
        <v/>
      </c>
      <c r="O30" s="716"/>
      <c r="P30" s="706" t="str">
        <f>IF(AND('Mapa final'!$K$10="Baja",'Mapa final'!$O$10="Menor"),CONCATENATE("R",'Mapa final'!$A$10),"")</f>
        <v/>
      </c>
      <c r="Q30" s="706"/>
      <c r="R30" s="706" t="str">
        <f>IF(AND('Mapa final'!$K$16="Baja",'Mapa final'!$O$16="Menor"),CONCATENATE("R",'Mapa final'!$A$16),"")</f>
        <v/>
      </c>
      <c r="S30" s="706"/>
      <c r="T30" s="706" t="str">
        <f>IF(AND('Mapa final'!$K$19="Baja",'Mapa final'!$O$19="Menor"),CONCATENATE("R",'Mapa final'!$A$19),"")</f>
        <v/>
      </c>
      <c r="U30" s="707"/>
      <c r="V30" s="705" t="str">
        <f>IF(AND('Mapa final'!$K$10="Baja",'Mapa final'!$O$10="Moderado"),CONCATENATE("R",'Mapa final'!$A$10),"")</f>
        <v/>
      </c>
      <c r="W30" s="706"/>
      <c r="X30" s="706" t="str">
        <f>IF(AND('Mapa final'!$K$16="Baja",'Mapa final'!$O$16="Moderado"),CONCATENATE("R",'Mapa final'!$A$16),"")</f>
        <v/>
      </c>
      <c r="Y30" s="706"/>
      <c r="Z30" s="706" t="str">
        <f>IF(AND('Mapa final'!$K$19="Baja",'Mapa final'!$O$19="Moderado"),CONCATENATE("R",'Mapa final'!$A$19),"")</f>
        <v/>
      </c>
      <c r="AA30" s="707"/>
      <c r="AB30" s="681" t="str">
        <f>IF(AND('Mapa final'!$K$10="Baja",'Mapa final'!$O$10="Mayor"),CONCATENATE("R",'Mapa final'!$A$10),"")</f>
        <v/>
      </c>
      <c r="AC30" s="682"/>
      <c r="AD30" s="682" t="str">
        <f>IF(AND('Mapa final'!$K$16="Baja",'Mapa final'!$O$16="Mayor"),CONCATENATE("R",'Mapa final'!$A$16),"")</f>
        <v/>
      </c>
      <c r="AE30" s="682"/>
      <c r="AF30" s="682" t="str">
        <f>IF(AND('Mapa final'!$K$19="Baja",'Mapa final'!$O$19="Mayor"),CONCATENATE("R",'Mapa final'!$A$19),"")</f>
        <v/>
      </c>
      <c r="AG30" s="684"/>
      <c r="AH30" s="696" t="str">
        <f>IF(AND('Mapa final'!$K$10="Baja",'Mapa final'!$O$10="Catastrófico"),CONCATENATE("R",'Mapa final'!$A$10),"")</f>
        <v/>
      </c>
      <c r="AI30" s="697"/>
      <c r="AJ30" s="697" t="str">
        <f>IF(AND('Mapa final'!$K$16="Baja",'Mapa final'!$O$16="Catastrófico"),CONCATENATE("R",'Mapa final'!$A$16),"")</f>
        <v/>
      </c>
      <c r="AK30" s="697"/>
      <c r="AL30" s="697" t="str">
        <f>IF(AND('Mapa final'!$K$19="Baja",'Mapa final'!$O$19="Catastrófico"),CONCATENATE("R",'Mapa final'!$A$19),"")</f>
        <v/>
      </c>
      <c r="AM30" s="698"/>
      <c r="AN30" s="67"/>
      <c r="AO30" s="661" t="s">
        <v>80</v>
      </c>
      <c r="AP30" s="662"/>
      <c r="AQ30" s="662"/>
      <c r="AR30" s="662"/>
      <c r="AS30" s="662"/>
      <c r="AT30" s="66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632"/>
      <c r="C31" s="632"/>
      <c r="D31" s="633"/>
      <c r="E31" s="673"/>
      <c r="F31" s="674"/>
      <c r="G31" s="674"/>
      <c r="H31" s="674"/>
      <c r="I31" s="674"/>
      <c r="J31" s="710"/>
      <c r="K31" s="708"/>
      <c r="L31" s="708"/>
      <c r="M31" s="708"/>
      <c r="N31" s="708"/>
      <c r="O31" s="709"/>
      <c r="P31" s="700"/>
      <c r="Q31" s="700"/>
      <c r="R31" s="700"/>
      <c r="S31" s="700"/>
      <c r="T31" s="700"/>
      <c r="U31" s="701"/>
      <c r="V31" s="699"/>
      <c r="W31" s="700"/>
      <c r="X31" s="700"/>
      <c r="Y31" s="700"/>
      <c r="Z31" s="700"/>
      <c r="AA31" s="701"/>
      <c r="AB31" s="683"/>
      <c r="AC31" s="679"/>
      <c r="AD31" s="679"/>
      <c r="AE31" s="679"/>
      <c r="AF31" s="679"/>
      <c r="AG31" s="680"/>
      <c r="AH31" s="690"/>
      <c r="AI31" s="691"/>
      <c r="AJ31" s="691"/>
      <c r="AK31" s="691"/>
      <c r="AL31" s="691"/>
      <c r="AM31" s="692"/>
      <c r="AN31" s="67"/>
      <c r="AO31" s="664"/>
      <c r="AP31" s="665"/>
      <c r="AQ31" s="665"/>
      <c r="AR31" s="665"/>
      <c r="AS31" s="665"/>
      <c r="AT31" s="66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632"/>
      <c r="C32" s="632"/>
      <c r="D32" s="633"/>
      <c r="E32" s="673"/>
      <c r="F32" s="674"/>
      <c r="G32" s="674"/>
      <c r="H32" s="674"/>
      <c r="I32" s="674"/>
      <c r="J32" s="710" t="str">
        <f>IF(AND('Mapa final'!$K$22="Baja",'Mapa final'!$O$22="Leve"),CONCATENATE("R",'Mapa final'!$A$22),"")</f>
        <v/>
      </c>
      <c r="K32" s="708"/>
      <c r="L32" s="708" t="str">
        <f>IF(AND('Mapa final'!$K$28="Baja",'Mapa final'!$O$28="Leve"),CONCATENATE("R",'Mapa final'!$A$28),"")</f>
        <v/>
      </c>
      <c r="M32" s="708"/>
      <c r="N32" s="708" t="str">
        <f>IF(AND('Mapa final'!$K$34="Baja",'Mapa final'!$O$34="Leve"),CONCATENATE("R",'Mapa final'!$A$34),"")</f>
        <v/>
      </c>
      <c r="O32" s="709"/>
      <c r="P32" s="700" t="str">
        <f>IF(AND('Mapa final'!$K$22="Baja",'Mapa final'!$O$22="Menor"),CONCATENATE("R",'Mapa final'!$A$22),"")</f>
        <v/>
      </c>
      <c r="Q32" s="700"/>
      <c r="R32" s="700" t="str">
        <f>IF(AND('Mapa final'!$K$28="Baja",'Mapa final'!$O$28="Menor"),CONCATENATE("R",'Mapa final'!$A$28),"")</f>
        <v/>
      </c>
      <c r="S32" s="700"/>
      <c r="T32" s="700" t="str">
        <f>IF(AND('Mapa final'!$K$34="Baja",'Mapa final'!$O$34="Menor"),CONCATENATE("R",'Mapa final'!$A$34),"")</f>
        <v/>
      </c>
      <c r="U32" s="701"/>
      <c r="V32" s="699" t="str">
        <f>IF(AND('Mapa final'!$K$22="Baja",'Mapa final'!$O$22="Moderado"),CONCATENATE("R",'Mapa final'!$A$22),"")</f>
        <v/>
      </c>
      <c r="W32" s="700"/>
      <c r="X32" s="700" t="str">
        <f>IF(AND('Mapa final'!$K$28="Baja",'Mapa final'!$O$28="Moderado"),CONCATENATE("R",'Mapa final'!$A$28),"")</f>
        <v/>
      </c>
      <c r="Y32" s="700"/>
      <c r="Z32" s="700" t="str">
        <f>IF(AND('Mapa final'!$K$34="Baja",'Mapa final'!$O$34="Moderado"),CONCATENATE("R",'Mapa final'!$A$34),"")</f>
        <v/>
      </c>
      <c r="AA32" s="701"/>
      <c r="AB32" s="683" t="str">
        <f>IF(AND('Mapa final'!$K$22="Baja",'Mapa final'!$O$22="Mayor"),CONCATENATE("R",'Mapa final'!$A$22),"")</f>
        <v/>
      </c>
      <c r="AC32" s="679"/>
      <c r="AD32" s="679" t="str">
        <f>IF(AND('Mapa final'!$K$28="Baja",'Mapa final'!$O$28="Mayor"),CONCATENATE("R",'Mapa final'!$A$28),"")</f>
        <v/>
      </c>
      <c r="AE32" s="679"/>
      <c r="AF32" s="679" t="str">
        <f>IF(AND('Mapa final'!$K$34="Baja",'Mapa final'!$O$34="Mayor"),CONCATENATE("R",'Mapa final'!$A$34),"")</f>
        <v/>
      </c>
      <c r="AG32" s="680"/>
      <c r="AH32" s="690" t="str">
        <f>IF(AND('Mapa final'!$K$22="Baja",'Mapa final'!$O$22="Catastrófico"),CONCATENATE("R",'Mapa final'!$A$22),"")</f>
        <v/>
      </c>
      <c r="AI32" s="691"/>
      <c r="AJ32" s="691" t="str">
        <f>IF(AND('Mapa final'!$K$28="Baja",'Mapa final'!$O$28="Catastrófico"),CONCATENATE("R",'Mapa final'!$A$28),"")</f>
        <v/>
      </c>
      <c r="AK32" s="691"/>
      <c r="AL32" s="691" t="str">
        <f>IF(AND('Mapa final'!$K$34="Baja",'Mapa final'!$O$34="Catastrófico"),CONCATENATE("R",'Mapa final'!$A$34),"")</f>
        <v/>
      </c>
      <c r="AM32" s="692"/>
      <c r="AN32" s="67"/>
      <c r="AO32" s="664"/>
      <c r="AP32" s="665"/>
      <c r="AQ32" s="665"/>
      <c r="AR32" s="665"/>
      <c r="AS32" s="665"/>
      <c r="AT32" s="66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632"/>
      <c r="C33" s="632"/>
      <c r="D33" s="633"/>
      <c r="E33" s="673"/>
      <c r="F33" s="674"/>
      <c r="G33" s="674"/>
      <c r="H33" s="674"/>
      <c r="I33" s="674"/>
      <c r="J33" s="710"/>
      <c r="K33" s="708"/>
      <c r="L33" s="708"/>
      <c r="M33" s="708"/>
      <c r="N33" s="708"/>
      <c r="O33" s="709"/>
      <c r="P33" s="700"/>
      <c r="Q33" s="700"/>
      <c r="R33" s="700"/>
      <c r="S33" s="700"/>
      <c r="T33" s="700"/>
      <c r="U33" s="701"/>
      <c r="V33" s="699"/>
      <c r="W33" s="700"/>
      <c r="X33" s="700"/>
      <c r="Y33" s="700"/>
      <c r="Z33" s="700"/>
      <c r="AA33" s="701"/>
      <c r="AB33" s="683"/>
      <c r="AC33" s="679"/>
      <c r="AD33" s="679"/>
      <c r="AE33" s="679"/>
      <c r="AF33" s="679"/>
      <c r="AG33" s="680"/>
      <c r="AH33" s="690"/>
      <c r="AI33" s="691"/>
      <c r="AJ33" s="691"/>
      <c r="AK33" s="691"/>
      <c r="AL33" s="691"/>
      <c r="AM33" s="692"/>
      <c r="AN33" s="67"/>
      <c r="AO33" s="664"/>
      <c r="AP33" s="665"/>
      <c r="AQ33" s="665"/>
      <c r="AR33" s="665"/>
      <c r="AS33" s="665"/>
      <c r="AT33" s="66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632"/>
      <c r="C34" s="632"/>
      <c r="D34" s="633"/>
      <c r="E34" s="673"/>
      <c r="F34" s="674"/>
      <c r="G34" s="674"/>
      <c r="H34" s="674"/>
      <c r="I34" s="674"/>
      <c r="J34" s="710" t="str">
        <f>IF(AND('Mapa final'!$K$40="Baja",'Mapa final'!$O$40="Leve"),CONCATENATE("R",'Mapa final'!$A$40),"")</f>
        <v/>
      </c>
      <c r="K34" s="708"/>
      <c r="L34" s="708" t="str">
        <f>IF(AND('Mapa final'!$K$46="Baja",'Mapa final'!$O$46="Leve"),CONCATENATE("R",'Mapa final'!$A$46),"")</f>
        <v/>
      </c>
      <c r="M34" s="708"/>
      <c r="N34" s="708" t="str">
        <f>IF(AND('Mapa final'!$K$52="Baja",'Mapa final'!$O$52="Leve"),CONCATENATE("R",'Mapa final'!$A$52),"")</f>
        <v/>
      </c>
      <c r="O34" s="709"/>
      <c r="P34" s="700" t="str">
        <f>IF(AND('Mapa final'!$K$40="Baja",'Mapa final'!$O$40="Menor"),CONCATENATE("R",'Mapa final'!$A$40),"")</f>
        <v/>
      </c>
      <c r="Q34" s="700"/>
      <c r="R34" s="700" t="str">
        <f>IF(AND('Mapa final'!$K$46="Baja",'Mapa final'!$O$46="Menor"),CONCATENATE("R",'Mapa final'!$A$46),"")</f>
        <v/>
      </c>
      <c r="S34" s="700"/>
      <c r="T34" s="700" t="str">
        <f>IF(AND('Mapa final'!$K$52="Baja",'Mapa final'!$O$52="Menor"),CONCATENATE("R",'Mapa final'!$A$52),"")</f>
        <v/>
      </c>
      <c r="U34" s="701"/>
      <c r="V34" s="699" t="str">
        <f>IF(AND('Mapa final'!$K$40="Baja",'Mapa final'!$O$40="Moderado"),CONCATENATE("R",'Mapa final'!$A$40),"")</f>
        <v/>
      </c>
      <c r="W34" s="700"/>
      <c r="X34" s="700" t="str">
        <f>IF(AND('Mapa final'!$K$46="Baja",'Mapa final'!$O$46="Moderado"),CONCATENATE("R",'Mapa final'!$A$46),"")</f>
        <v/>
      </c>
      <c r="Y34" s="700"/>
      <c r="Z34" s="700" t="str">
        <f>IF(AND('Mapa final'!$K$52="Baja",'Mapa final'!$O$52="Moderado"),CONCATENATE("R",'Mapa final'!$A$52),"")</f>
        <v/>
      </c>
      <c r="AA34" s="701"/>
      <c r="AB34" s="683" t="str">
        <f>IF(AND('Mapa final'!$K$40="Baja",'Mapa final'!$O$40="Mayor"),CONCATENATE("R",'Mapa final'!$A$40),"")</f>
        <v/>
      </c>
      <c r="AC34" s="679"/>
      <c r="AD34" s="679" t="str">
        <f>IF(AND('Mapa final'!$K$46="Baja",'Mapa final'!$O$46="Mayor"),CONCATENATE("R",'Mapa final'!$A$46),"")</f>
        <v/>
      </c>
      <c r="AE34" s="679"/>
      <c r="AF34" s="679" t="str">
        <f>IF(AND('Mapa final'!$K$52="Baja",'Mapa final'!$O$52="Mayor"),CONCATENATE("R",'Mapa final'!$A$52),"")</f>
        <v/>
      </c>
      <c r="AG34" s="680"/>
      <c r="AH34" s="690" t="str">
        <f>IF(AND('Mapa final'!$K$40="Baja",'Mapa final'!$O$40="Catastrófico"),CONCATENATE("R",'Mapa final'!$A$40),"")</f>
        <v/>
      </c>
      <c r="AI34" s="691"/>
      <c r="AJ34" s="691" t="str">
        <f>IF(AND('Mapa final'!$K$46="Baja",'Mapa final'!$O$46="Catastrófico"),CONCATENATE("R",'Mapa final'!$A$46),"")</f>
        <v/>
      </c>
      <c r="AK34" s="691"/>
      <c r="AL34" s="691" t="str">
        <f>IF(AND('Mapa final'!$K$52="Baja",'Mapa final'!$O$52="Catastrófico"),CONCATENATE("R",'Mapa final'!$A$52),"")</f>
        <v/>
      </c>
      <c r="AM34" s="692"/>
      <c r="AN34" s="67"/>
      <c r="AO34" s="664"/>
      <c r="AP34" s="665"/>
      <c r="AQ34" s="665"/>
      <c r="AR34" s="665"/>
      <c r="AS34" s="665"/>
      <c r="AT34" s="66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632"/>
      <c r="C35" s="632"/>
      <c r="D35" s="633"/>
      <c r="E35" s="673"/>
      <c r="F35" s="674"/>
      <c r="G35" s="674"/>
      <c r="H35" s="674"/>
      <c r="I35" s="674"/>
      <c r="J35" s="710"/>
      <c r="K35" s="708"/>
      <c r="L35" s="708"/>
      <c r="M35" s="708"/>
      <c r="N35" s="708"/>
      <c r="O35" s="709"/>
      <c r="P35" s="700"/>
      <c r="Q35" s="700"/>
      <c r="R35" s="700"/>
      <c r="S35" s="700"/>
      <c r="T35" s="700"/>
      <c r="U35" s="701"/>
      <c r="V35" s="699"/>
      <c r="W35" s="700"/>
      <c r="X35" s="700"/>
      <c r="Y35" s="700"/>
      <c r="Z35" s="700"/>
      <c r="AA35" s="701"/>
      <c r="AB35" s="683"/>
      <c r="AC35" s="679"/>
      <c r="AD35" s="679"/>
      <c r="AE35" s="679"/>
      <c r="AF35" s="679"/>
      <c r="AG35" s="680"/>
      <c r="AH35" s="690"/>
      <c r="AI35" s="691"/>
      <c r="AJ35" s="691"/>
      <c r="AK35" s="691"/>
      <c r="AL35" s="691"/>
      <c r="AM35" s="692"/>
      <c r="AN35" s="67"/>
      <c r="AO35" s="664"/>
      <c r="AP35" s="665"/>
      <c r="AQ35" s="665"/>
      <c r="AR35" s="665"/>
      <c r="AS35" s="665"/>
      <c r="AT35" s="66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632"/>
      <c r="C36" s="632"/>
      <c r="D36" s="633"/>
      <c r="E36" s="673"/>
      <c r="F36" s="674"/>
      <c r="G36" s="674"/>
      <c r="H36" s="674"/>
      <c r="I36" s="674"/>
      <c r="J36" s="710" t="str">
        <f>IF(AND('Mapa final'!$K$58="Baja",'Mapa final'!$O$58="Leve"),CONCATENATE("R",'Mapa final'!$A$58),"")</f>
        <v/>
      </c>
      <c r="K36" s="708"/>
      <c r="L36" s="708" t="str">
        <f>IF(AND('Mapa final'!$K$64="Baja",'Mapa final'!$O$64="Leve"),CONCATENATE("R",'Mapa final'!$A$64),"")</f>
        <v/>
      </c>
      <c r="M36" s="708"/>
      <c r="N36" s="708" t="str">
        <f>IF(AND('Mapa final'!$K$70="Baja",'Mapa final'!$O$70="Leve"),CONCATENATE("R",'Mapa final'!$A$70),"")</f>
        <v/>
      </c>
      <c r="O36" s="709"/>
      <c r="P36" s="700" t="str">
        <f>IF(AND('Mapa final'!$K$58="Baja",'Mapa final'!$O$58="Menor"),CONCATENATE("R",'Mapa final'!$A$58),"")</f>
        <v/>
      </c>
      <c r="Q36" s="700"/>
      <c r="R36" s="700" t="str">
        <f>IF(AND('Mapa final'!$K$64="Baja",'Mapa final'!$O$64="Menor"),CONCATENATE("R",'Mapa final'!$A$64),"")</f>
        <v/>
      </c>
      <c r="S36" s="700"/>
      <c r="T36" s="700" t="str">
        <f>IF(AND('Mapa final'!$K$70="Baja",'Mapa final'!$O$70="Menor"),CONCATENATE("R",'Mapa final'!$A$70),"")</f>
        <v/>
      </c>
      <c r="U36" s="701"/>
      <c r="V36" s="699" t="str">
        <f>IF(AND('Mapa final'!$K$58="Baja",'Mapa final'!$O$58="Moderado"),CONCATENATE("R",'Mapa final'!$A$58),"")</f>
        <v/>
      </c>
      <c r="W36" s="700"/>
      <c r="X36" s="700" t="str">
        <f>IF(AND('Mapa final'!$K$64="Baja",'Mapa final'!$O$64="Moderado"),CONCATENATE("R",'Mapa final'!$A$64),"")</f>
        <v/>
      </c>
      <c r="Y36" s="700"/>
      <c r="Z36" s="700" t="str">
        <f>IF(AND('Mapa final'!$K$70="Baja",'Mapa final'!$O$70="Moderado"),CONCATENATE("R",'Mapa final'!$A$70),"")</f>
        <v/>
      </c>
      <c r="AA36" s="701"/>
      <c r="AB36" s="683" t="str">
        <f>IF(AND('Mapa final'!$K$58="Baja",'Mapa final'!$O$58="Mayor"),CONCATENATE("R",'Mapa final'!$A$58),"")</f>
        <v/>
      </c>
      <c r="AC36" s="679"/>
      <c r="AD36" s="679" t="str">
        <f>IF(AND('Mapa final'!$K$64="Baja",'Mapa final'!$O$64="Mayor"),CONCATENATE("R",'Mapa final'!$A$64),"")</f>
        <v/>
      </c>
      <c r="AE36" s="679"/>
      <c r="AF36" s="679" t="str">
        <f>IF(AND('Mapa final'!$K$70="Baja",'Mapa final'!$O$70="Mayor"),CONCATENATE("R",'Mapa final'!$A$70),"")</f>
        <v/>
      </c>
      <c r="AG36" s="680"/>
      <c r="AH36" s="690" t="str">
        <f>IF(AND('Mapa final'!$K$58="Baja",'Mapa final'!$O$58="Catastrófico"),CONCATENATE("R",'Mapa final'!$A$58),"")</f>
        <v/>
      </c>
      <c r="AI36" s="691"/>
      <c r="AJ36" s="691" t="str">
        <f>IF(AND('Mapa final'!$K$64="Baja",'Mapa final'!$O$64="Catastrófico"),CONCATENATE("R",'Mapa final'!$A$64),"")</f>
        <v/>
      </c>
      <c r="AK36" s="691"/>
      <c r="AL36" s="691" t="str">
        <f>IF(AND('Mapa final'!$K$70="Baja",'Mapa final'!$O$70="Catastrófico"),CONCATENATE("R",'Mapa final'!$A$70),"")</f>
        <v/>
      </c>
      <c r="AM36" s="692"/>
      <c r="AN36" s="67"/>
      <c r="AO36" s="664"/>
      <c r="AP36" s="665"/>
      <c r="AQ36" s="665"/>
      <c r="AR36" s="665"/>
      <c r="AS36" s="665"/>
      <c r="AT36" s="66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632"/>
      <c r="C37" s="632"/>
      <c r="D37" s="633"/>
      <c r="E37" s="676"/>
      <c r="F37" s="677"/>
      <c r="G37" s="677"/>
      <c r="H37" s="677"/>
      <c r="I37" s="677"/>
      <c r="J37" s="711"/>
      <c r="K37" s="712"/>
      <c r="L37" s="712"/>
      <c r="M37" s="712"/>
      <c r="N37" s="712"/>
      <c r="O37" s="713"/>
      <c r="P37" s="703"/>
      <c r="Q37" s="703"/>
      <c r="R37" s="703"/>
      <c r="S37" s="703"/>
      <c r="T37" s="703"/>
      <c r="U37" s="704"/>
      <c r="V37" s="702"/>
      <c r="W37" s="703"/>
      <c r="X37" s="703"/>
      <c r="Y37" s="703"/>
      <c r="Z37" s="703"/>
      <c r="AA37" s="704"/>
      <c r="AB37" s="687"/>
      <c r="AC37" s="688"/>
      <c r="AD37" s="688"/>
      <c r="AE37" s="688"/>
      <c r="AF37" s="688"/>
      <c r="AG37" s="689"/>
      <c r="AH37" s="693"/>
      <c r="AI37" s="694"/>
      <c r="AJ37" s="694"/>
      <c r="AK37" s="694"/>
      <c r="AL37" s="694"/>
      <c r="AM37" s="695"/>
      <c r="AN37" s="67"/>
      <c r="AO37" s="667"/>
      <c r="AP37" s="668"/>
      <c r="AQ37" s="668"/>
      <c r="AR37" s="668"/>
      <c r="AS37" s="668"/>
      <c r="AT37" s="66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632"/>
      <c r="C38" s="632"/>
      <c r="D38" s="633"/>
      <c r="E38" s="670" t="s">
        <v>107</v>
      </c>
      <c r="F38" s="671"/>
      <c r="G38" s="671"/>
      <c r="H38" s="671"/>
      <c r="I38" s="672"/>
      <c r="J38" s="714" t="str">
        <f>IF(AND('Mapa final'!$K$10="Muy Baja",'Mapa final'!$O$10="Leve"),CONCATENATE("R",'Mapa final'!$A$10),"")</f>
        <v/>
      </c>
      <c r="K38" s="715"/>
      <c r="L38" s="715" t="str">
        <f>IF(AND('Mapa final'!$K$16="Muy Baja",'Mapa final'!$O$16="Leve"),CONCATENATE("R",'Mapa final'!$A$16),"")</f>
        <v/>
      </c>
      <c r="M38" s="715"/>
      <c r="N38" s="715" t="str">
        <f>IF(AND('Mapa final'!$K$19="Muy Baja",'Mapa final'!$O$19="Leve"),CONCATENATE("R",'Mapa final'!$A$19),"")</f>
        <v/>
      </c>
      <c r="O38" s="716"/>
      <c r="P38" s="714" t="str">
        <f>IF(AND('Mapa final'!$K$10="Muy Baja",'Mapa final'!$O$10="Menor"),CONCATENATE("R",'Mapa final'!$A$10),"")</f>
        <v/>
      </c>
      <c r="Q38" s="715"/>
      <c r="R38" s="715" t="str">
        <f>IF(AND('Mapa final'!$K$16="Muy Baja",'Mapa final'!$O$16="Menor"),CONCATENATE("R",'Mapa final'!$A$16),"")</f>
        <v/>
      </c>
      <c r="S38" s="715"/>
      <c r="T38" s="715" t="str">
        <f>IF(AND('Mapa final'!$K$19="Muy Baja",'Mapa final'!$O$19="Menor"),CONCATENATE("R",'Mapa final'!$A$19),"")</f>
        <v/>
      </c>
      <c r="U38" s="716"/>
      <c r="V38" s="705" t="str">
        <f>IF(AND('Mapa final'!$K$10="Muy Baja",'Mapa final'!$O$10="Moderado"),CONCATENATE("R",'Mapa final'!$A$10),"")</f>
        <v/>
      </c>
      <c r="W38" s="706"/>
      <c r="X38" s="706" t="str">
        <f>IF(AND('Mapa final'!$K$16="Muy Baja",'Mapa final'!$O$16="Moderado"),CONCATENATE("R",'Mapa final'!$A$16),"")</f>
        <v/>
      </c>
      <c r="Y38" s="706"/>
      <c r="Z38" s="706" t="str">
        <f>IF(AND('Mapa final'!$K$19="Muy Baja",'Mapa final'!$O$19="Moderado"),CONCATENATE("R",'Mapa final'!$A$19),"")</f>
        <v/>
      </c>
      <c r="AA38" s="707"/>
      <c r="AB38" s="681" t="str">
        <f>IF(AND('Mapa final'!$K$10="Muy Baja",'Mapa final'!$O$10="Mayor"),CONCATENATE("R",'Mapa final'!$A$10),"")</f>
        <v/>
      </c>
      <c r="AC38" s="682"/>
      <c r="AD38" s="682" t="str">
        <f>IF(AND('Mapa final'!$K$16="Muy Baja",'Mapa final'!$O$16="Mayor"),CONCATENATE("R",'Mapa final'!$A$16),"")</f>
        <v/>
      </c>
      <c r="AE38" s="682"/>
      <c r="AF38" s="682" t="str">
        <f>IF(AND('Mapa final'!$K$19="Muy Baja",'Mapa final'!$O$19="Mayor"),CONCATENATE("R",'Mapa final'!$A$19),"")</f>
        <v/>
      </c>
      <c r="AG38" s="684"/>
      <c r="AH38" s="696" t="str">
        <f>IF(AND('Mapa final'!$K$10="Muy Baja",'Mapa final'!$O$10="Catastrófico"),CONCATENATE("R",'Mapa final'!$A$10),"")</f>
        <v/>
      </c>
      <c r="AI38" s="697"/>
      <c r="AJ38" s="697" t="str">
        <f>IF(AND('Mapa final'!$K$16="Muy Baja",'Mapa final'!$O$16="Catastrófico"),CONCATENATE("R",'Mapa final'!$A$16),"")</f>
        <v/>
      </c>
      <c r="AK38" s="697"/>
      <c r="AL38" s="697" t="str">
        <f>IF(AND('Mapa final'!$K$19="Muy Baja",'Mapa final'!$O$19="Catastrófico"),CONCATENATE("R",'Mapa final'!$A$19),"")</f>
        <v/>
      </c>
      <c r="AM38" s="698"/>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632"/>
      <c r="C39" s="632"/>
      <c r="D39" s="633"/>
      <c r="E39" s="673"/>
      <c r="F39" s="674"/>
      <c r="G39" s="674"/>
      <c r="H39" s="674"/>
      <c r="I39" s="675"/>
      <c r="J39" s="710"/>
      <c r="K39" s="708"/>
      <c r="L39" s="708"/>
      <c r="M39" s="708"/>
      <c r="N39" s="708"/>
      <c r="O39" s="709"/>
      <c r="P39" s="710"/>
      <c r="Q39" s="708"/>
      <c r="R39" s="708"/>
      <c r="S39" s="708"/>
      <c r="T39" s="708"/>
      <c r="U39" s="709"/>
      <c r="V39" s="699"/>
      <c r="W39" s="700"/>
      <c r="X39" s="700"/>
      <c r="Y39" s="700"/>
      <c r="Z39" s="700"/>
      <c r="AA39" s="701"/>
      <c r="AB39" s="683"/>
      <c r="AC39" s="679"/>
      <c r="AD39" s="679"/>
      <c r="AE39" s="679"/>
      <c r="AF39" s="679"/>
      <c r="AG39" s="680"/>
      <c r="AH39" s="690"/>
      <c r="AI39" s="691"/>
      <c r="AJ39" s="691"/>
      <c r="AK39" s="691"/>
      <c r="AL39" s="691"/>
      <c r="AM39" s="692"/>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632"/>
      <c r="C40" s="632"/>
      <c r="D40" s="633"/>
      <c r="E40" s="673"/>
      <c r="F40" s="674"/>
      <c r="G40" s="674"/>
      <c r="H40" s="674"/>
      <c r="I40" s="675"/>
      <c r="J40" s="710" t="str">
        <f>IF(AND('Mapa final'!$K$22="Muy Baja",'Mapa final'!$O$22="Leve"),CONCATENATE("R",'Mapa final'!$A$22),"")</f>
        <v/>
      </c>
      <c r="K40" s="708"/>
      <c r="L40" s="708" t="str">
        <f>IF(AND('Mapa final'!$K$28="Muy Baja",'Mapa final'!$O$28="Leve"),CONCATENATE("R",'Mapa final'!$A$28),"")</f>
        <v/>
      </c>
      <c r="M40" s="708"/>
      <c r="N40" s="708" t="str">
        <f>IF(AND('Mapa final'!$K$34="Muy Baja",'Mapa final'!$O$34="Leve"),CONCATENATE("R",'Mapa final'!$A$34),"")</f>
        <v/>
      </c>
      <c r="O40" s="709"/>
      <c r="P40" s="710" t="str">
        <f>IF(AND('Mapa final'!$K$22="Muy Baja",'Mapa final'!$O$22="Menor"),CONCATENATE("R",'Mapa final'!$A$22),"")</f>
        <v/>
      </c>
      <c r="Q40" s="708"/>
      <c r="R40" s="708" t="str">
        <f>IF(AND('Mapa final'!$K$28="Muy Baja",'Mapa final'!$O$28="Menor"),CONCATENATE("R",'Mapa final'!$A$28),"")</f>
        <v/>
      </c>
      <c r="S40" s="708"/>
      <c r="T40" s="708" t="str">
        <f>IF(AND('Mapa final'!$K$34="Muy Baja",'Mapa final'!$O$34="Menor"),CONCATENATE("R",'Mapa final'!$A$34),"")</f>
        <v/>
      </c>
      <c r="U40" s="709"/>
      <c r="V40" s="699" t="str">
        <f>IF(AND('Mapa final'!$K$22="Muy Baja",'Mapa final'!$O$22="Moderado"),CONCATENATE("R",'Mapa final'!$A$22),"")</f>
        <v/>
      </c>
      <c r="W40" s="700"/>
      <c r="X40" s="700" t="str">
        <f>IF(AND('Mapa final'!$K$28="Muy Baja",'Mapa final'!$O$28="Moderado"),CONCATENATE("R",'Mapa final'!$A$28),"")</f>
        <v/>
      </c>
      <c r="Y40" s="700"/>
      <c r="Z40" s="700" t="str">
        <f>IF(AND('Mapa final'!$K$34="Muy Baja",'Mapa final'!$O$34="Moderado"),CONCATENATE("R",'Mapa final'!$A$34),"")</f>
        <v/>
      </c>
      <c r="AA40" s="701"/>
      <c r="AB40" s="683" t="str">
        <f>IF(AND('Mapa final'!$K$22="Muy Baja",'Mapa final'!$O$22="Mayor"),CONCATENATE("R",'Mapa final'!$A$22),"")</f>
        <v/>
      </c>
      <c r="AC40" s="679"/>
      <c r="AD40" s="679" t="str">
        <f>IF(AND('Mapa final'!$K$28="Muy Baja",'Mapa final'!$O$28="Mayor"),CONCATENATE("R",'Mapa final'!$A$28),"")</f>
        <v/>
      </c>
      <c r="AE40" s="679"/>
      <c r="AF40" s="679" t="str">
        <f>IF(AND('Mapa final'!$K$34="Muy Baja",'Mapa final'!$O$34="Mayor"),CONCATENATE("R",'Mapa final'!$A$34),"")</f>
        <v/>
      </c>
      <c r="AG40" s="680"/>
      <c r="AH40" s="690" t="str">
        <f>IF(AND('Mapa final'!$K$22="Muy Baja",'Mapa final'!$O$22="Catastrófico"),CONCATENATE("R",'Mapa final'!$A$22),"")</f>
        <v/>
      </c>
      <c r="AI40" s="691"/>
      <c r="AJ40" s="691" t="str">
        <f>IF(AND('Mapa final'!$K$28="Muy Baja",'Mapa final'!$O$28="Catastrófico"),CONCATENATE("R",'Mapa final'!$A$28),"")</f>
        <v/>
      </c>
      <c r="AK40" s="691"/>
      <c r="AL40" s="691" t="str">
        <f>IF(AND('Mapa final'!$K$34="Muy Baja",'Mapa final'!$O$34="Catastrófico"),CONCATENATE("R",'Mapa final'!$A$34),"")</f>
        <v/>
      </c>
      <c r="AM40" s="692"/>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632"/>
      <c r="C41" s="632"/>
      <c r="D41" s="633"/>
      <c r="E41" s="673"/>
      <c r="F41" s="674"/>
      <c r="G41" s="674"/>
      <c r="H41" s="674"/>
      <c r="I41" s="675"/>
      <c r="J41" s="710"/>
      <c r="K41" s="708"/>
      <c r="L41" s="708"/>
      <c r="M41" s="708"/>
      <c r="N41" s="708"/>
      <c r="O41" s="709"/>
      <c r="P41" s="710"/>
      <c r="Q41" s="708"/>
      <c r="R41" s="708"/>
      <c r="S41" s="708"/>
      <c r="T41" s="708"/>
      <c r="U41" s="709"/>
      <c r="V41" s="699"/>
      <c r="W41" s="700"/>
      <c r="X41" s="700"/>
      <c r="Y41" s="700"/>
      <c r="Z41" s="700"/>
      <c r="AA41" s="701"/>
      <c r="AB41" s="683"/>
      <c r="AC41" s="679"/>
      <c r="AD41" s="679"/>
      <c r="AE41" s="679"/>
      <c r="AF41" s="679"/>
      <c r="AG41" s="680"/>
      <c r="AH41" s="690"/>
      <c r="AI41" s="691"/>
      <c r="AJ41" s="691"/>
      <c r="AK41" s="691"/>
      <c r="AL41" s="691"/>
      <c r="AM41" s="692"/>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632"/>
      <c r="C42" s="632"/>
      <c r="D42" s="633"/>
      <c r="E42" s="673"/>
      <c r="F42" s="674"/>
      <c r="G42" s="674"/>
      <c r="H42" s="674"/>
      <c r="I42" s="675"/>
      <c r="J42" s="710" t="str">
        <f>IF(AND('Mapa final'!$K$40="Muy Baja",'Mapa final'!$O$40="Leve"),CONCATENATE("R",'Mapa final'!$A$40),"")</f>
        <v/>
      </c>
      <c r="K42" s="708"/>
      <c r="L42" s="708" t="str">
        <f>IF(AND('Mapa final'!$K$46="Muy Baja",'Mapa final'!$O$46="Leve"),CONCATENATE("R",'Mapa final'!$A$46),"")</f>
        <v/>
      </c>
      <c r="M42" s="708"/>
      <c r="N42" s="708" t="str">
        <f>IF(AND('Mapa final'!$K$52="Muy Baja",'Mapa final'!$O$52="Leve"),CONCATENATE("R",'Mapa final'!$A$52),"")</f>
        <v/>
      </c>
      <c r="O42" s="709"/>
      <c r="P42" s="710" t="str">
        <f>IF(AND('Mapa final'!$K$40="Muy Baja",'Mapa final'!$O$40="Menor"),CONCATENATE("R",'Mapa final'!$A$40),"")</f>
        <v/>
      </c>
      <c r="Q42" s="708"/>
      <c r="R42" s="708" t="str">
        <f>IF(AND('Mapa final'!$K$46="Muy Baja",'Mapa final'!$O$46="Menor"),CONCATENATE("R",'Mapa final'!$A$46),"")</f>
        <v/>
      </c>
      <c r="S42" s="708"/>
      <c r="T42" s="708" t="str">
        <f>IF(AND('Mapa final'!$K$52="Muy Baja",'Mapa final'!$O$52="Menor"),CONCATENATE("R",'Mapa final'!$A$52),"")</f>
        <v/>
      </c>
      <c r="U42" s="709"/>
      <c r="V42" s="699" t="str">
        <f>IF(AND('Mapa final'!$K$40="Muy Baja",'Mapa final'!$O$40="Moderado"),CONCATENATE("R",'Mapa final'!$A$40),"")</f>
        <v/>
      </c>
      <c r="W42" s="700"/>
      <c r="X42" s="700" t="str">
        <f>IF(AND('Mapa final'!$K$46="Muy Baja",'Mapa final'!$O$46="Moderado"),CONCATENATE("R",'Mapa final'!$A$46),"")</f>
        <v/>
      </c>
      <c r="Y42" s="700"/>
      <c r="Z42" s="700" t="str">
        <f>IF(AND('Mapa final'!$K$52="Muy Baja",'Mapa final'!$O$52="Moderado"),CONCATENATE("R",'Mapa final'!$A$52),"")</f>
        <v/>
      </c>
      <c r="AA42" s="701"/>
      <c r="AB42" s="683" t="str">
        <f>IF(AND('Mapa final'!$K$40="Muy Baja",'Mapa final'!$O$40="Mayor"),CONCATENATE("R",'Mapa final'!$A$40),"")</f>
        <v/>
      </c>
      <c r="AC42" s="679"/>
      <c r="AD42" s="679" t="str">
        <f>IF(AND('Mapa final'!$K$46="Muy Baja",'Mapa final'!$O$46="Mayor"),CONCATENATE("R",'Mapa final'!$A$46),"")</f>
        <v/>
      </c>
      <c r="AE42" s="679"/>
      <c r="AF42" s="679" t="str">
        <f>IF(AND('Mapa final'!$K$52="Muy Baja",'Mapa final'!$O$52="Mayor"),CONCATENATE("R",'Mapa final'!$A$52),"")</f>
        <v/>
      </c>
      <c r="AG42" s="680"/>
      <c r="AH42" s="690" t="str">
        <f>IF(AND('Mapa final'!$K$40="Muy Baja",'Mapa final'!$O$40="Catastrófico"),CONCATENATE("R",'Mapa final'!$A$40),"")</f>
        <v/>
      </c>
      <c r="AI42" s="691"/>
      <c r="AJ42" s="691" t="str">
        <f>IF(AND('Mapa final'!$K$46="Muy Baja",'Mapa final'!$O$46="Catastrófico"),CONCATENATE("R",'Mapa final'!$A$46),"")</f>
        <v/>
      </c>
      <c r="AK42" s="691"/>
      <c r="AL42" s="691" t="str">
        <f>IF(AND('Mapa final'!$K$52="Muy Baja",'Mapa final'!$O$52="Catastrófico"),CONCATENATE("R",'Mapa final'!$A$52),"")</f>
        <v/>
      </c>
      <c r="AM42" s="692"/>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632"/>
      <c r="C43" s="632"/>
      <c r="D43" s="633"/>
      <c r="E43" s="673"/>
      <c r="F43" s="674"/>
      <c r="G43" s="674"/>
      <c r="H43" s="674"/>
      <c r="I43" s="675"/>
      <c r="J43" s="710"/>
      <c r="K43" s="708"/>
      <c r="L43" s="708"/>
      <c r="M43" s="708"/>
      <c r="N43" s="708"/>
      <c r="O43" s="709"/>
      <c r="P43" s="710"/>
      <c r="Q43" s="708"/>
      <c r="R43" s="708"/>
      <c r="S43" s="708"/>
      <c r="T43" s="708"/>
      <c r="U43" s="709"/>
      <c r="V43" s="699"/>
      <c r="W43" s="700"/>
      <c r="X43" s="700"/>
      <c r="Y43" s="700"/>
      <c r="Z43" s="700"/>
      <c r="AA43" s="701"/>
      <c r="AB43" s="683"/>
      <c r="AC43" s="679"/>
      <c r="AD43" s="679"/>
      <c r="AE43" s="679"/>
      <c r="AF43" s="679"/>
      <c r="AG43" s="680"/>
      <c r="AH43" s="690"/>
      <c r="AI43" s="691"/>
      <c r="AJ43" s="691"/>
      <c r="AK43" s="691"/>
      <c r="AL43" s="691"/>
      <c r="AM43" s="692"/>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632"/>
      <c r="C44" s="632"/>
      <c r="D44" s="633"/>
      <c r="E44" s="673"/>
      <c r="F44" s="674"/>
      <c r="G44" s="674"/>
      <c r="H44" s="674"/>
      <c r="I44" s="675"/>
      <c r="J44" s="710" t="str">
        <f>IF(AND('Mapa final'!$K$58="Muy Baja",'Mapa final'!$O$58="Leve"),CONCATENATE("R",'Mapa final'!$A$58),"")</f>
        <v/>
      </c>
      <c r="K44" s="708"/>
      <c r="L44" s="708" t="str">
        <f>IF(AND('Mapa final'!$K$64="Muy Baja",'Mapa final'!$O$64="Leve"),CONCATENATE("R",'Mapa final'!$A$64),"")</f>
        <v/>
      </c>
      <c r="M44" s="708"/>
      <c r="N44" s="708" t="str">
        <f>IF(AND('Mapa final'!$K$70="Muy Baja",'Mapa final'!$O$70="Leve"),CONCATENATE("R",'Mapa final'!$A$70),"")</f>
        <v/>
      </c>
      <c r="O44" s="709"/>
      <c r="P44" s="710" t="str">
        <f>IF(AND('Mapa final'!$K$58="Muy Baja",'Mapa final'!$O$58="Menor"),CONCATENATE("R",'Mapa final'!$A$58),"")</f>
        <v/>
      </c>
      <c r="Q44" s="708"/>
      <c r="R44" s="708" t="str">
        <f>IF(AND('Mapa final'!$K$64="Muy Baja",'Mapa final'!$O$64="Menor"),CONCATENATE("R",'Mapa final'!$A$64),"")</f>
        <v/>
      </c>
      <c r="S44" s="708"/>
      <c r="T44" s="708" t="str">
        <f>IF(AND('Mapa final'!$K$70="Muy Baja",'Mapa final'!$O$70="Menor"),CONCATENATE("R",'Mapa final'!$A$70),"")</f>
        <v/>
      </c>
      <c r="U44" s="709"/>
      <c r="V44" s="699" t="str">
        <f>IF(AND('Mapa final'!$K$58="Muy Baja",'Mapa final'!$O$58="Moderado"),CONCATENATE("R",'Mapa final'!$A$58),"")</f>
        <v/>
      </c>
      <c r="W44" s="700"/>
      <c r="X44" s="700" t="str">
        <f>IF(AND('Mapa final'!$K$64="Muy Baja",'Mapa final'!$O$64="Moderado"),CONCATENATE("R",'Mapa final'!$A$64),"")</f>
        <v/>
      </c>
      <c r="Y44" s="700"/>
      <c r="Z44" s="700" t="str">
        <f>IF(AND('Mapa final'!$K$70="Muy Baja",'Mapa final'!$O$70="Moderado"),CONCATENATE("R",'Mapa final'!$A$70),"")</f>
        <v/>
      </c>
      <c r="AA44" s="701"/>
      <c r="AB44" s="683" t="str">
        <f>IF(AND('Mapa final'!$K$58="Muy Baja",'Mapa final'!$O$58="Mayor"),CONCATENATE("R",'Mapa final'!$A$58),"")</f>
        <v/>
      </c>
      <c r="AC44" s="679"/>
      <c r="AD44" s="679" t="str">
        <f>IF(AND('Mapa final'!$K$64="Muy Baja",'Mapa final'!$O$64="Mayor"),CONCATENATE("R",'Mapa final'!$A$64),"")</f>
        <v/>
      </c>
      <c r="AE44" s="679"/>
      <c r="AF44" s="679" t="str">
        <f>IF(AND('Mapa final'!$K$70="Muy Baja",'Mapa final'!$O$70="Mayor"),CONCATENATE("R",'Mapa final'!$A$70),"")</f>
        <v/>
      </c>
      <c r="AG44" s="680"/>
      <c r="AH44" s="690" t="str">
        <f>IF(AND('Mapa final'!$K$58="Muy Baja",'Mapa final'!$O$58="Catastrófico"),CONCATENATE("R",'Mapa final'!$A$58),"")</f>
        <v/>
      </c>
      <c r="AI44" s="691"/>
      <c r="AJ44" s="691" t="str">
        <f>IF(AND('Mapa final'!$K$64="Muy Baja",'Mapa final'!$O$64="Catastrófico"),CONCATENATE("R",'Mapa final'!$A$64),"")</f>
        <v/>
      </c>
      <c r="AK44" s="691"/>
      <c r="AL44" s="691" t="str">
        <f>IF(AND('Mapa final'!$K$70="Muy Baja",'Mapa final'!$O$70="Catastrófico"),CONCATENATE("R",'Mapa final'!$A$70),"")</f>
        <v/>
      </c>
      <c r="AM44" s="692"/>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632"/>
      <c r="C45" s="632"/>
      <c r="D45" s="633"/>
      <c r="E45" s="676"/>
      <c r="F45" s="677"/>
      <c r="G45" s="677"/>
      <c r="H45" s="677"/>
      <c r="I45" s="678"/>
      <c r="J45" s="711"/>
      <c r="K45" s="712"/>
      <c r="L45" s="712"/>
      <c r="M45" s="712"/>
      <c r="N45" s="712"/>
      <c r="O45" s="713"/>
      <c r="P45" s="711"/>
      <c r="Q45" s="712"/>
      <c r="R45" s="712"/>
      <c r="S45" s="712"/>
      <c r="T45" s="712"/>
      <c r="U45" s="713"/>
      <c r="V45" s="702"/>
      <c r="W45" s="703"/>
      <c r="X45" s="703"/>
      <c r="Y45" s="703"/>
      <c r="Z45" s="703"/>
      <c r="AA45" s="704"/>
      <c r="AB45" s="687"/>
      <c r="AC45" s="688"/>
      <c r="AD45" s="688"/>
      <c r="AE45" s="688"/>
      <c r="AF45" s="688"/>
      <c r="AG45" s="689"/>
      <c r="AH45" s="693"/>
      <c r="AI45" s="694"/>
      <c r="AJ45" s="694"/>
      <c r="AK45" s="694"/>
      <c r="AL45" s="694"/>
      <c r="AM45" s="695"/>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670" t="s">
        <v>106</v>
      </c>
      <c r="K46" s="671"/>
      <c r="L46" s="671"/>
      <c r="M46" s="671"/>
      <c r="N46" s="671"/>
      <c r="O46" s="672"/>
      <c r="P46" s="670" t="s">
        <v>105</v>
      </c>
      <c r="Q46" s="671"/>
      <c r="R46" s="671"/>
      <c r="S46" s="671"/>
      <c r="T46" s="671"/>
      <c r="U46" s="672"/>
      <c r="V46" s="670" t="s">
        <v>104</v>
      </c>
      <c r="W46" s="671"/>
      <c r="X46" s="671"/>
      <c r="Y46" s="671"/>
      <c r="Z46" s="671"/>
      <c r="AA46" s="672"/>
      <c r="AB46" s="670" t="s">
        <v>103</v>
      </c>
      <c r="AC46" s="686"/>
      <c r="AD46" s="671"/>
      <c r="AE46" s="671"/>
      <c r="AF46" s="671"/>
      <c r="AG46" s="672"/>
      <c r="AH46" s="670" t="s">
        <v>102</v>
      </c>
      <c r="AI46" s="671"/>
      <c r="AJ46" s="671"/>
      <c r="AK46" s="671"/>
      <c r="AL46" s="671"/>
      <c r="AM46" s="672"/>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673"/>
      <c r="K47" s="674"/>
      <c r="L47" s="674"/>
      <c r="M47" s="674"/>
      <c r="N47" s="674"/>
      <c r="O47" s="675"/>
      <c r="P47" s="673"/>
      <c r="Q47" s="674"/>
      <c r="R47" s="674"/>
      <c r="S47" s="674"/>
      <c r="T47" s="674"/>
      <c r="U47" s="675"/>
      <c r="V47" s="673"/>
      <c r="W47" s="674"/>
      <c r="X47" s="674"/>
      <c r="Y47" s="674"/>
      <c r="Z47" s="674"/>
      <c r="AA47" s="675"/>
      <c r="AB47" s="673"/>
      <c r="AC47" s="674"/>
      <c r="AD47" s="674"/>
      <c r="AE47" s="674"/>
      <c r="AF47" s="674"/>
      <c r="AG47" s="675"/>
      <c r="AH47" s="673"/>
      <c r="AI47" s="674"/>
      <c r="AJ47" s="674"/>
      <c r="AK47" s="674"/>
      <c r="AL47" s="674"/>
      <c r="AM47" s="675"/>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673"/>
      <c r="K48" s="674"/>
      <c r="L48" s="674"/>
      <c r="M48" s="674"/>
      <c r="N48" s="674"/>
      <c r="O48" s="675"/>
      <c r="P48" s="673"/>
      <c r="Q48" s="674"/>
      <c r="R48" s="674"/>
      <c r="S48" s="674"/>
      <c r="T48" s="674"/>
      <c r="U48" s="675"/>
      <c r="V48" s="673"/>
      <c r="W48" s="674"/>
      <c r="X48" s="674"/>
      <c r="Y48" s="674"/>
      <c r="Z48" s="674"/>
      <c r="AA48" s="675"/>
      <c r="AB48" s="673"/>
      <c r="AC48" s="674"/>
      <c r="AD48" s="674"/>
      <c r="AE48" s="674"/>
      <c r="AF48" s="674"/>
      <c r="AG48" s="675"/>
      <c r="AH48" s="673"/>
      <c r="AI48" s="674"/>
      <c r="AJ48" s="674"/>
      <c r="AK48" s="674"/>
      <c r="AL48" s="674"/>
      <c r="AM48" s="675"/>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673"/>
      <c r="K49" s="674"/>
      <c r="L49" s="674"/>
      <c r="M49" s="674"/>
      <c r="N49" s="674"/>
      <c r="O49" s="675"/>
      <c r="P49" s="673"/>
      <c r="Q49" s="674"/>
      <c r="R49" s="674"/>
      <c r="S49" s="674"/>
      <c r="T49" s="674"/>
      <c r="U49" s="675"/>
      <c r="V49" s="673"/>
      <c r="W49" s="674"/>
      <c r="X49" s="674"/>
      <c r="Y49" s="674"/>
      <c r="Z49" s="674"/>
      <c r="AA49" s="675"/>
      <c r="AB49" s="673"/>
      <c r="AC49" s="674"/>
      <c r="AD49" s="674"/>
      <c r="AE49" s="674"/>
      <c r="AF49" s="674"/>
      <c r="AG49" s="675"/>
      <c r="AH49" s="673"/>
      <c r="AI49" s="674"/>
      <c r="AJ49" s="674"/>
      <c r="AK49" s="674"/>
      <c r="AL49" s="674"/>
      <c r="AM49" s="675"/>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673"/>
      <c r="K50" s="674"/>
      <c r="L50" s="674"/>
      <c r="M50" s="674"/>
      <c r="N50" s="674"/>
      <c r="O50" s="675"/>
      <c r="P50" s="673"/>
      <c r="Q50" s="674"/>
      <c r="R50" s="674"/>
      <c r="S50" s="674"/>
      <c r="T50" s="674"/>
      <c r="U50" s="675"/>
      <c r="V50" s="673"/>
      <c r="W50" s="674"/>
      <c r="X50" s="674"/>
      <c r="Y50" s="674"/>
      <c r="Z50" s="674"/>
      <c r="AA50" s="675"/>
      <c r="AB50" s="673"/>
      <c r="AC50" s="674"/>
      <c r="AD50" s="674"/>
      <c r="AE50" s="674"/>
      <c r="AF50" s="674"/>
      <c r="AG50" s="675"/>
      <c r="AH50" s="673"/>
      <c r="AI50" s="674"/>
      <c r="AJ50" s="674"/>
      <c r="AK50" s="674"/>
      <c r="AL50" s="674"/>
      <c r="AM50" s="675"/>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676"/>
      <c r="K51" s="677"/>
      <c r="L51" s="677"/>
      <c r="M51" s="677"/>
      <c r="N51" s="677"/>
      <c r="O51" s="678"/>
      <c r="P51" s="676"/>
      <c r="Q51" s="677"/>
      <c r="R51" s="677"/>
      <c r="S51" s="677"/>
      <c r="T51" s="677"/>
      <c r="U51" s="678"/>
      <c r="V51" s="676"/>
      <c r="W51" s="677"/>
      <c r="X51" s="677"/>
      <c r="Y51" s="677"/>
      <c r="Z51" s="677"/>
      <c r="AA51" s="678"/>
      <c r="AB51" s="676"/>
      <c r="AC51" s="677"/>
      <c r="AD51" s="677"/>
      <c r="AE51" s="677"/>
      <c r="AF51" s="677"/>
      <c r="AG51" s="678"/>
      <c r="AH51" s="676"/>
      <c r="AI51" s="677"/>
      <c r="AJ51" s="677"/>
      <c r="AK51" s="677"/>
      <c r="AL51" s="677"/>
      <c r="AM51" s="678"/>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743" t="s">
        <v>147</v>
      </c>
      <c r="C2" s="744"/>
      <c r="D2" s="744"/>
      <c r="E2" s="744"/>
      <c r="F2" s="744"/>
      <c r="G2" s="744"/>
      <c r="H2" s="744"/>
      <c r="I2" s="744"/>
      <c r="J2" s="685" t="s">
        <v>2</v>
      </c>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744"/>
      <c r="C3" s="744"/>
      <c r="D3" s="744"/>
      <c r="E3" s="744"/>
      <c r="F3" s="744"/>
      <c r="G3" s="744"/>
      <c r="H3" s="744"/>
      <c r="I3" s="744"/>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744"/>
      <c r="C4" s="744"/>
      <c r="D4" s="744"/>
      <c r="E4" s="744"/>
      <c r="F4" s="744"/>
      <c r="G4" s="744"/>
      <c r="H4" s="744"/>
      <c r="I4" s="744"/>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632" t="s">
        <v>4</v>
      </c>
      <c r="C6" s="632"/>
      <c r="D6" s="633"/>
      <c r="E6" s="727" t="s">
        <v>110</v>
      </c>
      <c r="F6" s="728"/>
      <c r="G6" s="728"/>
      <c r="H6" s="728"/>
      <c r="I6" s="745"/>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734" t="s">
        <v>77</v>
      </c>
      <c r="AP6" s="735"/>
      <c r="AQ6" s="735"/>
      <c r="AR6" s="735"/>
      <c r="AS6" s="735"/>
      <c r="AT6" s="73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632"/>
      <c r="C7" s="632"/>
      <c r="D7" s="633"/>
      <c r="E7" s="731"/>
      <c r="F7" s="730"/>
      <c r="G7" s="730"/>
      <c r="H7" s="730"/>
      <c r="I7" s="746"/>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737"/>
      <c r="AP7" s="738"/>
      <c r="AQ7" s="738"/>
      <c r="AR7" s="738"/>
      <c r="AS7" s="738"/>
      <c r="AT7" s="73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632"/>
      <c r="C8" s="632"/>
      <c r="D8" s="633"/>
      <c r="E8" s="731"/>
      <c r="F8" s="730"/>
      <c r="G8" s="730"/>
      <c r="H8" s="730"/>
      <c r="I8" s="746"/>
      <c r="J8" s="36" t="str">
        <f>IF(AND('Mapa final'!$AB$19="Muy Alta",'Mapa final'!$AD$19="Leve"),CONCATENATE("R3C",'Mapa final'!$R$19),"")</f>
        <v/>
      </c>
      <c r="K8" s="37" t="str">
        <f>IF(AND('Mapa final'!$AB$20="Muy Alta",'Mapa final'!$AD$20="Leve"),CONCATENATE("R3C",'Mapa final'!$R$20),"")</f>
        <v/>
      </c>
      <c r="L8" s="37" t="str">
        <f>IF(AND('Mapa final'!$AB$21="Muy Alta",'Mapa final'!$AD$21="Leve"),CONCATENATE("R3C",'Mapa final'!$R$21),"")</f>
        <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str">
        <f>IF(AND('Mapa final'!$AB$19="Muy Alta",'Mapa final'!$AD$19="Menor"),CONCATENATE("R3C",'Mapa final'!$R$19),"")</f>
        <v/>
      </c>
      <c r="Q8" s="37" t="str">
        <f>IF(AND('Mapa final'!$AB$20="Muy Alta",'Mapa final'!$AD$20="Menor"),CONCATENATE("R3C",'Mapa final'!$R$20),"")</f>
        <v/>
      </c>
      <c r="R8" s="37" t="str">
        <f>IF(AND('Mapa final'!$AB$21="Muy Alta",'Mapa final'!$AD$21="Menor"),CONCATENATE("R3C",'Mapa final'!$R$21),"")</f>
        <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str">
        <f>IF(AND('Mapa final'!$AB$19="Muy Alta",'Mapa final'!$AD$19="Moderado"),CONCATENATE("R3C",'Mapa final'!$R$19),"")</f>
        <v/>
      </c>
      <c r="W8" s="37" t="str">
        <f>IF(AND('Mapa final'!$AB$20="Muy Alta",'Mapa final'!$AD$20="Moderado"),CONCATENATE("R3C",'Mapa final'!$R$20),"")</f>
        <v/>
      </c>
      <c r="X8" s="37" t="str">
        <f>IF(AND('Mapa final'!$AB$21="Muy Alta",'Mapa final'!$AD$21="Moderado"),CONCATENATE("R3C",'Mapa final'!$R$21),"")</f>
        <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str">
        <f>IF(AND('Mapa final'!$AB$19="Muy Alta",'Mapa final'!$AD$19="Mayor"),CONCATENATE("R3C",'Mapa final'!$R$19),"")</f>
        <v/>
      </c>
      <c r="AC8" s="37" t="str">
        <f>IF(AND('Mapa final'!$AB$20="Muy Alta",'Mapa final'!$AD$20="Mayor"),CONCATENATE("R3C",'Mapa final'!$R$20),"")</f>
        <v/>
      </c>
      <c r="AD8" s="37" t="str">
        <f>IF(AND('Mapa final'!$AB$21="Muy Alta",'Mapa final'!$AD$21="Mayor"),CONCATENATE("R3C",'Mapa final'!$R$21),"")</f>
        <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str">
        <f>IF(AND('Mapa final'!$AB$19="Muy Alta",'Mapa final'!$AD$19="Catastrófico"),CONCATENATE("R3C",'Mapa final'!$R$19),"")</f>
        <v/>
      </c>
      <c r="AI8" s="40" t="str">
        <f>IF(AND('Mapa final'!$AB$20="Muy Alta",'Mapa final'!$AD$20="Catastrófico"),CONCATENATE("R3C",'Mapa final'!$R$20),"")</f>
        <v/>
      </c>
      <c r="AJ8" s="40" t="str">
        <f>IF(AND('Mapa final'!$AB$21="Muy Alta",'Mapa final'!$AD$21="Catastrófico"),CONCATENATE("R3C",'Mapa final'!$R$21),"")</f>
        <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737"/>
      <c r="AP8" s="738"/>
      <c r="AQ8" s="738"/>
      <c r="AR8" s="738"/>
      <c r="AS8" s="738"/>
      <c r="AT8" s="73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632"/>
      <c r="C9" s="632"/>
      <c r="D9" s="633"/>
      <c r="E9" s="731"/>
      <c r="F9" s="730"/>
      <c r="G9" s="730"/>
      <c r="H9" s="730"/>
      <c r="I9" s="746"/>
      <c r="J9" s="36" t="str">
        <f>IF(AND('Mapa final'!$AB$22="Muy Alta",'Mapa final'!$AD$22="Leve"),CONCATENATE("R4C",'Mapa final'!$R$22),"")</f>
        <v/>
      </c>
      <c r="K9" s="37" t="str">
        <f>IF(AND('Mapa final'!$AB$23="Muy Alta",'Mapa final'!$AD$23="Leve"),CONCATENATE("R4C",'Mapa final'!$R$23),"")</f>
        <v/>
      </c>
      <c r="L9" s="37" t="str">
        <f>IF(AND('Mapa final'!$AB$24="Muy Alta",'Mapa final'!$AD$24="Leve"),CONCATENATE("R4C",'Mapa final'!$R$24),"")</f>
        <v/>
      </c>
      <c r="M9" s="37" t="str">
        <f>IF(AND('Mapa final'!$AB$25="Muy Alta",'Mapa final'!$AD$25="Leve"),CONCATENATE("R4C",'Mapa final'!$R$25),"")</f>
        <v/>
      </c>
      <c r="N9" s="37" t="str">
        <f>IF(AND('Mapa final'!$AB$26="Muy Alta",'Mapa final'!$AD$26="Leve"),CONCATENATE("R4C",'Mapa final'!$R$26),"")</f>
        <v/>
      </c>
      <c r="O9" s="38" t="str">
        <f>IF(AND('Mapa final'!$AB$27="Muy Alta",'Mapa final'!$AD$27="Leve"),CONCATENATE("R4C",'Mapa final'!$R$27),"")</f>
        <v/>
      </c>
      <c r="P9" s="36" t="str">
        <f>IF(AND('Mapa final'!$AB$22="Muy Alta",'Mapa final'!$AD$22="Menor"),CONCATENATE("R4C",'Mapa final'!$R$22),"")</f>
        <v/>
      </c>
      <c r="Q9" s="37" t="str">
        <f>IF(AND('Mapa final'!$AB$23="Muy Alta",'Mapa final'!$AD$23="Menor"),CONCATENATE("R4C",'Mapa final'!$R$23),"")</f>
        <v/>
      </c>
      <c r="R9" s="37" t="str">
        <f>IF(AND('Mapa final'!$AB$24="Muy Alta",'Mapa final'!$AD$24="Menor"),CONCATENATE("R4C",'Mapa final'!$R$24),"")</f>
        <v/>
      </c>
      <c r="S9" s="37" t="str">
        <f>IF(AND('Mapa final'!$AB$25="Muy Alta",'Mapa final'!$AD$25="Menor"),CONCATENATE("R4C",'Mapa final'!$R$25),"")</f>
        <v/>
      </c>
      <c r="T9" s="37" t="str">
        <f>IF(AND('Mapa final'!$AB$26="Muy Alta",'Mapa final'!$AD$26="Menor"),CONCATENATE("R4C",'Mapa final'!$R$26),"")</f>
        <v/>
      </c>
      <c r="U9" s="38" t="str">
        <f>IF(AND('Mapa final'!$AB$27="Muy Alta",'Mapa final'!$AD$27="Menor"),CONCATENATE("R4C",'Mapa final'!$R$27),"")</f>
        <v/>
      </c>
      <c r="V9" s="36" t="str">
        <f>IF(AND('Mapa final'!$AB$22="Muy Alta",'Mapa final'!$AD$22="Moderado"),CONCATENATE("R4C",'Mapa final'!$R$22),"")</f>
        <v/>
      </c>
      <c r="W9" s="37" t="str">
        <f>IF(AND('Mapa final'!$AB$23="Muy Alta",'Mapa final'!$AD$23="Moderado"),CONCATENATE("R4C",'Mapa final'!$R$23),"")</f>
        <v/>
      </c>
      <c r="X9" s="37" t="str">
        <f>IF(AND('Mapa final'!$AB$24="Muy Alta",'Mapa final'!$AD$24="Moderado"),CONCATENATE("R4C",'Mapa final'!$R$24),"")</f>
        <v/>
      </c>
      <c r="Y9" s="37" t="str">
        <f>IF(AND('Mapa final'!$AB$25="Muy Alta",'Mapa final'!$AD$25="Moderado"),CONCATENATE("R4C",'Mapa final'!$R$25),"")</f>
        <v/>
      </c>
      <c r="Z9" s="37" t="str">
        <f>IF(AND('Mapa final'!$AB$26="Muy Alta",'Mapa final'!$AD$26="Moderado"),CONCATENATE("R4C",'Mapa final'!$R$26),"")</f>
        <v/>
      </c>
      <c r="AA9" s="38" t="str">
        <f>IF(AND('Mapa final'!$AB$27="Muy Alta",'Mapa final'!$AD$27="Moderado"),CONCATENATE("R4C",'Mapa final'!$R$27),"")</f>
        <v/>
      </c>
      <c r="AB9" s="36" t="str">
        <f>IF(AND('Mapa final'!$AB$22="Muy Alta",'Mapa final'!$AD$22="Mayor"),CONCATENATE("R4C",'Mapa final'!$R$22),"")</f>
        <v/>
      </c>
      <c r="AC9" s="37" t="str">
        <f>IF(AND('Mapa final'!$AB$23="Muy Alta",'Mapa final'!$AD$23="Mayor"),CONCATENATE("R4C",'Mapa final'!$R$23),"")</f>
        <v/>
      </c>
      <c r="AD9" s="37" t="str">
        <f>IF(AND('Mapa final'!$AB$24="Muy Alta",'Mapa final'!$AD$24="Mayor"),CONCATENATE("R4C",'Mapa final'!$R$24),"")</f>
        <v/>
      </c>
      <c r="AE9" s="37" t="str">
        <f>IF(AND('Mapa final'!$AB$25="Muy Alta",'Mapa final'!$AD$25="Mayor"),CONCATENATE("R4C",'Mapa final'!$R$25),"")</f>
        <v/>
      </c>
      <c r="AF9" s="37" t="str">
        <f>IF(AND('Mapa final'!$AB$26="Muy Alta",'Mapa final'!$AD$26="Mayor"),CONCATENATE("R4C",'Mapa final'!$R$26),"")</f>
        <v/>
      </c>
      <c r="AG9" s="38" t="str">
        <f>IF(AND('Mapa final'!$AB$27="Muy Alta",'Mapa final'!$AD$27="Mayor"),CONCATENATE("R4C",'Mapa final'!$R$27),"")</f>
        <v/>
      </c>
      <c r="AH9" s="39" t="str">
        <f>IF(AND('Mapa final'!$AB$22="Muy Alta",'Mapa final'!$AD$22="Catastrófico"),CONCATENATE("R4C",'Mapa final'!$R$22),"")</f>
        <v/>
      </c>
      <c r="AI9" s="40" t="str">
        <f>IF(AND('Mapa final'!$AB$23="Muy Alta",'Mapa final'!$AD$23="Catastrófico"),CONCATENATE("R4C",'Mapa final'!$R$23),"")</f>
        <v/>
      </c>
      <c r="AJ9" s="40" t="str">
        <f>IF(AND('Mapa final'!$AB$24="Muy Alta",'Mapa final'!$AD$24="Catastrófico"),CONCATENATE("R4C",'Mapa final'!$R$24),"")</f>
        <v/>
      </c>
      <c r="AK9" s="40" t="str">
        <f>IF(AND('Mapa final'!$AB$25="Muy Alta",'Mapa final'!$AD$25="Catastrófico"),CONCATENATE("R4C",'Mapa final'!$R$25),"")</f>
        <v/>
      </c>
      <c r="AL9" s="40" t="str">
        <f>IF(AND('Mapa final'!$AB$26="Muy Alta",'Mapa final'!$AD$26="Catastrófico"),CONCATENATE("R4C",'Mapa final'!$R$26),"")</f>
        <v/>
      </c>
      <c r="AM9" s="41" t="str">
        <f>IF(AND('Mapa final'!$AB$27="Muy Alta",'Mapa final'!$AD$27="Catastrófico"),CONCATENATE("R4C",'Mapa final'!$R$27),"")</f>
        <v/>
      </c>
      <c r="AN9" s="67"/>
      <c r="AO9" s="737"/>
      <c r="AP9" s="738"/>
      <c r="AQ9" s="738"/>
      <c r="AR9" s="738"/>
      <c r="AS9" s="738"/>
      <c r="AT9" s="73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632"/>
      <c r="C10" s="632"/>
      <c r="D10" s="633"/>
      <c r="E10" s="731"/>
      <c r="F10" s="730"/>
      <c r="G10" s="730"/>
      <c r="H10" s="730"/>
      <c r="I10" s="746"/>
      <c r="J10" s="36" t="str">
        <f>IF(AND('Mapa final'!$AB$28="Muy Alta",'Mapa final'!$AD$28="Leve"),CONCATENATE("R5C",'Mapa final'!$R$28),"")</f>
        <v/>
      </c>
      <c r="K10" s="37" t="str">
        <f>IF(AND('Mapa final'!$AB$29="Muy Alta",'Mapa final'!$AD$29="Leve"),CONCATENATE("R5C",'Mapa final'!$R$29),"")</f>
        <v/>
      </c>
      <c r="L10" s="37" t="str">
        <f>IF(AND('Mapa final'!$AB$30="Muy Alta",'Mapa final'!$AD$30="Leve"),CONCATENATE("R5C",'Mapa final'!$R$30),"")</f>
        <v/>
      </c>
      <c r="M10" s="37" t="str">
        <f>IF(AND('Mapa final'!$AB$31="Muy Alta",'Mapa final'!$AD$31="Leve"),CONCATENATE("R5C",'Mapa final'!$R$31),"")</f>
        <v/>
      </c>
      <c r="N10" s="37" t="str">
        <f>IF(AND('Mapa final'!$AB$32="Muy Alta",'Mapa final'!$AD$32="Leve"),CONCATENATE("R5C",'Mapa final'!$R$32),"")</f>
        <v/>
      </c>
      <c r="O10" s="38" t="str">
        <f>IF(AND('Mapa final'!$AB$33="Muy Alta",'Mapa final'!$AD$33="Leve"),CONCATENATE("R5C",'Mapa final'!$R$33),"")</f>
        <v/>
      </c>
      <c r="P10" s="36" t="str">
        <f>IF(AND('Mapa final'!$AB$28="Muy Alta",'Mapa final'!$AD$28="Menor"),CONCATENATE("R5C",'Mapa final'!$R$28),"")</f>
        <v/>
      </c>
      <c r="Q10" s="37" t="str">
        <f>IF(AND('Mapa final'!$AB$29="Muy Alta",'Mapa final'!$AD$29="Menor"),CONCATENATE("R5C",'Mapa final'!$R$29),"")</f>
        <v/>
      </c>
      <c r="R10" s="37" t="str">
        <f>IF(AND('Mapa final'!$AB$30="Muy Alta",'Mapa final'!$AD$30="Menor"),CONCATENATE("R5C",'Mapa final'!$R$30),"")</f>
        <v/>
      </c>
      <c r="S10" s="37" t="str">
        <f>IF(AND('Mapa final'!$AB$31="Muy Alta",'Mapa final'!$AD$31="Menor"),CONCATENATE("R5C",'Mapa final'!$R$31),"")</f>
        <v/>
      </c>
      <c r="T10" s="37" t="str">
        <f>IF(AND('Mapa final'!$AB$32="Muy Alta",'Mapa final'!$AD$32="Menor"),CONCATENATE("R5C",'Mapa final'!$R$32),"")</f>
        <v/>
      </c>
      <c r="U10" s="38" t="str">
        <f>IF(AND('Mapa final'!$AB$33="Muy Alta",'Mapa final'!$AD$33="Menor"),CONCATENATE("R5C",'Mapa final'!$R$33),"")</f>
        <v/>
      </c>
      <c r="V10" s="36" t="str">
        <f>IF(AND('Mapa final'!$AB$28="Muy Alta",'Mapa final'!$AD$28="Moderado"),CONCATENATE("R5C",'Mapa final'!$R$28),"")</f>
        <v/>
      </c>
      <c r="W10" s="37" t="str">
        <f>IF(AND('Mapa final'!$AB$29="Muy Alta",'Mapa final'!$AD$29="Moderado"),CONCATENATE("R5C",'Mapa final'!$R$29),"")</f>
        <v/>
      </c>
      <c r="X10" s="37" t="str">
        <f>IF(AND('Mapa final'!$AB$30="Muy Alta",'Mapa final'!$AD$30="Moderado"),CONCATENATE("R5C",'Mapa final'!$R$30),"")</f>
        <v/>
      </c>
      <c r="Y10" s="37" t="str">
        <f>IF(AND('Mapa final'!$AB$31="Muy Alta",'Mapa final'!$AD$31="Moderado"),CONCATENATE("R5C",'Mapa final'!$R$31),"")</f>
        <v/>
      </c>
      <c r="Z10" s="37" t="str">
        <f>IF(AND('Mapa final'!$AB$32="Muy Alta",'Mapa final'!$AD$32="Moderado"),CONCATENATE("R5C",'Mapa final'!$R$32),"")</f>
        <v/>
      </c>
      <c r="AA10" s="38" t="str">
        <f>IF(AND('Mapa final'!$AB$33="Muy Alta",'Mapa final'!$AD$33="Moderado"),CONCATENATE("R5C",'Mapa final'!$R$33),"")</f>
        <v/>
      </c>
      <c r="AB10" s="36" t="str">
        <f>IF(AND('Mapa final'!$AB$28="Muy Alta",'Mapa final'!$AD$28="Mayor"),CONCATENATE("R5C",'Mapa final'!$R$28),"")</f>
        <v/>
      </c>
      <c r="AC10" s="37" t="str">
        <f>IF(AND('Mapa final'!$AB$29="Muy Alta",'Mapa final'!$AD$29="Mayor"),CONCATENATE("R5C",'Mapa final'!$R$29),"")</f>
        <v/>
      </c>
      <c r="AD10" s="37" t="str">
        <f>IF(AND('Mapa final'!$AB$30="Muy Alta",'Mapa final'!$AD$30="Mayor"),CONCATENATE("R5C",'Mapa final'!$R$30),"")</f>
        <v/>
      </c>
      <c r="AE10" s="37" t="str">
        <f>IF(AND('Mapa final'!$AB$31="Muy Alta",'Mapa final'!$AD$31="Mayor"),CONCATENATE("R5C",'Mapa final'!$R$31),"")</f>
        <v/>
      </c>
      <c r="AF10" s="37" t="str">
        <f>IF(AND('Mapa final'!$AB$32="Muy Alta",'Mapa final'!$AD$32="Mayor"),CONCATENATE("R5C",'Mapa final'!$R$32),"")</f>
        <v/>
      </c>
      <c r="AG10" s="38" t="str">
        <f>IF(AND('Mapa final'!$AB$33="Muy Alta",'Mapa final'!$AD$33="Mayor"),CONCATENATE("R5C",'Mapa final'!$R$33),"")</f>
        <v/>
      </c>
      <c r="AH10" s="39" t="str">
        <f>IF(AND('Mapa final'!$AB$28="Muy Alta",'Mapa final'!$AD$28="Catastrófico"),CONCATENATE("R5C",'Mapa final'!$R$28),"")</f>
        <v/>
      </c>
      <c r="AI10" s="40" t="str">
        <f>IF(AND('Mapa final'!$AB$29="Muy Alta",'Mapa final'!$AD$29="Catastrófico"),CONCATENATE("R5C",'Mapa final'!$R$29),"")</f>
        <v/>
      </c>
      <c r="AJ10" s="40" t="str">
        <f>IF(AND('Mapa final'!$AB$30="Muy Alta",'Mapa final'!$AD$30="Catastrófico"),CONCATENATE("R5C",'Mapa final'!$R$30),"")</f>
        <v/>
      </c>
      <c r="AK10" s="40" t="str">
        <f>IF(AND('Mapa final'!$AB$31="Muy Alta",'Mapa final'!$AD$31="Catastrófico"),CONCATENATE("R5C",'Mapa final'!$R$31),"")</f>
        <v/>
      </c>
      <c r="AL10" s="40" t="str">
        <f>IF(AND('Mapa final'!$AB$32="Muy Alta",'Mapa final'!$AD$32="Catastrófico"),CONCATENATE("R5C",'Mapa final'!$R$32),"")</f>
        <v/>
      </c>
      <c r="AM10" s="41" t="str">
        <f>IF(AND('Mapa final'!$AB$33="Muy Alta",'Mapa final'!$AD$33="Catastrófico"),CONCATENATE("R5C",'Mapa final'!$R$33),"")</f>
        <v/>
      </c>
      <c r="AN10" s="67"/>
      <c r="AO10" s="737"/>
      <c r="AP10" s="738"/>
      <c r="AQ10" s="738"/>
      <c r="AR10" s="738"/>
      <c r="AS10" s="738"/>
      <c r="AT10" s="73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632"/>
      <c r="C11" s="632"/>
      <c r="D11" s="633"/>
      <c r="E11" s="731"/>
      <c r="F11" s="730"/>
      <c r="G11" s="730"/>
      <c r="H11" s="730"/>
      <c r="I11" s="746"/>
      <c r="J11" s="36" t="str">
        <f>IF(AND('Mapa final'!$AB$34="Muy Alta",'Mapa final'!$AD$34="Leve"),CONCATENATE("R6C",'Mapa final'!$R$34),"")</f>
        <v/>
      </c>
      <c r="K11" s="37" t="str">
        <f>IF(AND('Mapa final'!$AB$35="Muy Alta",'Mapa final'!$AD$35="Leve"),CONCATENATE("R6C",'Mapa final'!$R$35),"")</f>
        <v/>
      </c>
      <c r="L11" s="37" t="str">
        <f>IF(AND('Mapa final'!$AB$36="Muy Alta",'Mapa final'!$AD$36="Leve"),CONCATENATE("R6C",'Mapa final'!$R$36),"")</f>
        <v/>
      </c>
      <c r="M11" s="37" t="str">
        <f>IF(AND('Mapa final'!$AB$37="Muy Alta",'Mapa final'!$AD$37="Leve"),CONCATENATE("R6C",'Mapa final'!$R$37),"")</f>
        <v/>
      </c>
      <c r="N11" s="37" t="str">
        <f>IF(AND('Mapa final'!$AB$38="Muy Alta",'Mapa final'!$AD$38="Leve"),CONCATENATE("R6C",'Mapa final'!$R$38),"")</f>
        <v/>
      </c>
      <c r="O11" s="38" t="str">
        <f>IF(AND('Mapa final'!$AB$39="Muy Alta",'Mapa final'!$AD$39="Leve"),CONCATENATE("R6C",'Mapa final'!$R$39),"")</f>
        <v/>
      </c>
      <c r="P11" s="36" t="str">
        <f>IF(AND('Mapa final'!$AB$34="Muy Alta",'Mapa final'!$AD$34="Menor"),CONCATENATE("R6C",'Mapa final'!$R$34),"")</f>
        <v/>
      </c>
      <c r="Q11" s="37" t="str">
        <f>IF(AND('Mapa final'!$AB$35="Muy Alta",'Mapa final'!$AD$35="Menor"),CONCATENATE("R6C",'Mapa final'!$R$35),"")</f>
        <v/>
      </c>
      <c r="R11" s="37" t="str">
        <f>IF(AND('Mapa final'!$AB$36="Muy Alta",'Mapa final'!$AD$36="Menor"),CONCATENATE("R6C",'Mapa final'!$R$36),"")</f>
        <v/>
      </c>
      <c r="S11" s="37" t="str">
        <f>IF(AND('Mapa final'!$AB$37="Muy Alta",'Mapa final'!$AD$37="Menor"),CONCATENATE("R6C",'Mapa final'!$R$37),"")</f>
        <v/>
      </c>
      <c r="T11" s="37" t="str">
        <f>IF(AND('Mapa final'!$AB$38="Muy Alta",'Mapa final'!$AD$38="Menor"),CONCATENATE("R6C",'Mapa final'!$R$38),"")</f>
        <v/>
      </c>
      <c r="U11" s="38" t="str">
        <f>IF(AND('Mapa final'!$AB$39="Muy Alta",'Mapa final'!$AD$39="Menor"),CONCATENATE("R6C",'Mapa final'!$R$39),"")</f>
        <v/>
      </c>
      <c r="V11" s="36" t="str">
        <f>IF(AND('Mapa final'!$AB$34="Muy Alta",'Mapa final'!$AD$34="Moderado"),CONCATENATE("R6C",'Mapa final'!$R$34),"")</f>
        <v/>
      </c>
      <c r="W11" s="37" t="str">
        <f>IF(AND('Mapa final'!$AB$35="Muy Alta",'Mapa final'!$AD$35="Moderado"),CONCATENATE("R6C",'Mapa final'!$R$35),"")</f>
        <v/>
      </c>
      <c r="X11" s="37" t="str">
        <f>IF(AND('Mapa final'!$AB$36="Muy Alta",'Mapa final'!$AD$36="Moderado"),CONCATENATE("R6C",'Mapa final'!$R$36),"")</f>
        <v/>
      </c>
      <c r="Y11" s="37" t="str">
        <f>IF(AND('Mapa final'!$AB$37="Muy Alta",'Mapa final'!$AD$37="Moderado"),CONCATENATE("R6C",'Mapa final'!$R$37),"")</f>
        <v/>
      </c>
      <c r="Z11" s="37" t="str">
        <f>IF(AND('Mapa final'!$AB$38="Muy Alta",'Mapa final'!$AD$38="Moderado"),CONCATENATE("R6C",'Mapa final'!$R$38),"")</f>
        <v/>
      </c>
      <c r="AA11" s="38" t="str">
        <f>IF(AND('Mapa final'!$AB$39="Muy Alta",'Mapa final'!$AD$39="Moderado"),CONCATENATE("R6C",'Mapa final'!$R$39),"")</f>
        <v/>
      </c>
      <c r="AB11" s="36" t="str">
        <f>IF(AND('Mapa final'!$AB$34="Muy Alta",'Mapa final'!$AD$34="Mayor"),CONCATENATE("R6C",'Mapa final'!$R$34),"")</f>
        <v/>
      </c>
      <c r="AC11" s="37" t="str">
        <f>IF(AND('Mapa final'!$AB$35="Muy Alta",'Mapa final'!$AD$35="Mayor"),CONCATENATE("R6C",'Mapa final'!$R$35),"")</f>
        <v/>
      </c>
      <c r="AD11" s="37" t="str">
        <f>IF(AND('Mapa final'!$AB$36="Muy Alta",'Mapa final'!$AD$36="Mayor"),CONCATENATE("R6C",'Mapa final'!$R$36),"")</f>
        <v/>
      </c>
      <c r="AE11" s="37" t="str">
        <f>IF(AND('Mapa final'!$AB$37="Muy Alta",'Mapa final'!$AD$37="Mayor"),CONCATENATE("R6C",'Mapa final'!$R$37),"")</f>
        <v/>
      </c>
      <c r="AF11" s="37" t="str">
        <f>IF(AND('Mapa final'!$AB$38="Muy Alta",'Mapa final'!$AD$38="Mayor"),CONCATENATE("R6C",'Mapa final'!$R$38),"")</f>
        <v/>
      </c>
      <c r="AG11" s="38" t="str">
        <f>IF(AND('Mapa final'!$AB$39="Muy Alta",'Mapa final'!$AD$39="Mayor"),CONCATENATE("R6C",'Mapa final'!$R$39),"")</f>
        <v/>
      </c>
      <c r="AH11" s="39" t="str">
        <f>IF(AND('Mapa final'!$AB$34="Muy Alta",'Mapa final'!$AD$34="Catastrófico"),CONCATENATE("R6C",'Mapa final'!$R$34),"")</f>
        <v/>
      </c>
      <c r="AI11" s="40" t="str">
        <f>IF(AND('Mapa final'!$AB$35="Muy Alta",'Mapa final'!$AD$35="Catastrófico"),CONCATENATE("R6C",'Mapa final'!$R$35),"")</f>
        <v/>
      </c>
      <c r="AJ11" s="40" t="str">
        <f>IF(AND('Mapa final'!$AB$36="Muy Alta",'Mapa final'!$AD$36="Catastrófico"),CONCATENATE("R6C",'Mapa final'!$R$36),"")</f>
        <v/>
      </c>
      <c r="AK11" s="40" t="str">
        <f>IF(AND('Mapa final'!$AB$37="Muy Alta",'Mapa final'!$AD$37="Catastrófico"),CONCATENATE("R6C",'Mapa final'!$R$37),"")</f>
        <v/>
      </c>
      <c r="AL11" s="40" t="str">
        <f>IF(AND('Mapa final'!$AB$38="Muy Alta",'Mapa final'!$AD$38="Catastrófico"),CONCATENATE("R6C",'Mapa final'!$R$38),"")</f>
        <v/>
      </c>
      <c r="AM11" s="41" t="str">
        <f>IF(AND('Mapa final'!$AB$39="Muy Alta",'Mapa final'!$AD$39="Catastrófico"),CONCATENATE("R6C",'Mapa final'!$R$39),"")</f>
        <v/>
      </c>
      <c r="AN11" s="67"/>
      <c r="AO11" s="737"/>
      <c r="AP11" s="738"/>
      <c r="AQ11" s="738"/>
      <c r="AR11" s="738"/>
      <c r="AS11" s="738"/>
      <c r="AT11" s="73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632"/>
      <c r="C12" s="632"/>
      <c r="D12" s="633"/>
      <c r="E12" s="731"/>
      <c r="F12" s="730"/>
      <c r="G12" s="730"/>
      <c r="H12" s="730"/>
      <c r="I12" s="746"/>
      <c r="J12" s="36" t="str">
        <f>IF(AND('Mapa final'!$AB$40="Muy Alta",'Mapa final'!$AD$40="Leve"),CONCATENATE("R7C",'Mapa final'!$R$40),"")</f>
        <v/>
      </c>
      <c r="K12" s="37" t="str">
        <f>IF(AND('Mapa final'!$AB$41="Muy Alta",'Mapa final'!$AD$41="Leve"),CONCATENATE("R7C",'Mapa final'!$R$41),"")</f>
        <v/>
      </c>
      <c r="L12" s="37" t="str">
        <f>IF(AND('Mapa final'!$AB$42="Muy Alta",'Mapa final'!$AD$42="Leve"),CONCATENATE("R7C",'Mapa final'!$R$42),"")</f>
        <v/>
      </c>
      <c r="M12" s="37" t="str">
        <f>IF(AND('Mapa final'!$AB$43="Muy Alta",'Mapa final'!$AD$43="Leve"),CONCATENATE("R7C",'Mapa final'!$R$43),"")</f>
        <v/>
      </c>
      <c r="N12" s="37" t="str">
        <f>IF(AND('Mapa final'!$AB$44="Muy Alta",'Mapa final'!$AD$44="Leve"),CONCATENATE("R7C",'Mapa final'!$R$44),"")</f>
        <v/>
      </c>
      <c r="O12" s="38" t="str">
        <f>IF(AND('Mapa final'!$AB$45="Muy Alta",'Mapa final'!$AD$45="Leve"),CONCATENATE("R7C",'Mapa final'!$R$45),"")</f>
        <v/>
      </c>
      <c r="P12" s="36" t="str">
        <f>IF(AND('Mapa final'!$AB$40="Muy Alta",'Mapa final'!$AD$40="Menor"),CONCATENATE("R7C",'Mapa final'!$R$40),"")</f>
        <v/>
      </c>
      <c r="Q12" s="37" t="str">
        <f>IF(AND('Mapa final'!$AB$41="Muy Alta",'Mapa final'!$AD$41="Menor"),CONCATENATE("R7C",'Mapa final'!$R$41),"")</f>
        <v/>
      </c>
      <c r="R12" s="37" t="str">
        <f>IF(AND('Mapa final'!$AB$42="Muy Alta",'Mapa final'!$AD$42="Menor"),CONCATENATE("R7C",'Mapa final'!$R$42),"")</f>
        <v/>
      </c>
      <c r="S12" s="37" t="str">
        <f>IF(AND('Mapa final'!$AB$43="Muy Alta",'Mapa final'!$AD$43="Menor"),CONCATENATE("R7C",'Mapa final'!$R$43),"")</f>
        <v/>
      </c>
      <c r="T12" s="37" t="str">
        <f>IF(AND('Mapa final'!$AB$44="Muy Alta",'Mapa final'!$AD$44="Menor"),CONCATENATE("R7C",'Mapa final'!$R$44),"")</f>
        <v/>
      </c>
      <c r="U12" s="38" t="str">
        <f>IF(AND('Mapa final'!$AB$45="Muy Alta",'Mapa final'!$AD$45="Menor"),CONCATENATE("R7C",'Mapa final'!$R$45),"")</f>
        <v/>
      </c>
      <c r="V12" s="36" t="str">
        <f>IF(AND('Mapa final'!$AB$40="Muy Alta",'Mapa final'!$AD$40="Moderado"),CONCATENATE("R7C",'Mapa final'!$R$40),"")</f>
        <v/>
      </c>
      <c r="W12" s="37" t="str">
        <f>IF(AND('Mapa final'!$AB$41="Muy Alta",'Mapa final'!$AD$41="Moderado"),CONCATENATE("R7C",'Mapa final'!$R$41),"")</f>
        <v/>
      </c>
      <c r="X12" s="37" t="str">
        <f>IF(AND('Mapa final'!$AB$42="Muy Alta",'Mapa final'!$AD$42="Moderado"),CONCATENATE("R7C",'Mapa final'!$R$42),"")</f>
        <v/>
      </c>
      <c r="Y12" s="37" t="str">
        <f>IF(AND('Mapa final'!$AB$43="Muy Alta",'Mapa final'!$AD$43="Moderado"),CONCATENATE("R7C",'Mapa final'!$R$43),"")</f>
        <v/>
      </c>
      <c r="Z12" s="37" t="str">
        <f>IF(AND('Mapa final'!$AB$44="Muy Alta",'Mapa final'!$AD$44="Moderado"),CONCATENATE("R7C",'Mapa final'!$R$44),"")</f>
        <v/>
      </c>
      <c r="AA12" s="38" t="str">
        <f>IF(AND('Mapa final'!$AB$45="Muy Alta",'Mapa final'!$AD$45="Moderado"),CONCATENATE("R7C",'Mapa final'!$R$45),"")</f>
        <v/>
      </c>
      <c r="AB12" s="36" t="str">
        <f>IF(AND('Mapa final'!$AB$40="Muy Alta",'Mapa final'!$AD$40="Mayor"),CONCATENATE("R7C",'Mapa final'!$R$40),"")</f>
        <v/>
      </c>
      <c r="AC12" s="37" t="str">
        <f>IF(AND('Mapa final'!$AB$41="Muy Alta",'Mapa final'!$AD$41="Mayor"),CONCATENATE("R7C",'Mapa final'!$R$41),"")</f>
        <v/>
      </c>
      <c r="AD12" s="37" t="str">
        <f>IF(AND('Mapa final'!$AB$42="Muy Alta",'Mapa final'!$AD$42="Mayor"),CONCATENATE("R7C",'Mapa final'!$R$42),"")</f>
        <v/>
      </c>
      <c r="AE12" s="37" t="str">
        <f>IF(AND('Mapa final'!$AB$43="Muy Alta",'Mapa final'!$AD$43="Mayor"),CONCATENATE("R7C",'Mapa final'!$R$43),"")</f>
        <v/>
      </c>
      <c r="AF12" s="37" t="str">
        <f>IF(AND('Mapa final'!$AB$44="Muy Alta",'Mapa final'!$AD$44="Mayor"),CONCATENATE("R7C",'Mapa final'!$R$44),"")</f>
        <v/>
      </c>
      <c r="AG12" s="38" t="str">
        <f>IF(AND('Mapa final'!$AB$45="Muy Alta",'Mapa final'!$AD$45="Mayor"),CONCATENATE("R7C",'Mapa final'!$R$45),"")</f>
        <v/>
      </c>
      <c r="AH12" s="39" t="str">
        <f>IF(AND('Mapa final'!$AB$40="Muy Alta",'Mapa final'!$AD$40="Catastrófico"),CONCATENATE("R7C",'Mapa final'!$R$40),"")</f>
        <v/>
      </c>
      <c r="AI12" s="40" t="str">
        <f>IF(AND('Mapa final'!$AB$41="Muy Alta",'Mapa final'!$AD$41="Catastrófico"),CONCATENATE("R7C",'Mapa final'!$R$41),"")</f>
        <v/>
      </c>
      <c r="AJ12" s="40" t="str">
        <f>IF(AND('Mapa final'!$AB$42="Muy Alta",'Mapa final'!$AD$42="Catastrófico"),CONCATENATE("R7C",'Mapa final'!$R$42),"")</f>
        <v/>
      </c>
      <c r="AK12" s="40" t="str">
        <f>IF(AND('Mapa final'!$AB$43="Muy Alta",'Mapa final'!$AD$43="Catastrófico"),CONCATENATE("R7C",'Mapa final'!$R$43),"")</f>
        <v/>
      </c>
      <c r="AL12" s="40" t="str">
        <f>IF(AND('Mapa final'!$AB$44="Muy Alta",'Mapa final'!$AD$44="Catastrófico"),CONCATENATE("R7C",'Mapa final'!$R$44),"")</f>
        <v/>
      </c>
      <c r="AM12" s="41" t="str">
        <f>IF(AND('Mapa final'!$AB$45="Muy Alta",'Mapa final'!$AD$45="Catastrófico"),CONCATENATE("R7C",'Mapa final'!$R$45),"")</f>
        <v/>
      </c>
      <c r="AN12" s="67"/>
      <c r="AO12" s="737"/>
      <c r="AP12" s="738"/>
      <c r="AQ12" s="738"/>
      <c r="AR12" s="738"/>
      <c r="AS12" s="738"/>
      <c r="AT12" s="73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632"/>
      <c r="C13" s="632"/>
      <c r="D13" s="633"/>
      <c r="E13" s="731"/>
      <c r="F13" s="730"/>
      <c r="G13" s="730"/>
      <c r="H13" s="730"/>
      <c r="I13" s="746"/>
      <c r="J13" s="36" t="str">
        <f>IF(AND('Mapa final'!$AB$46="Muy Alta",'Mapa final'!$AD$46="Leve"),CONCATENATE("R8C",'Mapa final'!$R$46),"")</f>
        <v/>
      </c>
      <c r="K13" s="37" t="str">
        <f>IF(AND('Mapa final'!$AB$47="Muy Alta",'Mapa final'!$AD$47="Leve"),CONCATENATE("R8C",'Mapa final'!$R$47),"")</f>
        <v/>
      </c>
      <c r="L13" s="37" t="str">
        <f>IF(AND('Mapa final'!$AB$48="Muy Alta",'Mapa final'!$AD$48="Leve"),CONCATENATE("R8C",'Mapa final'!$R$48),"")</f>
        <v/>
      </c>
      <c r="M13" s="37" t="str">
        <f>IF(AND('Mapa final'!$AB$49="Muy Alta",'Mapa final'!$AD$49="Leve"),CONCATENATE("R8C",'Mapa final'!$R$49),"")</f>
        <v/>
      </c>
      <c r="N13" s="37" t="str">
        <f>IF(AND('Mapa final'!$AB$50="Muy Alta",'Mapa final'!$AD$50="Leve"),CONCATENATE("R8C",'Mapa final'!$R$50),"")</f>
        <v/>
      </c>
      <c r="O13" s="38" t="str">
        <f>IF(AND('Mapa final'!$AB$51="Muy Alta",'Mapa final'!$AD$51="Leve"),CONCATENATE("R8C",'Mapa final'!$R$51),"")</f>
        <v/>
      </c>
      <c r="P13" s="36" t="str">
        <f>IF(AND('Mapa final'!$AB$46="Muy Alta",'Mapa final'!$AD$46="Menor"),CONCATENATE("R8C",'Mapa final'!$R$46),"")</f>
        <v/>
      </c>
      <c r="Q13" s="37" t="str">
        <f>IF(AND('Mapa final'!$AB$47="Muy Alta",'Mapa final'!$AD$47="Menor"),CONCATENATE("R8C",'Mapa final'!$R$47),"")</f>
        <v/>
      </c>
      <c r="R13" s="37" t="str">
        <f>IF(AND('Mapa final'!$AB$48="Muy Alta",'Mapa final'!$AD$48="Menor"),CONCATENATE("R8C",'Mapa final'!$R$48),"")</f>
        <v/>
      </c>
      <c r="S13" s="37" t="str">
        <f>IF(AND('Mapa final'!$AB$49="Muy Alta",'Mapa final'!$AD$49="Menor"),CONCATENATE("R8C",'Mapa final'!$R$49),"")</f>
        <v/>
      </c>
      <c r="T13" s="37" t="str">
        <f>IF(AND('Mapa final'!$AB$50="Muy Alta",'Mapa final'!$AD$50="Menor"),CONCATENATE("R8C",'Mapa final'!$R$50),"")</f>
        <v/>
      </c>
      <c r="U13" s="38" t="str">
        <f>IF(AND('Mapa final'!$AB$51="Muy Alta",'Mapa final'!$AD$51="Menor"),CONCATENATE("R8C",'Mapa final'!$R$51),"")</f>
        <v/>
      </c>
      <c r="V13" s="36" t="str">
        <f>IF(AND('Mapa final'!$AB$46="Muy Alta",'Mapa final'!$AD$46="Moderado"),CONCATENATE("R8C",'Mapa final'!$R$46),"")</f>
        <v/>
      </c>
      <c r="W13" s="37" t="str">
        <f>IF(AND('Mapa final'!$AB$47="Muy Alta",'Mapa final'!$AD$47="Moderado"),CONCATENATE("R8C",'Mapa final'!$R$47),"")</f>
        <v/>
      </c>
      <c r="X13" s="37" t="str">
        <f>IF(AND('Mapa final'!$AB$48="Muy Alta",'Mapa final'!$AD$48="Moderado"),CONCATENATE("R8C",'Mapa final'!$R$48),"")</f>
        <v/>
      </c>
      <c r="Y13" s="37" t="str">
        <f>IF(AND('Mapa final'!$AB$49="Muy Alta",'Mapa final'!$AD$49="Moderado"),CONCATENATE("R8C",'Mapa final'!$R$49),"")</f>
        <v/>
      </c>
      <c r="Z13" s="37" t="str">
        <f>IF(AND('Mapa final'!$AB$50="Muy Alta",'Mapa final'!$AD$50="Moderado"),CONCATENATE("R8C",'Mapa final'!$R$50),"")</f>
        <v/>
      </c>
      <c r="AA13" s="38" t="str">
        <f>IF(AND('Mapa final'!$AB$51="Muy Alta",'Mapa final'!$AD$51="Moderado"),CONCATENATE("R8C",'Mapa final'!$R$51),"")</f>
        <v/>
      </c>
      <c r="AB13" s="36" t="str">
        <f>IF(AND('Mapa final'!$AB$46="Muy Alta",'Mapa final'!$AD$46="Mayor"),CONCATENATE("R8C",'Mapa final'!$R$46),"")</f>
        <v/>
      </c>
      <c r="AC13" s="37" t="str">
        <f>IF(AND('Mapa final'!$AB$47="Muy Alta",'Mapa final'!$AD$47="Mayor"),CONCATENATE("R8C",'Mapa final'!$R$47),"")</f>
        <v/>
      </c>
      <c r="AD13" s="37" t="str">
        <f>IF(AND('Mapa final'!$AB$48="Muy Alta",'Mapa final'!$AD$48="Mayor"),CONCATENATE("R8C",'Mapa final'!$R$48),"")</f>
        <v/>
      </c>
      <c r="AE13" s="37" t="str">
        <f>IF(AND('Mapa final'!$AB$49="Muy Alta",'Mapa final'!$AD$49="Mayor"),CONCATENATE("R8C",'Mapa final'!$R$49),"")</f>
        <v/>
      </c>
      <c r="AF13" s="37" t="str">
        <f>IF(AND('Mapa final'!$AB$50="Muy Alta",'Mapa final'!$AD$50="Mayor"),CONCATENATE("R8C",'Mapa final'!$R$50),"")</f>
        <v/>
      </c>
      <c r="AG13" s="38" t="str">
        <f>IF(AND('Mapa final'!$AB$51="Muy Alta",'Mapa final'!$AD$51="Mayor"),CONCATENATE("R8C",'Mapa final'!$R$51),"")</f>
        <v/>
      </c>
      <c r="AH13" s="39" t="str">
        <f>IF(AND('Mapa final'!$AB$46="Muy Alta",'Mapa final'!$AD$46="Catastrófico"),CONCATENATE("R8C",'Mapa final'!$R$46),"")</f>
        <v/>
      </c>
      <c r="AI13" s="40" t="str">
        <f>IF(AND('Mapa final'!$AB$47="Muy Alta",'Mapa final'!$AD$47="Catastrófico"),CONCATENATE("R8C",'Mapa final'!$R$47),"")</f>
        <v/>
      </c>
      <c r="AJ13" s="40" t="str">
        <f>IF(AND('Mapa final'!$AB$48="Muy Alta",'Mapa final'!$AD$48="Catastrófico"),CONCATENATE("R8C",'Mapa final'!$R$48),"")</f>
        <v/>
      </c>
      <c r="AK13" s="40" t="str">
        <f>IF(AND('Mapa final'!$AB$49="Muy Alta",'Mapa final'!$AD$49="Catastrófico"),CONCATENATE("R8C",'Mapa final'!$R$49),"")</f>
        <v/>
      </c>
      <c r="AL13" s="40" t="str">
        <f>IF(AND('Mapa final'!$AB$50="Muy Alta",'Mapa final'!$AD$50="Catastrófico"),CONCATENATE("R8C",'Mapa final'!$R$50),"")</f>
        <v/>
      </c>
      <c r="AM13" s="41" t="str">
        <f>IF(AND('Mapa final'!$AB$51="Muy Alta",'Mapa final'!$AD$51="Catastrófico"),CONCATENATE("R8C",'Mapa final'!$R$51),"")</f>
        <v/>
      </c>
      <c r="AN13" s="67"/>
      <c r="AO13" s="737"/>
      <c r="AP13" s="738"/>
      <c r="AQ13" s="738"/>
      <c r="AR13" s="738"/>
      <c r="AS13" s="738"/>
      <c r="AT13" s="73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632"/>
      <c r="C14" s="632"/>
      <c r="D14" s="633"/>
      <c r="E14" s="731"/>
      <c r="F14" s="730"/>
      <c r="G14" s="730"/>
      <c r="H14" s="730"/>
      <c r="I14" s="746"/>
      <c r="J14" s="36" t="str">
        <f>IF(AND('Mapa final'!$AB$52="Muy Alta",'Mapa final'!$AD$52="Leve"),CONCATENATE("R9C",'Mapa final'!$R$52),"")</f>
        <v/>
      </c>
      <c r="K14" s="37" t="str">
        <f>IF(AND('Mapa final'!$AB$53="Muy Alta",'Mapa final'!$AD$53="Leve"),CONCATENATE("R9C",'Mapa final'!$R$53),"")</f>
        <v/>
      </c>
      <c r="L14" s="37" t="str">
        <f>IF(AND('Mapa final'!$AB$54="Muy Alta",'Mapa final'!$AD$54="Leve"),CONCATENATE("R9C",'Mapa final'!$R$54),"")</f>
        <v/>
      </c>
      <c r="M14" s="37" t="str">
        <f>IF(AND('Mapa final'!$AB$55="Muy Alta",'Mapa final'!$AD$55="Leve"),CONCATENATE("R9C",'Mapa final'!$R$55),"")</f>
        <v/>
      </c>
      <c r="N14" s="37" t="str">
        <f>IF(AND('Mapa final'!$AB$56="Muy Alta",'Mapa final'!$AD$56="Leve"),CONCATENATE("R9C",'Mapa final'!$R$56),"")</f>
        <v/>
      </c>
      <c r="O14" s="38" t="str">
        <f>IF(AND('Mapa final'!$AB$57="Muy Alta",'Mapa final'!$AD$57="Leve"),CONCATENATE("R9C",'Mapa final'!$R$57),"")</f>
        <v/>
      </c>
      <c r="P14" s="36" t="str">
        <f>IF(AND('Mapa final'!$AB$52="Muy Alta",'Mapa final'!$AD$52="Menor"),CONCATENATE("R9C",'Mapa final'!$R$52),"")</f>
        <v/>
      </c>
      <c r="Q14" s="37" t="str">
        <f>IF(AND('Mapa final'!$AB$53="Muy Alta",'Mapa final'!$AD$53="Menor"),CONCATENATE("R9C",'Mapa final'!$R$53),"")</f>
        <v/>
      </c>
      <c r="R14" s="37" t="str">
        <f>IF(AND('Mapa final'!$AB$54="Muy Alta",'Mapa final'!$AD$54="Menor"),CONCATENATE("R9C",'Mapa final'!$R$54),"")</f>
        <v/>
      </c>
      <c r="S14" s="37" t="str">
        <f>IF(AND('Mapa final'!$AB$55="Muy Alta",'Mapa final'!$AD$55="Menor"),CONCATENATE("R9C",'Mapa final'!$R$55),"")</f>
        <v/>
      </c>
      <c r="T14" s="37" t="str">
        <f>IF(AND('Mapa final'!$AB$56="Muy Alta",'Mapa final'!$AD$56="Menor"),CONCATENATE("R9C",'Mapa final'!$R$56),"")</f>
        <v/>
      </c>
      <c r="U14" s="38" t="str">
        <f>IF(AND('Mapa final'!$AB$57="Muy Alta",'Mapa final'!$AD$57="Menor"),CONCATENATE("R9C",'Mapa final'!$R$57),"")</f>
        <v/>
      </c>
      <c r="V14" s="36" t="str">
        <f>IF(AND('Mapa final'!$AB$52="Muy Alta",'Mapa final'!$AD$52="Moderado"),CONCATENATE("R9C",'Mapa final'!$R$52),"")</f>
        <v/>
      </c>
      <c r="W14" s="37" t="str">
        <f>IF(AND('Mapa final'!$AB$53="Muy Alta",'Mapa final'!$AD$53="Moderado"),CONCATENATE("R9C",'Mapa final'!$R$53),"")</f>
        <v/>
      </c>
      <c r="X14" s="37" t="str">
        <f>IF(AND('Mapa final'!$AB$54="Muy Alta",'Mapa final'!$AD$54="Moderado"),CONCATENATE("R9C",'Mapa final'!$R$54),"")</f>
        <v/>
      </c>
      <c r="Y14" s="37" t="str">
        <f>IF(AND('Mapa final'!$AB$55="Muy Alta",'Mapa final'!$AD$55="Moderado"),CONCATENATE("R9C",'Mapa final'!$R$55),"")</f>
        <v/>
      </c>
      <c r="Z14" s="37" t="str">
        <f>IF(AND('Mapa final'!$AB$56="Muy Alta",'Mapa final'!$AD$56="Moderado"),CONCATENATE("R9C",'Mapa final'!$R$56),"")</f>
        <v/>
      </c>
      <c r="AA14" s="38" t="str">
        <f>IF(AND('Mapa final'!$AB$57="Muy Alta",'Mapa final'!$AD$57="Moderado"),CONCATENATE("R9C",'Mapa final'!$R$57),"")</f>
        <v/>
      </c>
      <c r="AB14" s="36" t="str">
        <f>IF(AND('Mapa final'!$AB$52="Muy Alta",'Mapa final'!$AD$52="Mayor"),CONCATENATE("R9C",'Mapa final'!$R$52),"")</f>
        <v/>
      </c>
      <c r="AC14" s="37" t="str">
        <f>IF(AND('Mapa final'!$AB$53="Muy Alta",'Mapa final'!$AD$53="Mayor"),CONCATENATE("R9C",'Mapa final'!$R$53),"")</f>
        <v/>
      </c>
      <c r="AD14" s="37" t="str">
        <f>IF(AND('Mapa final'!$AB$54="Muy Alta",'Mapa final'!$AD$54="Mayor"),CONCATENATE("R9C",'Mapa final'!$R$54),"")</f>
        <v/>
      </c>
      <c r="AE14" s="37" t="str">
        <f>IF(AND('Mapa final'!$AB$55="Muy Alta",'Mapa final'!$AD$55="Mayor"),CONCATENATE("R9C",'Mapa final'!$R$55),"")</f>
        <v/>
      </c>
      <c r="AF14" s="37" t="str">
        <f>IF(AND('Mapa final'!$AB$56="Muy Alta",'Mapa final'!$AD$56="Mayor"),CONCATENATE("R9C",'Mapa final'!$R$56),"")</f>
        <v/>
      </c>
      <c r="AG14" s="38" t="str">
        <f>IF(AND('Mapa final'!$AB$57="Muy Alta",'Mapa final'!$AD$57="Mayor"),CONCATENATE("R9C",'Mapa final'!$R$57),"")</f>
        <v/>
      </c>
      <c r="AH14" s="39" t="str">
        <f>IF(AND('Mapa final'!$AB$52="Muy Alta",'Mapa final'!$AD$52="Catastrófico"),CONCATENATE("R9C",'Mapa final'!$R$52),"")</f>
        <v/>
      </c>
      <c r="AI14" s="40" t="str">
        <f>IF(AND('Mapa final'!$AB$53="Muy Alta",'Mapa final'!$AD$53="Catastrófico"),CONCATENATE("R9C",'Mapa final'!$R$53),"")</f>
        <v/>
      </c>
      <c r="AJ14" s="40" t="str">
        <f>IF(AND('Mapa final'!$AB$54="Muy Alta",'Mapa final'!$AD$54="Catastrófico"),CONCATENATE("R9C",'Mapa final'!$R$54),"")</f>
        <v/>
      </c>
      <c r="AK14" s="40" t="str">
        <f>IF(AND('Mapa final'!$AB$55="Muy Alta",'Mapa final'!$AD$55="Catastrófico"),CONCATENATE("R9C",'Mapa final'!$R$55),"")</f>
        <v/>
      </c>
      <c r="AL14" s="40" t="str">
        <f>IF(AND('Mapa final'!$AB$56="Muy Alta",'Mapa final'!$AD$56="Catastrófico"),CONCATENATE("R9C",'Mapa final'!$R$56),"")</f>
        <v/>
      </c>
      <c r="AM14" s="41" t="str">
        <f>IF(AND('Mapa final'!$AB$57="Muy Alta",'Mapa final'!$AD$57="Catastrófico"),CONCATENATE("R9C",'Mapa final'!$R$57),"")</f>
        <v/>
      </c>
      <c r="AN14" s="67"/>
      <c r="AO14" s="737"/>
      <c r="AP14" s="738"/>
      <c r="AQ14" s="738"/>
      <c r="AR14" s="738"/>
      <c r="AS14" s="738"/>
      <c r="AT14" s="73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632"/>
      <c r="C15" s="632"/>
      <c r="D15" s="633"/>
      <c r="E15" s="732"/>
      <c r="F15" s="733"/>
      <c r="G15" s="733"/>
      <c r="H15" s="733"/>
      <c r="I15" s="747"/>
      <c r="J15" s="42" t="str">
        <f>IF(AND('Mapa final'!$AB$58="Muy Alta",'Mapa final'!$AD$58="Leve"),CONCATENATE("R10C",'Mapa final'!$R$58),"")</f>
        <v/>
      </c>
      <c r="K15" s="43" t="str">
        <f>IF(AND('Mapa final'!$AB$59="Muy Alta",'Mapa final'!$AD$59="Leve"),CONCATENATE("R10C",'Mapa final'!$R$59),"")</f>
        <v/>
      </c>
      <c r="L15" s="43" t="str">
        <f>IF(AND('Mapa final'!$AB$60="Muy Alta",'Mapa final'!$AD$60="Leve"),CONCATENATE("R10C",'Mapa final'!$R$60),"")</f>
        <v/>
      </c>
      <c r="M15" s="43" t="str">
        <f>IF(AND('Mapa final'!$AB$61="Muy Alta",'Mapa final'!$AD$61="Leve"),CONCATENATE("R10C",'Mapa final'!$R$61),"")</f>
        <v/>
      </c>
      <c r="N15" s="43" t="str">
        <f>IF(AND('Mapa final'!$AB$62="Muy Alta",'Mapa final'!$AD$62="Leve"),CONCATENATE("R10C",'Mapa final'!$R$62),"")</f>
        <v/>
      </c>
      <c r="O15" s="44" t="str">
        <f>IF(AND('Mapa final'!$AB$63="Muy Alta",'Mapa final'!$AD$63="Leve"),CONCATENATE("R10C",'Mapa final'!$R$63),"")</f>
        <v/>
      </c>
      <c r="P15" s="36" t="str">
        <f>IF(AND('Mapa final'!$AB$58="Muy Alta",'Mapa final'!$AD$58="Menor"),CONCATENATE("R10C",'Mapa final'!$R$58),"")</f>
        <v/>
      </c>
      <c r="Q15" s="37" t="str">
        <f>IF(AND('Mapa final'!$AB$59="Muy Alta",'Mapa final'!$AD$59="Menor"),CONCATENATE("R10C",'Mapa final'!$R$59),"")</f>
        <v/>
      </c>
      <c r="R15" s="37" t="str">
        <f>IF(AND('Mapa final'!$AB$60="Muy Alta",'Mapa final'!$AD$60="Menor"),CONCATENATE("R10C",'Mapa final'!$R$60),"")</f>
        <v/>
      </c>
      <c r="S15" s="37" t="str">
        <f>IF(AND('Mapa final'!$AB$61="Muy Alta",'Mapa final'!$AD$61="Menor"),CONCATENATE("R10C",'Mapa final'!$R$61),"")</f>
        <v/>
      </c>
      <c r="T15" s="37" t="str">
        <f>IF(AND('Mapa final'!$AB$62="Muy Alta",'Mapa final'!$AD$62="Menor"),CONCATENATE("R10C",'Mapa final'!$R$62),"")</f>
        <v/>
      </c>
      <c r="U15" s="38" t="str">
        <f>IF(AND('Mapa final'!$AB$63="Muy Alta",'Mapa final'!$AD$63="Menor"),CONCATENATE("R10C",'Mapa final'!$R$63),"")</f>
        <v/>
      </c>
      <c r="V15" s="42" t="str">
        <f>IF(AND('Mapa final'!$AB$58="Muy Alta",'Mapa final'!$AD$58="Moderado"),CONCATENATE("R10C",'Mapa final'!$R$58),"")</f>
        <v/>
      </c>
      <c r="W15" s="43" t="str">
        <f>IF(AND('Mapa final'!$AB$59="Muy Alta",'Mapa final'!$AD$59="Moderado"),CONCATENATE("R10C",'Mapa final'!$R$59),"")</f>
        <v/>
      </c>
      <c r="X15" s="43" t="str">
        <f>IF(AND('Mapa final'!$AB$60="Muy Alta",'Mapa final'!$AD$60="Moderado"),CONCATENATE("R10C",'Mapa final'!$R$60),"")</f>
        <v/>
      </c>
      <c r="Y15" s="43" t="str">
        <f>IF(AND('Mapa final'!$AB$61="Muy Alta",'Mapa final'!$AD$61="Moderado"),CONCATENATE("R10C",'Mapa final'!$R$61),"")</f>
        <v/>
      </c>
      <c r="Z15" s="43" t="str">
        <f>IF(AND('Mapa final'!$AB$62="Muy Alta",'Mapa final'!$AD$62="Moderado"),CONCATENATE("R10C",'Mapa final'!$R$62),"")</f>
        <v/>
      </c>
      <c r="AA15" s="44" t="str">
        <f>IF(AND('Mapa final'!$AB$63="Muy Alta",'Mapa final'!$AD$63="Moderado"),CONCATENATE("R10C",'Mapa final'!$R$63),"")</f>
        <v/>
      </c>
      <c r="AB15" s="36" t="str">
        <f>IF(AND('Mapa final'!$AB$58="Muy Alta",'Mapa final'!$AD$58="Mayor"),CONCATENATE("R10C",'Mapa final'!$R$58),"")</f>
        <v/>
      </c>
      <c r="AC15" s="37" t="str">
        <f>IF(AND('Mapa final'!$AB$59="Muy Alta",'Mapa final'!$AD$59="Mayor"),CONCATENATE("R10C",'Mapa final'!$R$59),"")</f>
        <v/>
      </c>
      <c r="AD15" s="37" t="str">
        <f>IF(AND('Mapa final'!$AB$60="Muy Alta",'Mapa final'!$AD$60="Mayor"),CONCATENATE("R10C",'Mapa final'!$R$60),"")</f>
        <v/>
      </c>
      <c r="AE15" s="37" t="str">
        <f>IF(AND('Mapa final'!$AB$61="Muy Alta",'Mapa final'!$AD$61="Mayor"),CONCATENATE("R10C",'Mapa final'!$R$61),"")</f>
        <v/>
      </c>
      <c r="AF15" s="37" t="str">
        <f>IF(AND('Mapa final'!$AB$62="Muy Alta",'Mapa final'!$AD$62="Mayor"),CONCATENATE("R10C",'Mapa final'!$R$62),"")</f>
        <v/>
      </c>
      <c r="AG15" s="38" t="str">
        <f>IF(AND('Mapa final'!$AB$63="Muy Alta",'Mapa final'!$AD$63="Mayor"),CONCATENATE("R10C",'Mapa final'!$R$63),"")</f>
        <v/>
      </c>
      <c r="AH15" s="45" t="str">
        <f>IF(AND('Mapa final'!$AB$58="Muy Alta",'Mapa final'!$AD$58="Catastrófico"),CONCATENATE("R10C",'Mapa final'!$R$58),"")</f>
        <v/>
      </c>
      <c r="AI15" s="46" t="str">
        <f>IF(AND('Mapa final'!$AB$59="Muy Alta",'Mapa final'!$AD$59="Catastrófico"),CONCATENATE("R10C",'Mapa final'!$R$59),"")</f>
        <v/>
      </c>
      <c r="AJ15" s="46" t="str">
        <f>IF(AND('Mapa final'!$AB$60="Muy Alta",'Mapa final'!$AD$60="Catastrófico"),CONCATENATE("R10C",'Mapa final'!$R$60),"")</f>
        <v/>
      </c>
      <c r="AK15" s="46" t="str">
        <f>IF(AND('Mapa final'!$AB$61="Muy Alta",'Mapa final'!$AD$61="Catastrófico"),CONCATENATE("R10C",'Mapa final'!$R$61),"")</f>
        <v/>
      </c>
      <c r="AL15" s="46" t="str">
        <f>IF(AND('Mapa final'!$AB$62="Muy Alta",'Mapa final'!$AD$62="Catastrófico"),CONCATENATE("R10C",'Mapa final'!$R$62),"")</f>
        <v/>
      </c>
      <c r="AM15" s="47" t="str">
        <f>IF(AND('Mapa final'!$AB$63="Muy Alta",'Mapa final'!$AD$63="Catastrófico"),CONCATENATE("R10C",'Mapa final'!$R$63),"")</f>
        <v/>
      </c>
      <c r="AN15" s="67"/>
      <c r="AO15" s="740"/>
      <c r="AP15" s="741"/>
      <c r="AQ15" s="741"/>
      <c r="AR15" s="741"/>
      <c r="AS15" s="741"/>
      <c r="AT15" s="74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632"/>
      <c r="C16" s="632"/>
      <c r="D16" s="633"/>
      <c r="E16" s="727" t="s">
        <v>109</v>
      </c>
      <c r="F16" s="728"/>
      <c r="G16" s="728"/>
      <c r="H16" s="728"/>
      <c r="I16" s="728"/>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718" t="s">
        <v>78</v>
      </c>
      <c r="AP16" s="719"/>
      <c r="AQ16" s="719"/>
      <c r="AR16" s="719"/>
      <c r="AS16" s="719"/>
      <c r="AT16" s="720"/>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632"/>
      <c r="C17" s="632"/>
      <c r="D17" s="633"/>
      <c r="E17" s="729"/>
      <c r="F17" s="730"/>
      <c r="G17" s="730"/>
      <c r="H17" s="730"/>
      <c r="I17" s="730"/>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721"/>
      <c r="AP17" s="722"/>
      <c r="AQ17" s="722"/>
      <c r="AR17" s="722"/>
      <c r="AS17" s="722"/>
      <c r="AT17" s="72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632"/>
      <c r="C18" s="632"/>
      <c r="D18" s="633"/>
      <c r="E18" s="731"/>
      <c r="F18" s="730"/>
      <c r="G18" s="730"/>
      <c r="H18" s="730"/>
      <c r="I18" s="730"/>
      <c r="J18" s="51" t="str">
        <f>IF(AND('Mapa final'!$AB$19="Alta",'Mapa final'!$AD$19="Leve"),CONCATENATE("R3C",'Mapa final'!$R$19),"")</f>
        <v/>
      </c>
      <c r="K18" s="52" t="str">
        <f>IF(AND('Mapa final'!$AB$20="Alta",'Mapa final'!$AD$20="Leve"),CONCATENATE("R3C",'Mapa final'!$R$20),"")</f>
        <v/>
      </c>
      <c r="L18" s="52" t="str">
        <f>IF(AND('Mapa final'!$AB$21="Alta",'Mapa final'!$AD$21="Leve"),CONCATENATE("R3C",'Mapa final'!$R$21),"")</f>
        <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str">
        <f>IF(AND('Mapa final'!$AB$19="Alta",'Mapa final'!$AD$19="Menor"),CONCATENATE("R3C",'Mapa final'!$R$19),"")</f>
        <v/>
      </c>
      <c r="Q18" s="52" t="str">
        <f>IF(AND('Mapa final'!$AB$20="Alta",'Mapa final'!$AD$20="Menor"),CONCATENATE("R3C",'Mapa final'!$R$20),"")</f>
        <v/>
      </c>
      <c r="R18" s="52" t="str">
        <f>IF(AND('Mapa final'!$AB$21="Alta",'Mapa final'!$AD$21="Menor"),CONCATENATE("R3C",'Mapa final'!$R$21),"")</f>
        <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str">
        <f>IF(AND('Mapa final'!$AB$19="Alta",'Mapa final'!$AD$19="Moderado"),CONCATENATE("R3C",'Mapa final'!$R$19),"")</f>
        <v/>
      </c>
      <c r="W18" s="37" t="str">
        <f>IF(AND('Mapa final'!$AB$20="Alta",'Mapa final'!$AD$20="Moderado"),CONCATENATE("R3C",'Mapa final'!$R$20),"")</f>
        <v/>
      </c>
      <c r="X18" s="37" t="str">
        <f>IF(AND('Mapa final'!$AB$21="Alta",'Mapa final'!$AD$21="Moderado"),CONCATENATE("R3C",'Mapa final'!$R$21),"")</f>
        <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str">
        <f>IF(AND('Mapa final'!$AB$19="Alta",'Mapa final'!$AD$19="Mayor"),CONCATENATE("R3C",'Mapa final'!$R$19),"")</f>
        <v/>
      </c>
      <c r="AC18" s="37" t="str">
        <f>IF(AND('Mapa final'!$AB$20="Alta",'Mapa final'!$AD$20="Mayor"),CONCATENATE("R3C",'Mapa final'!$R$20),"")</f>
        <v/>
      </c>
      <c r="AD18" s="37" t="str">
        <f>IF(AND('Mapa final'!$AB$21="Alta",'Mapa final'!$AD$21="Mayor"),CONCATENATE("R3C",'Mapa final'!$R$21),"")</f>
        <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str">
        <f>IF(AND('Mapa final'!$AB$19="Alta",'Mapa final'!$AD$19="Catastrófico"),CONCATENATE("R3C",'Mapa final'!$R$19),"")</f>
        <v/>
      </c>
      <c r="AI18" s="40" t="str">
        <f>IF(AND('Mapa final'!$AB$20="Alta",'Mapa final'!$AD$20="Catastrófico"),CONCATENATE("R3C",'Mapa final'!$R$20),"")</f>
        <v/>
      </c>
      <c r="AJ18" s="40" t="str">
        <f>IF(AND('Mapa final'!$AB$21="Alta",'Mapa final'!$AD$21="Catastrófico"),CONCATENATE("R3C",'Mapa final'!$R$21),"")</f>
        <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721"/>
      <c r="AP18" s="722"/>
      <c r="AQ18" s="722"/>
      <c r="AR18" s="722"/>
      <c r="AS18" s="722"/>
      <c r="AT18" s="72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632"/>
      <c r="C19" s="632"/>
      <c r="D19" s="633"/>
      <c r="E19" s="731"/>
      <c r="F19" s="730"/>
      <c r="G19" s="730"/>
      <c r="H19" s="730"/>
      <c r="I19" s="730"/>
      <c r="J19" s="51" t="str">
        <f>IF(AND('Mapa final'!$AB$22="Alta",'Mapa final'!$AD$22="Leve"),CONCATENATE("R4C",'Mapa final'!$R$22),"")</f>
        <v/>
      </c>
      <c r="K19" s="52" t="str">
        <f>IF(AND('Mapa final'!$AB$23="Alta",'Mapa final'!$AD$23="Leve"),CONCATENATE("R4C",'Mapa final'!$R$23),"")</f>
        <v/>
      </c>
      <c r="L19" s="52" t="str">
        <f>IF(AND('Mapa final'!$AB$24="Alta",'Mapa final'!$AD$24="Leve"),CONCATENATE("R4C",'Mapa final'!$R$24),"")</f>
        <v/>
      </c>
      <c r="M19" s="52" t="str">
        <f>IF(AND('Mapa final'!$AB$25="Alta",'Mapa final'!$AD$25="Leve"),CONCATENATE("R4C",'Mapa final'!$R$25),"")</f>
        <v/>
      </c>
      <c r="N19" s="52" t="str">
        <f>IF(AND('Mapa final'!$AB$26="Alta",'Mapa final'!$AD$26="Leve"),CONCATENATE("R4C",'Mapa final'!$R$26),"")</f>
        <v/>
      </c>
      <c r="O19" s="53" t="str">
        <f>IF(AND('Mapa final'!$AB$27="Alta",'Mapa final'!$AD$27="Leve"),CONCATENATE("R4C",'Mapa final'!$R$27),"")</f>
        <v/>
      </c>
      <c r="P19" s="51" t="str">
        <f>IF(AND('Mapa final'!$AB$22="Alta",'Mapa final'!$AD$22="Menor"),CONCATENATE("R4C",'Mapa final'!$R$22),"")</f>
        <v/>
      </c>
      <c r="Q19" s="52" t="str">
        <f>IF(AND('Mapa final'!$AB$23="Alta",'Mapa final'!$AD$23="Menor"),CONCATENATE("R4C",'Mapa final'!$R$23),"")</f>
        <v/>
      </c>
      <c r="R19" s="52" t="str">
        <f>IF(AND('Mapa final'!$AB$24="Alta",'Mapa final'!$AD$24="Menor"),CONCATENATE("R4C",'Mapa final'!$R$24),"")</f>
        <v/>
      </c>
      <c r="S19" s="52" t="str">
        <f>IF(AND('Mapa final'!$AB$25="Alta",'Mapa final'!$AD$25="Menor"),CONCATENATE("R4C",'Mapa final'!$R$25),"")</f>
        <v/>
      </c>
      <c r="T19" s="52" t="str">
        <f>IF(AND('Mapa final'!$AB$26="Alta",'Mapa final'!$AD$26="Menor"),CONCATENATE("R4C",'Mapa final'!$R$26),"")</f>
        <v/>
      </c>
      <c r="U19" s="53" t="str">
        <f>IF(AND('Mapa final'!$AB$27="Alta",'Mapa final'!$AD$27="Menor"),CONCATENATE("R4C",'Mapa final'!$R$27),"")</f>
        <v/>
      </c>
      <c r="V19" s="36" t="str">
        <f>IF(AND('Mapa final'!$AB$22="Alta",'Mapa final'!$AD$22="Moderado"),CONCATENATE("R4C",'Mapa final'!$R$22),"")</f>
        <v/>
      </c>
      <c r="W19" s="37" t="str">
        <f>IF(AND('Mapa final'!$AB$23="Alta",'Mapa final'!$AD$23="Moderado"),CONCATENATE("R4C",'Mapa final'!$R$23),"")</f>
        <v/>
      </c>
      <c r="X19" s="37" t="str">
        <f>IF(AND('Mapa final'!$AB$24="Alta",'Mapa final'!$AD$24="Moderado"),CONCATENATE("R4C",'Mapa final'!$R$24),"")</f>
        <v/>
      </c>
      <c r="Y19" s="37" t="str">
        <f>IF(AND('Mapa final'!$AB$25="Alta",'Mapa final'!$AD$25="Moderado"),CONCATENATE("R4C",'Mapa final'!$R$25),"")</f>
        <v/>
      </c>
      <c r="Z19" s="37" t="str">
        <f>IF(AND('Mapa final'!$AB$26="Alta",'Mapa final'!$AD$26="Moderado"),CONCATENATE("R4C",'Mapa final'!$R$26),"")</f>
        <v/>
      </c>
      <c r="AA19" s="38" t="str">
        <f>IF(AND('Mapa final'!$AB$27="Alta",'Mapa final'!$AD$27="Moderado"),CONCATENATE("R4C",'Mapa final'!$R$27),"")</f>
        <v/>
      </c>
      <c r="AB19" s="36" t="str">
        <f>IF(AND('Mapa final'!$AB$22="Alta",'Mapa final'!$AD$22="Mayor"),CONCATENATE("R4C",'Mapa final'!$R$22),"")</f>
        <v/>
      </c>
      <c r="AC19" s="37" t="str">
        <f>IF(AND('Mapa final'!$AB$23="Alta",'Mapa final'!$AD$23="Mayor"),CONCATENATE("R4C",'Mapa final'!$R$23),"")</f>
        <v/>
      </c>
      <c r="AD19" s="37" t="str">
        <f>IF(AND('Mapa final'!$AB$24="Alta",'Mapa final'!$AD$24="Mayor"),CONCATENATE("R4C",'Mapa final'!$R$24),"")</f>
        <v/>
      </c>
      <c r="AE19" s="37" t="str">
        <f>IF(AND('Mapa final'!$AB$25="Alta",'Mapa final'!$AD$25="Mayor"),CONCATENATE("R4C",'Mapa final'!$R$25),"")</f>
        <v/>
      </c>
      <c r="AF19" s="37" t="str">
        <f>IF(AND('Mapa final'!$AB$26="Alta",'Mapa final'!$AD$26="Mayor"),CONCATENATE("R4C",'Mapa final'!$R$26),"")</f>
        <v/>
      </c>
      <c r="AG19" s="38" t="str">
        <f>IF(AND('Mapa final'!$AB$27="Alta",'Mapa final'!$AD$27="Mayor"),CONCATENATE("R4C",'Mapa final'!$R$27),"")</f>
        <v/>
      </c>
      <c r="AH19" s="39" t="str">
        <f>IF(AND('Mapa final'!$AB$22="Alta",'Mapa final'!$AD$22="Catastrófico"),CONCATENATE("R4C",'Mapa final'!$R$22),"")</f>
        <v/>
      </c>
      <c r="AI19" s="40" t="str">
        <f>IF(AND('Mapa final'!$AB$23="Alta",'Mapa final'!$AD$23="Catastrófico"),CONCATENATE("R4C",'Mapa final'!$R$23),"")</f>
        <v/>
      </c>
      <c r="AJ19" s="40" t="str">
        <f>IF(AND('Mapa final'!$AB$24="Alta",'Mapa final'!$AD$24="Catastrófico"),CONCATENATE("R4C",'Mapa final'!$R$24),"")</f>
        <v/>
      </c>
      <c r="AK19" s="40" t="str">
        <f>IF(AND('Mapa final'!$AB$25="Alta",'Mapa final'!$AD$25="Catastrófico"),CONCATENATE("R4C",'Mapa final'!$R$25),"")</f>
        <v/>
      </c>
      <c r="AL19" s="40" t="str">
        <f>IF(AND('Mapa final'!$AB$26="Alta",'Mapa final'!$AD$26="Catastrófico"),CONCATENATE("R4C",'Mapa final'!$R$26),"")</f>
        <v/>
      </c>
      <c r="AM19" s="41" t="str">
        <f>IF(AND('Mapa final'!$AB$27="Alta",'Mapa final'!$AD$27="Catastrófico"),CONCATENATE("R4C",'Mapa final'!$R$27),"")</f>
        <v/>
      </c>
      <c r="AN19" s="67"/>
      <c r="AO19" s="721"/>
      <c r="AP19" s="722"/>
      <c r="AQ19" s="722"/>
      <c r="AR19" s="722"/>
      <c r="AS19" s="722"/>
      <c r="AT19" s="72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632"/>
      <c r="C20" s="632"/>
      <c r="D20" s="633"/>
      <c r="E20" s="731"/>
      <c r="F20" s="730"/>
      <c r="G20" s="730"/>
      <c r="H20" s="730"/>
      <c r="I20" s="730"/>
      <c r="J20" s="51" t="str">
        <f>IF(AND('Mapa final'!$AB$28="Alta",'Mapa final'!$AD$28="Leve"),CONCATENATE("R5C",'Mapa final'!$R$28),"")</f>
        <v/>
      </c>
      <c r="K20" s="52" t="str">
        <f>IF(AND('Mapa final'!$AB$29="Alta",'Mapa final'!$AD$29="Leve"),CONCATENATE("R5C",'Mapa final'!$R$29),"")</f>
        <v/>
      </c>
      <c r="L20" s="52" t="str">
        <f>IF(AND('Mapa final'!$AB$30="Alta",'Mapa final'!$AD$30="Leve"),CONCATENATE("R5C",'Mapa final'!$R$30),"")</f>
        <v/>
      </c>
      <c r="M20" s="52" t="str">
        <f>IF(AND('Mapa final'!$AB$31="Alta",'Mapa final'!$AD$31="Leve"),CONCATENATE("R5C",'Mapa final'!$R$31),"")</f>
        <v/>
      </c>
      <c r="N20" s="52" t="str">
        <f>IF(AND('Mapa final'!$AB$32="Alta",'Mapa final'!$AD$32="Leve"),CONCATENATE("R5C",'Mapa final'!$R$32),"")</f>
        <v/>
      </c>
      <c r="O20" s="53" t="str">
        <f>IF(AND('Mapa final'!$AB$33="Alta",'Mapa final'!$AD$33="Leve"),CONCATENATE("R5C",'Mapa final'!$R$33),"")</f>
        <v/>
      </c>
      <c r="P20" s="51" t="str">
        <f>IF(AND('Mapa final'!$AB$28="Alta",'Mapa final'!$AD$28="Menor"),CONCATENATE("R5C",'Mapa final'!$R$28),"")</f>
        <v/>
      </c>
      <c r="Q20" s="52" t="str">
        <f>IF(AND('Mapa final'!$AB$29="Alta",'Mapa final'!$AD$29="Menor"),CONCATENATE("R5C",'Mapa final'!$R$29),"")</f>
        <v/>
      </c>
      <c r="R20" s="52" t="str">
        <f>IF(AND('Mapa final'!$AB$30="Alta",'Mapa final'!$AD$30="Menor"),CONCATENATE("R5C",'Mapa final'!$R$30),"")</f>
        <v/>
      </c>
      <c r="S20" s="52" t="str">
        <f>IF(AND('Mapa final'!$AB$31="Alta",'Mapa final'!$AD$31="Menor"),CONCATENATE("R5C",'Mapa final'!$R$31),"")</f>
        <v/>
      </c>
      <c r="T20" s="52" t="str">
        <f>IF(AND('Mapa final'!$AB$32="Alta",'Mapa final'!$AD$32="Menor"),CONCATENATE("R5C",'Mapa final'!$R$32),"")</f>
        <v/>
      </c>
      <c r="U20" s="53" t="str">
        <f>IF(AND('Mapa final'!$AB$33="Alta",'Mapa final'!$AD$33="Menor"),CONCATENATE("R5C",'Mapa final'!$R$33),"")</f>
        <v/>
      </c>
      <c r="V20" s="36" t="str">
        <f>IF(AND('Mapa final'!$AB$28="Alta",'Mapa final'!$AD$28="Moderado"),CONCATENATE("R5C",'Mapa final'!$R$28),"")</f>
        <v/>
      </c>
      <c r="W20" s="37" t="str">
        <f>IF(AND('Mapa final'!$AB$29="Alta",'Mapa final'!$AD$29="Moderado"),CONCATENATE("R5C",'Mapa final'!$R$29),"")</f>
        <v/>
      </c>
      <c r="X20" s="37" t="str">
        <f>IF(AND('Mapa final'!$AB$30="Alta",'Mapa final'!$AD$30="Moderado"),CONCATENATE("R5C",'Mapa final'!$R$30),"")</f>
        <v/>
      </c>
      <c r="Y20" s="37" t="str">
        <f>IF(AND('Mapa final'!$AB$31="Alta",'Mapa final'!$AD$31="Moderado"),CONCATENATE("R5C",'Mapa final'!$R$31),"")</f>
        <v/>
      </c>
      <c r="Z20" s="37" t="str">
        <f>IF(AND('Mapa final'!$AB$32="Alta",'Mapa final'!$AD$32="Moderado"),CONCATENATE("R5C",'Mapa final'!$R$32),"")</f>
        <v/>
      </c>
      <c r="AA20" s="38" t="str">
        <f>IF(AND('Mapa final'!$AB$33="Alta",'Mapa final'!$AD$33="Moderado"),CONCATENATE("R5C",'Mapa final'!$R$33),"")</f>
        <v/>
      </c>
      <c r="AB20" s="36" t="str">
        <f>IF(AND('Mapa final'!$AB$28="Alta",'Mapa final'!$AD$28="Mayor"),CONCATENATE("R5C",'Mapa final'!$R$28),"")</f>
        <v/>
      </c>
      <c r="AC20" s="37" t="str">
        <f>IF(AND('Mapa final'!$AB$29="Alta",'Mapa final'!$AD$29="Mayor"),CONCATENATE("R5C",'Mapa final'!$R$29),"")</f>
        <v/>
      </c>
      <c r="AD20" s="37" t="str">
        <f>IF(AND('Mapa final'!$AB$30="Alta",'Mapa final'!$AD$30="Mayor"),CONCATENATE("R5C",'Mapa final'!$R$30),"")</f>
        <v/>
      </c>
      <c r="AE20" s="37" t="str">
        <f>IF(AND('Mapa final'!$AB$31="Alta",'Mapa final'!$AD$31="Mayor"),CONCATENATE("R5C",'Mapa final'!$R$31),"")</f>
        <v/>
      </c>
      <c r="AF20" s="37" t="str">
        <f>IF(AND('Mapa final'!$AB$32="Alta",'Mapa final'!$AD$32="Mayor"),CONCATENATE("R5C",'Mapa final'!$R$32),"")</f>
        <v/>
      </c>
      <c r="AG20" s="38" t="str">
        <f>IF(AND('Mapa final'!$AB$33="Alta",'Mapa final'!$AD$33="Mayor"),CONCATENATE("R5C",'Mapa final'!$R$33),"")</f>
        <v/>
      </c>
      <c r="AH20" s="39" t="str">
        <f>IF(AND('Mapa final'!$AB$28="Alta",'Mapa final'!$AD$28="Catastrófico"),CONCATENATE("R5C",'Mapa final'!$R$28),"")</f>
        <v/>
      </c>
      <c r="AI20" s="40" t="str">
        <f>IF(AND('Mapa final'!$AB$29="Alta",'Mapa final'!$AD$29="Catastrófico"),CONCATENATE("R5C",'Mapa final'!$R$29),"")</f>
        <v/>
      </c>
      <c r="AJ20" s="40" t="str">
        <f>IF(AND('Mapa final'!$AB$30="Alta",'Mapa final'!$AD$30="Catastrófico"),CONCATENATE("R5C",'Mapa final'!$R$30),"")</f>
        <v/>
      </c>
      <c r="AK20" s="40" t="str">
        <f>IF(AND('Mapa final'!$AB$31="Alta",'Mapa final'!$AD$31="Catastrófico"),CONCATENATE("R5C",'Mapa final'!$R$31),"")</f>
        <v/>
      </c>
      <c r="AL20" s="40" t="str">
        <f>IF(AND('Mapa final'!$AB$32="Alta",'Mapa final'!$AD$32="Catastrófico"),CONCATENATE("R5C",'Mapa final'!$R$32),"")</f>
        <v/>
      </c>
      <c r="AM20" s="41" t="str">
        <f>IF(AND('Mapa final'!$AB$33="Alta",'Mapa final'!$AD$33="Catastrófico"),CONCATENATE("R5C",'Mapa final'!$R$33),"")</f>
        <v/>
      </c>
      <c r="AN20" s="67"/>
      <c r="AO20" s="721"/>
      <c r="AP20" s="722"/>
      <c r="AQ20" s="722"/>
      <c r="AR20" s="722"/>
      <c r="AS20" s="722"/>
      <c r="AT20" s="72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632"/>
      <c r="C21" s="632"/>
      <c r="D21" s="633"/>
      <c r="E21" s="731"/>
      <c r="F21" s="730"/>
      <c r="G21" s="730"/>
      <c r="H21" s="730"/>
      <c r="I21" s="730"/>
      <c r="J21" s="51" t="str">
        <f>IF(AND('Mapa final'!$AB$34="Alta",'Mapa final'!$AD$34="Leve"),CONCATENATE("R6C",'Mapa final'!$R$34),"")</f>
        <v/>
      </c>
      <c r="K21" s="52" t="str">
        <f>IF(AND('Mapa final'!$AB$35="Alta",'Mapa final'!$AD$35="Leve"),CONCATENATE("R6C",'Mapa final'!$R$35),"")</f>
        <v/>
      </c>
      <c r="L21" s="52" t="str">
        <f>IF(AND('Mapa final'!$AB$36="Alta",'Mapa final'!$AD$36="Leve"),CONCATENATE("R6C",'Mapa final'!$R$36),"")</f>
        <v/>
      </c>
      <c r="M21" s="52" t="str">
        <f>IF(AND('Mapa final'!$AB$37="Alta",'Mapa final'!$AD$37="Leve"),CONCATENATE("R6C",'Mapa final'!$R$37),"")</f>
        <v/>
      </c>
      <c r="N21" s="52" t="str">
        <f>IF(AND('Mapa final'!$AB$38="Alta",'Mapa final'!$AD$38="Leve"),CONCATENATE("R6C",'Mapa final'!$R$38),"")</f>
        <v/>
      </c>
      <c r="O21" s="53" t="str">
        <f>IF(AND('Mapa final'!$AB$39="Alta",'Mapa final'!$AD$39="Leve"),CONCATENATE("R6C",'Mapa final'!$R$39),"")</f>
        <v/>
      </c>
      <c r="P21" s="51" t="str">
        <f>IF(AND('Mapa final'!$AB$34="Alta",'Mapa final'!$AD$34="Menor"),CONCATENATE("R6C",'Mapa final'!$R$34),"")</f>
        <v/>
      </c>
      <c r="Q21" s="52" t="str">
        <f>IF(AND('Mapa final'!$AB$35="Alta",'Mapa final'!$AD$35="Menor"),CONCATENATE("R6C",'Mapa final'!$R$35),"")</f>
        <v/>
      </c>
      <c r="R21" s="52" t="str">
        <f>IF(AND('Mapa final'!$AB$36="Alta",'Mapa final'!$AD$36="Menor"),CONCATENATE("R6C",'Mapa final'!$R$36),"")</f>
        <v/>
      </c>
      <c r="S21" s="52" t="str">
        <f>IF(AND('Mapa final'!$AB$37="Alta",'Mapa final'!$AD$37="Menor"),CONCATENATE("R6C",'Mapa final'!$R$37),"")</f>
        <v/>
      </c>
      <c r="T21" s="52" t="str">
        <f>IF(AND('Mapa final'!$AB$38="Alta",'Mapa final'!$AD$38="Menor"),CONCATENATE("R6C",'Mapa final'!$R$38),"")</f>
        <v/>
      </c>
      <c r="U21" s="53" t="str">
        <f>IF(AND('Mapa final'!$AB$39="Alta",'Mapa final'!$AD$39="Menor"),CONCATENATE("R6C",'Mapa final'!$R$39),"")</f>
        <v/>
      </c>
      <c r="V21" s="36" t="str">
        <f>IF(AND('Mapa final'!$AB$34="Alta",'Mapa final'!$AD$34="Moderado"),CONCATENATE("R6C",'Mapa final'!$R$34),"")</f>
        <v/>
      </c>
      <c r="W21" s="37" t="str">
        <f>IF(AND('Mapa final'!$AB$35="Alta",'Mapa final'!$AD$35="Moderado"),CONCATENATE("R6C",'Mapa final'!$R$35),"")</f>
        <v/>
      </c>
      <c r="X21" s="37" t="str">
        <f>IF(AND('Mapa final'!$AB$36="Alta",'Mapa final'!$AD$36="Moderado"),CONCATENATE("R6C",'Mapa final'!$R$36),"")</f>
        <v/>
      </c>
      <c r="Y21" s="37" t="str">
        <f>IF(AND('Mapa final'!$AB$37="Alta",'Mapa final'!$AD$37="Moderado"),CONCATENATE("R6C",'Mapa final'!$R$37),"")</f>
        <v/>
      </c>
      <c r="Z21" s="37" t="str">
        <f>IF(AND('Mapa final'!$AB$38="Alta",'Mapa final'!$AD$38="Moderado"),CONCATENATE("R6C",'Mapa final'!$R$38),"")</f>
        <v/>
      </c>
      <c r="AA21" s="38" t="str">
        <f>IF(AND('Mapa final'!$AB$39="Alta",'Mapa final'!$AD$39="Moderado"),CONCATENATE("R6C",'Mapa final'!$R$39),"")</f>
        <v/>
      </c>
      <c r="AB21" s="36" t="str">
        <f>IF(AND('Mapa final'!$AB$34="Alta",'Mapa final'!$AD$34="Mayor"),CONCATENATE("R6C",'Mapa final'!$R$34),"")</f>
        <v/>
      </c>
      <c r="AC21" s="37" t="str">
        <f>IF(AND('Mapa final'!$AB$35="Alta",'Mapa final'!$AD$35="Mayor"),CONCATENATE("R6C",'Mapa final'!$R$35),"")</f>
        <v/>
      </c>
      <c r="AD21" s="37" t="str">
        <f>IF(AND('Mapa final'!$AB$36="Alta",'Mapa final'!$AD$36="Mayor"),CONCATENATE("R6C",'Mapa final'!$R$36),"")</f>
        <v/>
      </c>
      <c r="AE21" s="37" t="str">
        <f>IF(AND('Mapa final'!$AB$37="Alta",'Mapa final'!$AD$37="Mayor"),CONCATENATE("R6C",'Mapa final'!$R$37),"")</f>
        <v/>
      </c>
      <c r="AF21" s="37" t="str">
        <f>IF(AND('Mapa final'!$AB$38="Alta",'Mapa final'!$AD$38="Mayor"),CONCATENATE("R6C",'Mapa final'!$R$38),"")</f>
        <v/>
      </c>
      <c r="AG21" s="38" t="str">
        <f>IF(AND('Mapa final'!$AB$39="Alta",'Mapa final'!$AD$39="Mayor"),CONCATENATE("R6C",'Mapa final'!$R$39),"")</f>
        <v/>
      </c>
      <c r="AH21" s="39" t="str">
        <f>IF(AND('Mapa final'!$AB$34="Alta",'Mapa final'!$AD$34="Catastrófico"),CONCATENATE("R6C",'Mapa final'!$R$34),"")</f>
        <v/>
      </c>
      <c r="AI21" s="40" t="str">
        <f>IF(AND('Mapa final'!$AB$35="Alta",'Mapa final'!$AD$35="Catastrófico"),CONCATENATE("R6C",'Mapa final'!$R$35),"")</f>
        <v/>
      </c>
      <c r="AJ21" s="40" t="str">
        <f>IF(AND('Mapa final'!$AB$36="Alta",'Mapa final'!$AD$36="Catastrófico"),CONCATENATE("R6C",'Mapa final'!$R$36),"")</f>
        <v/>
      </c>
      <c r="AK21" s="40" t="str">
        <f>IF(AND('Mapa final'!$AB$37="Alta",'Mapa final'!$AD$37="Catastrófico"),CONCATENATE("R6C",'Mapa final'!$R$37),"")</f>
        <v/>
      </c>
      <c r="AL21" s="40" t="str">
        <f>IF(AND('Mapa final'!$AB$38="Alta",'Mapa final'!$AD$38="Catastrófico"),CONCATENATE("R6C",'Mapa final'!$R$38),"")</f>
        <v/>
      </c>
      <c r="AM21" s="41" t="str">
        <f>IF(AND('Mapa final'!$AB$39="Alta",'Mapa final'!$AD$39="Catastrófico"),CONCATENATE("R6C",'Mapa final'!$R$39),"")</f>
        <v/>
      </c>
      <c r="AN21" s="67"/>
      <c r="AO21" s="721"/>
      <c r="AP21" s="722"/>
      <c r="AQ21" s="722"/>
      <c r="AR21" s="722"/>
      <c r="AS21" s="722"/>
      <c r="AT21" s="723"/>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632"/>
      <c r="C22" s="632"/>
      <c r="D22" s="633"/>
      <c r="E22" s="731"/>
      <c r="F22" s="730"/>
      <c r="G22" s="730"/>
      <c r="H22" s="730"/>
      <c r="I22" s="730"/>
      <c r="J22" s="51" t="str">
        <f>IF(AND('Mapa final'!$AB$40="Alta",'Mapa final'!$AD$40="Leve"),CONCATENATE("R7C",'Mapa final'!$R$40),"")</f>
        <v/>
      </c>
      <c r="K22" s="52" t="str">
        <f>IF(AND('Mapa final'!$AB$41="Alta",'Mapa final'!$AD$41="Leve"),CONCATENATE("R7C",'Mapa final'!$R$41),"")</f>
        <v/>
      </c>
      <c r="L22" s="52" t="str">
        <f>IF(AND('Mapa final'!$AB$42="Alta",'Mapa final'!$AD$42="Leve"),CONCATENATE("R7C",'Mapa final'!$R$42),"")</f>
        <v/>
      </c>
      <c r="M22" s="52" t="str">
        <f>IF(AND('Mapa final'!$AB$43="Alta",'Mapa final'!$AD$43="Leve"),CONCATENATE("R7C",'Mapa final'!$R$43),"")</f>
        <v/>
      </c>
      <c r="N22" s="52" t="str">
        <f>IF(AND('Mapa final'!$AB$44="Alta",'Mapa final'!$AD$44="Leve"),CONCATENATE("R7C",'Mapa final'!$R$44),"")</f>
        <v/>
      </c>
      <c r="O22" s="53" t="str">
        <f>IF(AND('Mapa final'!$AB$45="Alta",'Mapa final'!$AD$45="Leve"),CONCATENATE("R7C",'Mapa final'!$R$45),"")</f>
        <v/>
      </c>
      <c r="P22" s="51" t="str">
        <f>IF(AND('Mapa final'!$AB$40="Alta",'Mapa final'!$AD$40="Menor"),CONCATENATE("R7C",'Mapa final'!$R$40),"")</f>
        <v/>
      </c>
      <c r="Q22" s="52" t="str">
        <f>IF(AND('Mapa final'!$AB$41="Alta",'Mapa final'!$AD$41="Menor"),CONCATENATE("R7C",'Mapa final'!$R$41),"")</f>
        <v/>
      </c>
      <c r="R22" s="52" t="str">
        <f>IF(AND('Mapa final'!$AB$42="Alta",'Mapa final'!$AD$42="Menor"),CONCATENATE("R7C",'Mapa final'!$R$42),"")</f>
        <v/>
      </c>
      <c r="S22" s="52" t="str">
        <f>IF(AND('Mapa final'!$AB$43="Alta",'Mapa final'!$AD$43="Menor"),CONCATENATE("R7C",'Mapa final'!$R$43),"")</f>
        <v/>
      </c>
      <c r="T22" s="52" t="str">
        <f>IF(AND('Mapa final'!$AB$44="Alta",'Mapa final'!$AD$44="Menor"),CONCATENATE("R7C",'Mapa final'!$R$44),"")</f>
        <v/>
      </c>
      <c r="U22" s="53" t="str">
        <f>IF(AND('Mapa final'!$AB$45="Alta",'Mapa final'!$AD$45="Menor"),CONCATENATE("R7C",'Mapa final'!$R$45),"")</f>
        <v/>
      </c>
      <c r="V22" s="36" t="str">
        <f>IF(AND('Mapa final'!$AB$40="Alta",'Mapa final'!$AD$40="Moderado"),CONCATENATE("R7C",'Mapa final'!$R$40),"")</f>
        <v/>
      </c>
      <c r="W22" s="37" t="str">
        <f>IF(AND('Mapa final'!$AB$41="Alta",'Mapa final'!$AD$41="Moderado"),CONCATENATE("R7C",'Mapa final'!$R$41),"")</f>
        <v/>
      </c>
      <c r="X22" s="37" t="str">
        <f>IF(AND('Mapa final'!$AB$42="Alta",'Mapa final'!$AD$42="Moderado"),CONCATENATE("R7C",'Mapa final'!$R$42),"")</f>
        <v/>
      </c>
      <c r="Y22" s="37" t="str">
        <f>IF(AND('Mapa final'!$AB$43="Alta",'Mapa final'!$AD$43="Moderado"),CONCATENATE("R7C",'Mapa final'!$R$43),"")</f>
        <v/>
      </c>
      <c r="Z22" s="37" t="str">
        <f>IF(AND('Mapa final'!$AB$44="Alta",'Mapa final'!$AD$44="Moderado"),CONCATENATE("R7C",'Mapa final'!$R$44),"")</f>
        <v/>
      </c>
      <c r="AA22" s="38" t="str">
        <f>IF(AND('Mapa final'!$AB$45="Alta",'Mapa final'!$AD$45="Moderado"),CONCATENATE("R7C",'Mapa final'!$R$45),"")</f>
        <v/>
      </c>
      <c r="AB22" s="36" t="str">
        <f>IF(AND('Mapa final'!$AB$40="Alta",'Mapa final'!$AD$40="Mayor"),CONCATENATE("R7C",'Mapa final'!$R$40),"")</f>
        <v/>
      </c>
      <c r="AC22" s="37" t="str">
        <f>IF(AND('Mapa final'!$AB$41="Alta",'Mapa final'!$AD$41="Mayor"),CONCATENATE("R7C",'Mapa final'!$R$41),"")</f>
        <v/>
      </c>
      <c r="AD22" s="37" t="str">
        <f>IF(AND('Mapa final'!$AB$42="Alta",'Mapa final'!$AD$42="Mayor"),CONCATENATE("R7C",'Mapa final'!$R$42),"")</f>
        <v/>
      </c>
      <c r="AE22" s="37" t="str">
        <f>IF(AND('Mapa final'!$AB$43="Alta",'Mapa final'!$AD$43="Mayor"),CONCATENATE("R7C",'Mapa final'!$R$43),"")</f>
        <v/>
      </c>
      <c r="AF22" s="37" t="str">
        <f>IF(AND('Mapa final'!$AB$44="Alta",'Mapa final'!$AD$44="Mayor"),CONCATENATE("R7C",'Mapa final'!$R$44),"")</f>
        <v/>
      </c>
      <c r="AG22" s="38" t="str">
        <f>IF(AND('Mapa final'!$AB$45="Alta",'Mapa final'!$AD$45="Mayor"),CONCATENATE("R7C",'Mapa final'!$R$45),"")</f>
        <v/>
      </c>
      <c r="AH22" s="39" t="str">
        <f>IF(AND('Mapa final'!$AB$40="Alta",'Mapa final'!$AD$40="Catastrófico"),CONCATENATE("R7C",'Mapa final'!$R$40),"")</f>
        <v/>
      </c>
      <c r="AI22" s="40" t="str">
        <f>IF(AND('Mapa final'!$AB$41="Alta",'Mapa final'!$AD$41="Catastrófico"),CONCATENATE("R7C",'Mapa final'!$R$41),"")</f>
        <v/>
      </c>
      <c r="AJ22" s="40" t="str">
        <f>IF(AND('Mapa final'!$AB$42="Alta",'Mapa final'!$AD$42="Catastrófico"),CONCATENATE("R7C",'Mapa final'!$R$42),"")</f>
        <v/>
      </c>
      <c r="AK22" s="40" t="str">
        <f>IF(AND('Mapa final'!$AB$43="Alta",'Mapa final'!$AD$43="Catastrófico"),CONCATENATE("R7C",'Mapa final'!$R$43),"")</f>
        <v/>
      </c>
      <c r="AL22" s="40" t="str">
        <f>IF(AND('Mapa final'!$AB$44="Alta",'Mapa final'!$AD$44="Catastrófico"),CONCATENATE("R7C",'Mapa final'!$R$44),"")</f>
        <v/>
      </c>
      <c r="AM22" s="41" t="str">
        <f>IF(AND('Mapa final'!$AB$45="Alta",'Mapa final'!$AD$45="Catastrófico"),CONCATENATE("R7C",'Mapa final'!$R$45),"")</f>
        <v/>
      </c>
      <c r="AN22" s="67"/>
      <c r="AO22" s="721"/>
      <c r="AP22" s="722"/>
      <c r="AQ22" s="722"/>
      <c r="AR22" s="722"/>
      <c r="AS22" s="722"/>
      <c r="AT22" s="723"/>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632"/>
      <c r="C23" s="632"/>
      <c r="D23" s="633"/>
      <c r="E23" s="731"/>
      <c r="F23" s="730"/>
      <c r="G23" s="730"/>
      <c r="H23" s="730"/>
      <c r="I23" s="730"/>
      <c r="J23" s="51" t="str">
        <f>IF(AND('Mapa final'!$AB$46="Alta",'Mapa final'!$AD$46="Leve"),CONCATENATE("R8C",'Mapa final'!$R$46),"")</f>
        <v/>
      </c>
      <c r="K23" s="52" t="str">
        <f>IF(AND('Mapa final'!$AB$47="Alta",'Mapa final'!$AD$47="Leve"),CONCATENATE("R8C",'Mapa final'!$R$47),"")</f>
        <v/>
      </c>
      <c r="L23" s="52" t="str">
        <f>IF(AND('Mapa final'!$AB$48="Alta",'Mapa final'!$AD$48="Leve"),CONCATENATE("R8C",'Mapa final'!$R$48),"")</f>
        <v/>
      </c>
      <c r="M23" s="52" t="str">
        <f>IF(AND('Mapa final'!$AB$49="Alta",'Mapa final'!$AD$49="Leve"),CONCATENATE("R8C",'Mapa final'!$R$49),"")</f>
        <v/>
      </c>
      <c r="N23" s="52" t="str">
        <f>IF(AND('Mapa final'!$AB$50="Alta",'Mapa final'!$AD$50="Leve"),CONCATENATE("R8C",'Mapa final'!$R$50),"")</f>
        <v/>
      </c>
      <c r="O23" s="53" t="str">
        <f>IF(AND('Mapa final'!$AB$51="Alta",'Mapa final'!$AD$51="Leve"),CONCATENATE("R8C",'Mapa final'!$R$51),"")</f>
        <v/>
      </c>
      <c r="P23" s="51" t="str">
        <f>IF(AND('Mapa final'!$AB$46="Alta",'Mapa final'!$AD$46="Menor"),CONCATENATE("R8C",'Mapa final'!$R$46),"")</f>
        <v/>
      </c>
      <c r="Q23" s="52" t="str">
        <f>IF(AND('Mapa final'!$AB$47="Alta",'Mapa final'!$AD$47="Menor"),CONCATENATE("R8C",'Mapa final'!$R$47),"")</f>
        <v/>
      </c>
      <c r="R23" s="52" t="str">
        <f>IF(AND('Mapa final'!$AB$48="Alta",'Mapa final'!$AD$48="Menor"),CONCATENATE("R8C",'Mapa final'!$R$48),"")</f>
        <v/>
      </c>
      <c r="S23" s="52" t="str">
        <f>IF(AND('Mapa final'!$AB$49="Alta",'Mapa final'!$AD$49="Menor"),CONCATENATE("R8C",'Mapa final'!$R$49),"")</f>
        <v/>
      </c>
      <c r="T23" s="52" t="str">
        <f>IF(AND('Mapa final'!$AB$50="Alta",'Mapa final'!$AD$50="Menor"),CONCATENATE("R8C",'Mapa final'!$R$50),"")</f>
        <v/>
      </c>
      <c r="U23" s="53" t="str">
        <f>IF(AND('Mapa final'!$AB$51="Alta",'Mapa final'!$AD$51="Menor"),CONCATENATE("R8C",'Mapa final'!$R$51),"")</f>
        <v/>
      </c>
      <c r="V23" s="36" t="str">
        <f>IF(AND('Mapa final'!$AB$46="Alta",'Mapa final'!$AD$46="Moderado"),CONCATENATE("R8C",'Mapa final'!$R$46),"")</f>
        <v/>
      </c>
      <c r="W23" s="37" t="str">
        <f>IF(AND('Mapa final'!$AB$47="Alta",'Mapa final'!$AD$47="Moderado"),CONCATENATE("R8C",'Mapa final'!$R$47),"")</f>
        <v/>
      </c>
      <c r="X23" s="37" t="str">
        <f>IF(AND('Mapa final'!$AB$48="Alta",'Mapa final'!$AD$48="Moderado"),CONCATENATE("R8C",'Mapa final'!$R$48),"")</f>
        <v/>
      </c>
      <c r="Y23" s="37" t="str">
        <f>IF(AND('Mapa final'!$AB$49="Alta",'Mapa final'!$AD$49="Moderado"),CONCATENATE("R8C",'Mapa final'!$R$49),"")</f>
        <v/>
      </c>
      <c r="Z23" s="37" t="str">
        <f>IF(AND('Mapa final'!$AB$50="Alta",'Mapa final'!$AD$50="Moderado"),CONCATENATE("R8C",'Mapa final'!$R$50),"")</f>
        <v/>
      </c>
      <c r="AA23" s="38" t="str">
        <f>IF(AND('Mapa final'!$AB$51="Alta",'Mapa final'!$AD$51="Moderado"),CONCATENATE("R8C",'Mapa final'!$R$51),"")</f>
        <v/>
      </c>
      <c r="AB23" s="36" t="str">
        <f>IF(AND('Mapa final'!$AB$46="Alta",'Mapa final'!$AD$46="Mayor"),CONCATENATE("R8C",'Mapa final'!$R$46),"")</f>
        <v/>
      </c>
      <c r="AC23" s="37" t="str">
        <f>IF(AND('Mapa final'!$AB$47="Alta",'Mapa final'!$AD$47="Mayor"),CONCATENATE("R8C",'Mapa final'!$R$47),"")</f>
        <v/>
      </c>
      <c r="AD23" s="37" t="str">
        <f>IF(AND('Mapa final'!$AB$48="Alta",'Mapa final'!$AD$48="Mayor"),CONCATENATE("R8C",'Mapa final'!$R$48),"")</f>
        <v/>
      </c>
      <c r="AE23" s="37" t="str">
        <f>IF(AND('Mapa final'!$AB$49="Alta",'Mapa final'!$AD$49="Mayor"),CONCATENATE("R8C",'Mapa final'!$R$49),"")</f>
        <v/>
      </c>
      <c r="AF23" s="37" t="str">
        <f>IF(AND('Mapa final'!$AB$50="Alta",'Mapa final'!$AD$50="Mayor"),CONCATENATE("R8C",'Mapa final'!$R$50),"")</f>
        <v/>
      </c>
      <c r="AG23" s="38" t="str">
        <f>IF(AND('Mapa final'!$AB$51="Alta",'Mapa final'!$AD$51="Mayor"),CONCATENATE("R8C",'Mapa final'!$R$51),"")</f>
        <v/>
      </c>
      <c r="AH23" s="39" t="str">
        <f>IF(AND('Mapa final'!$AB$46="Alta",'Mapa final'!$AD$46="Catastrófico"),CONCATENATE("R8C",'Mapa final'!$R$46),"")</f>
        <v/>
      </c>
      <c r="AI23" s="40" t="str">
        <f>IF(AND('Mapa final'!$AB$47="Alta",'Mapa final'!$AD$47="Catastrófico"),CONCATENATE("R8C",'Mapa final'!$R$47),"")</f>
        <v/>
      </c>
      <c r="AJ23" s="40" t="str">
        <f>IF(AND('Mapa final'!$AB$48="Alta",'Mapa final'!$AD$48="Catastrófico"),CONCATENATE("R8C",'Mapa final'!$R$48),"")</f>
        <v/>
      </c>
      <c r="AK23" s="40" t="str">
        <f>IF(AND('Mapa final'!$AB$49="Alta",'Mapa final'!$AD$49="Catastrófico"),CONCATENATE("R8C",'Mapa final'!$R$49),"")</f>
        <v/>
      </c>
      <c r="AL23" s="40" t="str">
        <f>IF(AND('Mapa final'!$AB$50="Alta",'Mapa final'!$AD$50="Catastrófico"),CONCATENATE("R8C",'Mapa final'!$R$50),"")</f>
        <v/>
      </c>
      <c r="AM23" s="41" t="str">
        <f>IF(AND('Mapa final'!$AB$51="Alta",'Mapa final'!$AD$51="Catastrófico"),CONCATENATE("R8C",'Mapa final'!$R$51),"")</f>
        <v/>
      </c>
      <c r="AN23" s="67"/>
      <c r="AO23" s="721"/>
      <c r="AP23" s="722"/>
      <c r="AQ23" s="722"/>
      <c r="AR23" s="722"/>
      <c r="AS23" s="722"/>
      <c r="AT23" s="723"/>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632"/>
      <c r="C24" s="632"/>
      <c r="D24" s="633"/>
      <c r="E24" s="731"/>
      <c r="F24" s="730"/>
      <c r="G24" s="730"/>
      <c r="H24" s="730"/>
      <c r="I24" s="730"/>
      <c r="J24" s="51" t="str">
        <f>IF(AND('Mapa final'!$AB$52="Alta",'Mapa final'!$AD$52="Leve"),CONCATENATE("R9C",'Mapa final'!$R$52),"")</f>
        <v/>
      </c>
      <c r="K24" s="52" t="str">
        <f>IF(AND('Mapa final'!$AB$53="Alta",'Mapa final'!$AD$53="Leve"),CONCATENATE("R9C",'Mapa final'!$R$53),"")</f>
        <v/>
      </c>
      <c r="L24" s="52" t="str">
        <f>IF(AND('Mapa final'!$AB$54="Alta",'Mapa final'!$AD$54="Leve"),CONCATENATE("R9C",'Mapa final'!$R$54),"")</f>
        <v/>
      </c>
      <c r="M24" s="52" t="str">
        <f>IF(AND('Mapa final'!$AB$55="Alta",'Mapa final'!$AD$55="Leve"),CONCATENATE("R9C",'Mapa final'!$R$55),"")</f>
        <v/>
      </c>
      <c r="N24" s="52" t="str">
        <f>IF(AND('Mapa final'!$AB$56="Alta",'Mapa final'!$AD$56="Leve"),CONCATENATE("R9C",'Mapa final'!$R$56),"")</f>
        <v/>
      </c>
      <c r="O24" s="53" t="str">
        <f>IF(AND('Mapa final'!$AB$57="Alta",'Mapa final'!$AD$57="Leve"),CONCATENATE("R9C",'Mapa final'!$R$57),"")</f>
        <v/>
      </c>
      <c r="P24" s="51" t="str">
        <f>IF(AND('Mapa final'!$AB$52="Alta",'Mapa final'!$AD$52="Menor"),CONCATENATE("R9C",'Mapa final'!$R$52),"")</f>
        <v/>
      </c>
      <c r="Q24" s="52" t="str">
        <f>IF(AND('Mapa final'!$AB$53="Alta",'Mapa final'!$AD$53="Menor"),CONCATENATE("R9C",'Mapa final'!$R$53),"")</f>
        <v/>
      </c>
      <c r="R24" s="52" t="str">
        <f>IF(AND('Mapa final'!$AB$54="Alta",'Mapa final'!$AD$54="Menor"),CONCATENATE("R9C",'Mapa final'!$R$54),"")</f>
        <v/>
      </c>
      <c r="S24" s="52" t="str">
        <f>IF(AND('Mapa final'!$AB$55="Alta",'Mapa final'!$AD$55="Menor"),CONCATENATE("R9C",'Mapa final'!$R$55),"")</f>
        <v/>
      </c>
      <c r="T24" s="52" t="str">
        <f>IF(AND('Mapa final'!$AB$56="Alta",'Mapa final'!$AD$56="Menor"),CONCATENATE("R9C",'Mapa final'!$R$56),"")</f>
        <v/>
      </c>
      <c r="U24" s="53" t="str">
        <f>IF(AND('Mapa final'!$AB$57="Alta",'Mapa final'!$AD$57="Menor"),CONCATENATE("R9C",'Mapa final'!$R$57),"")</f>
        <v/>
      </c>
      <c r="V24" s="36" t="str">
        <f>IF(AND('Mapa final'!$AB$52="Alta",'Mapa final'!$AD$52="Moderado"),CONCATENATE("R9C",'Mapa final'!$R$52),"")</f>
        <v/>
      </c>
      <c r="W24" s="37" t="str">
        <f>IF(AND('Mapa final'!$AB$53="Alta",'Mapa final'!$AD$53="Moderado"),CONCATENATE("R9C",'Mapa final'!$R$53),"")</f>
        <v/>
      </c>
      <c r="X24" s="37" t="str">
        <f>IF(AND('Mapa final'!$AB$54="Alta",'Mapa final'!$AD$54="Moderado"),CONCATENATE("R9C",'Mapa final'!$R$54),"")</f>
        <v/>
      </c>
      <c r="Y24" s="37" t="str">
        <f>IF(AND('Mapa final'!$AB$55="Alta",'Mapa final'!$AD$55="Moderado"),CONCATENATE("R9C",'Mapa final'!$R$55),"")</f>
        <v/>
      </c>
      <c r="Z24" s="37" t="str">
        <f>IF(AND('Mapa final'!$AB$56="Alta",'Mapa final'!$AD$56="Moderado"),CONCATENATE("R9C",'Mapa final'!$R$56),"")</f>
        <v/>
      </c>
      <c r="AA24" s="38" t="str">
        <f>IF(AND('Mapa final'!$AB$57="Alta",'Mapa final'!$AD$57="Moderado"),CONCATENATE("R9C",'Mapa final'!$R$57),"")</f>
        <v/>
      </c>
      <c r="AB24" s="36" t="str">
        <f>IF(AND('Mapa final'!$AB$52="Alta",'Mapa final'!$AD$52="Mayor"),CONCATENATE("R9C",'Mapa final'!$R$52),"")</f>
        <v/>
      </c>
      <c r="AC24" s="37" t="str">
        <f>IF(AND('Mapa final'!$AB$53="Alta",'Mapa final'!$AD$53="Mayor"),CONCATENATE("R9C",'Mapa final'!$R$53),"")</f>
        <v/>
      </c>
      <c r="AD24" s="37" t="str">
        <f>IF(AND('Mapa final'!$AB$54="Alta",'Mapa final'!$AD$54="Mayor"),CONCATENATE("R9C",'Mapa final'!$R$54),"")</f>
        <v/>
      </c>
      <c r="AE24" s="37" t="str">
        <f>IF(AND('Mapa final'!$AB$55="Alta",'Mapa final'!$AD$55="Mayor"),CONCATENATE("R9C",'Mapa final'!$R$55),"")</f>
        <v/>
      </c>
      <c r="AF24" s="37" t="str">
        <f>IF(AND('Mapa final'!$AB$56="Alta",'Mapa final'!$AD$56="Mayor"),CONCATENATE("R9C",'Mapa final'!$R$56),"")</f>
        <v/>
      </c>
      <c r="AG24" s="38" t="str">
        <f>IF(AND('Mapa final'!$AB$57="Alta",'Mapa final'!$AD$57="Mayor"),CONCATENATE("R9C",'Mapa final'!$R$57),"")</f>
        <v/>
      </c>
      <c r="AH24" s="39" t="str">
        <f>IF(AND('Mapa final'!$AB$52="Alta",'Mapa final'!$AD$52="Catastrófico"),CONCATENATE("R9C",'Mapa final'!$R$52),"")</f>
        <v/>
      </c>
      <c r="AI24" s="40" t="str">
        <f>IF(AND('Mapa final'!$AB$53="Alta",'Mapa final'!$AD$53="Catastrófico"),CONCATENATE("R9C",'Mapa final'!$R$53),"")</f>
        <v/>
      </c>
      <c r="AJ24" s="40" t="str">
        <f>IF(AND('Mapa final'!$AB$54="Alta",'Mapa final'!$AD$54="Catastrófico"),CONCATENATE("R9C",'Mapa final'!$R$54),"")</f>
        <v/>
      </c>
      <c r="AK24" s="40" t="str">
        <f>IF(AND('Mapa final'!$AB$55="Alta",'Mapa final'!$AD$55="Catastrófico"),CONCATENATE("R9C",'Mapa final'!$R$55),"")</f>
        <v/>
      </c>
      <c r="AL24" s="40" t="str">
        <f>IF(AND('Mapa final'!$AB$56="Alta",'Mapa final'!$AD$56="Catastrófico"),CONCATENATE("R9C",'Mapa final'!$R$56),"")</f>
        <v/>
      </c>
      <c r="AM24" s="41" t="str">
        <f>IF(AND('Mapa final'!$AB$57="Alta",'Mapa final'!$AD$57="Catastrófico"),CONCATENATE("R9C",'Mapa final'!$R$57),"")</f>
        <v/>
      </c>
      <c r="AN24" s="67"/>
      <c r="AO24" s="721"/>
      <c r="AP24" s="722"/>
      <c r="AQ24" s="722"/>
      <c r="AR24" s="722"/>
      <c r="AS24" s="722"/>
      <c r="AT24" s="723"/>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632"/>
      <c r="C25" s="632"/>
      <c r="D25" s="633"/>
      <c r="E25" s="732"/>
      <c r="F25" s="733"/>
      <c r="G25" s="733"/>
      <c r="H25" s="733"/>
      <c r="I25" s="733"/>
      <c r="J25" s="54" t="str">
        <f>IF(AND('Mapa final'!$AB$58="Alta",'Mapa final'!$AD$58="Leve"),CONCATENATE("R10C",'Mapa final'!$R$58),"")</f>
        <v/>
      </c>
      <c r="K25" s="55" t="str">
        <f>IF(AND('Mapa final'!$AB$59="Alta",'Mapa final'!$AD$59="Leve"),CONCATENATE("R10C",'Mapa final'!$R$59),"")</f>
        <v/>
      </c>
      <c r="L25" s="55" t="str">
        <f>IF(AND('Mapa final'!$AB$60="Alta",'Mapa final'!$AD$60="Leve"),CONCATENATE("R10C",'Mapa final'!$R$60),"")</f>
        <v/>
      </c>
      <c r="M25" s="55" t="str">
        <f>IF(AND('Mapa final'!$AB$61="Alta",'Mapa final'!$AD$61="Leve"),CONCATENATE("R10C",'Mapa final'!$R$61),"")</f>
        <v/>
      </c>
      <c r="N25" s="55" t="str">
        <f>IF(AND('Mapa final'!$AB$62="Alta",'Mapa final'!$AD$62="Leve"),CONCATENATE("R10C",'Mapa final'!$R$62),"")</f>
        <v/>
      </c>
      <c r="O25" s="56" t="str">
        <f>IF(AND('Mapa final'!$AB$63="Alta",'Mapa final'!$AD$63="Leve"),CONCATENATE("R10C",'Mapa final'!$R$63),"")</f>
        <v/>
      </c>
      <c r="P25" s="54" t="str">
        <f>IF(AND('Mapa final'!$AB$58="Alta",'Mapa final'!$AD$58="Menor"),CONCATENATE("R10C",'Mapa final'!$R$58),"")</f>
        <v/>
      </c>
      <c r="Q25" s="55" t="str">
        <f>IF(AND('Mapa final'!$AB$59="Alta",'Mapa final'!$AD$59="Menor"),CONCATENATE("R10C",'Mapa final'!$R$59),"")</f>
        <v/>
      </c>
      <c r="R25" s="55" t="str">
        <f>IF(AND('Mapa final'!$AB$60="Alta",'Mapa final'!$AD$60="Menor"),CONCATENATE("R10C",'Mapa final'!$R$60),"")</f>
        <v/>
      </c>
      <c r="S25" s="55" t="str">
        <f>IF(AND('Mapa final'!$AB$61="Alta",'Mapa final'!$AD$61="Menor"),CONCATENATE("R10C",'Mapa final'!$R$61),"")</f>
        <v/>
      </c>
      <c r="T25" s="55" t="str">
        <f>IF(AND('Mapa final'!$AB$62="Alta",'Mapa final'!$AD$62="Menor"),CONCATENATE("R10C",'Mapa final'!$R$62),"")</f>
        <v/>
      </c>
      <c r="U25" s="56" t="str">
        <f>IF(AND('Mapa final'!$AB$63="Alta",'Mapa final'!$AD$63="Menor"),CONCATENATE("R10C",'Mapa final'!$R$63),"")</f>
        <v/>
      </c>
      <c r="V25" s="42" t="str">
        <f>IF(AND('Mapa final'!$AB$58="Alta",'Mapa final'!$AD$58="Moderado"),CONCATENATE("R10C",'Mapa final'!$R$58),"")</f>
        <v/>
      </c>
      <c r="W25" s="43" t="str">
        <f>IF(AND('Mapa final'!$AB$59="Alta",'Mapa final'!$AD$59="Moderado"),CONCATENATE("R10C",'Mapa final'!$R$59),"")</f>
        <v/>
      </c>
      <c r="X25" s="43" t="str">
        <f>IF(AND('Mapa final'!$AB$60="Alta",'Mapa final'!$AD$60="Moderado"),CONCATENATE("R10C",'Mapa final'!$R$60),"")</f>
        <v/>
      </c>
      <c r="Y25" s="43" t="str">
        <f>IF(AND('Mapa final'!$AB$61="Alta",'Mapa final'!$AD$61="Moderado"),CONCATENATE("R10C",'Mapa final'!$R$61),"")</f>
        <v/>
      </c>
      <c r="Z25" s="43" t="str">
        <f>IF(AND('Mapa final'!$AB$62="Alta",'Mapa final'!$AD$62="Moderado"),CONCATENATE("R10C",'Mapa final'!$R$62),"")</f>
        <v/>
      </c>
      <c r="AA25" s="44" t="str">
        <f>IF(AND('Mapa final'!$AB$63="Alta",'Mapa final'!$AD$63="Moderado"),CONCATENATE("R10C",'Mapa final'!$R$63),"")</f>
        <v/>
      </c>
      <c r="AB25" s="42" t="str">
        <f>IF(AND('Mapa final'!$AB$58="Alta",'Mapa final'!$AD$58="Mayor"),CONCATENATE("R10C",'Mapa final'!$R$58),"")</f>
        <v/>
      </c>
      <c r="AC25" s="43" t="str">
        <f>IF(AND('Mapa final'!$AB$59="Alta",'Mapa final'!$AD$59="Mayor"),CONCATENATE("R10C",'Mapa final'!$R$59),"")</f>
        <v/>
      </c>
      <c r="AD25" s="43" t="str">
        <f>IF(AND('Mapa final'!$AB$60="Alta",'Mapa final'!$AD$60="Mayor"),CONCATENATE("R10C",'Mapa final'!$R$60),"")</f>
        <v/>
      </c>
      <c r="AE25" s="43" t="str">
        <f>IF(AND('Mapa final'!$AB$61="Alta",'Mapa final'!$AD$61="Mayor"),CONCATENATE("R10C",'Mapa final'!$R$61),"")</f>
        <v/>
      </c>
      <c r="AF25" s="43" t="str">
        <f>IF(AND('Mapa final'!$AB$62="Alta",'Mapa final'!$AD$62="Mayor"),CONCATENATE("R10C",'Mapa final'!$R$62),"")</f>
        <v/>
      </c>
      <c r="AG25" s="44" t="str">
        <f>IF(AND('Mapa final'!$AB$63="Alta",'Mapa final'!$AD$63="Mayor"),CONCATENATE("R10C",'Mapa final'!$R$63),"")</f>
        <v/>
      </c>
      <c r="AH25" s="45" t="str">
        <f>IF(AND('Mapa final'!$AB$58="Alta",'Mapa final'!$AD$58="Catastrófico"),CONCATENATE("R10C",'Mapa final'!$R$58),"")</f>
        <v/>
      </c>
      <c r="AI25" s="46" t="str">
        <f>IF(AND('Mapa final'!$AB$59="Alta",'Mapa final'!$AD$59="Catastrófico"),CONCATENATE("R10C",'Mapa final'!$R$59),"")</f>
        <v/>
      </c>
      <c r="AJ25" s="46" t="str">
        <f>IF(AND('Mapa final'!$AB$60="Alta",'Mapa final'!$AD$60="Catastrófico"),CONCATENATE("R10C",'Mapa final'!$R$60),"")</f>
        <v/>
      </c>
      <c r="AK25" s="46" t="str">
        <f>IF(AND('Mapa final'!$AB$61="Alta",'Mapa final'!$AD$61="Catastrófico"),CONCATENATE("R10C",'Mapa final'!$R$61),"")</f>
        <v/>
      </c>
      <c r="AL25" s="46" t="str">
        <f>IF(AND('Mapa final'!$AB$62="Alta",'Mapa final'!$AD$62="Catastrófico"),CONCATENATE("R10C",'Mapa final'!$R$62),"")</f>
        <v/>
      </c>
      <c r="AM25" s="47" t="str">
        <f>IF(AND('Mapa final'!$AB$63="Alta",'Mapa final'!$AD$63="Catastrófico"),CONCATENATE("R10C",'Mapa final'!$R$63),"")</f>
        <v/>
      </c>
      <c r="AN25" s="67"/>
      <c r="AO25" s="724"/>
      <c r="AP25" s="725"/>
      <c r="AQ25" s="725"/>
      <c r="AR25" s="725"/>
      <c r="AS25" s="725"/>
      <c r="AT25" s="726"/>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632"/>
      <c r="C26" s="632"/>
      <c r="D26" s="633"/>
      <c r="E26" s="727" t="s">
        <v>111</v>
      </c>
      <c r="F26" s="728"/>
      <c r="G26" s="728"/>
      <c r="H26" s="728"/>
      <c r="I26" s="745"/>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757" t="s">
        <v>79</v>
      </c>
      <c r="AP26" s="758"/>
      <c r="AQ26" s="758"/>
      <c r="AR26" s="758"/>
      <c r="AS26" s="758"/>
      <c r="AT26" s="75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632"/>
      <c r="C27" s="632"/>
      <c r="D27" s="633"/>
      <c r="E27" s="729"/>
      <c r="F27" s="730"/>
      <c r="G27" s="730"/>
      <c r="H27" s="730"/>
      <c r="I27" s="746"/>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760"/>
      <c r="AP27" s="761"/>
      <c r="AQ27" s="761"/>
      <c r="AR27" s="761"/>
      <c r="AS27" s="761"/>
      <c r="AT27" s="76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632"/>
      <c r="C28" s="632"/>
      <c r="D28" s="633"/>
      <c r="E28" s="731"/>
      <c r="F28" s="730"/>
      <c r="G28" s="730"/>
      <c r="H28" s="730"/>
      <c r="I28" s="746"/>
      <c r="J28" s="51" t="str">
        <f>IF(AND('Mapa final'!$AB$19="Media",'Mapa final'!$AD$19="Leve"),CONCATENATE("R3C",'Mapa final'!$R$19),"")</f>
        <v/>
      </c>
      <c r="K28" s="52" t="str">
        <f>IF(AND('Mapa final'!$AB$20="Media",'Mapa final'!$AD$20="Leve"),CONCATENATE("R3C",'Mapa final'!$R$20),"")</f>
        <v/>
      </c>
      <c r="L28" s="52" t="str">
        <f>IF(AND('Mapa final'!$AB$21="Media",'Mapa final'!$AD$21="Leve"),CONCATENATE("R3C",'Mapa final'!$R$21),"")</f>
        <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str">
        <f>IF(AND('Mapa final'!$AB$19="Media",'Mapa final'!$AD$19="Menor"),CONCATENATE("R3C",'Mapa final'!$R$19),"")</f>
        <v/>
      </c>
      <c r="Q28" s="52" t="str">
        <f>IF(AND('Mapa final'!$AB$20="Media",'Mapa final'!$AD$20="Menor"),CONCATENATE("R3C",'Mapa final'!$R$20),"")</f>
        <v/>
      </c>
      <c r="R28" s="52" t="str">
        <f>IF(AND('Mapa final'!$AB$21="Media",'Mapa final'!$AD$21="Menor"),CONCATENATE("R3C",'Mapa final'!$R$21),"")</f>
        <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str">
        <f>IF(AND('Mapa final'!$AB$19="Media",'Mapa final'!$AD$19="Moderado"),CONCATENATE("R3C",'Mapa final'!$R$19),"")</f>
        <v/>
      </c>
      <c r="W28" s="52" t="str">
        <f>IF(AND('Mapa final'!$AB$20="Media",'Mapa final'!$AD$20="Moderado"),CONCATENATE("R3C",'Mapa final'!$R$20),"")</f>
        <v/>
      </c>
      <c r="X28" s="52" t="str">
        <f>IF(AND('Mapa final'!$AB$21="Media",'Mapa final'!$AD$21="Moderado"),CONCATENATE("R3C",'Mapa final'!$R$21),"")</f>
        <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str">
        <f>IF(AND('Mapa final'!$AB$19="Media",'Mapa final'!$AD$19="Mayor"),CONCATENATE("R3C",'Mapa final'!$R$19),"")</f>
        <v/>
      </c>
      <c r="AC28" s="37" t="str">
        <f>IF(AND('Mapa final'!$AB$20="Media",'Mapa final'!$AD$20="Mayor"),CONCATENATE("R3C",'Mapa final'!$R$20),"")</f>
        <v/>
      </c>
      <c r="AD28" s="37" t="str">
        <f>IF(AND('Mapa final'!$AB$21="Media",'Mapa final'!$AD$21="Mayor"),CONCATENATE("R3C",'Mapa final'!$R$21),"")</f>
        <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str">
        <f>IF(AND('Mapa final'!$AB$19="Media",'Mapa final'!$AD$19="Catastrófico"),CONCATENATE("R3C",'Mapa final'!$R$19),"")</f>
        <v/>
      </c>
      <c r="AI28" s="40" t="str">
        <f>IF(AND('Mapa final'!$AB$20="Media",'Mapa final'!$AD$20="Catastrófico"),CONCATENATE("R3C",'Mapa final'!$R$20),"")</f>
        <v/>
      </c>
      <c r="AJ28" s="40" t="str">
        <f>IF(AND('Mapa final'!$AB$21="Media",'Mapa final'!$AD$21="Catastrófico"),CONCATENATE("R3C",'Mapa final'!$R$21),"")</f>
        <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760"/>
      <c r="AP28" s="761"/>
      <c r="AQ28" s="761"/>
      <c r="AR28" s="761"/>
      <c r="AS28" s="761"/>
      <c r="AT28" s="76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632"/>
      <c r="C29" s="632"/>
      <c r="D29" s="633"/>
      <c r="E29" s="731"/>
      <c r="F29" s="730"/>
      <c r="G29" s="730"/>
      <c r="H29" s="730"/>
      <c r="I29" s="746"/>
      <c r="J29" s="51" t="str">
        <f>IF(AND('Mapa final'!$AB$22="Media",'Mapa final'!$AD$22="Leve"),CONCATENATE("R4C",'Mapa final'!$R$22),"")</f>
        <v/>
      </c>
      <c r="K29" s="52" t="str">
        <f>IF(AND('Mapa final'!$AB$23="Media",'Mapa final'!$AD$23="Leve"),CONCATENATE("R4C",'Mapa final'!$R$23),"")</f>
        <v/>
      </c>
      <c r="L29" s="52" t="str">
        <f>IF(AND('Mapa final'!$AB$24="Media",'Mapa final'!$AD$24="Leve"),CONCATENATE("R4C",'Mapa final'!$R$24),"")</f>
        <v/>
      </c>
      <c r="M29" s="52" t="str">
        <f>IF(AND('Mapa final'!$AB$25="Media",'Mapa final'!$AD$25="Leve"),CONCATENATE("R4C",'Mapa final'!$R$25),"")</f>
        <v/>
      </c>
      <c r="N29" s="52" t="str">
        <f>IF(AND('Mapa final'!$AB$26="Media",'Mapa final'!$AD$26="Leve"),CONCATENATE("R4C",'Mapa final'!$R$26),"")</f>
        <v/>
      </c>
      <c r="O29" s="53" t="str">
        <f>IF(AND('Mapa final'!$AB$27="Media",'Mapa final'!$AD$27="Leve"),CONCATENATE("R4C",'Mapa final'!$R$27),"")</f>
        <v/>
      </c>
      <c r="P29" s="51" t="str">
        <f>IF(AND('Mapa final'!$AB$22="Media",'Mapa final'!$AD$22="Menor"),CONCATENATE("R4C",'Mapa final'!$R$22),"")</f>
        <v/>
      </c>
      <c r="Q29" s="52" t="str">
        <f>IF(AND('Mapa final'!$AB$23="Media",'Mapa final'!$AD$23="Menor"),CONCATENATE("R4C",'Mapa final'!$R$23),"")</f>
        <v/>
      </c>
      <c r="R29" s="52" t="str">
        <f>IF(AND('Mapa final'!$AB$24="Media",'Mapa final'!$AD$24="Menor"),CONCATENATE("R4C",'Mapa final'!$R$24),"")</f>
        <v/>
      </c>
      <c r="S29" s="52" t="str">
        <f>IF(AND('Mapa final'!$AB$25="Media",'Mapa final'!$AD$25="Menor"),CONCATENATE("R4C",'Mapa final'!$R$25),"")</f>
        <v/>
      </c>
      <c r="T29" s="52" t="str">
        <f>IF(AND('Mapa final'!$AB$26="Media",'Mapa final'!$AD$26="Menor"),CONCATENATE("R4C",'Mapa final'!$R$26),"")</f>
        <v/>
      </c>
      <c r="U29" s="53" t="str">
        <f>IF(AND('Mapa final'!$AB$27="Media",'Mapa final'!$AD$27="Menor"),CONCATENATE("R4C",'Mapa final'!$R$27),"")</f>
        <v/>
      </c>
      <c r="V29" s="51" t="str">
        <f>IF(AND('Mapa final'!$AB$22="Media",'Mapa final'!$AD$22="Moderado"),CONCATENATE("R4C",'Mapa final'!$R$22),"")</f>
        <v/>
      </c>
      <c r="W29" s="52" t="str">
        <f>IF(AND('Mapa final'!$AB$23="Media",'Mapa final'!$AD$23="Moderado"),CONCATENATE("R4C",'Mapa final'!$R$23),"")</f>
        <v/>
      </c>
      <c r="X29" s="52" t="str">
        <f>IF(AND('Mapa final'!$AB$24="Media",'Mapa final'!$AD$24="Moderado"),CONCATENATE("R4C",'Mapa final'!$R$24),"")</f>
        <v/>
      </c>
      <c r="Y29" s="52" t="str">
        <f>IF(AND('Mapa final'!$AB$25="Media",'Mapa final'!$AD$25="Moderado"),CONCATENATE("R4C",'Mapa final'!$R$25),"")</f>
        <v/>
      </c>
      <c r="Z29" s="52" t="str">
        <f>IF(AND('Mapa final'!$AB$26="Media",'Mapa final'!$AD$26="Moderado"),CONCATENATE("R4C",'Mapa final'!$R$26),"")</f>
        <v/>
      </c>
      <c r="AA29" s="53" t="str">
        <f>IF(AND('Mapa final'!$AB$27="Media",'Mapa final'!$AD$27="Moderado"),CONCATENATE("R4C",'Mapa final'!$R$27),"")</f>
        <v/>
      </c>
      <c r="AB29" s="36" t="str">
        <f>IF(AND('Mapa final'!$AB$22="Media",'Mapa final'!$AD$22="Mayor"),CONCATENATE("R4C",'Mapa final'!$R$22),"")</f>
        <v/>
      </c>
      <c r="AC29" s="37" t="str">
        <f>IF(AND('Mapa final'!$AB$23="Media",'Mapa final'!$AD$23="Mayor"),CONCATENATE("R4C",'Mapa final'!$R$23),"")</f>
        <v/>
      </c>
      <c r="AD29" s="37" t="str">
        <f>IF(AND('Mapa final'!$AB$24="Media",'Mapa final'!$AD$24="Mayor"),CONCATENATE("R4C",'Mapa final'!$R$24),"")</f>
        <v/>
      </c>
      <c r="AE29" s="37" t="str">
        <f>IF(AND('Mapa final'!$AB$25="Media",'Mapa final'!$AD$25="Mayor"),CONCATENATE("R4C",'Mapa final'!$R$25),"")</f>
        <v/>
      </c>
      <c r="AF29" s="37" t="str">
        <f>IF(AND('Mapa final'!$AB$26="Media",'Mapa final'!$AD$26="Mayor"),CONCATENATE("R4C",'Mapa final'!$R$26),"")</f>
        <v/>
      </c>
      <c r="AG29" s="38" t="str">
        <f>IF(AND('Mapa final'!$AB$27="Media",'Mapa final'!$AD$27="Mayor"),CONCATENATE("R4C",'Mapa final'!$R$27),"")</f>
        <v/>
      </c>
      <c r="AH29" s="39" t="str">
        <f>IF(AND('Mapa final'!$AB$22="Media",'Mapa final'!$AD$22="Catastrófico"),CONCATENATE("R4C",'Mapa final'!$R$22),"")</f>
        <v/>
      </c>
      <c r="AI29" s="40" t="str">
        <f>IF(AND('Mapa final'!$AB$23="Media",'Mapa final'!$AD$23="Catastrófico"),CONCATENATE("R4C",'Mapa final'!$R$23),"")</f>
        <v/>
      </c>
      <c r="AJ29" s="40" t="str">
        <f>IF(AND('Mapa final'!$AB$24="Media",'Mapa final'!$AD$24="Catastrófico"),CONCATENATE("R4C",'Mapa final'!$R$24),"")</f>
        <v/>
      </c>
      <c r="AK29" s="40" t="str">
        <f>IF(AND('Mapa final'!$AB$25="Media",'Mapa final'!$AD$25="Catastrófico"),CONCATENATE("R4C",'Mapa final'!$R$25),"")</f>
        <v/>
      </c>
      <c r="AL29" s="40" t="str">
        <f>IF(AND('Mapa final'!$AB$26="Media",'Mapa final'!$AD$26="Catastrófico"),CONCATENATE("R4C",'Mapa final'!$R$26),"")</f>
        <v/>
      </c>
      <c r="AM29" s="41" t="str">
        <f>IF(AND('Mapa final'!$AB$27="Media",'Mapa final'!$AD$27="Catastrófico"),CONCATENATE("R4C",'Mapa final'!$R$27),"")</f>
        <v/>
      </c>
      <c r="AN29" s="67"/>
      <c r="AO29" s="760"/>
      <c r="AP29" s="761"/>
      <c r="AQ29" s="761"/>
      <c r="AR29" s="761"/>
      <c r="AS29" s="761"/>
      <c r="AT29" s="76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632"/>
      <c r="C30" s="632"/>
      <c r="D30" s="633"/>
      <c r="E30" s="731"/>
      <c r="F30" s="730"/>
      <c r="G30" s="730"/>
      <c r="H30" s="730"/>
      <c r="I30" s="746"/>
      <c r="J30" s="51" t="str">
        <f>IF(AND('Mapa final'!$AB$28="Media",'Mapa final'!$AD$28="Leve"),CONCATENATE("R5C",'Mapa final'!$R$28),"")</f>
        <v/>
      </c>
      <c r="K30" s="52" t="str">
        <f>IF(AND('Mapa final'!$AB$29="Media",'Mapa final'!$AD$29="Leve"),CONCATENATE("R5C",'Mapa final'!$R$29),"")</f>
        <v/>
      </c>
      <c r="L30" s="52" t="str">
        <f>IF(AND('Mapa final'!$AB$30="Media",'Mapa final'!$AD$30="Leve"),CONCATENATE("R5C",'Mapa final'!$R$30),"")</f>
        <v/>
      </c>
      <c r="M30" s="52" t="str">
        <f>IF(AND('Mapa final'!$AB$31="Media",'Mapa final'!$AD$31="Leve"),CONCATENATE("R5C",'Mapa final'!$R$31),"")</f>
        <v/>
      </c>
      <c r="N30" s="52" t="str">
        <f>IF(AND('Mapa final'!$AB$32="Media",'Mapa final'!$AD$32="Leve"),CONCATENATE("R5C",'Mapa final'!$R$32),"")</f>
        <v/>
      </c>
      <c r="O30" s="53" t="str">
        <f>IF(AND('Mapa final'!$AB$33="Media",'Mapa final'!$AD$33="Leve"),CONCATENATE("R5C",'Mapa final'!$R$33),"")</f>
        <v/>
      </c>
      <c r="P30" s="51" t="str">
        <f>IF(AND('Mapa final'!$AB$28="Media",'Mapa final'!$AD$28="Menor"),CONCATENATE("R5C",'Mapa final'!$R$28),"")</f>
        <v/>
      </c>
      <c r="Q30" s="52" t="str">
        <f>IF(AND('Mapa final'!$AB$29="Media",'Mapa final'!$AD$29="Menor"),CONCATENATE("R5C",'Mapa final'!$R$29),"")</f>
        <v/>
      </c>
      <c r="R30" s="52" t="str">
        <f>IF(AND('Mapa final'!$AB$30="Media",'Mapa final'!$AD$30="Menor"),CONCATENATE("R5C",'Mapa final'!$R$30),"")</f>
        <v/>
      </c>
      <c r="S30" s="52" t="str">
        <f>IF(AND('Mapa final'!$AB$31="Media",'Mapa final'!$AD$31="Menor"),CONCATENATE("R5C",'Mapa final'!$R$31),"")</f>
        <v/>
      </c>
      <c r="T30" s="52" t="str">
        <f>IF(AND('Mapa final'!$AB$32="Media",'Mapa final'!$AD$32="Menor"),CONCATENATE("R5C",'Mapa final'!$R$32),"")</f>
        <v/>
      </c>
      <c r="U30" s="53" t="str">
        <f>IF(AND('Mapa final'!$AB$33="Media",'Mapa final'!$AD$33="Menor"),CONCATENATE("R5C",'Mapa final'!$R$33),"")</f>
        <v/>
      </c>
      <c r="V30" s="51" t="str">
        <f>IF(AND('Mapa final'!$AB$28="Media",'Mapa final'!$AD$28="Moderado"),CONCATENATE("R5C",'Mapa final'!$R$28),"")</f>
        <v/>
      </c>
      <c r="W30" s="52" t="str">
        <f>IF(AND('Mapa final'!$AB$29="Media",'Mapa final'!$AD$29="Moderado"),CONCATENATE("R5C",'Mapa final'!$R$29),"")</f>
        <v/>
      </c>
      <c r="X30" s="52" t="str">
        <f>IF(AND('Mapa final'!$AB$30="Media",'Mapa final'!$AD$30="Moderado"),CONCATENATE("R5C",'Mapa final'!$R$30),"")</f>
        <v/>
      </c>
      <c r="Y30" s="52" t="str">
        <f>IF(AND('Mapa final'!$AB$31="Media",'Mapa final'!$AD$31="Moderado"),CONCATENATE("R5C",'Mapa final'!$R$31),"")</f>
        <v/>
      </c>
      <c r="Z30" s="52" t="str">
        <f>IF(AND('Mapa final'!$AB$32="Media",'Mapa final'!$AD$32="Moderado"),CONCATENATE("R5C",'Mapa final'!$R$32),"")</f>
        <v/>
      </c>
      <c r="AA30" s="53" t="str">
        <f>IF(AND('Mapa final'!$AB$33="Media",'Mapa final'!$AD$33="Moderado"),CONCATENATE("R5C",'Mapa final'!$R$33),"")</f>
        <v/>
      </c>
      <c r="AB30" s="36" t="str">
        <f>IF(AND('Mapa final'!$AB$28="Media",'Mapa final'!$AD$28="Mayor"),CONCATENATE("R5C",'Mapa final'!$R$28),"")</f>
        <v/>
      </c>
      <c r="AC30" s="37" t="str">
        <f>IF(AND('Mapa final'!$AB$29="Media",'Mapa final'!$AD$29="Mayor"),CONCATENATE("R5C",'Mapa final'!$R$29),"")</f>
        <v/>
      </c>
      <c r="AD30" s="37" t="str">
        <f>IF(AND('Mapa final'!$AB$30="Media",'Mapa final'!$AD$30="Mayor"),CONCATENATE("R5C",'Mapa final'!$R$30),"")</f>
        <v/>
      </c>
      <c r="AE30" s="37" t="str">
        <f>IF(AND('Mapa final'!$AB$31="Media",'Mapa final'!$AD$31="Mayor"),CONCATENATE("R5C",'Mapa final'!$R$31),"")</f>
        <v/>
      </c>
      <c r="AF30" s="37" t="str">
        <f>IF(AND('Mapa final'!$AB$32="Media",'Mapa final'!$AD$32="Mayor"),CONCATENATE("R5C",'Mapa final'!$R$32),"")</f>
        <v/>
      </c>
      <c r="AG30" s="38" t="str">
        <f>IF(AND('Mapa final'!$AB$33="Media",'Mapa final'!$AD$33="Mayor"),CONCATENATE("R5C",'Mapa final'!$R$33),"")</f>
        <v/>
      </c>
      <c r="AH30" s="39" t="str">
        <f>IF(AND('Mapa final'!$AB$28="Media",'Mapa final'!$AD$28="Catastrófico"),CONCATENATE("R5C",'Mapa final'!$R$28),"")</f>
        <v/>
      </c>
      <c r="AI30" s="40" t="str">
        <f>IF(AND('Mapa final'!$AB$29="Media",'Mapa final'!$AD$29="Catastrófico"),CONCATENATE("R5C",'Mapa final'!$R$29),"")</f>
        <v/>
      </c>
      <c r="AJ30" s="40" t="str">
        <f>IF(AND('Mapa final'!$AB$30="Media",'Mapa final'!$AD$30="Catastrófico"),CONCATENATE("R5C",'Mapa final'!$R$30),"")</f>
        <v/>
      </c>
      <c r="AK30" s="40" t="str">
        <f>IF(AND('Mapa final'!$AB$31="Media",'Mapa final'!$AD$31="Catastrófico"),CONCATENATE("R5C",'Mapa final'!$R$31),"")</f>
        <v/>
      </c>
      <c r="AL30" s="40" t="str">
        <f>IF(AND('Mapa final'!$AB$32="Media",'Mapa final'!$AD$32="Catastrófico"),CONCATENATE("R5C",'Mapa final'!$R$32),"")</f>
        <v/>
      </c>
      <c r="AM30" s="41" t="str">
        <f>IF(AND('Mapa final'!$AB$33="Media",'Mapa final'!$AD$33="Catastrófico"),CONCATENATE("R5C",'Mapa final'!$R$33),"")</f>
        <v/>
      </c>
      <c r="AN30" s="67"/>
      <c r="AO30" s="760"/>
      <c r="AP30" s="761"/>
      <c r="AQ30" s="761"/>
      <c r="AR30" s="761"/>
      <c r="AS30" s="761"/>
      <c r="AT30" s="76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632"/>
      <c r="C31" s="632"/>
      <c r="D31" s="633"/>
      <c r="E31" s="731"/>
      <c r="F31" s="730"/>
      <c r="G31" s="730"/>
      <c r="H31" s="730"/>
      <c r="I31" s="746"/>
      <c r="J31" s="51" t="str">
        <f>IF(AND('Mapa final'!$AB$34="Media",'Mapa final'!$AD$34="Leve"),CONCATENATE("R6C",'Mapa final'!$R$34),"")</f>
        <v/>
      </c>
      <c r="K31" s="52" t="str">
        <f>IF(AND('Mapa final'!$AB$35="Media",'Mapa final'!$AD$35="Leve"),CONCATENATE("R6C",'Mapa final'!$R$35),"")</f>
        <v/>
      </c>
      <c r="L31" s="52" t="str">
        <f>IF(AND('Mapa final'!$AB$36="Media",'Mapa final'!$AD$36="Leve"),CONCATENATE("R6C",'Mapa final'!$R$36),"")</f>
        <v/>
      </c>
      <c r="M31" s="52" t="str">
        <f>IF(AND('Mapa final'!$AB$37="Media",'Mapa final'!$AD$37="Leve"),CONCATENATE("R6C",'Mapa final'!$R$37),"")</f>
        <v/>
      </c>
      <c r="N31" s="52" t="str">
        <f>IF(AND('Mapa final'!$AB$38="Media",'Mapa final'!$AD$38="Leve"),CONCATENATE("R6C",'Mapa final'!$R$38),"")</f>
        <v/>
      </c>
      <c r="O31" s="53" t="str">
        <f>IF(AND('Mapa final'!$AB$39="Media",'Mapa final'!$AD$39="Leve"),CONCATENATE("R6C",'Mapa final'!$R$39),"")</f>
        <v/>
      </c>
      <c r="P31" s="51" t="str">
        <f>IF(AND('Mapa final'!$AB$34="Media",'Mapa final'!$AD$34="Menor"),CONCATENATE("R6C",'Mapa final'!$R$34),"")</f>
        <v/>
      </c>
      <c r="Q31" s="52" t="str">
        <f>IF(AND('Mapa final'!$AB$35="Media",'Mapa final'!$AD$35="Menor"),CONCATENATE("R6C",'Mapa final'!$R$35),"")</f>
        <v/>
      </c>
      <c r="R31" s="52" t="str">
        <f>IF(AND('Mapa final'!$AB$36="Media",'Mapa final'!$AD$36="Menor"),CONCATENATE("R6C",'Mapa final'!$R$36),"")</f>
        <v/>
      </c>
      <c r="S31" s="52" t="str">
        <f>IF(AND('Mapa final'!$AB$37="Media",'Mapa final'!$AD$37="Menor"),CONCATENATE("R6C",'Mapa final'!$R$37),"")</f>
        <v/>
      </c>
      <c r="T31" s="52" t="str">
        <f>IF(AND('Mapa final'!$AB$38="Media",'Mapa final'!$AD$38="Menor"),CONCATENATE("R6C",'Mapa final'!$R$38),"")</f>
        <v/>
      </c>
      <c r="U31" s="53" t="str">
        <f>IF(AND('Mapa final'!$AB$39="Media",'Mapa final'!$AD$39="Menor"),CONCATENATE("R6C",'Mapa final'!$R$39),"")</f>
        <v/>
      </c>
      <c r="V31" s="51" t="str">
        <f>IF(AND('Mapa final'!$AB$34="Media",'Mapa final'!$AD$34="Moderado"),CONCATENATE("R6C",'Mapa final'!$R$34),"")</f>
        <v/>
      </c>
      <c r="W31" s="52" t="str">
        <f>IF(AND('Mapa final'!$AB$35="Media",'Mapa final'!$AD$35="Moderado"),CONCATENATE("R6C",'Mapa final'!$R$35),"")</f>
        <v/>
      </c>
      <c r="X31" s="52" t="str">
        <f>IF(AND('Mapa final'!$AB$36="Media",'Mapa final'!$AD$36="Moderado"),CONCATENATE("R6C",'Mapa final'!$R$36),"")</f>
        <v/>
      </c>
      <c r="Y31" s="52" t="str">
        <f>IF(AND('Mapa final'!$AB$37="Media",'Mapa final'!$AD$37="Moderado"),CONCATENATE("R6C",'Mapa final'!$R$37),"")</f>
        <v/>
      </c>
      <c r="Z31" s="52" t="str">
        <f>IF(AND('Mapa final'!$AB$38="Media",'Mapa final'!$AD$38="Moderado"),CONCATENATE("R6C",'Mapa final'!$R$38),"")</f>
        <v/>
      </c>
      <c r="AA31" s="53" t="str">
        <f>IF(AND('Mapa final'!$AB$39="Media",'Mapa final'!$AD$39="Moderado"),CONCATENATE("R6C",'Mapa final'!$R$39),"")</f>
        <v/>
      </c>
      <c r="AB31" s="36" t="str">
        <f>IF(AND('Mapa final'!$AB$34="Media",'Mapa final'!$AD$34="Mayor"),CONCATENATE("R6C",'Mapa final'!$R$34),"")</f>
        <v/>
      </c>
      <c r="AC31" s="37" t="str">
        <f>IF(AND('Mapa final'!$AB$35="Media",'Mapa final'!$AD$35="Mayor"),CONCATENATE("R6C",'Mapa final'!$R$35),"")</f>
        <v/>
      </c>
      <c r="AD31" s="37" t="str">
        <f>IF(AND('Mapa final'!$AB$36="Media",'Mapa final'!$AD$36="Mayor"),CONCATENATE("R6C",'Mapa final'!$R$36),"")</f>
        <v/>
      </c>
      <c r="AE31" s="37" t="str">
        <f>IF(AND('Mapa final'!$AB$37="Media",'Mapa final'!$AD$37="Mayor"),CONCATENATE("R6C",'Mapa final'!$R$37),"")</f>
        <v/>
      </c>
      <c r="AF31" s="37" t="str">
        <f>IF(AND('Mapa final'!$AB$38="Media",'Mapa final'!$AD$38="Mayor"),CONCATENATE("R6C",'Mapa final'!$R$38),"")</f>
        <v/>
      </c>
      <c r="AG31" s="38" t="str">
        <f>IF(AND('Mapa final'!$AB$39="Media",'Mapa final'!$AD$39="Mayor"),CONCATENATE("R6C",'Mapa final'!$R$39),"")</f>
        <v/>
      </c>
      <c r="AH31" s="39" t="str">
        <f>IF(AND('Mapa final'!$AB$34="Media",'Mapa final'!$AD$34="Catastrófico"),CONCATENATE("R6C",'Mapa final'!$R$34),"")</f>
        <v/>
      </c>
      <c r="AI31" s="40" t="str">
        <f>IF(AND('Mapa final'!$AB$35="Media",'Mapa final'!$AD$35="Catastrófico"),CONCATENATE("R6C",'Mapa final'!$R$35),"")</f>
        <v/>
      </c>
      <c r="AJ31" s="40" t="str">
        <f>IF(AND('Mapa final'!$AB$36="Media",'Mapa final'!$AD$36="Catastrófico"),CONCATENATE("R6C",'Mapa final'!$R$36),"")</f>
        <v/>
      </c>
      <c r="AK31" s="40" t="str">
        <f>IF(AND('Mapa final'!$AB$37="Media",'Mapa final'!$AD$37="Catastrófico"),CONCATENATE("R6C",'Mapa final'!$R$37),"")</f>
        <v/>
      </c>
      <c r="AL31" s="40" t="str">
        <f>IF(AND('Mapa final'!$AB$38="Media",'Mapa final'!$AD$38="Catastrófico"),CONCATENATE("R6C",'Mapa final'!$R$38),"")</f>
        <v/>
      </c>
      <c r="AM31" s="41" t="str">
        <f>IF(AND('Mapa final'!$AB$39="Media",'Mapa final'!$AD$39="Catastrófico"),CONCATENATE("R6C",'Mapa final'!$R$39),"")</f>
        <v/>
      </c>
      <c r="AN31" s="67"/>
      <c r="AO31" s="760"/>
      <c r="AP31" s="761"/>
      <c r="AQ31" s="761"/>
      <c r="AR31" s="761"/>
      <c r="AS31" s="761"/>
      <c r="AT31" s="76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632"/>
      <c r="C32" s="632"/>
      <c r="D32" s="633"/>
      <c r="E32" s="731"/>
      <c r="F32" s="730"/>
      <c r="G32" s="730"/>
      <c r="H32" s="730"/>
      <c r="I32" s="746"/>
      <c r="J32" s="51" t="str">
        <f>IF(AND('Mapa final'!$AB$40="Media",'Mapa final'!$AD$40="Leve"),CONCATENATE("R7C",'Mapa final'!$R$40),"")</f>
        <v/>
      </c>
      <c r="K32" s="52" t="str">
        <f>IF(AND('Mapa final'!$AB$41="Media",'Mapa final'!$AD$41="Leve"),CONCATENATE("R7C",'Mapa final'!$R$41),"")</f>
        <v/>
      </c>
      <c r="L32" s="52" t="str">
        <f>IF(AND('Mapa final'!$AB$42="Media",'Mapa final'!$AD$42="Leve"),CONCATENATE("R7C",'Mapa final'!$R$42),"")</f>
        <v/>
      </c>
      <c r="M32" s="52" t="str">
        <f>IF(AND('Mapa final'!$AB$43="Media",'Mapa final'!$AD$43="Leve"),CONCATENATE("R7C",'Mapa final'!$R$43),"")</f>
        <v/>
      </c>
      <c r="N32" s="52" t="str">
        <f>IF(AND('Mapa final'!$AB$44="Media",'Mapa final'!$AD$44="Leve"),CONCATENATE("R7C",'Mapa final'!$R$44),"")</f>
        <v/>
      </c>
      <c r="O32" s="53" t="str">
        <f>IF(AND('Mapa final'!$AB$45="Media",'Mapa final'!$AD$45="Leve"),CONCATENATE("R7C",'Mapa final'!$R$45),"")</f>
        <v/>
      </c>
      <c r="P32" s="51" t="str">
        <f>IF(AND('Mapa final'!$AB$40="Media",'Mapa final'!$AD$40="Menor"),CONCATENATE("R7C",'Mapa final'!$R$40),"")</f>
        <v/>
      </c>
      <c r="Q32" s="52" t="str">
        <f>IF(AND('Mapa final'!$AB$41="Media",'Mapa final'!$AD$41="Menor"),CONCATENATE("R7C",'Mapa final'!$R$41),"")</f>
        <v/>
      </c>
      <c r="R32" s="52" t="str">
        <f>IF(AND('Mapa final'!$AB$42="Media",'Mapa final'!$AD$42="Menor"),CONCATENATE("R7C",'Mapa final'!$R$42),"")</f>
        <v/>
      </c>
      <c r="S32" s="52" t="str">
        <f>IF(AND('Mapa final'!$AB$43="Media",'Mapa final'!$AD$43="Menor"),CONCATENATE("R7C",'Mapa final'!$R$43),"")</f>
        <v/>
      </c>
      <c r="T32" s="52" t="str">
        <f>IF(AND('Mapa final'!$AB$44="Media",'Mapa final'!$AD$44="Menor"),CONCATENATE("R7C",'Mapa final'!$R$44),"")</f>
        <v/>
      </c>
      <c r="U32" s="53" t="str">
        <f>IF(AND('Mapa final'!$AB$45="Media",'Mapa final'!$AD$45="Menor"),CONCATENATE("R7C",'Mapa final'!$R$45),"")</f>
        <v/>
      </c>
      <c r="V32" s="51" t="str">
        <f>IF(AND('Mapa final'!$AB$40="Media",'Mapa final'!$AD$40="Moderado"),CONCATENATE("R7C",'Mapa final'!$R$40),"")</f>
        <v/>
      </c>
      <c r="W32" s="52" t="str">
        <f>IF(AND('Mapa final'!$AB$41="Media",'Mapa final'!$AD$41="Moderado"),CONCATENATE("R7C",'Mapa final'!$R$41),"")</f>
        <v/>
      </c>
      <c r="X32" s="52" t="str">
        <f>IF(AND('Mapa final'!$AB$42="Media",'Mapa final'!$AD$42="Moderado"),CONCATENATE("R7C",'Mapa final'!$R$42),"")</f>
        <v/>
      </c>
      <c r="Y32" s="52" t="str">
        <f>IF(AND('Mapa final'!$AB$43="Media",'Mapa final'!$AD$43="Moderado"),CONCATENATE("R7C",'Mapa final'!$R$43),"")</f>
        <v/>
      </c>
      <c r="Z32" s="52" t="str">
        <f>IF(AND('Mapa final'!$AB$44="Media",'Mapa final'!$AD$44="Moderado"),CONCATENATE("R7C",'Mapa final'!$R$44),"")</f>
        <v/>
      </c>
      <c r="AA32" s="53" t="str">
        <f>IF(AND('Mapa final'!$AB$45="Media",'Mapa final'!$AD$45="Moderado"),CONCATENATE("R7C",'Mapa final'!$R$45),"")</f>
        <v/>
      </c>
      <c r="AB32" s="36" t="str">
        <f>IF(AND('Mapa final'!$AB$40="Media",'Mapa final'!$AD$40="Mayor"),CONCATENATE("R7C",'Mapa final'!$R$40),"")</f>
        <v/>
      </c>
      <c r="AC32" s="37" t="str">
        <f>IF(AND('Mapa final'!$AB$41="Media",'Mapa final'!$AD$41="Mayor"),CONCATENATE("R7C",'Mapa final'!$R$41),"")</f>
        <v/>
      </c>
      <c r="AD32" s="37" t="str">
        <f>IF(AND('Mapa final'!$AB$42="Media",'Mapa final'!$AD$42="Mayor"),CONCATENATE("R7C",'Mapa final'!$R$42),"")</f>
        <v/>
      </c>
      <c r="AE32" s="37" t="str">
        <f>IF(AND('Mapa final'!$AB$43="Media",'Mapa final'!$AD$43="Mayor"),CONCATENATE("R7C",'Mapa final'!$R$43),"")</f>
        <v/>
      </c>
      <c r="AF32" s="37" t="str">
        <f>IF(AND('Mapa final'!$AB$44="Media",'Mapa final'!$AD$44="Mayor"),CONCATENATE("R7C",'Mapa final'!$R$44),"")</f>
        <v/>
      </c>
      <c r="AG32" s="38" t="str">
        <f>IF(AND('Mapa final'!$AB$45="Media",'Mapa final'!$AD$45="Mayor"),CONCATENATE("R7C",'Mapa final'!$R$45),"")</f>
        <v/>
      </c>
      <c r="AH32" s="39" t="str">
        <f>IF(AND('Mapa final'!$AB$40="Media",'Mapa final'!$AD$40="Catastrófico"),CONCATENATE("R7C",'Mapa final'!$R$40),"")</f>
        <v/>
      </c>
      <c r="AI32" s="40" t="str">
        <f>IF(AND('Mapa final'!$AB$41="Media",'Mapa final'!$AD$41="Catastrófico"),CONCATENATE("R7C",'Mapa final'!$R$41),"")</f>
        <v/>
      </c>
      <c r="AJ32" s="40" t="str">
        <f>IF(AND('Mapa final'!$AB$42="Media",'Mapa final'!$AD$42="Catastrófico"),CONCATENATE("R7C",'Mapa final'!$R$42),"")</f>
        <v/>
      </c>
      <c r="AK32" s="40" t="str">
        <f>IF(AND('Mapa final'!$AB$43="Media",'Mapa final'!$AD$43="Catastrófico"),CONCATENATE("R7C",'Mapa final'!$R$43),"")</f>
        <v/>
      </c>
      <c r="AL32" s="40" t="str">
        <f>IF(AND('Mapa final'!$AB$44="Media",'Mapa final'!$AD$44="Catastrófico"),CONCATENATE("R7C",'Mapa final'!$R$44),"")</f>
        <v/>
      </c>
      <c r="AM32" s="41" t="str">
        <f>IF(AND('Mapa final'!$AB$45="Media",'Mapa final'!$AD$45="Catastrófico"),CONCATENATE("R7C",'Mapa final'!$R$45),"")</f>
        <v/>
      </c>
      <c r="AN32" s="67"/>
      <c r="AO32" s="760"/>
      <c r="AP32" s="761"/>
      <c r="AQ32" s="761"/>
      <c r="AR32" s="761"/>
      <c r="AS32" s="761"/>
      <c r="AT32" s="76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632"/>
      <c r="C33" s="632"/>
      <c r="D33" s="633"/>
      <c r="E33" s="731"/>
      <c r="F33" s="730"/>
      <c r="G33" s="730"/>
      <c r="H33" s="730"/>
      <c r="I33" s="746"/>
      <c r="J33" s="51" t="str">
        <f>IF(AND('Mapa final'!$AB$46="Media",'Mapa final'!$AD$46="Leve"),CONCATENATE("R8C",'Mapa final'!$R$46),"")</f>
        <v/>
      </c>
      <c r="K33" s="52" t="str">
        <f>IF(AND('Mapa final'!$AB$47="Media",'Mapa final'!$AD$47="Leve"),CONCATENATE("R8C",'Mapa final'!$R$47),"")</f>
        <v/>
      </c>
      <c r="L33" s="52" t="str">
        <f>IF(AND('Mapa final'!$AB$48="Media",'Mapa final'!$AD$48="Leve"),CONCATENATE("R8C",'Mapa final'!$R$48),"")</f>
        <v/>
      </c>
      <c r="M33" s="52" t="str">
        <f>IF(AND('Mapa final'!$AB$49="Media",'Mapa final'!$AD$49="Leve"),CONCATENATE("R8C",'Mapa final'!$R$49),"")</f>
        <v/>
      </c>
      <c r="N33" s="52" t="str">
        <f>IF(AND('Mapa final'!$AB$50="Media",'Mapa final'!$AD$50="Leve"),CONCATENATE("R8C",'Mapa final'!$R$50),"")</f>
        <v/>
      </c>
      <c r="O33" s="53" t="str">
        <f>IF(AND('Mapa final'!$AB$51="Media",'Mapa final'!$AD$51="Leve"),CONCATENATE("R8C",'Mapa final'!$R$51),"")</f>
        <v/>
      </c>
      <c r="P33" s="51" t="str">
        <f>IF(AND('Mapa final'!$AB$46="Media",'Mapa final'!$AD$46="Menor"),CONCATENATE("R8C",'Mapa final'!$R$46),"")</f>
        <v/>
      </c>
      <c r="Q33" s="52" t="str">
        <f>IF(AND('Mapa final'!$AB$47="Media",'Mapa final'!$AD$47="Menor"),CONCATENATE("R8C",'Mapa final'!$R$47),"")</f>
        <v/>
      </c>
      <c r="R33" s="52" t="str">
        <f>IF(AND('Mapa final'!$AB$48="Media",'Mapa final'!$AD$48="Menor"),CONCATENATE("R8C",'Mapa final'!$R$48),"")</f>
        <v/>
      </c>
      <c r="S33" s="52" t="str">
        <f>IF(AND('Mapa final'!$AB$49="Media",'Mapa final'!$AD$49="Menor"),CONCATENATE("R8C",'Mapa final'!$R$49),"")</f>
        <v/>
      </c>
      <c r="T33" s="52" t="str">
        <f>IF(AND('Mapa final'!$AB$50="Media",'Mapa final'!$AD$50="Menor"),CONCATENATE("R8C",'Mapa final'!$R$50),"")</f>
        <v/>
      </c>
      <c r="U33" s="53" t="str">
        <f>IF(AND('Mapa final'!$AB$51="Media",'Mapa final'!$AD$51="Menor"),CONCATENATE("R8C",'Mapa final'!$R$51),"")</f>
        <v/>
      </c>
      <c r="V33" s="51" t="str">
        <f>IF(AND('Mapa final'!$AB$46="Media",'Mapa final'!$AD$46="Moderado"),CONCATENATE("R8C",'Mapa final'!$R$46),"")</f>
        <v/>
      </c>
      <c r="W33" s="52" t="str">
        <f>IF(AND('Mapa final'!$AB$47="Media",'Mapa final'!$AD$47="Moderado"),CONCATENATE("R8C",'Mapa final'!$R$47),"")</f>
        <v/>
      </c>
      <c r="X33" s="52" t="str">
        <f>IF(AND('Mapa final'!$AB$48="Media",'Mapa final'!$AD$48="Moderado"),CONCATENATE("R8C",'Mapa final'!$R$48),"")</f>
        <v/>
      </c>
      <c r="Y33" s="52" t="str">
        <f>IF(AND('Mapa final'!$AB$49="Media",'Mapa final'!$AD$49="Moderado"),CONCATENATE("R8C",'Mapa final'!$R$49),"")</f>
        <v/>
      </c>
      <c r="Z33" s="52" t="str">
        <f>IF(AND('Mapa final'!$AB$50="Media",'Mapa final'!$AD$50="Moderado"),CONCATENATE("R8C",'Mapa final'!$R$50),"")</f>
        <v/>
      </c>
      <c r="AA33" s="53" t="str">
        <f>IF(AND('Mapa final'!$AB$51="Media",'Mapa final'!$AD$51="Moderado"),CONCATENATE("R8C",'Mapa final'!$R$51),"")</f>
        <v/>
      </c>
      <c r="AB33" s="36" t="str">
        <f>IF(AND('Mapa final'!$AB$46="Media",'Mapa final'!$AD$46="Mayor"),CONCATENATE("R8C",'Mapa final'!$R$46),"")</f>
        <v/>
      </c>
      <c r="AC33" s="37" t="str">
        <f>IF(AND('Mapa final'!$AB$47="Media",'Mapa final'!$AD$47="Mayor"),CONCATENATE("R8C",'Mapa final'!$R$47),"")</f>
        <v/>
      </c>
      <c r="AD33" s="37" t="str">
        <f>IF(AND('Mapa final'!$AB$48="Media",'Mapa final'!$AD$48="Mayor"),CONCATENATE("R8C",'Mapa final'!$R$48),"")</f>
        <v/>
      </c>
      <c r="AE33" s="37" t="str">
        <f>IF(AND('Mapa final'!$AB$49="Media",'Mapa final'!$AD$49="Mayor"),CONCATENATE("R8C",'Mapa final'!$R$49),"")</f>
        <v/>
      </c>
      <c r="AF33" s="37" t="str">
        <f>IF(AND('Mapa final'!$AB$50="Media",'Mapa final'!$AD$50="Mayor"),CONCATENATE("R8C",'Mapa final'!$R$50),"")</f>
        <v/>
      </c>
      <c r="AG33" s="38" t="str">
        <f>IF(AND('Mapa final'!$AB$51="Media",'Mapa final'!$AD$51="Mayor"),CONCATENATE("R8C",'Mapa final'!$R$51),"")</f>
        <v/>
      </c>
      <c r="AH33" s="39" t="str">
        <f>IF(AND('Mapa final'!$AB$46="Media",'Mapa final'!$AD$46="Catastrófico"),CONCATENATE("R8C",'Mapa final'!$R$46),"")</f>
        <v/>
      </c>
      <c r="AI33" s="40" t="str">
        <f>IF(AND('Mapa final'!$AB$47="Media",'Mapa final'!$AD$47="Catastrófico"),CONCATENATE("R8C",'Mapa final'!$R$47),"")</f>
        <v/>
      </c>
      <c r="AJ33" s="40" t="str">
        <f>IF(AND('Mapa final'!$AB$48="Media",'Mapa final'!$AD$48="Catastrófico"),CONCATENATE("R8C",'Mapa final'!$R$48),"")</f>
        <v/>
      </c>
      <c r="AK33" s="40" t="str">
        <f>IF(AND('Mapa final'!$AB$49="Media",'Mapa final'!$AD$49="Catastrófico"),CONCATENATE("R8C",'Mapa final'!$R$49),"")</f>
        <v/>
      </c>
      <c r="AL33" s="40" t="str">
        <f>IF(AND('Mapa final'!$AB$50="Media",'Mapa final'!$AD$50="Catastrófico"),CONCATENATE("R8C",'Mapa final'!$R$50),"")</f>
        <v/>
      </c>
      <c r="AM33" s="41" t="str">
        <f>IF(AND('Mapa final'!$AB$51="Media",'Mapa final'!$AD$51="Catastrófico"),CONCATENATE("R8C",'Mapa final'!$R$51),"")</f>
        <v/>
      </c>
      <c r="AN33" s="67"/>
      <c r="AO33" s="760"/>
      <c r="AP33" s="761"/>
      <c r="AQ33" s="761"/>
      <c r="AR33" s="761"/>
      <c r="AS33" s="761"/>
      <c r="AT33" s="76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632"/>
      <c r="C34" s="632"/>
      <c r="D34" s="633"/>
      <c r="E34" s="731"/>
      <c r="F34" s="730"/>
      <c r="G34" s="730"/>
      <c r="H34" s="730"/>
      <c r="I34" s="746"/>
      <c r="J34" s="51" t="str">
        <f>IF(AND('Mapa final'!$AB$52="Media",'Mapa final'!$AD$52="Leve"),CONCATENATE("R9C",'Mapa final'!$R$52),"")</f>
        <v/>
      </c>
      <c r="K34" s="52" t="str">
        <f>IF(AND('Mapa final'!$AB$53="Media",'Mapa final'!$AD$53="Leve"),CONCATENATE("R9C",'Mapa final'!$R$53),"")</f>
        <v/>
      </c>
      <c r="L34" s="52" t="str">
        <f>IF(AND('Mapa final'!$AB$54="Media",'Mapa final'!$AD$54="Leve"),CONCATENATE("R9C",'Mapa final'!$R$54),"")</f>
        <v/>
      </c>
      <c r="M34" s="52" t="str">
        <f>IF(AND('Mapa final'!$AB$55="Media",'Mapa final'!$AD$55="Leve"),CONCATENATE("R9C",'Mapa final'!$R$55),"")</f>
        <v/>
      </c>
      <c r="N34" s="52" t="str">
        <f>IF(AND('Mapa final'!$AB$56="Media",'Mapa final'!$AD$56="Leve"),CONCATENATE("R9C",'Mapa final'!$R$56),"")</f>
        <v/>
      </c>
      <c r="O34" s="53" t="str">
        <f>IF(AND('Mapa final'!$AB$57="Media",'Mapa final'!$AD$57="Leve"),CONCATENATE("R9C",'Mapa final'!$R$57),"")</f>
        <v/>
      </c>
      <c r="P34" s="51" t="str">
        <f>IF(AND('Mapa final'!$AB$52="Media",'Mapa final'!$AD$52="Menor"),CONCATENATE("R9C",'Mapa final'!$R$52),"")</f>
        <v/>
      </c>
      <c r="Q34" s="52" t="str">
        <f>IF(AND('Mapa final'!$AB$53="Media",'Mapa final'!$AD$53="Menor"),CONCATENATE("R9C",'Mapa final'!$R$53),"")</f>
        <v/>
      </c>
      <c r="R34" s="52" t="str">
        <f>IF(AND('Mapa final'!$AB$54="Media",'Mapa final'!$AD$54="Menor"),CONCATENATE("R9C",'Mapa final'!$R$54),"")</f>
        <v/>
      </c>
      <c r="S34" s="52" t="str">
        <f>IF(AND('Mapa final'!$AB$55="Media",'Mapa final'!$AD$55="Menor"),CONCATENATE("R9C",'Mapa final'!$R$55),"")</f>
        <v/>
      </c>
      <c r="T34" s="52" t="str">
        <f>IF(AND('Mapa final'!$AB$56="Media",'Mapa final'!$AD$56="Menor"),CONCATENATE("R9C",'Mapa final'!$R$56),"")</f>
        <v/>
      </c>
      <c r="U34" s="53" t="str">
        <f>IF(AND('Mapa final'!$AB$57="Media",'Mapa final'!$AD$57="Menor"),CONCATENATE("R9C",'Mapa final'!$R$57),"")</f>
        <v/>
      </c>
      <c r="V34" s="51" t="str">
        <f>IF(AND('Mapa final'!$AB$52="Media",'Mapa final'!$AD$52="Moderado"),CONCATENATE("R9C",'Mapa final'!$R$52),"")</f>
        <v/>
      </c>
      <c r="W34" s="52" t="str">
        <f>IF(AND('Mapa final'!$AB$53="Media",'Mapa final'!$AD$53="Moderado"),CONCATENATE("R9C",'Mapa final'!$R$53),"")</f>
        <v/>
      </c>
      <c r="X34" s="52" t="str">
        <f>IF(AND('Mapa final'!$AB$54="Media",'Mapa final'!$AD$54="Moderado"),CONCATENATE("R9C",'Mapa final'!$R$54),"")</f>
        <v/>
      </c>
      <c r="Y34" s="52" t="str">
        <f>IF(AND('Mapa final'!$AB$55="Media",'Mapa final'!$AD$55="Moderado"),CONCATENATE("R9C",'Mapa final'!$R$55),"")</f>
        <v/>
      </c>
      <c r="Z34" s="52" t="str">
        <f>IF(AND('Mapa final'!$AB$56="Media",'Mapa final'!$AD$56="Moderado"),CONCATENATE("R9C",'Mapa final'!$R$56),"")</f>
        <v/>
      </c>
      <c r="AA34" s="53" t="str">
        <f>IF(AND('Mapa final'!$AB$57="Media",'Mapa final'!$AD$57="Moderado"),CONCATENATE("R9C",'Mapa final'!$R$57),"")</f>
        <v/>
      </c>
      <c r="AB34" s="36" t="str">
        <f>IF(AND('Mapa final'!$AB$52="Media",'Mapa final'!$AD$52="Mayor"),CONCATENATE("R9C",'Mapa final'!$R$52),"")</f>
        <v/>
      </c>
      <c r="AC34" s="37" t="str">
        <f>IF(AND('Mapa final'!$AB$53="Media",'Mapa final'!$AD$53="Mayor"),CONCATENATE("R9C",'Mapa final'!$R$53),"")</f>
        <v/>
      </c>
      <c r="AD34" s="37" t="str">
        <f>IF(AND('Mapa final'!$AB$54="Media",'Mapa final'!$AD$54="Mayor"),CONCATENATE("R9C",'Mapa final'!$R$54),"")</f>
        <v/>
      </c>
      <c r="AE34" s="37" t="str">
        <f>IF(AND('Mapa final'!$AB$55="Media",'Mapa final'!$AD$55="Mayor"),CONCATENATE("R9C",'Mapa final'!$R$55),"")</f>
        <v/>
      </c>
      <c r="AF34" s="37" t="str">
        <f>IF(AND('Mapa final'!$AB$56="Media",'Mapa final'!$AD$56="Mayor"),CONCATENATE("R9C",'Mapa final'!$R$56),"")</f>
        <v/>
      </c>
      <c r="AG34" s="38" t="str">
        <f>IF(AND('Mapa final'!$AB$57="Media",'Mapa final'!$AD$57="Mayor"),CONCATENATE("R9C",'Mapa final'!$R$57),"")</f>
        <v/>
      </c>
      <c r="AH34" s="39" t="str">
        <f>IF(AND('Mapa final'!$AB$52="Media",'Mapa final'!$AD$52="Catastrófico"),CONCATENATE("R9C",'Mapa final'!$R$52),"")</f>
        <v/>
      </c>
      <c r="AI34" s="40" t="str">
        <f>IF(AND('Mapa final'!$AB$53="Media",'Mapa final'!$AD$53="Catastrófico"),CONCATENATE("R9C",'Mapa final'!$R$53),"")</f>
        <v/>
      </c>
      <c r="AJ34" s="40" t="str">
        <f>IF(AND('Mapa final'!$AB$54="Media",'Mapa final'!$AD$54="Catastrófico"),CONCATENATE("R9C",'Mapa final'!$R$54),"")</f>
        <v/>
      </c>
      <c r="AK34" s="40" t="str">
        <f>IF(AND('Mapa final'!$AB$55="Media",'Mapa final'!$AD$55="Catastrófico"),CONCATENATE("R9C",'Mapa final'!$R$55),"")</f>
        <v/>
      </c>
      <c r="AL34" s="40" t="str">
        <f>IF(AND('Mapa final'!$AB$56="Media",'Mapa final'!$AD$56="Catastrófico"),CONCATENATE("R9C",'Mapa final'!$R$56),"")</f>
        <v/>
      </c>
      <c r="AM34" s="41" t="str">
        <f>IF(AND('Mapa final'!$AB$57="Media",'Mapa final'!$AD$57="Catastrófico"),CONCATENATE("R9C",'Mapa final'!$R$57),"")</f>
        <v/>
      </c>
      <c r="AN34" s="67"/>
      <c r="AO34" s="760"/>
      <c r="AP34" s="761"/>
      <c r="AQ34" s="761"/>
      <c r="AR34" s="761"/>
      <c r="AS34" s="761"/>
      <c r="AT34" s="76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632"/>
      <c r="C35" s="632"/>
      <c r="D35" s="633"/>
      <c r="E35" s="732"/>
      <c r="F35" s="733"/>
      <c r="G35" s="733"/>
      <c r="H35" s="733"/>
      <c r="I35" s="747"/>
      <c r="J35" s="51" t="str">
        <f>IF(AND('Mapa final'!$AB$58="Media",'Mapa final'!$AD$58="Leve"),CONCATENATE("R10C",'Mapa final'!$R$58),"")</f>
        <v/>
      </c>
      <c r="K35" s="52" t="str">
        <f>IF(AND('Mapa final'!$AB$59="Media",'Mapa final'!$AD$59="Leve"),CONCATENATE("R10C",'Mapa final'!$R$59),"")</f>
        <v/>
      </c>
      <c r="L35" s="52" t="str">
        <f>IF(AND('Mapa final'!$AB$60="Media",'Mapa final'!$AD$60="Leve"),CONCATENATE("R10C",'Mapa final'!$R$60),"")</f>
        <v/>
      </c>
      <c r="M35" s="52" t="str">
        <f>IF(AND('Mapa final'!$AB$61="Media",'Mapa final'!$AD$61="Leve"),CONCATENATE("R10C",'Mapa final'!$R$61),"")</f>
        <v/>
      </c>
      <c r="N35" s="52" t="str">
        <f>IF(AND('Mapa final'!$AB$62="Media",'Mapa final'!$AD$62="Leve"),CONCATENATE("R10C",'Mapa final'!$R$62),"")</f>
        <v/>
      </c>
      <c r="O35" s="53" t="str">
        <f>IF(AND('Mapa final'!$AB$63="Media",'Mapa final'!$AD$63="Leve"),CONCATENATE("R10C",'Mapa final'!$R$63),"")</f>
        <v/>
      </c>
      <c r="P35" s="51" t="str">
        <f>IF(AND('Mapa final'!$AB$58="Media",'Mapa final'!$AD$58="Menor"),CONCATENATE("R10C",'Mapa final'!$R$58),"")</f>
        <v/>
      </c>
      <c r="Q35" s="52" t="str">
        <f>IF(AND('Mapa final'!$AB$59="Media",'Mapa final'!$AD$59="Menor"),CONCATENATE("R10C",'Mapa final'!$R$59),"")</f>
        <v/>
      </c>
      <c r="R35" s="52" t="str">
        <f>IF(AND('Mapa final'!$AB$60="Media",'Mapa final'!$AD$60="Menor"),CONCATENATE("R10C",'Mapa final'!$R$60),"")</f>
        <v/>
      </c>
      <c r="S35" s="52" t="str">
        <f>IF(AND('Mapa final'!$AB$61="Media",'Mapa final'!$AD$61="Menor"),CONCATENATE("R10C",'Mapa final'!$R$61),"")</f>
        <v/>
      </c>
      <c r="T35" s="52" t="str">
        <f>IF(AND('Mapa final'!$AB$62="Media",'Mapa final'!$AD$62="Menor"),CONCATENATE("R10C",'Mapa final'!$R$62),"")</f>
        <v/>
      </c>
      <c r="U35" s="53" t="str">
        <f>IF(AND('Mapa final'!$AB$63="Media",'Mapa final'!$AD$63="Menor"),CONCATENATE("R10C",'Mapa final'!$R$63),"")</f>
        <v/>
      </c>
      <c r="V35" s="51" t="str">
        <f>IF(AND('Mapa final'!$AB$58="Media",'Mapa final'!$AD$58="Moderado"),CONCATENATE("R10C",'Mapa final'!$R$58),"")</f>
        <v/>
      </c>
      <c r="W35" s="52" t="str">
        <f>IF(AND('Mapa final'!$AB$59="Media",'Mapa final'!$AD$59="Moderado"),CONCATENATE("R10C",'Mapa final'!$R$59),"")</f>
        <v/>
      </c>
      <c r="X35" s="52" t="str">
        <f>IF(AND('Mapa final'!$AB$60="Media",'Mapa final'!$AD$60="Moderado"),CONCATENATE("R10C",'Mapa final'!$R$60),"")</f>
        <v/>
      </c>
      <c r="Y35" s="52" t="str">
        <f>IF(AND('Mapa final'!$AB$61="Media",'Mapa final'!$AD$61="Moderado"),CONCATENATE("R10C",'Mapa final'!$R$61),"")</f>
        <v/>
      </c>
      <c r="Z35" s="52" t="str">
        <f>IF(AND('Mapa final'!$AB$62="Media",'Mapa final'!$AD$62="Moderado"),CONCATENATE("R10C",'Mapa final'!$R$62),"")</f>
        <v/>
      </c>
      <c r="AA35" s="53" t="str">
        <f>IF(AND('Mapa final'!$AB$63="Media",'Mapa final'!$AD$63="Moderado"),CONCATENATE("R10C",'Mapa final'!$R$63),"")</f>
        <v/>
      </c>
      <c r="AB35" s="42" t="str">
        <f>IF(AND('Mapa final'!$AB$58="Media",'Mapa final'!$AD$58="Mayor"),CONCATENATE("R10C",'Mapa final'!$R$58),"")</f>
        <v/>
      </c>
      <c r="AC35" s="43" t="str">
        <f>IF(AND('Mapa final'!$AB$59="Media",'Mapa final'!$AD$59="Mayor"),CONCATENATE("R10C",'Mapa final'!$R$59),"")</f>
        <v/>
      </c>
      <c r="AD35" s="43" t="str">
        <f>IF(AND('Mapa final'!$AB$60="Media",'Mapa final'!$AD$60="Mayor"),CONCATENATE("R10C",'Mapa final'!$R$60),"")</f>
        <v/>
      </c>
      <c r="AE35" s="43" t="str">
        <f>IF(AND('Mapa final'!$AB$61="Media",'Mapa final'!$AD$61="Mayor"),CONCATENATE("R10C",'Mapa final'!$R$61),"")</f>
        <v/>
      </c>
      <c r="AF35" s="43" t="str">
        <f>IF(AND('Mapa final'!$AB$62="Media",'Mapa final'!$AD$62="Mayor"),CONCATENATE("R10C",'Mapa final'!$R$62),"")</f>
        <v/>
      </c>
      <c r="AG35" s="44" t="str">
        <f>IF(AND('Mapa final'!$AB$63="Media",'Mapa final'!$AD$63="Mayor"),CONCATENATE("R10C",'Mapa final'!$R$63),"")</f>
        <v/>
      </c>
      <c r="AH35" s="45" t="str">
        <f>IF(AND('Mapa final'!$AB$58="Media",'Mapa final'!$AD$58="Catastrófico"),CONCATENATE("R10C",'Mapa final'!$R$58),"")</f>
        <v/>
      </c>
      <c r="AI35" s="46" t="str">
        <f>IF(AND('Mapa final'!$AB$59="Media",'Mapa final'!$AD$59="Catastrófico"),CONCATENATE("R10C",'Mapa final'!$R$59),"")</f>
        <v/>
      </c>
      <c r="AJ35" s="46" t="str">
        <f>IF(AND('Mapa final'!$AB$60="Media",'Mapa final'!$AD$60="Catastrófico"),CONCATENATE("R10C",'Mapa final'!$R$60),"")</f>
        <v/>
      </c>
      <c r="AK35" s="46" t="str">
        <f>IF(AND('Mapa final'!$AB$61="Media",'Mapa final'!$AD$61="Catastrófico"),CONCATENATE("R10C",'Mapa final'!$R$61),"")</f>
        <v/>
      </c>
      <c r="AL35" s="46" t="str">
        <f>IF(AND('Mapa final'!$AB$62="Media",'Mapa final'!$AD$62="Catastrófico"),CONCATENATE("R10C",'Mapa final'!$R$62),"")</f>
        <v/>
      </c>
      <c r="AM35" s="47" t="str">
        <f>IF(AND('Mapa final'!$AB$63="Media",'Mapa final'!$AD$63="Catastrófico"),CONCATENATE("R10C",'Mapa final'!$R$63),"")</f>
        <v/>
      </c>
      <c r="AN35" s="67"/>
      <c r="AO35" s="763"/>
      <c r="AP35" s="764"/>
      <c r="AQ35" s="764"/>
      <c r="AR35" s="764"/>
      <c r="AS35" s="764"/>
      <c r="AT35" s="76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632"/>
      <c r="C36" s="632"/>
      <c r="D36" s="633"/>
      <c r="E36" s="727" t="s">
        <v>108</v>
      </c>
      <c r="F36" s="728"/>
      <c r="G36" s="728"/>
      <c r="H36" s="728"/>
      <c r="I36" s="728"/>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R1C1</v>
      </c>
      <c r="W36" s="49" t="str">
        <f>IF(AND('Mapa final'!$AB$11="Baja",'Mapa final'!$AD$11="Moderado"),CONCATENATE("R1C",'Mapa final'!$R$11),"")</f>
        <v>R1C2</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748" t="s">
        <v>80</v>
      </c>
      <c r="AP36" s="749"/>
      <c r="AQ36" s="749"/>
      <c r="AR36" s="749"/>
      <c r="AS36" s="749"/>
      <c r="AT36" s="75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632"/>
      <c r="C37" s="632"/>
      <c r="D37" s="633"/>
      <c r="E37" s="729"/>
      <c r="F37" s="730"/>
      <c r="G37" s="730"/>
      <c r="H37" s="730"/>
      <c r="I37" s="730"/>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str">
        <f>IF(AND('Mapa final'!$AB$16="Baja",'Mapa final'!$AD$16="Menor"),CONCATENATE("R2C",'Mapa final'!$R$16),"")</f>
        <v>R2C1</v>
      </c>
      <c r="Q37" s="52" t="str">
        <f>IF(AND('Mapa final'!$AB$17="Baja",'Mapa final'!$AD$17="Menor"),CONCATENATE("R2C",'Mapa final'!$R$17),"")</f>
        <v>R2C2</v>
      </c>
      <c r="R37" s="52" t="str">
        <f>IF(AND('Mapa final'!$AB$18="Baja",'Mapa final'!$AD$18="Menor"),CONCATENATE("R2C",'Mapa final'!$R$18),"")</f>
        <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751"/>
      <c r="AP37" s="752"/>
      <c r="AQ37" s="752"/>
      <c r="AR37" s="752"/>
      <c r="AS37" s="752"/>
      <c r="AT37" s="75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632"/>
      <c r="C38" s="632"/>
      <c r="D38" s="633"/>
      <c r="E38" s="731"/>
      <c r="F38" s="730"/>
      <c r="G38" s="730"/>
      <c r="H38" s="730"/>
      <c r="I38" s="730"/>
      <c r="J38" s="60" t="str">
        <f>IF(AND('Mapa final'!$AB$19="Baja",'Mapa final'!$AD$19="Leve"),CONCATENATE("R3C",'Mapa final'!$R$19),"")</f>
        <v/>
      </c>
      <c r="K38" s="61" t="str">
        <f>IF(AND('Mapa final'!$AB$20="Baja",'Mapa final'!$AD$20="Leve"),CONCATENATE("R3C",'Mapa final'!$R$20),"")</f>
        <v/>
      </c>
      <c r="L38" s="61" t="str">
        <f>IF(AND('Mapa final'!$AB$21="Baja",'Mapa final'!$AD$21="Leve"),CONCATENATE("R3C",'Mapa final'!$R$21),"")</f>
        <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str">
        <f>IF(AND('Mapa final'!$AB$19="Baja",'Mapa final'!$AD$19="Menor"),CONCATENATE("R3C",'Mapa final'!$R$19),"")</f>
        <v/>
      </c>
      <c r="Q38" s="52" t="str">
        <f>IF(AND('Mapa final'!$AB$20="Baja",'Mapa final'!$AD$20="Menor"),CONCATENATE("R3C",'Mapa final'!$R$20),"")</f>
        <v/>
      </c>
      <c r="R38" s="52" t="str">
        <f>IF(AND('Mapa final'!$AB$21="Baja",'Mapa final'!$AD$21="Menor"),CONCATENATE("R3C",'Mapa final'!$R$21),"")</f>
        <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str">
        <f>IF(AND('Mapa final'!$AB$19="Baja",'Mapa final'!$AD$19="Moderado"),CONCATENATE("R3C",'Mapa final'!$R$19),"")</f>
        <v/>
      </c>
      <c r="W38" s="52" t="str">
        <f>IF(AND('Mapa final'!$AB$20="Baja",'Mapa final'!$AD$20="Moderado"),CONCATENATE("R3C",'Mapa final'!$R$20),"")</f>
        <v/>
      </c>
      <c r="X38" s="52" t="str">
        <f>IF(AND('Mapa final'!$AB$21="Baja",'Mapa final'!$AD$21="Moderado"),CONCATENATE("R3C",'Mapa final'!$R$21),"")</f>
        <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str">
        <f>IF(AND('Mapa final'!$AB$19="Baja",'Mapa final'!$AD$19="Mayor"),CONCATENATE("R3C",'Mapa final'!$R$19),"")</f>
        <v/>
      </c>
      <c r="AC38" s="37" t="str">
        <f>IF(AND('Mapa final'!$AB$20="Baja",'Mapa final'!$AD$20="Mayor"),CONCATENATE("R3C",'Mapa final'!$R$20),"")</f>
        <v/>
      </c>
      <c r="AD38" s="37" t="str">
        <f>IF(AND('Mapa final'!$AB$21="Baja",'Mapa final'!$AD$21="Mayor"),CONCATENATE("R3C",'Mapa final'!$R$21),"")</f>
        <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str">
        <f>IF(AND('Mapa final'!$AB$19="Baja",'Mapa final'!$AD$19="Catastrófico"),CONCATENATE("R3C",'Mapa final'!$R$19),"")</f>
        <v/>
      </c>
      <c r="AI38" s="40" t="str">
        <f>IF(AND('Mapa final'!$AB$20="Baja",'Mapa final'!$AD$20="Catastrófico"),CONCATENATE("R3C",'Mapa final'!$R$20),"")</f>
        <v/>
      </c>
      <c r="AJ38" s="40" t="str">
        <f>IF(AND('Mapa final'!$AB$21="Baja",'Mapa final'!$AD$21="Catastrófico"),CONCATENATE("R3C",'Mapa final'!$R$21),"")</f>
        <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751"/>
      <c r="AP38" s="752"/>
      <c r="AQ38" s="752"/>
      <c r="AR38" s="752"/>
      <c r="AS38" s="752"/>
      <c r="AT38" s="753"/>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632"/>
      <c r="C39" s="632"/>
      <c r="D39" s="633"/>
      <c r="E39" s="731"/>
      <c r="F39" s="730"/>
      <c r="G39" s="730"/>
      <c r="H39" s="730"/>
      <c r="I39" s="730"/>
      <c r="J39" s="60" t="str">
        <f>IF(AND('Mapa final'!$AB$22="Baja",'Mapa final'!$AD$22="Leve"),CONCATENATE("R4C",'Mapa final'!$R$22),"")</f>
        <v/>
      </c>
      <c r="K39" s="61" t="str">
        <f>IF(AND('Mapa final'!$AB$23="Baja",'Mapa final'!$AD$23="Leve"),CONCATENATE("R4C",'Mapa final'!$R$23),"")</f>
        <v/>
      </c>
      <c r="L39" s="61" t="str">
        <f>IF(AND('Mapa final'!$AB$24="Baja",'Mapa final'!$AD$24="Leve"),CONCATENATE("R4C",'Mapa final'!$R$24),"")</f>
        <v/>
      </c>
      <c r="M39" s="61" t="str">
        <f>IF(AND('Mapa final'!$AB$25="Baja",'Mapa final'!$AD$25="Leve"),CONCATENATE("R4C",'Mapa final'!$R$25),"")</f>
        <v/>
      </c>
      <c r="N39" s="61" t="str">
        <f>IF(AND('Mapa final'!$AB$26="Baja",'Mapa final'!$AD$26="Leve"),CONCATENATE("R4C",'Mapa final'!$R$26),"")</f>
        <v/>
      </c>
      <c r="O39" s="62" t="str">
        <f>IF(AND('Mapa final'!$AB$27="Baja",'Mapa final'!$AD$27="Leve"),CONCATENATE("R4C",'Mapa final'!$R$27),"")</f>
        <v/>
      </c>
      <c r="P39" s="51" t="str">
        <f>IF(AND('Mapa final'!$AB$22="Baja",'Mapa final'!$AD$22="Menor"),CONCATENATE("R4C",'Mapa final'!$R$22),"")</f>
        <v/>
      </c>
      <c r="Q39" s="52" t="str">
        <f>IF(AND('Mapa final'!$AB$23="Baja",'Mapa final'!$AD$23="Menor"),CONCATENATE("R4C",'Mapa final'!$R$23),"")</f>
        <v/>
      </c>
      <c r="R39" s="52" t="str">
        <f>IF(AND('Mapa final'!$AB$24="Baja",'Mapa final'!$AD$24="Menor"),CONCATENATE("R4C",'Mapa final'!$R$24),"")</f>
        <v/>
      </c>
      <c r="S39" s="52" t="str">
        <f>IF(AND('Mapa final'!$AB$25="Baja",'Mapa final'!$AD$25="Menor"),CONCATENATE("R4C",'Mapa final'!$R$25),"")</f>
        <v/>
      </c>
      <c r="T39" s="52" t="str">
        <f>IF(AND('Mapa final'!$AB$26="Baja",'Mapa final'!$AD$26="Menor"),CONCATENATE("R4C",'Mapa final'!$R$26),"")</f>
        <v/>
      </c>
      <c r="U39" s="53" t="str">
        <f>IF(AND('Mapa final'!$AB$27="Baja",'Mapa final'!$AD$27="Menor"),CONCATENATE("R4C",'Mapa final'!$R$27),"")</f>
        <v/>
      </c>
      <c r="V39" s="51" t="str">
        <f>IF(AND('Mapa final'!$AB$22="Baja",'Mapa final'!$AD$22="Moderado"),CONCATENATE("R4C",'Mapa final'!$R$22),"")</f>
        <v/>
      </c>
      <c r="W39" s="52" t="str">
        <f>IF(AND('Mapa final'!$AB$23="Baja",'Mapa final'!$AD$23="Moderado"),CONCATENATE("R4C",'Mapa final'!$R$23),"")</f>
        <v/>
      </c>
      <c r="X39" s="52" t="str">
        <f>IF(AND('Mapa final'!$AB$24="Baja",'Mapa final'!$AD$24="Moderado"),CONCATENATE("R4C",'Mapa final'!$R$24),"")</f>
        <v/>
      </c>
      <c r="Y39" s="52" t="str">
        <f>IF(AND('Mapa final'!$AB$25="Baja",'Mapa final'!$AD$25="Moderado"),CONCATENATE("R4C",'Mapa final'!$R$25),"")</f>
        <v/>
      </c>
      <c r="Z39" s="52" t="str">
        <f>IF(AND('Mapa final'!$AB$26="Baja",'Mapa final'!$AD$26="Moderado"),CONCATENATE("R4C",'Mapa final'!$R$26),"")</f>
        <v/>
      </c>
      <c r="AA39" s="53" t="str">
        <f>IF(AND('Mapa final'!$AB$27="Baja",'Mapa final'!$AD$27="Moderado"),CONCATENATE("R4C",'Mapa final'!$R$27),"")</f>
        <v/>
      </c>
      <c r="AB39" s="36" t="str">
        <f>IF(AND('Mapa final'!$AB$22="Baja",'Mapa final'!$AD$22="Mayor"),CONCATENATE("R4C",'Mapa final'!$R$22),"")</f>
        <v/>
      </c>
      <c r="AC39" s="37" t="str">
        <f>IF(AND('Mapa final'!$AB$23="Baja",'Mapa final'!$AD$23="Mayor"),CONCATENATE("R4C",'Mapa final'!$R$23),"")</f>
        <v/>
      </c>
      <c r="AD39" s="37" t="str">
        <f>IF(AND('Mapa final'!$AB$24="Baja",'Mapa final'!$AD$24="Mayor"),CONCATENATE("R4C",'Mapa final'!$R$24),"")</f>
        <v/>
      </c>
      <c r="AE39" s="37" t="str">
        <f>IF(AND('Mapa final'!$AB$25="Baja",'Mapa final'!$AD$25="Mayor"),CONCATENATE("R4C",'Mapa final'!$R$25),"")</f>
        <v/>
      </c>
      <c r="AF39" s="37" t="str">
        <f>IF(AND('Mapa final'!$AB$26="Baja",'Mapa final'!$AD$26="Mayor"),CONCATENATE("R4C",'Mapa final'!$R$26),"")</f>
        <v/>
      </c>
      <c r="AG39" s="38" t="str">
        <f>IF(AND('Mapa final'!$AB$27="Baja",'Mapa final'!$AD$27="Mayor"),CONCATENATE("R4C",'Mapa final'!$R$27),"")</f>
        <v/>
      </c>
      <c r="AH39" s="39" t="str">
        <f>IF(AND('Mapa final'!$AB$22="Baja",'Mapa final'!$AD$22="Catastrófico"),CONCATENATE("R4C",'Mapa final'!$R$22),"")</f>
        <v/>
      </c>
      <c r="AI39" s="40" t="str">
        <f>IF(AND('Mapa final'!$AB$23="Baja",'Mapa final'!$AD$23="Catastrófico"),CONCATENATE("R4C",'Mapa final'!$R$23),"")</f>
        <v/>
      </c>
      <c r="AJ39" s="40" t="str">
        <f>IF(AND('Mapa final'!$AB$24="Baja",'Mapa final'!$AD$24="Catastrófico"),CONCATENATE("R4C",'Mapa final'!$R$24),"")</f>
        <v/>
      </c>
      <c r="AK39" s="40" t="str">
        <f>IF(AND('Mapa final'!$AB$25="Baja",'Mapa final'!$AD$25="Catastrófico"),CONCATENATE("R4C",'Mapa final'!$R$25),"")</f>
        <v/>
      </c>
      <c r="AL39" s="40" t="str">
        <f>IF(AND('Mapa final'!$AB$26="Baja",'Mapa final'!$AD$26="Catastrófico"),CONCATENATE("R4C",'Mapa final'!$R$26),"")</f>
        <v/>
      </c>
      <c r="AM39" s="41" t="str">
        <f>IF(AND('Mapa final'!$AB$27="Baja",'Mapa final'!$AD$27="Catastrófico"),CONCATENATE("R4C",'Mapa final'!$R$27),"")</f>
        <v/>
      </c>
      <c r="AN39" s="67"/>
      <c r="AO39" s="751"/>
      <c r="AP39" s="752"/>
      <c r="AQ39" s="752"/>
      <c r="AR39" s="752"/>
      <c r="AS39" s="752"/>
      <c r="AT39" s="753"/>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632"/>
      <c r="C40" s="632"/>
      <c r="D40" s="633"/>
      <c r="E40" s="731"/>
      <c r="F40" s="730"/>
      <c r="G40" s="730"/>
      <c r="H40" s="730"/>
      <c r="I40" s="730"/>
      <c r="J40" s="60" t="str">
        <f>IF(AND('Mapa final'!$AB$28="Baja",'Mapa final'!$AD$28="Leve"),CONCATENATE("R5C",'Mapa final'!$R$28),"")</f>
        <v/>
      </c>
      <c r="K40" s="61" t="str">
        <f>IF(AND('Mapa final'!$AB$29="Baja",'Mapa final'!$AD$29="Leve"),CONCATENATE("R5C",'Mapa final'!$R$29),"")</f>
        <v/>
      </c>
      <c r="L40" s="61" t="str">
        <f>IF(AND('Mapa final'!$AB$30="Baja",'Mapa final'!$AD$30="Leve"),CONCATENATE("R5C",'Mapa final'!$R$30),"")</f>
        <v/>
      </c>
      <c r="M40" s="61" t="str">
        <f>IF(AND('Mapa final'!$AB$31="Baja",'Mapa final'!$AD$31="Leve"),CONCATENATE("R5C",'Mapa final'!$R$31),"")</f>
        <v/>
      </c>
      <c r="N40" s="61" t="str">
        <f>IF(AND('Mapa final'!$AB$32="Baja",'Mapa final'!$AD$32="Leve"),CONCATENATE("R5C",'Mapa final'!$R$32),"")</f>
        <v/>
      </c>
      <c r="O40" s="62" t="str">
        <f>IF(AND('Mapa final'!$AB$33="Baja",'Mapa final'!$AD$33="Leve"),CONCATENATE("R5C",'Mapa final'!$R$33),"")</f>
        <v/>
      </c>
      <c r="P40" s="51" t="str">
        <f>IF(AND('Mapa final'!$AB$28="Baja",'Mapa final'!$AD$28="Menor"),CONCATENATE("R5C",'Mapa final'!$R$28),"")</f>
        <v/>
      </c>
      <c r="Q40" s="52" t="str">
        <f>IF(AND('Mapa final'!$AB$29="Baja",'Mapa final'!$AD$29="Menor"),CONCATENATE("R5C",'Mapa final'!$R$29),"")</f>
        <v/>
      </c>
      <c r="R40" s="52" t="str">
        <f>IF(AND('Mapa final'!$AB$30="Baja",'Mapa final'!$AD$30="Menor"),CONCATENATE("R5C",'Mapa final'!$R$30),"")</f>
        <v/>
      </c>
      <c r="S40" s="52" t="str">
        <f>IF(AND('Mapa final'!$AB$31="Baja",'Mapa final'!$AD$31="Menor"),CONCATENATE("R5C",'Mapa final'!$R$31),"")</f>
        <v/>
      </c>
      <c r="T40" s="52" t="str">
        <f>IF(AND('Mapa final'!$AB$32="Baja",'Mapa final'!$AD$32="Menor"),CONCATENATE("R5C",'Mapa final'!$R$32),"")</f>
        <v/>
      </c>
      <c r="U40" s="53" t="str">
        <f>IF(AND('Mapa final'!$AB$33="Baja",'Mapa final'!$AD$33="Menor"),CONCATENATE("R5C",'Mapa final'!$R$33),"")</f>
        <v/>
      </c>
      <c r="V40" s="51" t="str">
        <f>IF(AND('Mapa final'!$AB$28="Baja",'Mapa final'!$AD$28="Moderado"),CONCATENATE("R5C",'Mapa final'!$R$28),"")</f>
        <v/>
      </c>
      <c r="W40" s="52" t="str">
        <f>IF(AND('Mapa final'!$AB$29="Baja",'Mapa final'!$AD$29="Moderado"),CONCATENATE("R5C",'Mapa final'!$R$29),"")</f>
        <v/>
      </c>
      <c r="X40" s="52" t="str">
        <f>IF(AND('Mapa final'!$AB$30="Baja",'Mapa final'!$AD$30="Moderado"),CONCATENATE("R5C",'Mapa final'!$R$30),"")</f>
        <v/>
      </c>
      <c r="Y40" s="52" t="str">
        <f>IF(AND('Mapa final'!$AB$31="Baja",'Mapa final'!$AD$31="Moderado"),CONCATENATE("R5C",'Mapa final'!$R$31),"")</f>
        <v/>
      </c>
      <c r="Z40" s="52" t="str">
        <f>IF(AND('Mapa final'!$AB$32="Baja",'Mapa final'!$AD$32="Moderado"),CONCATENATE("R5C",'Mapa final'!$R$32),"")</f>
        <v/>
      </c>
      <c r="AA40" s="53" t="str">
        <f>IF(AND('Mapa final'!$AB$33="Baja",'Mapa final'!$AD$33="Moderado"),CONCATENATE("R5C",'Mapa final'!$R$33),"")</f>
        <v/>
      </c>
      <c r="AB40" s="36" t="str">
        <f>IF(AND('Mapa final'!$AB$28="Baja",'Mapa final'!$AD$28="Mayor"),CONCATENATE("R5C",'Mapa final'!$R$28),"")</f>
        <v/>
      </c>
      <c r="AC40" s="37" t="str">
        <f>IF(AND('Mapa final'!$AB$29="Baja",'Mapa final'!$AD$29="Mayor"),CONCATENATE("R5C",'Mapa final'!$R$29),"")</f>
        <v/>
      </c>
      <c r="AD40" s="37" t="str">
        <f>IF(AND('Mapa final'!$AB$30="Baja",'Mapa final'!$AD$30="Mayor"),CONCATENATE("R5C",'Mapa final'!$R$30),"")</f>
        <v/>
      </c>
      <c r="AE40" s="37" t="str">
        <f>IF(AND('Mapa final'!$AB$31="Baja",'Mapa final'!$AD$31="Mayor"),CONCATENATE("R5C",'Mapa final'!$R$31),"")</f>
        <v/>
      </c>
      <c r="AF40" s="37" t="str">
        <f>IF(AND('Mapa final'!$AB$32="Baja",'Mapa final'!$AD$32="Mayor"),CONCATENATE("R5C",'Mapa final'!$R$32),"")</f>
        <v/>
      </c>
      <c r="AG40" s="38" t="str">
        <f>IF(AND('Mapa final'!$AB$33="Baja",'Mapa final'!$AD$33="Mayor"),CONCATENATE("R5C",'Mapa final'!$R$33),"")</f>
        <v/>
      </c>
      <c r="AH40" s="39" t="str">
        <f>IF(AND('Mapa final'!$AB$28="Baja",'Mapa final'!$AD$28="Catastrófico"),CONCATENATE("R5C",'Mapa final'!$R$28),"")</f>
        <v/>
      </c>
      <c r="AI40" s="40" t="str">
        <f>IF(AND('Mapa final'!$AB$29="Baja",'Mapa final'!$AD$29="Catastrófico"),CONCATENATE("R5C",'Mapa final'!$R$29),"")</f>
        <v/>
      </c>
      <c r="AJ40" s="40" t="str">
        <f>IF(AND('Mapa final'!$AB$30="Baja",'Mapa final'!$AD$30="Catastrófico"),CONCATENATE("R5C",'Mapa final'!$R$30),"")</f>
        <v/>
      </c>
      <c r="AK40" s="40" t="str">
        <f>IF(AND('Mapa final'!$AB$31="Baja",'Mapa final'!$AD$31="Catastrófico"),CONCATENATE("R5C",'Mapa final'!$R$31),"")</f>
        <v/>
      </c>
      <c r="AL40" s="40" t="str">
        <f>IF(AND('Mapa final'!$AB$32="Baja",'Mapa final'!$AD$32="Catastrófico"),CONCATENATE("R5C",'Mapa final'!$R$32),"")</f>
        <v/>
      </c>
      <c r="AM40" s="41" t="str">
        <f>IF(AND('Mapa final'!$AB$33="Baja",'Mapa final'!$AD$33="Catastrófico"),CONCATENATE("R5C",'Mapa final'!$R$33),"")</f>
        <v/>
      </c>
      <c r="AN40" s="67"/>
      <c r="AO40" s="751"/>
      <c r="AP40" s="752"/>
      <c r="AQ40" s="752"/>
      <c r="AR40" s="752"/>
      <c r="AS40" s="752"/>
      <c r="AT40" s="753"/>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632"/>
      <c r="C41" s="632"/>
      <c r="D41" s="633"/>
      <c r="E41" s="731"/>
      <c r="F41" s="730"/>
      <c r="G41" s="730"/>
      <c r="H41" s="730"/>
      <c r="I41" s="730"/>
      <c r="J41" s="60" t="str">
        <f>IF(AND('Mapa final'!$AB$34="Baja",'Mapa final'!$AD$34="Leve"),CONCATENATE("R6C",'Mapa final'!$R$34),"")</f>
        <v/>
      </c>
      <c r="K41" s="61" t="str">
        <f>IF(AND('Mapa final'!$AB$35="Baja",'Mapa final'!$AD$35="Leve"),CONCATENATE("R6C",'Mapa final'!$R$35),"")</f>
        <v/>
      </c>
      <c r="L41" s="61" t="str">
        <f>IF(AND('Mapa final'!$AB$36="Baja",'Mapa final'!$AD$36="Leve"),CONCATENATE("R6C",'Mapa final'!$R$36),"")</f>
        <v/>
      </c>
      <c r="M41" s="61" t="str">
        <f>IF(AND('Mapa final'!$AB$37="Baja",'Mapa final'!$AD$37="Leve"),CONCATENATE("R6C",'Mapa final'!$R$37),"")</f>
        <v/>
      </c>
      <c r="N41" s="61" t="str">
        <f>IF(AND('Mapa final'!$AB$38="Baja",'Mapa final'!$AD$38="Leve"),CONCATENATE("R6C",'Mapa final'!$R$38),"")</f>
        <v/>
      </c>
      <c r="O41" s="62" t="str">
        <f>IF(AND('Mapa final'!$AB$39="Baja",'Mapa final'!$AD$39="Leve"),CONCATENATE("R6C",'Mapa final'!$R$39),"")</f>
        <v/>
      </c>
      <c r="P41" s="51" t="str">
        <f>IF(AND('Mapa final'!$AB$34="Baja",'Mapa final'!$AD$34="Menor"),CONCATENATE("R6C",'Mapa final'!$R$34),"")</f>
        <v/>
      </c>
      <c r="Q41" s="52" t="str">
        <f>IF(AND('Mapa final'!$AB$35="Baja",'Mapa final'!$AD$35="Menor"),CONCATENATE("R6C",'Mapa final'!$R$35),"")</f>
        <v/>
      </c>
      <c r="R41" s="52" t="str">
        <f>IF(AND('Mapa final'!$AB$36="Baja",'Mapa final'!$AD$36="Menor"),CONCATENATE("R6C",'Mapa final'!$R$36),"")</f>
        <v/>
      </c>
      <c r="S41" s="52" t="str">
        <f>IF(AND('Mapa final'!$AB$37="Baja",'Mapa final'!$AD$37="Menor"),CONCATENATE("R6C",'Mapa final'!$R$37),"")</f>
        <v/>
      </c>
      <c r="T41" s="52" t="str">
        <f>IF(AND('Mapa final'!$AB$38="Baja",'Mapa final'!$AD$38="Menor"),CONCATENATE("R6C",'Mapa final'!$R$38),"")</f>
        <v/>
      </c>
      <c r="U41" s="53" t="str">
        <f>IF(AND('Mapa final'!$AB$39="Baja",'Mapa final'!$AD$39="Menor"),CONCATENATE("R6C",'Mapa final'!$R$39),"")</f>
        <v/>
      </c>
      <c r="V41" s="51" t="str">
        <f>IF(AND('Mapa final'!$AB$34="Baja",'Mapa final'!$AD$34="Moderado"),CONCATENATE("R6C",'Mapa final'!$R$34),"")</f>
        <v/>
      </c>
      <c r="W41" s="52" t="str">
        <f>IF(AND('Mapa final'!$AB$35="Baja",'Mapa final'!$AD$35="Moderado"),CONCATENATE("R6C",'Mapa final'!$R$35),"")</f>
        <v/>
      </c>
      <c r="X41" s="52" t="str">
        <f>IF(AND('Mapa final'!$AB$36="Baja",'Mapa final'!$AD$36="Moderado"),CONCATENATE("R6C",'Mapa final'!$R$36),"")</f>
        <v/>
      </c>
      <c r="Y41" s="52" t="str">
        <f>IF(AND('Mapa final'!$AB$37="Baja",'Mapa final'!$AD$37="Moderado"),CONCATENATE("R6C",'Mapa final'!$R$37),"")</f>
        <v/>
      </c>
      <c r="Z41" s="52" t="str">
        <f>IF(AND('Mapa final'!$AB$38="Baja",'Mapa final'!$AD$38="Moderado"),CONCATENATE("R6C",'Mapa final'!$R$38),"")</f>
        <v/>
      </c>
      <c r="AA41" s="53" t="str">
        <f>IF(AND('Mapa final'!$AB$39="Baja",'Mapa final'!$AD$39="Moderado"),CONCATENATE("R6C",'Mapa final'!$R$39),"")</f>
        <v/>
      </c>
      <c r="AB41" s="36" t="str">
        <f>IF(AND('Mapa final'!$AB$34="Baja",'Mapa final'!$AD$34="Mayor"),CONCATENATE("R6C",'Mapa final'!$R$34),"")</f>
        <v/>
      </c>
      <c r="AC41" s="37" t="str">
        <f>IF(AND('Mapa final'!$AB$35="Baja",'Mapa final'!$AD$35="Mayor"),CONCATENATE("R6C",'Mapa final'!$R$35),"")</f>
        <v/>
      </c>
      <c r="AD41" s="37" t="str">
        <f>IF(AND('Mapa final'!$AB$36="Baja",'Mapa final'!$AD$36="Mayor"),CONCATENATE("R6C",'Mapa final'!$R$36),"")</f>
        <v/>
      </c>
      <c r="AE41" s="37" t="str">
        <f>IF(AND('Mapa final'!$AB$37="Baja",'Mapa final'!$AD$37="Mayor"),CONCATENATE("R6C",'Mapa final'!$R$37),"")</f>
        <v/>
      </c>
      <c r="AF41" s="37" t="str">
        <f>IF(AND('Mapa final'!$AB$38="Baja",'Mapa final'!$AD$38="Mayor"),CONCATENATE("R6C",'Mapa final'!$R$38),"")</f>
        <v/>
      </c>
      <c r="AG41" s="38" t="str">
        <f>IF(AND('Mapa final'!$AB$39="Baja",'Mapa final'!$AD$39="Mayor"),CONCATENATE("R6C",'Mapa final'!$R$39),"")</f>
        <v/>
      </c>
      <c r="AH41" s="39" t="str">
        <f>IF(AND('Mapa final'!$AB$34="Baja",'Mapa final'!$AD$34="Catastrófico"),CONCATENATE("R6C",'Mapa final'!$R$34),"")</f>
        <v/>
      </c>
      <c r="AI41" s="40" t="str">
        <f>IF(AND('Mapa final'!$AB$35="Baja",'Mapa final'!$AD$35="Catastrófico"),CONCATENATE("R6C",'Mapa final'!$R$35),"")</f>
        <v/>
      </c>
      <c r="AJ41" s="40" t="str">
        <f>IF(AND('Mapa final'!$AB$36="Baja",'Mapa final'!$AD$36="Catastrófico"),CONCATENATE("R6C",'Mapa final'!$R$36),"")</f>
        <v/>
      </c>
      <c r="AK41" s="40" t="str">
        <f>IF(AND('Mapa final'!$AB$37="Baja",'Mapa final'!$AD$37="Catastrófico"),CONCATENATE("R6C",'Mapa final'!$R$37),"")</f>
        <v/>
      </c>
      <c r="AL41" s="40" t="str">
        <f>IF(AND('Mapa final'!$AB$38="Baja",'Mapa final'!$AD$38="Catastrófico"),CONCATENATE("R6C",'Mapa final'!$R$38),"")</f>
        <v/>
      </c>
      <c r="AM41" s="41" t="str">
        <f>IF(AND('Mapa final'!$AB$39="Baja",'Mapa final'!$AD$39="Catastrófico"),CONCATENATE("R6C",'Mapa final'!$R$39),"")</f>
        <v/>
      </c>
      <c r="AN41" s="67"/>
      <c r="AO41" s="751"/>
      <c r="AP41" s="752"/>
      <c r="AQ41" s="752"/>
      <c r="AR41" s="752"/>
      <c r="AS41" s="752"/>
      <c r="AT41" s="753"/>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632"/>
      <c r="C42" s="632"/>
      <c r="D42" s="633"/>
      <c r="E42" s="731"/>
      <c r="F42" s="730"/>
      <c r="G42" s="730"/>
      <c r="H42" s="730"/>
      <c r="I42" s="730"/>
      <c r="J42" s="60" t="str">
        <f>IF(AND('Mapa final'!$AB$40="Baja",'Mapa final'!$AD$40="Leve"),CONCATENATE("R7C",'Mapa final'!$R$40),"")</f>
        <v/>
      </c>
      <c r="K42" s="61" t="str">
        <f>IF(AND('Mapa final'!$AB$41="Baja",'Mapa final'!$AD$41="Leve"),CONCATENATE("R7C",'Mapa final'!$R$41),"")</f>
        <v/>
      </c>
      <c r="L42" s="61" t="str">
        <f>IF(AND('Mapa final'!$AB$42="Baja",'Mapa final'!$AD$42="Leve"),CONCATENATE("R7C",'Mapa final'!$R$42),"")</f>
        <v/>
      </c>
      <c r="M42" s="61" t="str">
        <f>IF(AND('Mapa final'!$AB$43="Baja",'Mapa final'!$AD$43="Leve"),CONCATENATE("R7C",'Mapa final'!$R$43),"")</f>
        <v/>
      </c>
      <c r="N42" s="61" t="str">
        <f>IF(AND('Mapa final'!$AB$44="Baja",'Mapa final'!$AD$44="Leve"),CONCATENATE("R7C",'Mapa final'!$R$44),"")</f>
        <v/>
      </c>
      <c r="O42" s="62" t="str">
        <f>IF(AND('Mapa final'!$AB$45="Baja",'Mapa final'!$AD$45="Leve"),CONCATENATE("R7C",'Mapa final'!$R$45),"")</f>
        <v/>
      </c>
      <c r="P42" s="51" t="str">
        <f>IF(AND('Mapa final'!$AB$40="Baja",'Mapa final'!$AD$40="Menor"),CONCATENATE("R7C",'Mapa final'!$R$40),"")</f>
        <v/>
      </c>
      <c r="Q42" s="52" t="str">
        <f>IF(AND('Mapa final'!$AB$41="Baja",'Mapa final'!$AD$41="Menor"),CONCATENATE("R7C",'Mapa final'!$R$41),"")</f>
        <v/>
      </c>
      <c r="R42" s="52" t="str">
        <f>IF(AND('Mapa final'!$AB$42="Baja",'Mapa final'!$AD$42="Menor"),CONCATENATE("R7C",'Mapa final'!$R$42),"")</f>
        <v/>
      </c>
      <c r="S42" s="52" t="str">
        <f>IF(AND('Mapa final'!$AB$43="Baja",'Mapa final'!$AD$43="Menor"),CONCATENATE("R7C",'Mapa final'!$R$43),"")</f>
        <v/>
      </c>
      <c r="T42" s="52" t="str">
        <f>IF(AND('Mapa final'!$AB$44="Baja",'Mapa final'!$AD$44="Menor"),CONCATENATE("R7C",'Mapa final'!$R$44),"")</f>
        <v/>
      </c>
      <c r="U42" s="53" t="str">
        <f>IF(AND('Mapa final'!$AB$45="Baja",'Mapa final'!$AD$45="Menor"),CONCATENATE("R7C",'Mapa final'!$R$45),"")</f>
        <v/>
      </c>
      <c r="V42" s="51" t="str">
        <f>IF(AND('Mapa final'!$AB$40="Baja",'Mapa final'!$AD$40="Moderado"),CONCATENATE("R7C",'Mapa final'!$R$40),"")</f>
        <v/>
      </c>
      <c r="W42" s="52" t="str">
        <f>IF(AND('Mapa final'!$AB$41="Baja",'Mapa final'!$AD$41="Moderado"),CONCATENATE("R7C",'Mapa final'!$R$41),"")</f>
        <v/>
      </c>
      <c r="X42" s="52" t="str">
        <f>IF(AND('Mapa final'!$AB$42="Baja",'Mapa final'!$AD$42="Moderado"),CONCATENATE("R7C",'Mapa final'!$R$42),"")</f>
        <v/>
      </c>
      <c r="Y42" s="52" t="str">
        <f>IF(AND('Mapa final'!$AB$43="Baja",'Mapa final'!$AD$43="Moderado"),CONCATENATE("R7C",'Mapa final'!$R$43),"")</f>
        <v/>
      </c>
      <c r="Z42" s="52" t="str">
        <f>IF(AND('Mapa final'!$AB$44="Baja",'Mapa final'!$AD$44="Moderado"),CONCATENATE("R7C",'Mapa final'!$R$44),"")</f>
        <v/>
      </c>
      <c r="AA42" s="53" t="str">
        <f>IF(AND('Mapa final'!$AB$45="Baja",'Mapa final'!$AD$45="Moderado"),CONCATENATE("R7C",'Mapa final'!$R$45),"")</f>
        <v/>
      </c>
      <c r="AB42" s="36" t="str">
        <f>IF(AND('Mapa final'!$AB$40="Baja",'Mapa final'!$AD$40="Mayor"),CONCATENATE("R7C",'Mapa final'!$R$40),"")</f>
        <v/>
      </c>
      <c r="AC42" s="37" t="str">
        <f>IF(AND('Mapa final'!$AB$41="Baja",'Mapa final'!$AD$41="Mayor"),CONCATENATE("R7C",'Mapa final'!$R$41),"")</f>
        <v/>
      </c>
      <c r="AD42" s="37" t="str">
        <f>IF(AND('Mapa final'!$AB$42="Baja",'Mapa final'!$AD$42="Mayor"),CONCATENATE("R7C",'Mapa final'!$R$42),"")</f>
        <v/>
      </c>
      <c r="AE42" s="37" t="str">
        <f>IF(AND('Mapa final'!$AB$43="Baja",'Mapa final'!$AD$43="Mayor"),CONCATENATE("R7C",'Mapa final'!$R$43),"")</f>
        <v/>
      </c>
      <c r="AF42" s="37" t="str">
        <f>IF(AND('Mapa final'!$AB$44="Baja",'Mapa final'!$AD$44="Mayor"),CONCATENATE("R7C",'Mapa final'!$R$44),"")</f>
        <v/>
      </c>
      <c r="AG42" s="38" t="str">
        <f>IF(AND('Mapa final'!$AB$45="Baja",'Mapa final'!$AD$45="Mayor"),CONCATENATE("R7C",'Mapa final'!$R$45),"")</f>
        <v/>
      </c>
      <c r="AH42" s="39" t="str">
        <f>IF(AND('Mapa final'!$AB$40="Baja",'Mapa final'!$AD$40="Catastrófico"),CONCATENATE("R7C",'Mapa final'!$R$40),"")</f>
        <v/>
      </c>
      <c r="AI42" s="40" t="str">
        <f>IF(AND('Mapa final'!$AB$41="Baja",'Mapa final'!$AD$41="Catastrófico"),CONCATENATE("R7C",'Mapa final'!$R$41),"")</f>
        <v/>
      </c>
      <c r="AJ42" s="40" t="str">
        <f>IF(AND('Mapa final'!$AB$42="Baja",'Mapa final'!$AD$42="Catastrófico"),CONCATENATE("R7C",'Mapa final'!$R$42),"")</f>
        <v/>
      </c>
      <c r="AK42" s="40" t="str">
        <f>IF(AND('Mapa final'!$AB$43="Baja",'Mapa final'!$AD$43="Catastrófico"),CONCATENATE("R7C",'Mapa final'!$R$43),"")</f>
        <v/>
      </c>
      <c r="AL42" s="40" t="str">
        <f>IF(AND('Mapa final'!$AB$44="Baja",'Mapa final'!$AD$44="Catastrófico"),CONCATENATE("R7C",'Mapa final'!$R$44),"")</f>
        <v/>
      </c>
      <c r="AM42" s="41" t="str">
        <f>IF(AND('Mapa final'!$AB$45="Baja",'Mapa final'!$AD$45="Catastrófico"),CONCATENATE("R7C",'Mapa final'!$R$45),"")</f>
        <v/>
      </c>
      <c r="AN42" s="67"/>
      <c r="AO42" s="751"/>
      <c r="AP42" s="752"/>
      <c r="AQ42" s="752"/>
      <c r="AR42" s="752"/>
      <c r="AS42" s="752"/>
      <c r="AT42" s="753"/>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632"/>
      <c r="C43" s="632"/>
      <c r="D43" s="633"/>
      <c r="E43" s="731"/>
      <c r="F43" s="730"/>
      <c r="G43" s="730"/>
      <c r="H43" s="730"/>
      <c r="I43" s="730"/>
      <c r="J43" s="60" t="str">
        <f>IF(AND('Mapa final'!$AB$46="Baja",'Mapa final'!$AD$46="Leve"),CONCATENATE("R8C",'Mapa final'!$R$46),"")</f>
        <v/>
      </c>
      <c r="K43" s="61" t="str">
        <f>IF(AND('Mapa final'!$AB$47="Baja",'Mapa final'!$AD$47="Leve"),CONCATENATE("R8C",'Mapa final'!$R$47),"")</f>
        <v/>
      </c>
      <c r="L43" s="61" t="str">
        <f>IF(AND('Mapa final'!$AB$48="Baja",'Mapa final'!$AD$48="Leve"),CONCATENATE("R8C",'Mapa final'!$R$48),"")</f>
        <v/>
      </c>
      <c r="M43" s="61" t="str">
        <f>IF(AND('Mapa final'!$AB$49="Baja",'Mapa final'!$AD$49="Leve"),CONCATENATE("R8C",'Mapa final'!$R$49),"")</f>
        <v/>
      </c>
      <c r="N43" s="61" t="str">
        <f>IF(AND('Mapa final'!$AB$50="Baja",'Mapa final'!$AD$50="Leve"),CONCATENATE("R8C",'Mapa final'!$R$50),"")</f>
        <v/>
      </c>
      <c r="O43" s="62" t="str">
        <f>IF(AND('Mapa final'!$AB$51="Baja",'Mapa final'!$AD$51="Leve"),CONCATENATE("R8C",'Mapa final'!$R$51),"")</f>
        <v/>
      </c>
      <c r="P43" s="51" t="str">
        <f>IF(AND('Mapa final'!$AB$46="Baja",'Mapa final'!$AD$46="Menor"),CONCATENATE("R8C",'Mapa final'!$R$46),"")</f>
        <v/>
      </c>
      <c r="Q43" s="52" t="str">
        <f>IF(AND('Mapa final'!$AB$47="Baja",'Mapa final'!$AD$47="Menor"),CONCATENATE("R8C",'Mapa final'!$R$47),"")</f>
        <v/>
      </c>
      <c r="R43" s="52" t="str">
        <f>IF(AND('Mapa final'!$AB$48="Baja",'Mapa final'!$AD$48="Menor"),CONCATENATE("R8C",'Mapa final'!$R$48),"")</f>
        <v/>
      </c>
      <c r="S43" s="52" t="str">
        <f>IF(AND('Mapa final'!$AB$49="Baja",'Mapa final'!$AD$49="Menor"),CONCATENATE("R8C",'Mapa final'!$R$49),"")</f>
        <v/>
      </c>
      <c r="T43" s="52" t="str">
        <f>IF(AND('Mapa final'!$AB$50="Baja",'Mapa final'!$AD$50="Menor"),CONCATENATE("R8C",'Mapa final'!$R$50),"")</f>
        <v/>
      </c>
      <c r="U43" s="53" t="str">
        <f>IF(AND('Mapa final'!$AB$51="Baja",'Mapa final'!$AD$51="Menor"),CONCATENATE("R8C",'Mapa final'!$R$51),"")</f>
        <v/>
      </c>
      <c r="V43" s="51" t="str">
        <f>IF(AND('Mapa final'!$AB$46="Baja",'Mapa final'!$AD$46="Moderado"),CONCATENATE("R8C",'Mapa final'!$R$46),"")</f>
        <v/>
      </c>
      <c r="W43" s="52" t="str">
        <f>IF(AND('Mapa final'!$AB$47="Baja",'Mapa final'!$AD$47="Moderado"),CONCATENATE("R8C",'Mapa final'!$R$47),"")</f>
        <v/>
      </c>
      <c r="X43" s="52" t="str">
        <f>IF(AND('Mapa final'!$AB$48="Baja",'Mapa final'!$AD$48="Moderado"),CONCATENATE("R8C",'Mapa final'!$R$48),"")</f>
        <v/>
      </c>
      <c r="Y43" s="52" t="str">
        <f>IF(AND('Mapa final'!$AB$49="Baja",'Mapa final'!$AD$49="Moderado"),CONCATENATE("R8C",'Mapa final'!$R$49),"")</f>
        <v/>
      </c>
      <c r="Z43" s="52" t="str">
        <f>IF(AND('Mapa final'!$AB$50="Baja",'Mapa final'!$AD$50="Moderado"),CONCATENATE("R8C",'Mapa final'!$R$50),"")</f>
        <v/>
      </c>
      <c r="AA43" s="53" t="str">
        <f>IF(AND('Mapa final'!$AB$51="Baja",'Mapa final'!$AD$51="Moderado"),CONCATENATE("R8C",'Mapa final'!$R$51),"")</f>
        <v/>
      </c>
      <c r="AB43" s="36" t="str">
        <f>IF(AND('Mapa final'!$AB$46="Baja",'Mapa final'!$AD$46="Mayor"),CONCATENATE("R8C",'Mapa final'!$R$46),"")</f>
        <v/>
      </c>
      <c r="AC43" s="37" t="str">
        <f>IF(AND('Mapa final'!$AB$47="Baja",'Mapa final'!$AD$47="Mayor"),CONCATENATE("R8C",'Mapa final'!$R$47),"")</f>
        <v/>
      </c>
      <c r="AD43" s="37" t="str">
        <f>IF(AND('Mapa final'!$AB$48="Baja",'Mapa final'!$AD$48="Mayor"),CONCATENATE("R8C",'Mapa final'!$R$48),"")</f>
        <v/>
      </c>
      <c r="AE43" s="37" t="str">
        <f>IF(AND('Mapa final'!$AB$49="Baja",'Mapa final'!$AD$49="Mayor"),CONCATENATE("R8C",'Mapa final'!$R$49),"")</f>
        <v/>
      </c>
      <c r="AF43" s="37" t="str">
        <f>IF(AND('Mapa final'!$AB$50="Baja",'Mapa final'!$AD$50="Mayor"),CONCATENATE("R8C",'Mapa final'!$R$50),"")</f>
        <v/>
      </c>
      <c r="AG43" s="38" t="str">
        <f>IF(AND('Mapa final'!$AB$51="Baja",'Mapa final'!$AD$51="Mayor"),CONCATENATE("R8C",'Mapa final'!$R$51),"")</f>
        <v/>
      </c>
      <c r="AH43" s="39" t="str">
        <f>IF(AND('Mapa final'!$AB$46="Baja",'Mapa final'!$AD$46="Catastrófico"),CONCATENATE("R8C",'Mapa final'!$R$46),"")</f>
        <v/>
      </c>
      <c r="AI43" s="40" t="str">
        <f>IF(AND('Mapa final'!$AB$47="Baja",'Mapa final'!$AD$47="Catastrófico"),CONCATENATE("R8C",'Mapa final'!$R$47),"")</f>
        <v/>
      </c>
      <c r="AJ43" s="40" t="str">
        <f>IF(AND('Mapa final'!$AB$48="Baja",'Mapa final'!$AD$48="Catastrófico"),CONCATENATE("R8C",'Mapa final'!$R$48),"")</f>
        <v/>
      </c>
      <c r="AK43" s="40" t="str">
        <f>IF(AND('Mapa final'!$AB$49="Baja",'Mapa final'!$AD$49="Catastrófico"),CONCATENATE("R8C",'Mapa final'!$R$49),"")</f>
        <v/>
      </c>
      <c r="AL43" s="40" t="str">
        <f>IF(AND('Mapa final'!$AB$50="Baja",'Mapa final'!$AD$50="Catastrófico"),CONCATENATE("R8C",'Mapa final'!$R$50),"")</f>
        <v/>
      </c>
      <c r="AM43" s="41" t="str">
        <f>IF(AND('Mapa final'!$AB$51="Baja",'Mapa final'!$AD$51="Catastrófico"),CONCATENATE("R8C",'Mapa final'!$R$51),"")</f>
        <v/>
      </c>
      <c r="AN43" s="67"/>
      <c r="AO43" s="751"/>
      <c r="AP43" s="752"/>
      <c r="AQ43" s="752"/>
      <c r="AR43" s="752"/>
      <c r="AS43" s="752"/>
      <c r="AT43" s="753"/>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632"/>
      <c r="C44" s="632"/>
      <c r="D44" s="633"/>
      <c r="E44" s="731"/>
      <c r="F44" s="730"/>
      <c r="G44" s="730"/>
      <c r="H44" s="730"/>
      <c r="I44" s="730"/>
      <c r="J44" s="60" t="str">
        <f>IF(AND('Mapa final'!$AB$52="Baja",'Mapa final'!$AD$52="Leve"),CONCATENATE("R9C",'Mapa final'!$R$52),"")</f>
        <v/>
      </c>
      <c r="K44" s="61" t="str">
        <f>IF(AND('Mapa final'!$AB$53="Baja",'Mapa final'!$AD$53="Leve"),CONCATENATE("R9C",'Mapa final'!$R$53),"")</f>
        <v/>
      </c>
      <c r="L44" s="61" t="str">
        <f>IF(AND('Mapa final'!$AB$54="Baja",'Mapa final'!$AD$54="Leve"),CONCATENATE("R9C",'Mapa final'!$R$54),"")</f>
        <v/>
      </c>
      <c r="M44" s="61" t="str">
        <f>IF(AND('Mapa final'!$AB$55="Baja",'Mapa final'!$AD$55="Leve"),CONCATENATE("R9C",'Mapa final'!$R$55),"")</f>
        <v/>
      </c>
      <c r="N44" s="61" t="str">
        <f>IF(AND('Mapa final'!$AB$56="Baja",'Mapa final'!$AD$56="Leve"),CONCATENATE("R9C",'Mapa final'!$R$56),"")</f>
        <v/>
      </c>
      <c r="O44" s="62" t="str">
        <f>IF(AND('Mapa final'!$AB$57="Baja",'Mapa final'!$AD$57="Leve"),CONCATENATE("R9C",'Mapa final'!$R$57),"")</f>
        <v/>
      </c>
      <c r="P44" s="51" t="str">
        <f>IF(AND('Mapa final'!$AB$52="Baja",'Mapa final'!$AD$52="Menor"),CONCATENATE("R9C",'Mapa final'!$R$52),"")</f>
        <v/>
      </c>
      <c r="Q44" s="52" t="str">
        <f>IF(AND('Mapa final'!$AB$53="Baja",'Mapa final'!$AD$53="Menor"),CONCATENATE("R9C",'Mapa final'!$R$53),"")</f>
        <v/>
      </c>
      <c r="R44" s="52" t="str">
        <f>IF(AND('Mapa final'!$AB$54="Baja",'Mapa final'!$AD$54="Menor"),CONCATENATE("R9C",'Mapa final'!$R$54),"")</f>
        <v/>
      </c>
      <c r="S44" s="52" t="str">
        <f>IF(AND('Mapa final'!$AB$55="Baja",'Mapa final'!$AD$55="Menor"),CONCATENATE("R9C",'Mapa final'!$R$55),"")</f>
        <v/>
      </c>
      <c r="T44" s="52" t="str">
        <f>IF(AND('Mapa final'!$AB$56="Baja",'Mapa final'!$AD$56="Menor"),CONCATENATE("R9C",'Mapa final'!$R$56),"")</f>
        <v/>
      </c>
      <c r="U44" s="53" t="str">
        <f>IF(AND('Mapa final'!$AB$57="Baja",'Mapa final'!$AD$57="Menor"),CONCATENATE("R9C",'Mapa final'!$R$57),"")</f>
        <v/>
      </c>
      <c r="V44" s="51" t="str">
        <f>IF(AND('Mapa final'!$AB$52="Baja",'Mapa final'!$AD$52="Moderado"),CONCATENATE("R9C",'Mapa final'!$R$52),"")</f>
        <v/>
      </c>
      <c r="W44" s="52" t="str">
        <f>IF(AND('Mapa final'!$AB$53="Baja",'Mapa final'!$AD$53="Moderado"),CONCATENATE("R9C",'Mapa final'!$R$53),"")</f>
        <v/>
      </c>
      <c r="X44" s="52" t="str">
        <f>IF(AND('Mapa final'!$AB$54="Baja",'Mapa final'!$AD$54="Moderado"),CONCATENATE("R9C",'Mapa final'!$R$54),"")</f>
        <v/>
      </c>
      <c r="Y44" s="52" t="str">
        <f>IF(AND('Mapa final'!$AB$55="Baja",'Mapa final'!$AD$55="Moderado"),CONCATENATE("R9C",'Mapa final'!$R$55),"")</f>
        <v/>
      </c>
      <c r="Z44" s="52" t="str">
        <f>IF(AND('Mapa final'!$AB$56="Baja",'Mapa final'!$AD$56="Moderado"),CONCATENATE("R9C",'Mapa final'!$R$56),"")</f>
        <v/>
      </c>
      <c r="AA44" s="53" t="str">
        <f>IF(AND('Mapa final'!$AB$57="Baja",'Mapa final'!$AD$57="Moderado"),CONCATENATE("R9C",'Mapa final'!$R$57),"")</f>
        <v/>
      </c>
      <c r="AB44" s="36" t="str">
        <f>IF(AND('Mapa final'!$AB$52="Baja",'Mapa final'!$AD$52="Mayor"),CONCATENATE("R9C",'Mapa final'!$R$52),"")</f>
        <v/>
      </c>
      <c r="AC44" s="37" t="str">
        <f>IF(AND('Mapa final'!$AB$53="Baja",'Mapa final'!$AD$53="Mayor"),CONCATENATE("R9C",'Mapa final'!$R$53),"")</f>
        <v/>
      </c>
      <c r="AD44" s="37" t="str">
        <f>IF(AND('Mapa final'!$AB$54="Baja",'Mapa final'!$AD$54="Mayor"),CONCATENATE("R9C",'Mapa final'!$R$54),"")</f>
        <v/>
      </c>
      <c r="AE44" s="37" t="str">
        <f>IF(AND('Mapa final'!$AB$55="Baja",'Mapa final'!$AD$55="Mayor"),CONCATENATE("R9C",'Mapa final'!$R$55),"")</f>
        <v/>
      </c>
      <c r="AF44" s="37" t="str">
        <f>IF(AND('Mapa final'!$AB$56="Baja",'Mapa final'!$AD$56="Mayor"),CONCATENATE("R9C",'Mapa final'!$R$56),"")</f>
        <v/>
      </c>
      <c r="AG44" s="38" t="str">
        <f>IF(AND('Mapa final'!$AB$57="Baja",'Mapa final'!$AD$57="Mayor"),CONCATENATE("R9C",'Mapa final'!$R$57),"")</f>
        <v/>
      </c>
      <c r="AH44" s="39" t="str">
        <f>IF(AND('Mapa final'!$AB$52="Baja",'Mapa final'!$AD$52="Catastrófico"),CONCATENATE("R9C",'Mapa final'!$R$52),"")</f>
        <v/>
      </c>
      <c r="AI44" s="40" t="str">
        <f>IF(AND('Mapa final'!$AB$53="Baja",'Mapa final'!$AD$53="Catastrófico"),CONCATENATE("R9C",'Mapa final'!$R$53),"")</f>
        <v/>
      </c>
      <c r="AJ44" s="40" t="str">
        <f>IF(AND('Mapa final'!$AB$54="Baja",'Mapa final'!$AD$54="Catastrófico"),CONCATENATE("R9C",'Mapa final'!$R$54),"")</f>
        <v/>
      </c>
      <c r="AK44" s="40" t="str">
        <f>IF(AND('Mapa final'!$AB$55="Baja",'Mapa final'!$AD$55="Catastrófico"),CONCATENATE("R9C",'Mapa final'!$R$55),"")</f>
        <v/>
      </c>
      <c r="AL44" s="40" t="str">
        <f>IF(AND('Mapa final'!$AB$56="Baja",'Mapa final'!$AD$56="Catastrófico"),CONCATENATE("R9C",'Mapa final'!$R$56),"")</f>
        <v/>
      </c>
      <c r="AM44" s="41" t="str">
        <f>IF(AND('Mapa final'!$AB$57="Baja",'Mapa final'!$AD$57="Catastrófico"),CONCATENATE("R9C",'Mapa final'!$R$57),"")</f>
        <v/>
      </c>
      <c r="AN44" s="67"/>
      <c r="AO44" s="751"/>
      <c r="AP44" s="752"/>
      <c r="AQ44" s="752"/>
      <c r="AR44" s="752"/>
      <c r="AS44" s="752"/>
      <c r="AT44" s="753"/>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632"/>
      <c r="C45" s="632"/>
      <c r="D45" s="633"/>
      <c r="E45" s="732"/>
      <c r="F45" s="733"/>
      <c r="G45" s="733"/>
      <c r="H45" s="733"/>
      <c r="I45" s="733"/>
      <c r="J45" s="63" t="str">
        <f>IF(AND('Mapa final'!$AB$58="Baja",'Mapa final'!$AD$58="Leve"),CONCATENATE("R10C",'Mapa final'!$R$58),"")</f>
        <v/>
      </c>
      <c r="K45" s="64" t="str">
        <f>IF(AND('Mapa final'!$AB$59="Baja",'Mapa final'!$AD$59="Leve"),CONCATENATE("R10C",'Mapa final'!$R$59),"")</f>
        <v/>
      </c>
      <c r="L45" s="64" t="str">
        <f>IF(AND('Mapa final'!$AB$60="Baja",'Mapa final'!$AD$60="Leve"),CONCATENATE("R10C",'Mapa final'!$R$60),"")</f>
        <v/>
      </c>
      <c r="M45" s="64" t="str">
        <f>IF(AND('Mapa final'!$AB$61="Baja",'Mapa final'!$AD$61="Leve"),CONCATENATE("R10C",'Mapa final'!$R$61),"")</f>
        <v/>
      </c>
      <c r="N45" s="64" t="str">
        <f>IF(AND('Mapa final'!$AB$62="Baja",'Mapa final'!$AD$62="Leve"),CONCATENATE("R10C",'Mapa final'!$R$62),"")</f>
        <v/>
      </c>
      <c r="O45" s="65" t="str">
        <f>IF(AND('Mapa final'!$AB$63="Baja",'Mapa final'!$AD$63="Leve"),CONCATENATE("R10C",'Mapa final'!$R$63),"")</f>
        <v/>
      </c>
      <c r="P45" s="51" t="str">
        <f>IF(AND('Mapa final'!$AB$58="Baja",'Mapa final'!$AD$58="Menor"),CONCATENATE("R10C",'Mapa final'!$R$58),"")</f>
        <v/>
      </c>
      <c r="Q45" s="52" t="str">
        <f>IF(AND('Mapa final'!$AB$59="Baja",'Mapa final'!$AD$59="Menor"),CONCATENATE("R10C",'Mapa final'!$R$59),"")</f>
        <v/>
      </c>
      <c r="R45" s="52" t="str">
        <f>IF(AND('Mapa final'!$AB$60="Baja",'Mapa final'!$AD$60="Menor"),CONCATENATE("R10C",'Mapa final'!$R$60),"")</f>
        <v/>
      </c>
      <c r="S45" s="52" t="str">
        <f>IF(AND('Mapa final'!$AB$61="Baja",'Mapa final'!$AD$61="Menor"),CONCATENATE("R10C",'Mapa final'!$R$61),"")</f>
        <v/>
      </c>
      <c r="T45" s="52" t="str">
        <f>IF(AND('Mapa final'!$AB$62="Baja",'Mapa final'!$AD$62="Menor"),CONCATENATE("R10C",'Mapa final'!$R$62),"")</f>
        <v/>
      </c>
      <c r="U45" s="53" t="str">
        <f>IF(AND('Mapa final'!$AB$63="Baja",'Mapa final'!$AD$63="Menor"),CONCATENATE("R10C",'Mapa final'!$R$63),"")</f>
        <v/>
      </c>
      <c r="V45" s="54" t="str">
        <f>IF(AND('Mapa final'!$AB$58="Baja",'Mapa final'!$AD$58="Moderado"),CONCATENATE("R10C",'Mapa final'!$R$58),"")</f>
        <v/>
      </c>
      <c r="W45" s="55" t="str">
        <f>IF(AND('Mapa final'!$AB$59="Baja",'Mapa final'!$AD$59="Moderado"),CONCATENATE("R10C",'Mapa final'!$R$59),"")</f>
        <v/>
      </c>
      <c r="X45" s="55" t="str">
        <f>IF(AND('Mapa final'!$AB$60="Baja",'Mapa final'!$AD$60="Moderado"),CONCATENATE("R10C",'Mapa final'!$R$60),"")</f>
        <v/>
      </c>
      <c r="Y45" s="55" t="str">
        <f>IF(AND('Mapa final'!$AB$61="Baja",'Mapa final'!$AD$61="Moderado"),CONCATENATE("R10C",'Mapa final'!$R$61),"")</f>
        <v/>
      </c>
      <c r="Z45" s="55" t="str">
        <f>IF(AND('Mapa final'!$AB$62="Baja",'Mapa final'!$AD$62="Moderado"),CONCATENATE("R10C",'Mapa final'!$R$62),"")</f>
        <v/>
      </c>
      <c r="AA45" s="56" t="str">
        <f>IF(AND('Mapa final'!$AB$63="Baja",'Mapa final'!$AD$63="Moderado"),CONCATENATE("R10C",'Mapa final'!$R$63),"")</f>
        <v/>
      </c>
      <c r="AB45" s="42" t="str">
        <f>IF(AND('Mapa final'!$AB$58="Baja",'Mapa final'!$AD$58="Mayor"),CONCATENATE("R10C",'Mapa final'!$R$58),"")</f>
        <v/>
      </c>
      <c r="AC45" s="43" t="str">
        <f>IF(AND('Mapa final'!$AB$59="Baja",'Mapa final'!$AD$59="Mayor"),CONCATENATE("R10C",'Mapa final'!$R$59),"")</f>
        <v/>
      </c>
      <c r="AD45" s="43" t="str">
        <f>IF(AND('Mapa final'!$AB$60="Baja",'Mapa final'!$AD$60="Mayor"),CONCATENATE("R10C",'Mapa final'!$R$60),"")</f>
        <v/>
      </c>
      <c r="AE45" s="43" t="str">
        <f>IF(AND('Mapa final'!$AB$61="Baja",'Mapa final'!$AD$61="Mayor"),CONCATENATE("R10C",'Mapa final'!$R$61),"")</f>
        <v/>
      </c>
      <c r="AF45" s="43" t="str">
        <f>IF(AND('Mapa final'!$AB$62="Baja",'Mapa final'!$AD$62="Mayor"),CONCATENATE("R10C",'Mapa final'!$R$62),"")</f>
        <v/>
      </c>
      <c r="AG45" s="44" t="str">
        <f>IF(AND('Mapa final'!$AB$63="Baja",'Mapa final'!$AD$63="Mayor"),CONCATENATE("R10C",'Mapa final'!$R$63),"")</f>
        <v/>
      </c>
      <c r="AH45" s="45" t="str">
        <f>IF(AND('Mapa final'!$AB$58="Baja",'Mapa final'!$AD$58="Catastrófico"),CONCATENATE("R10C",'Mapa final'!$R$58),"")</f>
        <v/>
      </c>
      <c r="AI45" s="46" t="str">
        <f>IF(AND('Mapa final'!$AB$59="Baja",'Mapa final'!$AD$59="Catastrófico"),CONCATENATE("R10C",'Mapa final'!$R$59),"")</f>
        <v/>
      </c>
      <c r="AJ45" s="46" t="str">
        <f>IF(AND('Mapa final'!$AB$60="Baja",'Mapa final'!$AD$60="Catastrófico"),CONCATENATE("R10C",'Mapa final'!$R$60),"")</f>
        <v/>
      </c>
      <c r="AK45" s="46" t="str">
        <f>IF(AND('Mapa final'!$AB$61="Baja",'Mapa final'!$AD$61="Catastrófico"),CONCATENATE("R10C",'Mapa final'!$R$61),"")</f>
        <v/>
      </c>
      <c r="AL45" s="46" t="str">
        <f>IF(AND('Mapa final'!$AB$62="Baja",'Mapa final'!$AD$62="Catastrófico"),CONCATENATE("R10C",'Mapa final'!$R$62),"")</f>
        <v/>
      </c>
      <c r="AM45" s="47" t="str">
        <f>IF(AND('Mapa final'!$AB$63="Baja",'Mapa final'!$AD$63="Catastrófico"),CONCATENATE("R10C",'Mapa final'!$R$63),"")</f>
        <v/>
      </c>
      <c r="AN45" s="67"/>
      <c r="AO45" s="754"/>
      <c r="AP45" s="755"/>
      <c r="AQ45" s="755"/>
      <c r="AR45" s="755"/>
      <c r="AS45" s="755"/>
      <c r="AT45" s="756"/>
    </row>
    <row r="46" spans="1:80" ht="46.5" customHeight="1" x14ac:dyDescent="0.45">
      <c r="A46" s="67"/>
      <c r="B46" s="632"/>
      <c r="C46" s="632"/>
      <c r="D46" s="633"/>
      <c r="E46" s="727" t="s">
        <v>107</v>
      </c>
      <c r="F46" s="728"/>
      <c r="G46" s="728"/>
      <c r="H46" s="728"/>
      <c r="I46" s="745"/>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632"/>
      <c r="C47" s="632"/>
      <c r="D47" s="633"/>
      <c r="E47" s="729"/>
      <c r="F47" s="730"/>
      <c r="G47" s="730"/>
      <c r="H47" s="730"/>
      <c r="I47" s="746"/>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R2C3</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632"/>
      <c r="C48" s="632"/>
      <c r="D48" s="633"/>
      <c r="E48" s="729"/>
      <c r="F48" s="730"/>
      <c r="G48" s="730"/>
      <c r="H48" s="730"/>
      <c r="I48" s="746"/>
      <c r="J48" s="60" t="str">
        <f>IF(AND('Mapa final'!$AB$19="Muy Baja",'Mapa final'!$AD$19="Leve"),CONCATENATE("R3C",'Mapa final'!$R$19),"")</f>
        <v/>
      </c>
      <c r="K48" s="61" t="str">
        <f>IF(AND('Mapa final'!$AB$20="Muy Baja",'Mapa final'!$AD$20="Leve"),CONCATENATE("R3C",'Mapa final'!$R$20),"")</f>
        <v/>
      </c>
      <c r="L48" s="61" t="str">
        <f>IF(AND('Mapa final'!$AB$21="Muy Baja",'Mapa final'!$AD$21="Leve"),CONCATENATE("R3C",'Mapa final'!$R$21),"")</f>
        <v>R3C2</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str">
        <f>IF(AND('Mapa final'!$AB$19="Muy Baja",'Mapa final'!$AD$19="Menor"),CONCATENATE("R3C",'Mapa final'!$R$19),"")</f>
        <v>R3C1</v>
      </c>
      <c r="Q48" s="61" t="str">
        <f>IF(AND('Mapa final'!$AB$20="Muy Baja",'Mapa final'!$AD$20="Menor"),CONCATENATE("R3C",'Mapa final'!$R$20),"")</f>
        <v/>
      </c>
      <c r="R48" s="61" t="str">
        <f>IF(AND('Mapa final'!$AB$21="Muy Baja",'Mapa final'!$AD$21="Menor"),CONCATENATE("R3C",'Mapa final'!$R$21),"")</f>
        <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str">
        <f>IF(AND('Mapa final'!$AB$19="Muy Baja",'Mapa final'!$AD$19="Moderado"),CONCATENATE("R3C",'Mapa final'!$R$19),"")</f>
        <v/>
      </c>
      <c r="W48" s="52" t="str">
        <f>IF(AND('Mapa final'!$AB$20="Muy Baja",'Mapa final'!$AD$20="Moderado"),CONCATENATE("R3C",'Mapa final'!$R$20),"")</f>
        <v/>
      </c>
      <c r="X48" s="52" t="str">
        <f>IF(AND('Mapa final'!$AB$21="Muy Baja",'Mapa final'!$AD$21="Moderado"),CONCATENATE("R3C",'Mapa final'!$R$21),"")</f>
        <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str">
        <f>IF(AND('Mapa final'!$AB$19="Muy Baja",'Mapa final'!$AD$19="Mayor"),CONCATENATE("R3C",'Mapa final'!$R$19),"")</f>
        <v/>
      </c>
      <c r="AC48" s="37" t="str">
        <f>IF(AND('Mapa final'!$AB$20="Muy Baja",'Mapa final'!$AD$20="Mayor"),CONCATENATE("R3C",'Mapa final'!$R$20),"")</f>
        <v/>
      </c>
      <c r="AD48" s="37" t="str">
        <f>IF(AND('Mapa final'!$AB$21="Muy Baja",'Mapa final'!$AD$21="Mayor"),CONCATENATE("R3C",'Mapa final'!$R$21),"")</f>
        <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str">
        <f>IF(AND('Mapa final'!$AB$19="Muy Baja",'Mapa final'!$AD$19="Catastrófico"),CONCATENATE("R3C",'Mapa final'!$R$19),"")</f>
        <v/>
      </c>
      <c r="AI48" s="40" t="str">
        <f>IF(AND('Mapa final'!$AB$20="Muy Baja",'Mapa final'!$AD$20="Catastrófico"),CONCATENATE("R3C",'Mapa final'!$R$20),"")</f>
        <v/>
      </c>
      <c r="AJ48" s="40" t="str">
        <f>IF(AND('Mapa final'!$AB$21="Muy Baja",'Mapa final'!$AD$21="Catastrófico"),CONCATENATE("R3C",'Mapa final'!$R$21),"")</f>
        <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632"/>
      <c r="C49" s="632"/>
      <c r="D49" s="633"/>
      <c r="E49" s="731"/>
      <c r="F49" s="730"/>
      <c r="G49" s="730"/>
      <c r="H49" s="730"/>
      <c r="I49" s="746"/>
      <c r="J49" s="60" t="str">
        <f>IF(AND('Mapa final'!$AB$22="Muy Baja",'Mapa final'!$AD$22="Leve"),CONCATENATE("R4C",'Mapa final'!$R$22),"")</f>
        <v/>
      </c>
      <c r="K49" s="61" t="str">
        <f>IF(AND('Mapa final'!$AB$23="Muy Baja",'Mapa final'!$AD$23="Leve"),CONCATENATE("R4C",'Mapa final'!$R$23),"")</f>
        <v/>
      </c>
      <c r="L49" s="61" t="str">
        <f>IF(AND('Mapa final'!$AB$24="Muy Baja",'Mapa final'!$AD$24="Leve"),CONCATENATE("R4C",'Mapa final'!$R$24),"")</f>
        <v/>
      </c>
      <c r="M49" s="61" t="str">
        <f>IF(AND('Mapa final'!$AB$25="Muy Baja",'Mapa final'!$AD$25="Leve"),CONCATENATE("R4C",'Mapa final'!$R$25),"")</f>
        <v/>
      </c>
      <c r="N49" s="61" t="str">
        <f>IF(AND('Mapa final'!$AB$26="Muy Baja",'Mapa final'!$AD$26="Leve"),CONCATENATE("R4C",'Mapa final'!$R$26),"")</f>
        <v/>
      </c>
      <c r="O49" s="62" t="str">
        <f>IF(AND('Mapa final'!$AB$27="Muy Baja",'Mapa final'!$AD$27="Leve"),CONCATENATE("R4C",'Mapa final'!$R$27),"")</f>
        <v/>
      </c>
      <c r="P49" s="60" t="str">
        <f>IF(AND('Mapa final'!$AB$22="Muy Baja",'Mapa final'!$AD$22="Menor"),CONCATENATE("R4C",'Mapa final'!$R$22),"")</f>
        <v/>
      </c>
      <c r="Q49" s="61" t="str">
        <f>IF(AND('Mapa final'!$AB$23="Muy Baja",'Mapa final'!$AD$23="Menor"),CONCATENATE("R4C",'Mapa final'!$R$23),"")</f>
        <v/>
      </c>
      <c r="R49" s="61" t="str">
        <f>IF(AND('Mapa final'!$AB$24="Muy Baja",'Mapa final'!$AD$24="Menor"),CONCATENATE("R4C",'Mapa final'!$R$24),"")</f>
        <v/>
      </c>
      <c r="S49" s="61" t="str">
        <f>IF(AND('Mapa final'!$AB$25="Muy Baja",'Mapa final'!$AD$25="Menor"),CONCATENATE("R4C",'Mapa final'!$R$25),"")</f>
        <v/>
      </c>
      <c r="T49" s="61" t="str">
        <f>IF(AND('Mapa final'!$AB$26="Muy Baja",'Mapa final'!$AD$26="Menor"),CONCATENATE("R4C",'Mapa final'!$R$26),"")</f>
        <v/>
      </c>
      <c r="U49" s="62" t="str">
        <f>IF(AND('Mapa final'!$AB$27="Muy Baja",'Mapa final'!$AD$27="Menor"),CONCATENATE("R4C",'Mapa final'!$R$27),"")</f>
        <v/>
      </c>
      <c r="V49" s="51" t="str">
        <f>IF(AND('Mapa final'!$AB$22="Muy Baja",'Mapa final'!$AD$22="Moderado"),CONCATENATE("R4C",'Mapa final'!$R$22),"")</f>
        <v/>
      </c>
      <c r="W49" s="52" t="str">
        <f>IF(AND('Mapa final'!$AB$23="Muy Baja",'Mapa final'!$AD$23="Moderado"),CONCATENATE("R4C",'Mapa final'!$R$23),"")</f>
        <v/>
      </c>
      <c r="X49" s="52" t="str">
        <f>IF(AND('Mapa final'!$AB$24="Muy Baja",'Mapa final'!$AD$24="Moderado"),CONCATENATE("R4C",'Mapa final'!$R$24),"")</f>
        <v/>
      </c>
      <c r="Y49" s="52" t="str">
        <f>IF(AND('Mapa final'!$AB$25="Muy Baja",'Mapa final'!$AD$25="Moderado"),CONCATENATE("R4C",'Mapa final'!$R$25),"")</f>
        <v/>
      </c>
      <c r="Z49" s="52" t="str">
        <f>IF(AND('Mapa final'!$AB$26="Muy Baja",'Mapa final'!$AD$26="Moderado"),CONCATENATE("R4C",'Mapa final'!$R$26),"")</f>
        <v/>
      </c>
      <c r="AA49" s="53" t="str">
        <f>IF(AND('Mapa final'!$AB$27="Muy Baja",'Mapa final'!$AD$27="Moderado"),CONCATENATE("R4C",'Mapa final'!$R$27),"")</f>
        <v/>
      </c>
      <c r="AB49" s="36" t="str">
        <f>IF(AND('Mapa final'!$AB$22="Muy Baja",'Mapa final'!$AD$22="Mayor"),CONCATENATE("R4C",'Mapa final'!$R$22),"")</f>
        <v/>
      </c>
      <c r="AC49" s="37" t="str">
        <f>IF(AND('Mapa final'!$AB$23="Muy Baja",'Mapa final'!$AD$23="Mayor"),CONCATENATE("R4C",'Mapa final'!$R$23),"")</f>
        <v/>
      </c>
      <c r="AD49" s="37" t="str">
        <f>IF(AND('Mapa final'!$AB$24="Muy Baja",'Mapa final'!$AD$24="Mayor"),CONCATENATE("R4C",'Mapa final'!$R$24),"")</f>
        <v/>
      </c>
      <c r="AE49" s="37" t="str">
        <f>IF(AND('Mapa final'!$AB$25="Muy Baja",'Mapa final'!$AD$25="Mayor"),CONCATENATE("R4C",'Mapa final'!$R$25),"")</f>
        <v/>
      </c>
      <c r="AF49" s="37" t="str">
        <f>IF(AND('Mapa final'!$AB$26="Muy Baja",'Mapa final'!$AD$26="Mayor"),CONCATENATE("R4C",'Mapa final'!$R$26),"")</f>
        <v/>
      </c>
      <c r="AG49" s="38" t="str">
        <f>IF(AND('Mapa final'!$AB$27="Muy Baja",'Mapa final'!$AD$27="Mayor"),CONCATENATE("R4C",'Mapa final'!$R$27),"")</f>
        <v/>
      </c>
      <c r="AH49" s="39" t="str">
        <f>IF(AND('Mapa final'!$AB$22="Muy Baja",'Mapa final'!$AD$22="Catastrófico"),CONCATENATE("R4C",'Mapa final'!$R$22),"")</f>
        <v/>
      </c>
      <c r="AI49" s="40" t="str">
        <f>IF(AND('Mapa final'!$AB$23="Muy Baja",'Mapa final'!$AD$23="Catastrófico"),CONCATENATE("R4C",'Mapa final'!$R$23),"")</f>
        <v/>
      </c>
      <c r="AJ49" s="40" t="str">
        <f>IF(AND('Mapa final'!$AB$24="Muy Baja",'Mapa final'!$AD$24="Catastrófico"),CONCATENATE("R4C",'Mapa final'!$R$24),"")</f>
        <v/>
      </c>
      <c r="AK49" s="40" t="str">
        <f>IF(AND('Mapa final'!$AB$25="Muy Baja",'Mapa final'!$AD$25="Catastrófico"),CONCATENATE("R4C",'Mapa final'!$R$25),"")</f>
        <v/>
      </c>
      <c r="AL49" s="40" t="str">
        <f>IF(AND('Mapa final'!$AB$26="Muy Baja",'Mapa final'!$AD$26="Catastrófico"),CONCATENATE("R4C",'Mapa final'!$R$26),"")</f>
        <v/>
      </c>
      <c r="AM49" s="41" t="str">
        <f>IF(AND('Mapa final'!$AB$27="Muy Baja",'Mapa final'!$AD$27="Catastrófico"),CONCATENATE("R4C",'Mapa final'!$R$27),"")</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632"/>
      <c r="C50" s="632"/>
      <c r="D50" s="633"/>
      <c r="E50" s="731"/>
      <c r="F50" s="730"/>
      <c r="G50" s="730"/>
      <c r="H50" s="730"/>
      <c r="I50" s="746"/>
      <c r="J50" s="60" t="str">
        <f>IF(AND('Mapa final'!$AB$28="Muy Baja",'Mapa final'!$AD$28="Leve"),CONCATENATE("R5C",'Mapa final'!$R$28),"")</f>
        <v/>
      </c>
      <c r="K50" s="61" t="str">
        <f>IF(AND('Mapa final'!$AB$29="Muy Baja",'Mapa final'!$AD$29="Leve"),CONCATENATE("R5C",'Mapa final'!$R$29),"")</f>
        <v/>
      </c>
      <c r="L50" s="61" t="str">
        <f>IF(AND('Mapa final'!$AB$30="Muy Baja",'Mapa final'!$AD$30="Leve"),CONCATENATE("R5C",'Mapa final'!$R$30),"")</f>
        <v/>
      </c>
      <c r="M50" s="61" t="str">
        <f>IF(AND('Mapa final'!$AB$31="Muy Baja",'Mapa final'!$AD$31="Leve"),CONCATENATE("R5C",'Mapa final'!$R$31),"")</f>
        <v/>
      </c>
      <c r="N50" s="61" t="str">
        <f>IF(AND('Mapa final'!$AB$32="Muy Baja",'Mapa final'!$AD$32="Leve"),CONCATENATE("R5C",'Mapa final'!$R$32),"")</f>
        <v/>
      </c>
      <c r="O50" s="62" t="str">
        <f>IF(AND('Mapa final'!$AB$33="Muy Baja",'Mapa final'!$AD$33="Leve"),CONCATENATE("R5C",'Mapa final'!$R$33),"")</f>
        <v/>
      </c>
      <c r="P50" s="60" t="str">
        <f>IF(AND('Mapa final'!$AB$28="Muy Baja",'Mapa final'!$AD$28="Menor"),CONCATENATE("R5C",'Mapa final'!$R$28),"")</f>
        <v/>
      </c>
      <c r="Q50" s="61" t="str">
        <f>IF(AND('Mapa final'!$AB$29="Muy Baja",'Mapa final'!$AD$29="Menor"),CONCATENATE("R5C",'Mapa final'!$R$29),"")</f>
        <v/>
      </c>
      <c r="R50" s="61" t="str">
        <f>IF(AND('Mapa final'!$AB$30="Muy Baja",'Mapa final'!$AD$30="Menor"),CONCATENATE("R5C",'Mapa final'!$R$30),"")</f>
        <v/>
      </c>
      <c r="S50" s="61" t="str">
        <f>IF(AND('Mapa final'!$AB$31="Muy Baja",'Mapa final'!$AD$31="Menor"),CONCATENATE("R5C",'Mapa final'!$R$31),"")</f>
        <v/>
      </c>
      <c r="T50" s="61" t="str">
        <f>IF(AND('Mapa final'!$AB$32="Muy Baja",'Mapa final'!$AD$32="Menor"),CONCATENATE("R5C",'Mapa final'!$R$32),"")</f>
        <v/>
      </c>
      <c r="U50" s="62" t="str">
        <f>IF(AND('Mapa final'!$AB$33="Muy Baja",'Mapa final'!$AD$33="Menor"),CONCATENATE("R5C",'Mapa final'!$R$33),"")</f>
        <v/>
      </c>
      <c r="V50" s="51" t="str">
        <f>IF(AND('Mapa final'!$AB$28="Muy Baja",'Mapa final'!$AD$28="Moderado"),CONCATENATE("R5C",'Mapa final'!$R$28),"")</f>
        <v/>
      </c>
      <c r="W50" s="52" t="str">
        <f>IF(AND('Mapa final'!$AB$29="Muy Baja",'Mapa final'!$AD$29="Moderado"),CONCATENATE("R5C",'Mapa final'!$R$29),"")</f>
        <v/>
      </c>
      <c r="X50" s="52" t="str">
        <f>IF(AND('Mapa final'!$AB$30="Muy Baja",'Mapa final'!$AD$30="Moderado"),CONCATENATE("R5C",'Mapa final'!$R$30),"")</f>
        <v/>
      </c>
      <c r="Y50" s="52" t="str">
        <f>IF(AND('Mapa final'!$AB$31="Muy Baja",'Mapa final'!$AD$31="Moderado"),CONCATENATE("R5C",'Mapa final'!$R$31),"")</f>
        <v/>
      </c>
      <c r="Z50" s="52" t="str">
        <f>IF(AND('Mapa final'!$AB$32="Muy Baja",'Mapa final'!$AD$32="Moderado"),CONCATENATE("R5C",'Mapa final'!$R$32),"")</f>
        <v/>
      </c>
      <c r="AA50" s="53" t="str">
        <f>IF(AND('Mapa final'!$AB$33="Muy Baja",'Mapa final'!$AD$33="Moderado"),CONCATENATE("R5C",'Mapa final'!$R$33),"")</f>
        <v/>
      </c>
      <c r="AB50" s="36" t="str">
        <f>IF(AND('Mapa final'!$AB$28="Muy Baja",'Mapa final'!$AD$28="Mayor"),CONCATENATE("R5C",'Mapa final'!$R$28),"")</f>
        <v/>
      </c>
      <c r="AC50" s="37" t="str">
        <f>IF(AND('Mapa final'!$AB$29="Muy Baja",'Mapa final'!$AD$29="Mayor"),CONCATENATE("R5C",'Mapa final'!$R$29),"")</f>
        <v/>
      </c>
      <c r="AD50" s="37" t="str">
        <f>IF(AND('Mapa final'!$AB$30="Muy Baja",'Mapa final'!$AD$30="Mayor"),CONCATENATE("R5C",'Mapa final'!$R$30),"")</f>
        <v/>
      </c>
      <c r="AE50" s="37" t="str">
        <f>IF(AND('Mapa final'!$AB$31="Muy Baja",'Mapa final'!$AD$31="Mayor"),CONCATENATE("R5C",'Mapa final'!$R$31),"")</f>
        <v/>
      </c>
      <c r="AF50" s="37" t="str">
        <f>IF(AND('Mapa final'!$AB$32="Muy Baja",'Mapa final'!$AD$32="Mayor"),CONCATENATE("R5C",'Mapa final'!$R$32),"")</f>
        <v/>
      </c>
      <c r="AG50" s="38" t="str">
        <f>IF(AND('Mapa final'!$AB$33="Muy Baja",'Mapa final'!$AD$33="Mayor"),CONCATENATE("R5C",'Mapa final'!$R$33),"")</f>
        <v/>
      </c>
      <c r="AH50" s="39" t="str">
        <f>IF(AND('Mapa final'!$AB$28="Muy Baja",'Mapa final'!$AD$28="Catastrófico"),CONCATENATE("R5C",'Mapa final'!$R$28),"")</f>
        <v/>
      </c>
      <c r="AI50" s="40" t="str">
        <f>IF(AND('Mapa final'!$AB$29="Muy Baja",'Mapa final'!$AD$29="Catastrófico"),CONCATENATE("R5C",'Mapa final'!$R$29),"")</f>
        <v/>
      </c>
      <c r="AJ50" s="40" t="str">
        <f>IF(AND('Mapa final'!$AB$30="Muy Baja",'Mapa final'!$AD$30="Catastrófico"),CONCATENATE("R5C",'Mapa final'!$R$30),"")</f>
        <v/>
      </c>
      <c r="AK50" s="40" t="str">
        <f>IF(AND('Mapa final'!$AB$31="Muy Baja",'Mapa final'!$AD$31="Catastrófico"),CONCATENATE("R5C",'Mapa final'!$R$31),"")</f>
        <v/>
      </c>
      <c r="AL50" s="40" t="str">
        <f>IF(AND('Mapa final'!$AB$32="Muy Baja",'Mapa final'!$AD$32="Catastrófico"),CONCATENATE("R5C",'Mapa final'!$R$32),"")</f>
        <v/>
      </c>
      <c r="AM50" s="41" t="str">
        <f>IF(AND('Mapa final'!$AB$33="Muy Baja",'Mapa final'!$AD$33="Catastrófico"),CONCATENATE("R5C",'Mapa final'!$R$33),"")</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632"/>
      <c r="C51" s="632"/>
      <c r="D51" s="633"/>
      <c r="E51" s="731"/>
      <c r="F51" s="730"/>
      <c r="G51" s="730"/>
      <c r="H51" s="730"/>
      <c r="I51" s="746"/>
      <c r="J51" s="60" t="str">
        <f>IF(AND('Mapa final'!$AB$34="Muy Baja",'Mapa final'!$AD$34="Leve"),CONCATENATE("R6C",'Mapa final'!$R$34),"")</f>
        <v/>
      </c>
      <c r="K51" s="61" t="str">
        <f>IF(AND('Mapa final'!$AB$35="Muy Baja",'Mapa final'!$AD$35="Leve"),CONCATENATE("R6C",'Mapa final'!$R$35),"")</f>
        <v/>
      </c>
      <c r="L51" s="61" t="str">
        <f>IF(AND('Mapa final'!$AB$36="Muy Baja",'Mapa final'!$AD$36="Leve"),CONCATENATE("R6C",'Mapa final'!$R$36),"")</f>
        <v/>
      </c>
      <c r="M51" s="61" t="str">
        <f>IF(AND('Mapa final'!$AB$37="Muy Baja",'Mapa final'!$AD$37="Leve"),CONCATENATE("R6C",'Mapa final'!$R$37),"")</f>
        <v/>
      </c>
      <c r="N51" s="61" t="str">
        <f>IF(AND('Mapa final'!$AB$38="Muy Baja",'Mapa final'!$AD$38="Leve"),CONCATENATE("R6C",'Mapa final'!$R$38),"")</f>
        <v/>
      </c>
      <c r="O51" s="62" t="str">
        <f>IF(AND('Mapa final'!$AB$39="Muy Baja",'Mapa final'!$AD$39="Leve"),CONCATENATE("R6C",'Mapa final'!$R$39),"")</f>
        <v/>
      </c>
      <c r="P51" s="60" t="str">
        <f>IF(AND('Mapa final'!$AB$34="Muy Baja",'Mapa final'!$AD$34="Menor"),CONCATENATE("R6C",'Mapa final'!$R$34),"")</f>
        <v/>
      </c>
      <c r="Q51" s="61" t="str">
        <f>IF(AND('Mapa final'!$AB$35="Muy Baja",'Mapa final'!$AD$35="Menor"),CONCATENATE("R6C",'Mapa final'!$R$35),"")</f>
        <v/>
      </c>
      <c r="R51" s="61" t="str">
        <f>IF(AND('Mapa final'!$AB$36="Muy Baja",'Mapa final'!$AD$36="Menor"),CONCATENATE("R6C",'Mapa final'!$R$36),"")</f>
        <v/>
      </c>
      <c r="S51" s="61" t="str">
        <f>IF(AND('Mapa final'!$AB$37="Muy Baja",'Mapa final'!$AD$37="Menor"),CONCATENATE("R6C",'Mapa final'!$R$37),"")</f>
        <v/>
      </c>
      <c r="T51" s="61" t="str">
        <f>IF(AND('Mapa final'!$AB$38="Muy Baja",'Mapa final'!$AD$38="Menor"),CONCATENATE("R6C",'Mapa final'!$R$38),"")</f>
        <v/>
      </c>
      <c r="U51" s="62" t="str">
        <f>IF(AND('Mapa final'!$AB$39="Muy Baja",'Mapa final'!$AD$39="Menor"),CONCATENATE("R6C",'Mapa final'!$R$39),"")</f>
        <v/>
      </c>
      <c r="V51" s="51" t="str">
        <f>IF(AND('Mapa final'!$AB$34="Muy Baja",'Mapa final'!$AD$34="Moderado"),CONCATENATE("R6C",'Mapa final'!$R$34),"")</f>
        <v/>
      </c>
      <c r="W51" s="52" t="str">
        <f>IF(AND('Mapa final'!$AB$35="Muy Baja",'Mapa final'!$AD$35="Moderado"),CONCATENATE("R6C",'Mapa final'!$R$35),"")</f>
        <v/>
      </c>
      <c r="X51" s="52" t="str">
        <f>IF(AND('Mapa final'!$AB$36="Muy Baja",'Mapa final'!$AD$36="Moderado"),CONCATENATE("R6C",'Mapa final'!$R$36),"")</f>
        <v/>
      </c>
      <c r="Y51" s="52" t="str">
        <f>IF(AND('Mapa final'!$AB$37="Muy Baja",'Mapa final'!$AD$37="Moderado"),CONCATENATE("R6C",'Mapa final'!$R$37),"")</f>
        <v/>
      </c>
      <c r="Z51" s="52" t="str">
        <f>IF(AND('Mapa final'!$AB$38="Muy Baja",'Mapa final'!$AD$38="Moderado"),CONCATENATE("R6C",'Mapa final'!$R$38),"")</f>
        <v/>
      </c>
      <c r="AA51" s="53" t="str">
        <f>IF(AND('Mapa final'!$AB$39="Muy Baja",'Mapa final'!$AD$39="Moderado"),CONCATENATE("R6C",'Mapa final'!$R$39),"")</f>
        <v/>
      </c>
      <c r="AB51" s="36" t="str">
        <f>IF(AND('Mapa final'!$AB$34="Muy Baja",'Mapa final'!$AD$34="Mayor"),CONCATENATE("R6C",'Mapa final'!$R$34),"")</f>
        <v/>
      </c>
      <c r="AC51" s="37" t="str">
        <f>IF(AND('Mapa final'!$AB$35="Muy Baja",'Mapa final'!$AD$35="Mayor"),CONCATENATE("R6C",'Mapa final'!$R$35),"")</f>
        <v/>
      </c>
      <c r="AD51" s="37" t="str">
        <f>IF(AND('Mapa final'!$AB$36="Muy Baja",'Mapa final'!$AD$36="Mayor"),CONCATENATE("R6C",'Mapa final'!$R$36),"")</f>
        <v/>
      </c>
      <c r="AE51" s="37" t="str">
        <f>IF(AND('Mapa final'!$AB$37="Muy Baja",'Mapa final'!$AD$37="Mayor"),CONCATENATE("R6C",'Mapa final'!$R$37),"")</f>
        <v/>
      </c>
      <c r="AF51" s="37" t="str">
        <f>IF(AND('Mapa final'!$AB$38="Muy Baja",'Mapa final'!$AD$38="Mayor"),CONCATENATE("R6C",'Mapa final'!$R$38),"")</f>
        <v/>
      </c>
      <c r="AG51" s="38" t="str">
        <f>IF(AND('Mapa final'!$AB$39="Muy Baja",'Mapa final'!$AD$39="Mayor"),CONCATENATE("R6C",'Mapa final'!$R$39),"")</f>
        <v/>
      </c>
      <c r="AH51" s="39" t="str">
        <f>IF(AND('Mapa final'!$AB$34="Muy Baja",'Mapa final'!$AD$34="Catastrófico"),CONCATENATE("R6C",'Mapa final'!$R$34),"")</f>
        <v/>
      </c>
      <c r="AI51" s="40" t="str">
        <f>IF(AND('Mapa final'!$AB$35="Muy Baja",'Mapa final'!$AD$35="Catastrófico"),CONCATENATE("R6C",'Mapa final'!$R$35),"")</f>
        <v/>
      </c>
      <c r="AJ51" s="40" t="str">
        <f>IF(AND('Mapa final'!$AB$36="Muy Baja",'Mapa final'!$AD$36="Catastrófico"),CONCATENATE("R6C",'Mapa final'!$R$36),"")</f>
        <v/>
      </c>
      <c r="AK51" s="40" t="str">
        <f>IF(AND('Mapa final'!$AB$37="Muy Baja",'Mapa final'!$AD$37="Catastrófico"),CONCATENATE("R6C",'Mapa final'!$R$37),"")</f>
        <v/>
      </c>
      <c r="AL51" s="40" t="str">
        <f>IF(AND('Mapa final'!$AB$38="Muy Baja",'Mapa final'!$AD$38="Catastrófico"),CONCATENATE("R6C",'Mapa final'!$R$38),"")</f>
        <v/>
      </c>
      <c r="AM51" s="41" t="str">
        <f>IF(AND('Mapa final'!$AB$39="Muy Baja",'Mapa final'!$AD$39="Catastrófico"),CONCATENATE("R6C",'Mapa final'!$R$39),"")</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632"/>
      <c r="C52" s="632"/>
      <c r="D52" s="633"/>
      <c r="E52" s="731"/>
      <c r="F52" s="730"/>
      <c r="G52" s="730"/>
      <c r="H52" s="730"/>
      <c r="I52" s="746"/>
      <c r="J52" s="60" t="str">
        <f>IF(AND('Mapa final'!$AB$40="Muy Baja",'Mapa final'!$AD$40="Leve"),CONCATENATE("R7C",'Mapa final'!$R$40),"")</f>
        <v/>
      </c>
      <c r="K52" s="61" t="str">
        <f>IF(AND('Mapa final'!$AB$41="Muy Baja",'Mapa final'!$AD$41="Leve"),CONCATENATE("R7C",'Mapa final'!$R$41),"")</f>
        <v/>
      </c>
      <c r="L52" s="61" t="str">
        <f>IF(AND('Mapa final'!$AB$42="Muy Baja",'Mapa final'!$AD$42="Leve"),CONCATENATE("R7C",'Mapa final'!$R$42),"")</f>
        <v/>
      </c>
      <c r="M52" s="61" t="str">
        <f>IF(AND('Mapa final'!$AB$43="Muy Baja",'Mapa final'!$AD$43="Leve"),CONCATENATE("R7C",'Mapa final'!$R$43),"")</f>
        <v/>
      </c>
      <c r="N52" s="61" t="str">
        <f>IF(AND('Mapa final'!$AB$44="Muy Baja",'Mapa final'!$AD$44="Leve"),CONCATENATE("R7C",'Mapa final'!$R$44),"")</f>
        <v/>
      </c>
      <c r="O52" s="62" t="str">
        <f>IF(AND('Mapa final'!$AB$45="Muy Baja",'Mapa final'!$AD$45="Leve"),CONCATENATE("R7C",'Mapa final'!$R$45),"")</f>
        <v/>
      </c>
      <c r="P52" s="60" t="str">
        <f>IF(AND('Mapa final'!$AB$40="Muy Baja",'Mapa final'!$AD$40="Menor"),CONCATENATE("R7C",'Mapa final'!$R$40),"")</f>
        <v/>
      </c>
      <c r="Q52" s="61" t="str">
        <f>IF(AND('Mapa final'!$AB$41="Muy Baja",'Mapa final'!$AD$41="Menor"),CONCATENATE("R7C",'Mapa final'!$R$41),"")</f>
        <v/>
      </c>
      <c r="R52" s="61" t="str">
        <f>IF(AND('Mapa final'!$AB$42="Muy Baja",'Mapa final'!$AD$42="Menor"),CONCATENATE("R7C",'Mapa final'!$R$42),"")</f>
        <v/>
      </c>
      <c r="S52" s="61" t="str">
        <f>IF(AND('Mapa final'!$AB$43="Muy Baja",'Mapa final'!$AD$43="Menor"),CONCATENATE("R7C",'Mapa final'!$R$43),"")</f>
        <v/>
      </c>
      <c r="T52" s="61" t="str">
        <f>IF(AND('Mapa final'!$AB$44="Muy Baja",'Mapa final'!$AD$44="Menor"),CONCATENATE("R7C",'Mapa final'!$R$44),"")</f>
        <v/>
      </c>
      <c r="U52" s="62" t="str">
        <f>IF(AND('Mapa final'!$AB$45="Muy Baja",'Mapa final'!$AD$45="Menor"),CONCATENATE("R7C",'Mapa final'!$R$45),"")</f>
        <v/>
      </c>
      <c r="V52" s="51" t="str">
        <f>IF(AND('Mapa final'!$AB$40="Muy Baja",'Mapa final'!$AD$40="Moderado"),CONCATENATE("R7C",'Mapa final'!$R$40),"")</f>
        <v/>
      </c>
      <c r="W52" s="52" t="str">
        <f>IF(AND('Mapa final'!$AB$41="Muy Baja",'Mapa final'!$AD$41="Moderado"),CONCATENATE("R7C",'Mapa final'!$R$41),"")</f>
        <v/>
      </c>
      <c r="X52" s="52" t="str">
        <f>IF(AND('Mapa final'!$AB$42="Muy Baja",'Mapa final'!$AD$42="Moderado"),CONCATENATE("R7C",'Mapa final'!$R$42),"")</f>
        <v/>
      </c>
      <c r="Y52" s="52" t="str">
        <f>IF(AND('Mapa final'!$AB$43="Muy Baja",'Mapa final'!$AD$43="Moderado"),CONCATENATE("R7C",'Mapa final'!$R$43),"")</f>
        <v/>
      </c>
      <c r="Z52" s="52" t="str">
        <f>IF(AND('Mapa final'!$AB$44="Muy Baja",'Mapa final'!$AD$44="Moderado"),CONCATENATE("R7C",'Mapa final'!$R$44),"")</f>
        <v/>
      </c>
      <c r="AA52" s="53" t="str">
        <f>IF(AND('Mapa final'!$AB$45="Muy Baja",'Mapa final'!$AD$45="Moderado"),CONCATENATE("R7C",'Mapa final'!$R$45),"")</f>
        <v/>
      </c>
      <c r="AB52" s="36" t="str">
        <f>IF(AND('Mapa final'!$AB$40="Muy Baja",'Mapa final'!$AD$40="Mayor"),CONCATENATE("R7C",'Mapa final'!$R$40),"")</f>
        <v/>
      </c>
      <c r="AC52" s="37" t="str">
        <f>IF(AND('Mapa final'!$AB$41="Muy Baja",'Mapa final'!$AD$41="Mayor"),CONCATENATE("R7C",'Mapa final'!$R$41),"")</f>
        <v/>
      </c>
      <c r="AD52" s="37" t="str">
        <f>IF(AND('Mapa final'!$AB$42="Muy Baja",'Mapa final'!$AD$42="Mayor"),CONCATENATE("R7C",'Mapa final'!$R$42),"")</f>
        <v/>
      </c>
      <c r="AE52" s="37" t="str">
        <f>IF(AND('Mapa final'!$AB$43="Muy Baja",'Mapa final'!$AD$43="Mayor"),CONCATENATE("R7C",'Mapa final'!$R$43),"")</f>
        <v/>
      </c>
      <c r="AF52" s="37" t="str">
        <f>IF(AND('Mapa final'!$AB$44="Muy Baja",'Mapa final'!$AD$44="Mayor"),CONCATENATE("R7C",'Mapa final'!$R$44),"")</f>
        <v/>
      </c>
      <c r="AG52" s="38" t="str">
        <f>IF(AND('Mapa final'!$AB$45="Muy Baja",'Mapa final'!$AD$45="Mayor"),CONCATENATE("R7C",'Mapa final'!$R$45),"")</f>
        <v/>
      </c>
      <c r="AH52" s="39" t="str">
        <f>IF(AND('Mapa final'!$AB$40="Muy Baja",'Mapa final'!$AD$40="Catastrófico"),CONCATENATE("R7C",'Mapa final'!$R$40),"")</f>
        <v/>
      </c>
      <c r="AI52" s="40" t="str">
        <f>IF(AND('Mapa final'!$AB$41="Muy Baja",'Mapa final'!$AD$41="Catastrófico"),CONCATENATE("R7C",'Mapa final'!$R$41),"")</f>
        <v/>
      </c>
      <c r="AJ52" s="40" t="str">
        <f>IF(AND('Mapa final'!$AB$42="Muy Baja",'Mapa final'!$AD$42="Catastrófico"),CONCATENATE("R7C",'Mapa final'!$R$42),"")</f>
        <v/>
      </c>
      <c r="AK52" s="40" t="str">
        <f>IF(AND('Mapa final'!$AB$43="Muy Baja",'Mapa final'!$AD$43="Catastrófico"),CONCATENATE("R7C",'Mapa final'!$R$43),"")</f>
        <v/>
      </c>
      <c r="AL52" s="40" t="str">
        <f>IF(AND('Mapa final'!$AB$44="Muy Baja",'Mapa final'!$AD$44="Catastrófico"),CONCATENATE("R7C",'Mapa final'!$R$44),"")</f>
        <v/>
      </c>
      <c r="AM52" s="41" t="str">
        <f>IF(AND('Mapa final'!$AB$45="Muy Baja",'Mapa final'!$AD$45="Catastrófico"),CONCATENATE("R7C",'Mapa final'!$R$45),"")</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632"/>
      <c r="C53" s="632"/>
      <c r="D53" s="633"/>
      <c r="E53" s="731"/>
      <c r="F53" s="730"/>
      <c r="G53" s="730"/>
      <c r="H53" s="730"/>
      <c r="I53" s="746"/>
      <c r="J53" s="60" t="str">
        <f>IF(AND('Mapa final'!$AB$46="Muy Baja",'Mapa final'!$AD$46="Leve"),CONCATENATE("R8C",'Mapa final'!$R$46),"")</f>
        <v/>
      </c>
      <c r="K53" s="61" t="str">
        <f>IF(AND('Mapa final'!$AB$47="Muy Baja",'Mapa final'!$AD$47="Leve"),CONCATENATE("R8C",'Mapa final'!$R$47),"")</f>
        <v/>
      </c>
      <c r="L53" s="61" t="str">
        <f>IF(AND('Mapa final'!$AB$48="Muy Baja",'Mapa final'!$AD$48="Leve"),CONCATENATE("R8C",'Mapa final'!$R$48),"")</f>
        <v/>
      </c>
      <c r="M53" s="61" t="str">
        <f>IF(AND('Mapa final'!$AB$49="Muy Baja",'Mapa final'!$AD$49="Leve"),CONCATENATE("R8C",'Mapa final'!$R$49),"")</f>
        <v/>
      </c>
      <c r="N53" s="61" t="str">
        <f>IF(AND('Mapa final'!$AB$50="Muy Baja",'Mapa final'!$AD$50="Leve"),CONCATENATE("R8C",'Mapa final'!$R$50),"")</f>
        <v/>
      </c>
      <c r="O53" s="62" t="str">
        <f>IF(AND('Mapa final'!$AB$51="Muy Baja",'Mapa final'!$AD$51="Leve"),CONCATENATE("R8C",'Mapa final'!$R$51),"")</f>
        <v/>
      </c>
      <c r="P53" s="60" t="str">
        <f>IF(AND('Mapa final'!$AB$46="Muy Baja",'Mapa final'!$AD$46="Menor"),CONCATENATE("R8C",'Mapa final'!$R$46),"")</f>
        <v/>
      </c>
      <c r="Q53" s="61" t="str">
        <f>IF(AND('Mapa final'!$AB$47="Muy Baja",'Mapa final'!$AD$47="Menor"),CONCATENATE("R8C",'Mapa final'!$R$47),"")</f>
        <v/>
      </c>
      <c r="R53" s="61" t="str">
        <f>IF(AND('Mapa final'!$AB$48="Muy Baja",'Mapa final'!$AD$48="Menor"),CONCATENATE("R8C",'Mapa final'!$R$48),"")</f>
        <v/>
      </c>
      <c r="S53" s="61" t="str">
        <f>IF(AND('Mapa final'!$AB$49="Muy Baja",'Mapa final'!$AD$49="Menor"),CONCATENATE("R8C",'Mapa final'!$R$49),"")</f>
        <v/>
      </c>
      <c r="T53" s="61" t="str">
        <f>IF(AND('Mapa final'!$AB$50="Muy Baja",'Mapa final'!$AD$50="Menor"),CONCATENATE("R8C",'Mapa final'!$R$50),"")</f>
        <v/>
      </c>
      <c r="U53" s="62" t="str">
        <f>IF(AND('Mapa final'!$AB$51="Muy Baja",'Mapa final'!$AD$51="Menor"),CONCATENATE("R8C",'Mapa final'!$R$51),"")</f>
        <v/>
      </c>
      <c r="V53" s="51" t="str">
        <f>IF(AND('Mapa final'!$AB$46="Muy Baja",'Mapa final'!$AD$46="Moderado"),CONCATENATE("R8C",'Mapa final'!$R$46),"")</f>
        <v/>
      </c>
      <c r="W53" s="52" t="str">
        <f>IF(AND('Mapa final'!$AB$47="Muy Baja",'Mapa final'!$AD$47="Moderado"),CONCATENATE("R8C",'Mapa final'!$R$47),"")</f>
        <v/>
      </c>
      <c r="X53" s="52" t="str">
        <f>IF(AND('Mapa final'!$AB$48="Muy Baja",'Mapa final'!$AD$48="Moderado"),CONCATENATE("R8C",'Mapa final'!$R$48),"")</f>
        <v/>
      </c>
      <c r="Y53" s="52" t="str">
        <f>IF(AND('Mapa final'!$AB$49="Muy Baja",'Mapa final'!$AD$49="Moderado"),CONCATENATE("R8C",'Mapa final'!$R$49),"")</f>
        <v/>
      </c>
      <c r="Z53" s="52" t="str">
        <f>IF(AND('Mapa final'!$AB$50="Muy Baja",'Mapa final'!$AD$50="Moderado"),CONCATENATE("R8C",'Mapa final'!$R$50),"")</f>
        <v/>
      </c>
      <c r="AA53" s="53" t="str">
        <f>IF(AND('Mapa final'!$AB$51="Muy Baja",'Mapa final'!$AD$51="Moderado"),CONCATENATE("R8C",'Mapa final'!$R$51),"")</f>
        <v/>
      </c>
      <c r="AB53" s="36" t="str">
        <f>IF(AND('Mapa final'!$AB$46="Muy Baja",'Mapa final'!$AD$46="Mayor"),CONCATENATE("R8C",'Mapa final'!$R$46),"")</f>
        <v/>
      </c>
      <c r="AC53" s="37" t="str">
        <f>IF(AND('Mapa final'!$AB$47="Muy Baja",'Mapa final'!$AD$47="Mayor"),CONCATENATE("R8C",'Mapa final'!$R$47),"")</f>
        <v/>
      </c>
      <c r="AD53" s="37" t="str">
        <f>IF(AND('Mapa final'!$AB$48="Muy Baja",'Mapa final'!$AD$48="Mayor"),CONCATENATE("R8C",'Mapa final'!$R$48),"")</f>
        <v/>
      </c>
      <c r="AE53" s="37" t="str">
        <f>IF(AND('Mapa final'!$AB$49="Muy Baja",'Mapa final'!$AD$49="Mayor"),CONCATENATE("R8C",'Mapa final'!$R$49),"")</f>
        <v/>
      </c>
      <c r="AF53" s="37" t="str">
        <f>IF(AND('Mapa final'!$AB$50="Muy Baja",'Mapa final'!$AD$50="Mayor"),CONCATENATE("R8C",'Mapa final'!$R$50),"")</f>
        <v/>
      </c>
      <c r="AG53" s="38" t="str">
        <f>IF(AND('Mapa final'!$AB$51="Muy Baja",'Mapa final'!$AD$51="Mayor"),CONCATENATE("R8C",'Mapa final'!$R$51),"")</f>
        <v/>
      </c>
      <c r="AH53" s="39" t="str">
        <f>IF(AND('Mapa final'!$AB$46="Muy Baja",'Mapa final'!$AD$46="Catastrófico"),CONCATENATE("R8C",'Mapa final'!$R$46),"")</f>
        <v/>
      </c>
      <c r="AI53" s="40" t="str">
        <f>IF(AND('Mapa final'!$AB$47="Muy Baja",'Mapa final'!$AD$47="Catastrófico"),CONCATENATE("R8C",'Mapa final'!$R$47),"")</f>
        <v/>
      </c>
      <c r="AJ53" s="40" t="str">
        <f>IF(AND('Mapa final'!$AB$48="Muy Baja",'Mapa final'!$AD$48="Catastrófico"),CONCATENATE("R8C",'Mapa final'!$R$48),"")</f>
        <v/>
      </c>
      <c r="AK53" s="40" t="str">
        <f>IF(AND('Mapa final'!$AB$49="Muy Baja",'Mapa final'!$AD$49="Catastrófico"),CONCATENATE("R8C",'Mapa final'!$R$49),"")</f>
        <v/>
      </c>
      <c r="AL53" s="40" t="str">
        <f>IF(AND('Mapa final'!$AB$50="Muy Baja",'Mapa final'!$AD$50="Catastrófico"),CONCATENATE("R8C",'Mapa final'!$R$50),"")</f>
        <v/>
      </c>
      <c r="AM53" s="41" t="str">
        <f>IF(AND('Mapa final'!$AB$51="Muy Baja",'Mapa final'!$AD$51="Catastrófico"),CONCATENATE("R8C",'Mapa final'!$R$51),"")</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632"/>
      <c r="C54" s="632"/>
      <c r="D54" s="633"/>
      <c r="E54" s="731"/>
      <c r="F54" s="730"/>
      <c r="G54" s="730"/>
      <c r="H54" s="730"/>
      <c r="I54" s="746"/>
      <c r="J54" s="60" t="str">
        <f>IF(AND('Mapa final'!$AB$52="Muy Baja",'Mapa final'!$AD$52="Leve"),CONCATENATE("R9C",'Mapa final'!$R$52),"")</f>
        <v/>
      </c>
      <c r="K54" s="61" t="str">
        <f>IF(AND('Mapa final'!$AB$53="Muy Baja",'Mapa final'!$AD$53="Leve"),CONCATENATE("R9C",'Mapa final'!$R$53),"")</f>
        <v/>
      </c>
      <c r="L54" s="61" t="str">
        <f>IF(AND('Mapa final'!$AB$54="Muy Baja",'Mapa final'!$AD$54="Leve"),CONCATENATE("R9C",'Mapa final'!$R$54),"")</f>
        <v/>
      </c>
      <c r="M54" s="61" t="str">
        <f>IF(AND('Mapa final'!$AB$55="Muy Baja",'Mapa final'!$AD$55="Leve"),CONCATENATE("R9C",'Mapa final'!$R$55),"")</f>
        <v/>
      </c>
      <c r="N54" s="61" t="str">
        <f>IF(AND('Mapa final'!$AB$56="Muy Baja",'Mapa final'!$AD$56="Leve"),CONCATENATE("R9C",'Mapa final'!$R$56),"")</f>
        <v/>
      </c>
      <c r="O54" s="62" t="str">
        <f>IF(AND('Mapa final'!$AB$57="Muy Baja",'Mapa final'!$AD$57="Leve"),CONCATENATE("R9C",'Mapa final'!$R$57),"")</f>
        <v/>
      </c>
      <c r="P54" s="60" t="str">
        <f>IF(AND('Mapa final'!$AB$52="Muy Baja",'Mapa final'!$AD$52="Menor"),CONCATENATE("R9C",'Mapa final'!$R$52),"")</f>
        <v/>
      </c>
      <c r="Q54" s="61" t="str">
        <f>IF(AND('Mapa final'!$AB$53="Muy Baja",'Mapa final'!$AD$53="Menor"),CONCATENATE("R9C",'Mapa final'!$R$53),"")</f>
        <v/>
      </c>
      <c r="R54" s="61" t="str">
        <f>IF(AND('Mapa final'!$AB$54="Muy Baja",'Mapa final'!$AD$54="Menor"),CONCATENATE("R9C",'Mapa final'!$R$54),"")</f>
        <v/>
      </c>
      <c r="S54" s="61" t="str">
        <f>IF(AND('Mapa final'!$AB$55="Muy Baja",'Mapa final'!$AD$55="Menor"),CONCATENATE("R9C",'Mapa final'!$R$55),"")</f>
        <v/>
      </c>
      <c r="T54" s="61" t="str">
        <f>IF(AND('Mapa final'!$AB$56="Muy Baja",'Mapa final'!$AD$56="Menor"),CONCATENATE("R9C",'Mapa final'!$R$56),"")</f>
        <v/>
      </c>
      <c r="U54" s="62" t="str">
        <f>IF(AND('Mapa final'!$AB$57="Muy Baja",'Mapa final'!$AD$57="Menor"),CONCATENATE("R9C",'Mapa final'!$R$57),"")</f>
        <v/>
      </c>
      <c r="V54" s="51" t="str">
        <f>IF(AND('Mapa final'!$AB$52="Muy Baja",'Mapa final'!$AD$52="Moderado"),CONCATENATE("R9C",'Mapa final'!$R$52),"")</f>
        <v/>
      </c>
      <c r="W54" s="52" t="str">
        <f>IF(AND('Mapa final'!$AB$53="Muy Baja",'Mapa final'!$AD$53="Moderado"),CONCATENATE("R9C",'Mapa final'!$R$53),"")</f>
        <v/>
      </c>
      <c r="X54" s="52" t="str">
        <f>IF(AND('Mapa final'!$AB$54="Muy Baja",'Mapa final'!$AD$54="Moderado"),CONCATENATE("R9C",'Mapa final'!$R$54),"")</f>
        <v/>
      </c>
      <c r="Y54" s="52" t="str">
        <f>IF(AND('Mapa final'!$AB$55="Muy Baja",'Mapa final'!$AD$55="Moderado"),CONCATENATE("R9C",'Mapa final'!$R$55),"")</f>
        <v/>
      </c>
      <c r="Z54" s="52" t="str">
        <f>IF(AND('Mapa final'!$AB$56="Muy Baja",'Mapa final'!$AD$56="Moderado"),CONCATENATE("R9C",'Mapa final'!$R$56),"")</f>
        <v/>
      </c>
      <c r="AA54" s="53" t="str">
        <f>IF(AND('Mapa final'!$AB$57="Muy Baja",'Mapa final'!$AD$57="Moderado"),CONCATENATE("R9C",'Mapa final'!$R$57),"")</f>
        <v/>
      </c>
      <c r="AB54" s="36" t="str">
        <f>IF(AND('Mapa final'!$AB$52="Muy Baja",'Mapa final'!$AD$52="Mayor"),CONCATENATE("R9C",'Mapa final'!$R$52),"")</f>
        <v/>
      </c>
      <c r="AC54" s="37" t="str">
        <f>IF(AND('Mapa final'!$AB$53="Muy Baja",'Mapa final'!$AD$53="Mayor"),CONCATENATE("R9C",'Mapa final'!$R$53),"")</f>
        <v/>
      </c>
      <c r="AD54" s="37" t="str">
        <f>IF(AND('Mapa final'!$AB$54="Muy Baja",'Mapa final'!$AD$54="Mayor"),CONCATENATE("R9C",'Mapa final'!$R$54),"")</f>
        <v/>
      </c>
      <c r="AE54" s="37" t="str">
        <f>IF(AND('Mapa final'!$AB$55="Muy Baja",'Mapa final'!$AD$55="Mayor"),CONCATENATE("R9C",'Mapa final'!$R$55),"")</f>
        <v/>
      </c>
      <c r="AF54" s="37" t="str">
        <f>IF(AND('Mapa final'!$AB$56="Muy Baja",'Mapa final'!$AD$56="Mayor"),CONCATENATE("R9C",'Mapa final'!$R$56),"")</f>
        <v/>
      </c>
      <c r="AG54" s="38" t="str">
        <f>IF(AND('Mapa final'!$AB$57="Muy Baja",'Mapa final'!$AD$57="Mayor"),CONCATENATE("R9C",'Mapa final'!$R$57),"")</f>
        <v/>
      </c>
      <c r="AH54" s="39" t="str">
        <f>IF(AND('Mapa final'!$AB$52="Muy Baja",'Mapa final'!$AD$52="Catastrófico"),CONCATENATE("R9C",'Mapa final'!$R$52),"")</f>
        <v/>
      </c>
      <c r="AI54" s="40" t="str">
        <f>IF(AND('Mapa final'!$AB$53="Muy Baja",'Mapa final'!$AD$53="Catastrófico"),CONCATENATE("R9C",'Mapa final'!$R$53),"")</f>
        <v/>
      </c>
      <c r="AJ54" s="40" t="str">
        <f>IF(AND('Mapa final'!$AB$54="Muy Baja",'Mapa final'!$AD$54="Catastrófico"),CONCATENATE("R9C",'Mapa final'!$R$54),"")</f>
        <v/>
      </c>
      <c r="AK54" s="40" t="str">
        <f>IF(AND('Mapa final'!$AB$55="Muy Baja",'Mapa final'!$AD$55="Catastrófico"),CONCATENATE("R9C",'Mapa final'!$R$55),"")</f>
        <v/>
      </c>
      <c r="AL54" s="40" t="str">
        <f>IF(AND('Mapa final'!$AB$56="Muy Baja",'Mapa final'!$AD$56="Catastrófico"),CONCATENATE("R9C",'Mapa final'!$R$56),"")</f>
        <v/>
      </c>
      <c r="AM54" s="41" t="str">
        <f>IF(AND('Mapa final'!$AB$57="Muy Baja",'Mapa final'!$AD$57="Catastrófico"),CONCATENATE("R9C",'Mapa final'!$R$57),"")</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632"/>
      <c r="C55" s="632"/>
      <c r="D55" s="633"/>
      <c r="E55" s="732"/>
      <c r="F55" s="733"/>
      <c r="G55" s="733"/>
      <c r="H55" s="733"/>
      <c r="I55" s="747"/>
      <c r="J55" s="63" t="str">
        <f>IF(AND('Mapa final'!$AB$58="Muy Baja",'Mapa final'!$AD$58="Leve"),CONCATENATE("R10C",'Mapa final'!$R$58),"")</f>
        <v/>
      </c>
      <c r="K55" s="64" t="str">
        <f>IF(AND('Mapa final'!$AB$59="Muy Baja",'Mapa final'!$AD$59="Leve"),CONCATENATE("R10C",'Mapa final'!$R$59),"")</f>
        <v/>
      </c>
      <c r="L55" s="64" t="str">
        <f>IF(AND('Mapa final'!$AB$60="Muy Baja",'Mapa final'!$AD$60="Leve"),CONCATENATE("R10C",'Mapa final'!$R$60),"")</f>
        <v/>
      </c>
      <c r="M55" s="64" t="str">
        <f>IF(AND('Mapa final'!$AB$61="Muy Baja",'Mapa final'!$AD$61="Leve"),CONCATENATE("R10C",'Mapa final'!$R$61),"")</f>
        <v/>
      </c>
      <c r="N55" s="64" t="str">
        <f>IF(AND('Mapa final'!$AB$62="Muy Baja",'Mapa final'!$AD$62="Leve"),CONCATENATE("R10C",'Mapa final'!$R$62),"")</f>
        <v/>
      </c>
      <c r="O55" s="65" t="str">
        <f>IF(AND('Mapa final'!$AB$63="Muy Baja",'Mapa final'!$AD$63="Leve"),CONCATENATE("R10C",'Mapa final'!$R$63),"")</f>
        <v/>
      </c>
      <c r="P55" s="63" t="str">
        <f>IF(AND('Mapa final'!$AB$58="Muy Baja",'Mapa final'!$AD$58="Menor"),CONCATENATE("R10C",'Mapa final'!$R$58),"")</f>
        <v/>
      </c>
      <c r="Q55" s="64" t="str">
        <f>IF(AND('Mapa final'!$AB$59="Muy Baja",'Mapa final'!$AD$59="Menor"),CONCATENATE("R10C",'Mapa final'!$R$59),"")</f>
        <v/>
      </c>
      <c r="R55" s="64" t="str">
        <f>IF(AND('Mapa final'!$AB$60="Muy Baja",'Mapa final'!$AD$60="Menor"),CONCATENATE("R10C",'Mapa final'!$R$60),"")</f>
        <v/>
      </c>
      <c r="S55" s="64" t="str">
        <f>IF(AND('Mapa final'!$AB$61="Muy Baja",'Mapa final'!$AD$61="Menor"),CONCATENATE("R10C",'Mapa final'!$R$61),"")</f>
        <v/>
      </c>
      <c r="T55" s="64" t="str">
        <f>IF(AND('Mapa final'!$AB$62="Muy Baja",'Mapa final'!$AD$62="Menor"),CONCATENATE("R10C",'Mapa final'!$R$62),"")</f>
        <v/>
      </c>
      <c r="U55" s="65" t="str">
        <f>IF(AND('Mapa final'!$AB$63="Muy Baja",'Mapa final'!$AD$63="Menor"),CONCATENATE("R10C",'Mapa final'!$R$63),"")</f>
        <v/>
      </c>
      <c r="V55" s="54" t="str">
        <f>IF(AND('Mapa final'!$AB$58="Muy Baja",'Mapa final'!$AD$58="Moderado"),CONCATENATE("R10C",'Mapa final'!$R$58),"")</f>
        <v/>
      </c>
      <c r="W55" s="55" t="str">
        <f>IF(AND('Mapa final'!$AB$59="Muy Baja",'Mapa final'!$AD$59="Moderado"),CONCATENATE("R10C",'Mapa final'!$R$59),"")</f>
        <v/>
      </c>
      <c r="X55" s="55" t="str">
        <f>IF(AND('Mapa final'!$AB$60="Muy Baja",'Mapa final'!$AD$60="Moderado"),CONCATENATE("R10C",'Mapa final'!$R$60),"")</f>
        <v/>
      </c>
      <c r="Y55" s="55" t="str">
        <f>IF(AND('Mapa final'!$AB$61="Muy Baja",'Mapa final'!$AD$61="Moderado"),CONCATENATE("R10C",'Mapa final'!$R$61),"")</f>
        <v/>
      </c>
      <c r="Z55" s="55" t="str">
        <f>IF(AND('Mapa final'!$AB$62="Muy Baja",'Mapa final'!$AD$62="Moderado"),CONCATENATE("R10C",'Mapa final'!$R$62),"")</f>
        <v/>
      </c>
      <c r="AA55" s="56" t="str">
        <f>IF(AND('Mapa final'!$AB$63="Muy Baja",'Mapa final'!$AD$63="Moderado"),CONCATENATE("R10C",'Mapa final'!$R$63),"")</f>
        <v/>
      </c>
      <c r="AB55" s="42" t="str">
        <f>IF(AND('Mapa final'!$AB$58="Muy Baja",'Mapa final'!$AD$58="Mayor"),CONCATENATE("R10C",'Mapa final'!$R$58),"")</f>
        <v/>
      </c>
      <c r="AC55" s="43" t="str">
        <f>IF(AND('Mapa final'!$AB$59="Muy Baja",'Mapa final'!$AD$59="Mayor"),CONCATENATE("R10C",'Mapa final'!$R$59),"")</f>
        <v/>
      </c>
      <c r="AD55" s="43" t="str">
        <f>IF(AND('Mapa final'!$AB$60="Muy Baja",'Mapa final'!$AD$60="Mayor"),CONCATENATE("R10C",'Mapa final'!$R$60),"")</f>
        <v/>
      </c>
      <c r="AE55" s="43" t="str">
        <f>IF(AND('Mapa final'!$AB$61="Muy Baja",'Mapa final'!$AD$61="Mayor"),CONCATENATE("R10C",'Mapa final'!$R$61),"")</f>
        <v/>
      </c>
      <c r="AF55" s="43" t="str">
        <f>IF(AND('Mapa final'!$AB$62="Muy Baja",'Mapa final'!$AD$62="Mayor"),CONCATENATE("R10C",'Mapa final'!$R$62),"")</f>
        <v/>
      </c>
      <c r="AG55" s="44" t="str">
        <f>IF(AND('Mapa final'!$AB$63="Muy Baja",'Mapa final'!$AD$63="Mayor"),CONCATENATE("R10C",'Mapa final'!$R$63),"")</f>
        <v/>
      </c>
      <c r="AH55" s="45" t="str">
        <f>IF(AND('Mapa final'!$AB$58="Muy Baja",'Mapa final'!$AD$58="Catastrófico"),CONCATENATE("R10C",'Mapa final'!$R$58),"")</f>
        <v/>
      </c>
      <c r="AI55" s="46" t="str">
        <f>IF(AND('Mapa final'!$AB$59="Muy Baja",'Mapa final'!$AD$59="Catastrófico"),CONCATENATE("R10C",'Mapa final'!$R$59),"")</f>
        <v/>
      </c>
      <c r="AJ55" s="46" t="str">
        <f>IF(AND('Mapa final'!$AB$60="Muy Baja",'Mapa final'!$AD$60="Catastrófico"),CONCATENATE("R10C",'Mapa final'!$R$60),"")</f>
        <v/>
      </c>
      <c r="AK55" s="46" t="str">
        <f>IF(AND('Mapa final'!$AB$61="Muy Baja",'Mapa final'!$AD$61="Catastrófico"),CONCATENATE("R10C",'Mapa final'!$R$61),"")</f>
        <v/>
      </c>
      <c r="AL55" s="46" t="str">
        <f>IF(AND('Mapa final'!$AB$62="Muy Baja",'Mapa final'!$AD$62="Catastrófico"),CONCATENATE("R10C",'Mapa final'!$R$62),"")</f>
        <v/>
      </c>
      <c r="AM55" s="47" t="str">
        <f>IF(AND('Mapa final'!$AB$63="Muy Baja",'Mapa final'!$AD$63="Catastrófico"),CONCATENATE("R10C",'Mapa final'!$R$63),"")</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727" t="s">
        <v>106</v>
      </c>
      <c r="K56" s="728"/>
      <c r="L56" s="728"/>
      <c r="M56" s="728"/>
      <c r="N56" s="728"/>
      <c r="O56" s="745"/>
      <c r="P56" s="727" t="s">
        <v>105</v>
      </c>
      <c r="Q56" s="728"/>
      <c r="R56" s="728"/>
      <c r="S56" s="728"/>
      <c r="T56" s="728"/>
      <c r="U56" s="745"/>
      <c r="V56" s="727" t="s">
        <v>104</v>
      </c>
      <c r="W56" s="728"/>
      <c r="X56" s="728"/>
      <c r="Y56" s="728"/>
      <c r="Z56" s="728"/>
      <c r="AA56" s="745"/>
      <c r="AB56" s="727" t="s">
        <v>103</v>
      </c>
      <c r="AC56" s="766"/>
      <c r="AD56" s="728"/>
      <c r="AE56" s="728"/>
      <c r="AF56" s="728"/>
      <c r="AG56" s="745"/>
      <c r="AH56" s="727" t="s">
        <v>102</v>
      </c>
      <c r="AI56" s="728"/>
      <c r="AJ56" s="728"/>
      <c r="AK56" s="728"/>
      <c r="AL56" s="728"/>
      <c r="AM56" s="745"/>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731"/>
      <c r="K57" s="730"/>
      <c r="L57" s="730"/>
      <c r="M57" s="730"/>
      <c r="N57" s="730"/>
      <c r="O57" s="746"/>
      <c r="P57" s="731"/>
      <c r="Q57" s="730"/>
      <c r="R57" s="730"/>
      <c r="S57" s="730"/>
      <c r="T57" s="730"/>
      <c r="U57" s="746"/>
      <c r="V57" s="731"/>
      <c r="W57" s="730"/>
      <c r="X57" s="730"/>
      <c r="Y57" s="730"/>
      <c r="Z57" s="730"/>
      <c r="AA57" s="746"/>
      <c r="AB57" s="731"/>
      <c r="AC57" s="730"/>
      <c r="AD57" s="730"/>
      <c r="AE57" s="730"/>
      <c r="AF57" s="730"/>
      <c r="AG57" s="746"/>
      <c r="AH57" s="731"/>
      <c r="AI57" s="730"/>
      <c r="AJ57" s="730"/>
      <c r="AK57" s="730"/>
      <c r="AL57" s="730"/>
      <c r="AM57" s="746"/>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731"/>
      <c r="K58" s="730"/>
      <c r="L58" s="730"/>
      <c r="M58" s="730"/>
      <c r="N58" s="730"/>
      <c r="O58" s="746"/>
      <c r="P58" s="731"/>
      <c r="Q58" s="730"/>
      <c r="R58" s="730"/>
      <c r="S58" s="730"/>
      <c r="T58" s="730"/>
      <c r="U58" s="746"/>
      <c r="V58" s="731"/>
      <c r="W58" s="730"/>
      <c r="X58" s="730"/>
      <c r="Y58" s="730"/>
      <c r="Z58" s="730"/>
      <c r="AA58" s="746"/>
      <c r="AB58" s="731"/>
      <c r="AC58" s="730"/>
      <c r="AD58" s="730"/>
      <c r="AE58" s="730"/>
      <c r="AF58" s="730"/>
      <c r="AG58" s="746"/>
      <c r="AH58" s="731"/>
      <c r="AI58" s="730"/>
      <c r="AJ58" s="730"/>
      <c r="AK58" s="730"/>
      <c r="AL58" s="730"/>
      <c r="AM58" s="746"/>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731"/>
      <c r="K59" s="730"/>
      <c r="L59" s="730"/>
      <c r="M59" s="730"/>
      <c r="N59" s="730"/>
      <c r="O59" s="746"/>
      <c r="P59" s="731"/>
      <c r="Q59" s="730"/>
      <c r="R59" s="730"/>
      <c r="S59" s="730"/>
      <c r="T59" s="730"/>
      <c r="U59" s="746"/>
      <c r="V59" s="731"/>
      <c r="W59" s="730"/>
      <c r="X59" s="730"/>
      <c r="Y59" s="730"/>
      <c r="Z59" s="730"/>
      <c r="AA59" s="746"/>
      <c r="AB59" s="731"/>
      <c r="AC59" s="730"/>
      <c r="AD59" s="730"/>
      <c r="AE59" s="730"/>
      <c r="AF59" s="730"/>
      <c r="AG59" s="746"/>
      <c r="AH59" s="731"/>
      <c r="AI59" s="730"/>
      <c r="AJ59" s="730"/>
      <c r="AK59" s="730"/>
      <c r="AL59" s="730"/>
      <c r="AM59" s="746"/>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731"/>
      <c r="K60" s="730"/>
      <c r="L60" s="730"/>
      <c r="M60" s="730"/>
      <c r="N60" s="730"/>
      <c r="O60" s="746"/>
      <c r="P60" s="731"/>
      <c r="Q60" s="730"/>
      <c r="R60" s="730"/>
      <c r="S60" s="730"/>
      <c r="T60" s="730"/>
      <c r="U60" s="746"/>
      <c r="V60" s="731"/>
      <c r="W60" s="730"/>
      <c r="X60" s="730"/>
      <c r="Y60" s="730"/>
      <c r="Z60" s="730"/>
      <c r="AA60" s="746"/>
      <c r="AB60" s="731"/>
      <c r="AC60" s="730"/>
      <c r="AD60" s="730"/>
      <c r="AE60" s="730"/>
      <c r="AF60" s="730"/>
      <c r="AG60" s="746"/>
      <c r="AH60" s="731"/>
      <c r="AI60" s="730"/>
      <c r="AJ60" s="730"/>
      <c r="AK60" s="730"/>
      <c r="AL60" s="730"/>
      <c r="AM60" s="746"/>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732"/>
      <c r="K61" s="733"/>
      <c r="L61" s="733"/>
      <c r="M61" s="733"/>
      <c r="N61" s="733"/>
      <c r="O61" s="747"/>
      <c r="P61" s="732"/>
      <c r="Q61" s="733"/>
      <c r="R61" s="733"/>
      <c r="S61" s="733"/>
      <c r="T61" s="733"/>
      <c r="U61" s="747"/>
      <c r="V61" s="732"/>
      <c r="W61" s="733"/>
      <c r="X61" s="733"/>
      <c r="Y61" s="733"/>
      <c r="Z61" s="733"/>
      <c r="AA61" s="747"/>
      <c r="AB61" s="732"/>
      <c r="AC61" s="733"/>
      <c r="AD61" s="733"/>
      <c r="AE61" s="733"/>
      <c r="AF61" s="733"/>
      <c r="AG61" s="747"/>
      <c r="AH61" s="732"/>
      <c r="AI61" s="733"/>
      <c r="AJ61" s="733"/>
      <c r="AK61" s="733"/>
      <c r="AL61" s="733"/>
      <c r="AM61" s="74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767" t="s">
        <v>54</v>
      </c>
      <c r="C1" s="767"/>
      <c r="D1" s="76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768" t="s">
        <v>61</v>
      </c>
      <c r="C1" s="768"/>
      <c r="D1" s="768"/>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55</v>
      </c>
      <c r="D3" s="126" t="s">
        <v>56</v>
      </c>
      <c r="E3" s="89"/>
      <c r="F3" s="89"/>
      <c r="G3" s="89"/>
      <c r="H3" s="89"/>
      <c r="I3" s="89"/>
      <c r="J3" s="89"/>
      <c r="K3" s="89"/>
      <c r="L3" s="89"/>
      <c r="M3" s="89"/>
      <c r="N3" s="89"/>
      <c r="O3" s="89"/>
      <c r="P3" s="89"/>
      <c r="Q3" s="89"/>
      <c r="R3" s="89"/>
      <c r="S3" s="89"/>
      <c r="T3" s="89"/>
      <c r="U3" s="89"/>
    </row>
    <row r="4" spans="1:21" ht="32.4" x14ac:dyDescent="0.3">
      <c r="A4" s="89" t="s">
        <v>81</v>
      </c>
      <c r="B4" s="127" t="s">
        <v>95</v>
      </c>
      <c r="C4" s="128" t="s">
        <v>203</v>
      </c>
      <c r="D4" s="129" t="s">
        <v>91</v>
      </c>
      <c r="E4" s="89"/>
      <c r="F4" s="89"/>
      <c r="G4" s="89"/>
      <c r="H4" s="89"/>
      <c r="I4" s="89"/>
      <c r="J4" s="89"/>
      <c r="K4" s="89"/>
      <c r="L4" s="89"/>
      <c r="M4" s="89"/>
      <c r="N4" s="89"/>
      <c r="O4" s="89"/>
      <c r="P4" s="89"/>
      <c r="Q4" s="89"/>
      <c r="R4" s="89"/>
      <c r="S4" s="89"/>
      <c r="T4" s="89"/>
      <c r="U4" s="89"/>
    </row>
    <row r="5" spans="1:21" ht="64.8" x14ac:dyDescent="0.3">
      <c r="A5" s="89" t="s">
        <v>82</v>
      </c>
      <c r="B5" s="130" t="s">
        <v>57</v>
      </c>
      <c r="C5" s="131" t="s">
        <v>204</v>
      </c>
      <c r="D5" s="132" t="s">
        <v>92</v>
      </c>
      <c r="E5" s="89"/>
      <c r="F5" s="89"/>
      <c r="G5" s="89"/>
      <c r="H5" s="89"/>
      <c r="I5" s="89"/>
      <c r="J5" s="89"/>
      <c r="K5" s="89"/>
      <c r="L5" s="89"/>
      <c r="M5" s="89"/>
      <c r="N5" s="89"/>
      <c r="O5" s="89"/>
      <c r="P5" s="89"/>
      <c r="Q5" s="89"/>
      <c r="R5" s="89"/>
      <c r="S5" s="89"/>
      <c r="T5" s="89"/>
      <c r="U5" s="89"/>
    </row>
    <row r="6" spans="1:21" ht="64.8" x14ac:dyDescent="0.3">
      <c r="A6" s="89" t="s">
        <v>79</v>
      </c>
      <c r="B6" s="133" t="s">
        <v>58</v>
      </c>
      <c r="C6" s="131" t="s">
        <v>208</v>
      </c>
      <c r="D6" s="132" t="s">
        <v>94</v>
      </c>
      <c r="E6" s="89"/>
      <c r="F6" s="89"/>
      <c r="G6" s="89"/>
      <c r="H6" s="89"/>
      <c r="I6" s="89"/>
      <c r="J6" s="89"/>
      <c r="K6" s="89"/>
      <c r="L6" s="89"/>
      <c r="M6" s="89"/>
      <c r="N6" s="89"/>
      <c r="O6" s="89"/>
      <c r="P6" s="89"/>
      <c r="Q6" s="89"/>
      <c r="R6" s="89"/>
      <c r="S6" s="89"/>
      <c r="T6" s="89"/>
      <c r="U6" s="89"/>
    </row>
    <row r="7" spans="1:21" ht="97.2" x14ac:dyDescent="0.3">
      <c r="A7" s="89" t="s">
        <v>7</v>
      </c>
      <c r="B7" s="134" t="s">
        <v>59</v>
      </c>
      <c r="C7" s="131" t="s">
        <v>209</v>
      </c>
      <c r="D7" s="132" t="s">
        <v>93</v>
      </c>
      <c r="E7" s="89"/>
      <c r="F7" s="89"/>
      <c r="G7" s="89"/>
      <c r="H7" s="89"/>
      <c r="I7" s="89"/>
      <c r="J7" s="89"/>
      <c r="K7" s="89"/>
      <c r="L7" s="89"/>
      <c r="M7" s="89"/>
      <c r="N7" s="89"/>
      <c r="O7" s="89"/>
      <c r="P7" s="89"/>
      <c r="Q7" s="89"/>
      <c r="R7" s="89"/>
      <c r="S7" s="89"/>
      <c r="T7" s="89"/>
      <c r="U7" s="89"/>
    </row>
    <row r="8" spans="1:21" ht="64.8" x14ac:dyDescent="0.3">
      <c r="A8" s="89" t="s">
        <v>83</v>
      </c>
      <c r="B8" s="135" t="s">
        <v>60</v>
      </c>
      <c r="C8" s="131" t="s">
        <v>205</v>
      </c>
      <c r="D8" s="132"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0"/>
      <c r="D9" s="140"/>
      <c r="E9" s="87"/>
      <c r="F9" s="87"/>
      <c r="G9" s="87"/>
      <c r="H9" s="87"/>
      <c r="I9" s="87"/>
      <c r="J9" s="87"/>
      <c r="K9" s="87"/>
      <c r="L9" s="87"/>
      <c r="M9" s="87"/>
      <c r="N9" s="87"/>
      <c r="O9" s="87"/>
      <c r="P9" s="87"/>
      <c r="Q9" s="87"/>
      <c r="R9" s="87"/>
      <c r="S9" s="87"/>
      <c r="T9" s="87"/>
      <c r="U9" s="87"/>
    </row>
    <row r="10" spans="1:21" s="23" customFormat="1" x14ac:dyDescent="0.3">
      <c r="A10" s="87"/>
      <c r="B10" s="141"/>
      <c r="C10" s="141"/>
      <c r="D10" s="141"/>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207</v>
      </c>
      <c r="D11" s="87" t="s">
        <v>141</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206</v>
      </c>
      <c r="D12" s="87" t="s">
        <v>142</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210</v>
      </c>
      <c r="D13" s="87" t="s">
        <v>143</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212</v>
      </c>
      <c r="D14" s="87" t="s">
        <v>144</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211</v>
      </c>
      <c r="D15" s="87" t="s">
        <v>145</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0"/>
      <c r="D22" s="140"/>
      <c r="E22" s="87"/>
      <c r="F22" s="87"/>
      <c r="G22" s="87"/>
      <c r="H22" s="87"/>
      <c r="I22" s="87"/>
      <c r="J22" s="87"/>
      <c r="K22" s="87"/>
      <c r="L22" s="87"/>
      <c r="M22" s="87"/>
      <c r="N22" s="87"/>
      <c r="O22" s="87"/>
    </row>
    <row r="23" spans="1:15" s="23" customFormat="1" ht="20.399999999999999" x14ac:dyDescent="0.3">
      <c r="A23" s="87"/>
      <c r="B23" s="87"/>
      <c r="C23" s="140"/>
      <c r="D23" s="140"/>
      <c r="E23" s="87"/>
      <c r="F23" s="87"/>
      <c r="G23" s="87"/>
      <c r="H23" s="87"/>
      <c r="I23" s="87"/>
      <c r="J23" s="87"/>
      <c r="K23" s="87"/>
      <c r="L23" s="87"/>
      <c r="M23" s="87"/>
      <c r="N23" s="87"/>
      <c r="O23" s="87"/>
    </row>
    <row r="24" spans="1:15" s="23" customFormat="1" ht="20.399999999999999" x14ac:dyDescent="0.3">
      <c r="A24" s="87"/>
      <c r="B24" s="87"/>
      <c r="C24" s="140"/>
      <c r="D24" s="140"/>
      <c r="E24" s="87"/>
      <c r="F24" s="87"/>
      <c r="G24" s="87"/>
      <c r="H24" s="87"/>
      <c r="I24" s="87"/>
      <c r="J24" s="87"/>
      <c r="K24" s="87"/>
      <c r="L24" s="87"/>
      <c r="M24" s="87"/>
      <c r="N24" s="87"/>
      <c r="O24" s="87"/>
    </row>
    <row r="25" spans="1:15" s="23" customFormat="1" ht="20.399999999999999" x14ac:dyDescent="0.3">
      <c r="A25" s="87"/>
      <c r="B25" s="87"/>
      <c r="C25" s="140"/>
      <c r="D25" s="140"/>
      <c r="E25" s="87"/>
      <c r="F25" s="87"/>
      <c r="G25" s="87"/>
      <c r="H25" s="87"/>
      <c r="I25" s="87"/>
      <c r="J25" s="87"/>
      <c r="K25" s="87"/>
      <c r="L25" s="87"/>
      <c r="M25" s="87"/>
      <c r="N25" s="87"/>
      <c r="O25" s="87"/>
    </row>
    <row r="26" spans="1:15" s="23" customFormat="1" ht="20.399999999999999" x14ac:dyDescent="0.3">
      <c r="A26" s="87"/>
      <c r="B26" s="87"/>
      <c r="C26" s="140"/>
      <c r="D26" s="140"/>
      <c r="E26" s="87"/>
      <c r="F26" s="87"/>
      <c r="G26" s="87"/>
      <c r="H26" s="87"/>
      <c r="I26" s="87"/>
      <c r="J26" s="87"/>
      <c r="K26" s="87"/>
      <c r="L26" s="87"/>
      <c r="M26" s="87"/>
      <c r="N26" s="87"/>
      <c r="O26" s="87"/>
    </row>
    <row r="27" spans="1:15" s="23" customFormat="1" ht="20.399999999999999" x14ac:dyDescent="0.3">
      <c r="A27" s="87"/>
      <c r="B27" s="87"/>
      <c r="C27" s="140"/>
      <c r="D27" s="140"/>
      <c r="E27" s="87"/>
      <c r="F27" s="87"/>
      <c r="G27" s="87"/>
      <c r="H27" s="87"/>
      <c r="I27" s="87"/>
      <c r="J27" s="87"/>
      <c r="K27" s="87"/>
      <c r="L27" s="87"/>
      <c r="M27" s="87"/>
      <c r="N27" s="87"/>
      <c r="O27" s="87"/>
    </row>
    <row r="28" spans="1:15" s="23" customFormat="1" ht="20.399999999999999" x14ac:dyDescent="0.3">
      <c r="A28" s="87"/>
      <c r="B28" s="87"/>
      <c r="C28" s="140"/>
      <c r="D28" s="140"/>
      <c r="E28" s="87"/>
      <c r="F28" s="87"/>
      <c r="G28" s="87"/>
      <c r="H28" s="87"/>
      <c r="I28" s="87"/>
      <c r="J28" s="87"/>
      <c r="K28" s="87"/>
      <c r="L28" s="87"/>
      <c r="M28" s="87"/>
      <c r="N28" s="87"/>
      <c r="O28" s="87"/>
    </row>
    <row r="29" spans="1:15" s="23" customFormat="1" ht="20.399999999999999" x14ac:dyDescent="0.3">
      <c r="A29" s="87"/>
      <c r="B29" s="87"/>
      <c r="C29" s="140"/>
      <c r="D29" s="140"/>
      <c r="E29" s="87"/>
      <c r="F29" s="87"/>
      <c r="G29" s="87"/>
      <c r="H29" s="87"/>
      <c r="I29" s="87"/>
      <c r="J29" s="87"/>
      <c r="K29" s="87"/>
      <c r="L29" s="87"/>
      <c r="M29" s="87"/>
      <c r="N29" s="87"/>
      <c r="O29" s="87"/>
    </row>
    <row r="30" spans="1:15" s="23" customFormat="1" ht="20.399999999999999" x14ac:dyDescent="0.3">
      <c r="A30" s="87"/>
      <c r="B30" s="87"/>
      <c r="C30" s="140"/>
      <c r="D30" s="140"/>
      <c r="E30" s="87"/>
      <c r="F30" s="87"/>
      <c r="G30" s="87"/>
      <c r="H30" s="87"/>
      <c r="I30" s="87"/>
      <c r="J30" s="87"/>
      <c r="K30" s="87"/>
      <c r="L30" s="87"/>
      <c r="M30" s="87"/>
      <c r="N30" s="87"/>
      <c r="O30" s="87"/>
    </row>
    <row r="31" spans="1:15" s="23" customFormat="1" ht="20.399999999999999" x14ac:dyDescent="0.3">
      <c r="A31" s="87"/>
      <c r="B31" s="87"/>
      <c r="C31" s="140"/>
      <c r="D31" s="140"/>
      <c r="E31" s="87"/>
      <c r="F31" s="87"/>
      <c r="G31" s="87"/>
      <c r="H31" s="87"/>
      <c r="I31" s="87"/>
      <c r="J31" s="87"/>
      <c r="K31" s="87"/>
      <c r="L31" s="87"/>
      <c r="M31" s="87"/>
      <c r="N31" s="87"/>
      <c r="O31" s="87"/>
    </row>
    <row r="32" spans="1:15" s="23" customFormat="1" ht="20.399999999999999" x14ac:dyDescent="0.3">
      <c r="A32" s="87"/>
      <c r="B32" s="87"/>
      <c r="C32" s="140"/>
      <c r="D32" s="140"/>
      <c r="E32" s="87"/>
      <c r="F32" s="87"/>
      <c r="G32" s="87"/>
      <c r="H32" s="87"/>
      <c r="I32" s="87"/>
      <c r="J32" s="87"/>
      <c r="K32" s="87"/>
      <c r="L32" s="87"/>
      <c r="M32" s="87"/>
      <c r="N32" s="87"/>
      <c r="O32" s="87"/>
    </row>
    <row r="33" spans="1:15" s="23" customFormat="1" ht="20.399999999999999" x14ac:dyDescent="0.3">
      <c r="A33" s="87"/>
      <c r="B33" s="87"/>
      <c r="C33" s="140"/>
      <c r="D33" s="140"/>
      <c r="E33" s="87"/>
      <c r="F33" s="87"/>
      <c r="G33" s="87"/>
      <c r="H33" s="87"/>
      <c r="I33" s="87"/>
      <c r="J33" s="87"/>
      <c r="K33" s="87"/>
      <c r="L33" s="87"/>
      <c r="M33" s="87"/>
      <c r="N33" s="87"/>
      <c r="O33" s="87"/>
    </row>
    <row r="34" spans="1:15" s="23" customFormat="1" ht="20.399999999999999" x14ac:dyDescent="0.3">
      <c r="A34" s="87"/>
      <c r="B34" s="87"/>
      <c r="C34" s="140"/>
      <c r="D34" s="140"/>
      <c r="E34" s="87"/>
      <c r="F34" s="87"/>
      <c r="G34" s="87"/>
      <c r="H34" s="87"/>
      <c r="I34" s="87"/>
      <c r="J34" s="87"/>
      <c r="K34" s="87"/>
      <c r="L34" s="87"/>
      <c r="M34" s="87"/>
      <c r="N34" s="87"/>
      <c r="O34" s="87"/>
    </row>
    <row r="35" spans="1:15" s="23" customFormat="1" ht="20.399999999999999" x14ac:dyDescent="0.3">
      <c r="A35" s="87"/>
      <c r="B35" s="87"/>
      <c r="C35" s="140"/>
      <c r="D35" s="140"/>
      <c r="E35" s="87"/>
      <c r="F35" s="87"/>
      <c r="G35" s="87"/>
      <c r="H35" s="87"/>
      <c r="I35" s="87"/>
      <c r="J35" s="87"/>
      <c r="K35" s="87"/>
      <c r="L35" s="87"/>
      <c r="M35" s="87"/>
      <c r="N35" s="87"/>
      <c r="O35" s="87"/>
    </row>
    <row r="36" spans="1:15" s="23" customFormat="1" ht="20.399999999999999" x14ac:dyDescent="0.3">
      <c r="A36" s="87"/>
      <c r="B36" s="87"/>
      <c r="C36" s="140"/>
      <c r="D36" s="140"/>
      <c r="E36" s="87"/>
      <c r="F36" s="87"/>
      <c r="G36" s="87"/>
      <c r="H36" s="87"/>
      <c r="I36" s="87"/>
      <c r="J36" s="87"/>
      <c r="K36" s="87"/>
      <c r="L36" s="87"/>
      <c r="M36" s="87"/>
      <c r="N36" s="87"/>
      <c r="O36" s="87"/>
    </row>
    <row r="37" spans="1:15" s="23" customFormat="1" ht="20.399999999999999" x14ac:dyDescent="0.3">
      <c r="A37" s="87"/>
      <c r="B37" s="87"/>
      <c r="C37" s="140"/>
      <c r="D37" s="140"/>
      <c r="E37" s="87"/>
      <c r="F37" s="87"/>
      <c r="G37" s="87"/>
      <c r="H37" s="87"/>
      <c r="I37" s="87"/>
      <c r="J37" s="87"/>
      <c r="K37" s="87"/>
      <c r="L37" s="87"/>
      <c r="M37" s="87"/>
      <c r="N37" s="87"/>
      <c r="O37" s="87"/>
    </row>
    <row r="38" spans="1:15" s="23" customFormat="1" ht="20.399999999999999" x14ac:dyDescent="0.3">
      <c r="A38" s="87"/>
      <c r="B38" s="87"/>
      <c r="C38" s="140"/>
      <c r="D38" s="140"/>
      <c r="E38" s="87"/>
      <c r="F38" s="87"/>
      <c r="G38" s="87"/>
      <c r="H38" s="87"/>
      <c r="I38" s="87"/>
      <c r="J38" s="87"/>
      <c r="K38" s="87"/>
      <c r="L38" s="87"/>
      <c r="M38" s="87"/>
      <c r="N38" s="87"/>
      <c r="O38" s="87"/>
    </row>
    <row r="39" spans="1:15" s="23" customFormat="1" ht="20.399999999999999" x14ac:dyDescent="0.3">
      <c r="A39" s="87"/>
      <c r="B39" s="87"/>
      <c r="C39" s="140"/>
      <c r="D39" s="140"/>
      <c r="E39" s="87"/>
      <c r="F39" s="87"/>
      <c r="G39" s="87"/>
      <c r="H39" s="87"/>
      <c r="I39" s="87"/>
      <c r="J39" s="87"/>
      <c r="K39" s="87"/>
      <c r="L39" s="87"/>
      <c r="M39" s="87"/>
      <c r="N39" s="87"/>
      <c r="O39" s="87"/>
    </row>
    <row r="40" spans="1:15" s="23" customFormat="1" ht="20.399999999999999" x14ac:dyDescent="0.3">
      <c r="A40" s="87"/>
      <c r="B40" s="87"/>
      <c r="C40" s="140"/>
      <c r="D40" s="140"/>
      <c r="E40" s="87"/>
      <c r="F40" s="87"/>
      <c r="G40" s="87"/>
      <c r="H40" s="87"/>
      <c r="I40" s="87"/>
      <c r="J40" s="87"/>
      <c r="K40" s="87"/>
      <c r="L40" s="87"/>
      <c r="M40" s="87"/>
      <c r="N40" s="87"/>
      <c r="O40" s="87"/>
    </row>
    <row r="41" spans="1:15" s="23" customFormat="1" ht="20.399999999999999" x14ac:dyDescent="0.3">
      <c r="A41" s="87"/>
      <c r="B41" s="87"/>
      <c r="C41" s="140"/>
      <c r="D41" s="140"/>
      <c r="E41" s="87"/>
      <c r="F41" s="87"/>
      <c r="G41" s="87"/>
      <c r="H41" s="87"/>
      <c r="I41" s="87"/>
      <c r="J41" s="87"/>
      <c r="K41" s="87"/>
      <c r="L41" s="87"/>
      <c r="M41" s="87"/>
      <c r="N41" s="87"/>
      <c r="O41" s="87"/>
    </row>
    <row r="42" spans="1:15" s="23" customFormat="1" ht="20.399999999999999" x14ac:dyDescent="0.3">
      <c r="A42" s="87"/>
      <c r="B42" s="87"/>
      <c r="C42" s="140"/>
      <c r="D42" s="140"/>
      <c r="E42" s="87"/>
      <c r="F42" s="87"/>
      <c r="G42" s="87"/>
      <c r="H42" s="87"/>
      <c r="I42" s="87"/>
      <c r="J42" s="87"/>
      <c r="K42" s="87"/>
      <c r="L42" s="87"/>
      <c r="M42" s="87"/>
      <c r="N42" s="87"/>
      <c r="O42" s="87"/>
    </row>
    <row r="43" spans="1:15" s="23" customFormat="1" ht="20.399999999999999" x14ac:dyDescent="0.3">
      <c r="A43" s="87"/>
      <c r="B43" s="87"/>
      <c r="C43" s="140"/>
      <c r="D43" s="140"/>
      <c r="E43" s="87"/>
      <c r="F43" s="87"/>
      <c r="G43" s="87"/>
      <c r="H43" s="87"/>
      <c r="I43" s="87"/>
      <c r="J43" s="87"/>
      <c r="K43" s="87"/>
      <c r="L43" s="87"/>
      <c r="M43" s="87"/>
      <c r="N43" s="87"/>
      <c r="O43" s="87"/>
    </row>
    <row r="44" spans="1:15" s="23" customFormat="1" ht="20.399999999999999" x14ac:dyDescent="0.3">
      <c r="A44" s="87"/>
      <c r="B44" s="87"/>
      <c r="C44" s="140"/>
      <c r="D44" s="140"/>
      <c r="E44" s="87"/>
      <c r="F44" s="87"/>
      <c r="G44" s="87"/>
      <c r="H44" s="87"/>
      <c r="I44" s="87"/>
      <c r="J44" s="87"/>
      <c r="K44" s="87"/>
      <c r="L44" s="87"/>
      <c r="M44" s="87"/>
      <c r="N44" s="87"/>
      <c r="O44" s="87"/>
    </row>
    <row r="45" spans="1:15" s="23" customFormat="1" ht="20.399999999999999" x14ac:dyDescent="0.3">
      <c r="A45" s="87"/>
      <c r="B45" s="87"/>
      <c r="C45" s="140"/>
      <c r="D45" s="140"/>
      <c r="E45" s="87"/>
      <c r="F45" s="87"/>
      <c r="G45" s="87"/>
      <c r="H45" s="87"/>
      <c r="I45" s="87"/>
      <c r="J45" s="87"/>
      <c r="K45" s="87"/>
      <c r="L45" s="87"/>
      <c r="M45" s="87"/>
      <c r="N45" s="87"/>
      <c r="O45" s="87"/>
    </row>
    <row r="46" spans="1:15" s="23" customFormat="1" ht="20.399999999999999" x14ac:dyDescent="0.3">
      <c r="A46" s="87"/>
      <c r="B46" s="87"/>
      <c r="C46" s="140"/>
      <c r="D46" s="140"/>
      <c r="E46" s="87"/>
      <c r="F46" s="87"/>
      <c r="G46" s="87"/>
      <c r="H46" s="87"/>
      <c r="I46" s="87"/>
      <c r="J46" s="87"/>
      <c r="K46" s="87"/>
      <c r="L46" s="87"/>
      <c r="M46" s="87"/>
      <c r="N46" s="87"/>
      <c r="O46" s="87"/>
    </row>
    <row r="47" spans="1:15" s="23" customFormat="1" ht="20.399999999999999" x14ac:dyDescent="0.3">
      <c r="A47" s="87"/>
      <c r="B47" s="87"/>
      <c r="C47" s="140"/>
      <c r="D47" s="140"/>
      <c r="E47" s="87"/>
      <c r="F47" s="87"/>
      <c r="G47" s="87"/>
      <c r="H47" s="87"/>
      <c r="I47" s="87"/>
      <c r="J47" s="87"/>
      <c r="K47" s="87"/>
      <c r="L47" s="87"/>
      <c r="M47" s="87"/>
      <c r="N47" s="87"/>
      <c r="O47" s="87"/>
    </row>
    <row r="48" spans="1:15" s="23" customFormat="1" ht="20.399999999999999" x14ac:dyDescent="0.3">
      <c r="A48" s="87"/>
      <c r="B48" s="87"/>
      <c r="C48" s="140"/>
      <c r="D48" s="140"/>
      <c r="E48" s="87"/>
      <c r="F48" s="87"/>
      <c r="G48" s="87"/>
      <c r="H48" s="87"/>
      <c r="I48" s="87"/>
      <c r="J48" s="87"/>
      <c r="K48" s="87"/>
      <c r="L48" s="87"/>
      <c r="M48" s="87"/>
      <c r="N48" s="87"/>
      <c r="O48" s="87"/>
    </row>
    <row r="49" spans="1:15" s="23" customFormat="1" ht="20.399999999999999" x14ac:dyDescent="0.3">
      <c r="A49" s="87"/>
      <c r="B49" s="87"/>
      <c r="C49" s="140"/>
      <c r="D49" s="140"/>
      <c r="E49" s="87"/>
      <c r="F49" s="87"/>
      <c r="G49" s="87"/>
      <c r="H49" s="87"/>
      <c r="I49" s="87"/>
      <c r="J49" s="87"/>
      <c r="K49" s="87"/>
      <c r="L49" s="87"/>
      <c r="M49" s="87"/>
      <c r="N49" s="87"/>
      <c r="O49" s="87"/>
    </row>
    <row r="50" spans="1:15" s="23" customFormat="1" ht="20.399999999999999" x14ac:dyDescent="0.3">
      <c r="A50" s="87"/>
      <c r="B50" s="87"/>
      <c r="C50" s="140"/>
      <c r="D50" s="140"/>
      <c r="E50" s="87"/>
      <c r="F50" s="87"/>
      <c r="G50" s="87"/>
      <c r="H50" s="87"/>
      <c r="I50" s="87"/>
      <c r="J50" s="87"/>
      <c r="K50" s="87"/>
      <c r="L50" s="87"/>
      <c r="M50" s="87"/>
      <c r="N50" s="87"/>
      <c r="O50" s="87"/>
    </row>
    <row r="51" spans="1:15" s="23" customFormat="1" ht="20.399999999999999" x14ac:dyDescent="0.3">
      <c r="A51" s="87"/>
      <c r="B51" s="87"/>
      <c r="C51" s="140"/>
      <c r="D51" s="140"/>
      <c r="E51" s="87"/>
      <c r="F51" s="87"/>
      <c r="G51" s="87"/>
      <c r="H51" s="87"/>
      <c r="I51" s="87"/>
      <c r="J51" s="87"/>
      <c r="K51" s="87"/>
      <c r="L51" s="87"/>
      <c r="M51" s="87"/>
      <c r="N51" s="87"/>
      <c r="O51" s="87"/>
    </row>
    <row r="52" spans="1:15" s="23" customFormat="1" ht="20.399999999999999" x14ac:dyDescent="0.3">
      <c r="A52" s="87"/>
      <c r="C52" s="142"/>
      <c r="D52" s="142"/>
    </row>
    <row r="53" spans="1:15" s="23" customFormat="1" ht="20.399999999999999" x14ac:dyDescent="0.3">
      <c r="A53" s="87"/>
      <c r="C53" s="142"/>
      <c r="D53" s="142"/>
    </row>
    <row r="54" spans="1:15" s="23" customFormat="1" ht="20.399999999999999" x14ac:dyDescent="0.3">
      <c r="A54" s="87"/>
      <c r="C54" s="142"/>
      <c r="D54" s="142"/>
    </row>
    <row r="55" spans="1:15" s="23" customFormat="1" ht="20.399999999999999" x14ac:dyDescent="0.3">
      <c r="A55" s="87"/>
      <c r="C55" s="142"/>
      <c r="D55" s="142"/>
    </row>
    <row r="56" spans="1:15" s="23" customFormat="1" ht="20.399999999999999" x14ac:dyDescent="0.3">
      <c r="A56" s="87"/>
      <c r="C56" s="142"/>
      <c r="D56" s="142"/>
    </row>
    <row r="57" spans="1:15" s="23" customFormat="1" ht="20.399999999999999" x14ac:dyDescent="0.3">
      <c r="A57" s="87"/>
      <c r="C57" s="142"/>
      <c r="D57" s="142"/>
    </row>
    <row r="58" spans="1:15" s="23" customFormat="1" ht="20.399999999999999" x14ac:dyDescent="0.3">
      <c r="A58" s="87"/>
      <c r="C58" s="142"/>
      <c r="D58" s="142"/>
    </row>
    <row r="59" spans="1:15" s="23" customFormat="1" ht="20.399999999999999" x14ac:dyDescent="0.3">
      <c r="A59" s="87"/>
      <c r="C59" s="142"/>
      <c r="D59" s="142"/>
    </row>
    <row r="60" spans="1:15" s="23" customFormat="1" ht="20.399999999999999" x14ac:dyDescent="0.3">
      <c r="A60" s="87"/>
      <c r="C60" s="142"/>
      <c r="D60" s="142"/>
    </row>
    <row r="61" spans="1:15" s="23" customFormat="1" ht="20.399999999999999" x14ac:dyDescent="0.3">
      <c r="A61" s="87"/>
      <c r="C61" s="142"/>
      <c r="D61" s="142"/>
    </row>
    <row r="62" spans="1:15" s="23" customFormat="1" ht="20.399999999999999" x14ac:dyDescent="0.3">
      <c r="A62" s="87"/>
      <c r="C62" s="142"/>
      <c r="D62" s="142"/>
    </row>
    <row r="63" spans="1:15" s="23" customFormat="1" ht="20.399999999999999" x14ac:dyDescent="0.3">
      <c r="A63" s="87"/>
      <c r="C63" s="142"/>
      <c r="D63" s="142"/>
    </row>
    <row r="64" spans="1:15" s="23" customFormat="1" ht="20.399999999999999" x14ac:dyDescent="0.3">
      <c r="A64" s="87"/>
      <c r="C64" s="142"/>
      <c r="D64" s="142"/>
    </row>
    <row r="65" spans="1:4" s="23" customFormat="1" ht="20.399999999999999" x14ac:dyDescent="0.3">
      <c r="A65" s="87"/>
      <c r="C65" s="142"/>
      <c r="D65" s="142"/>
    </row>
    <row r="66" spans="1:4" s="23" customFormat="1" ht="20.399999999999999" x14ac:dyDescent="0.3">
      <c r="A66" s="87"/>
      <c r="C66" s="142"/>
      <c r="D66" s="142"/>
    </row>
    <row r="67" spans="1:4" s="23" customFormat="1" ht="20.399999999999999" x14ac:dyDescent="0.3">
      <c r="A67" s="87"/>
      <c r="C67" s="142"/>
      <c r="D67" s="142"/>
    </row>
    <row r="68" spans="1:4" s="23" customFormat="1" ht="20.399999999999999" x14ac:dyDescent="0.3">
      <c r="A68" s="87"/>
      <c r="C68" s="142"/>
      <c r="D68" s="142"/>
    </row>
    <row r="69" spans="1:4" s="23" customFormat="1" ht="20.399999999999999" x14ac:dyDescent="0.3">
      <c r="A69" s="87"/>
      <c r="C69" s="142"/>
      <c r="D69" s="142"/>
    </row>
    <row r="70" spans="1:4" s="23" customFormat="1" ht="20.399999999999999" x14ac:dyDescent="0.3">
      <c r="A70" s="87"/>
      <c r="C70" s="142"/>
      <c r="D70" s="142"/>
    </row>
    <row r="71" spans="1:4" s="23" customFormat="1" ht="20.399999999999999" x14ac:dyDescent="0.3">
      <c r="A71" s="87"/>
      <c r="C71" s="142"/>
      <c r="D71" s="142"/>
    </row>
    <row r="72" spans="1:4" s="23" customFormat="1" ht="20.399999999999999" x14ac:dyDescent="0.3">
      <c r="A72" s="87"/>
      <c r="C72" s="142"/>
      <c r="D72" s="142"/>
    </row>
    <row r="73" spans="1:4" s="23" customFormat="1" ht="20.399999999999999" x14ac:dyDescent="0.3">
      <c r="A73" s="87"/>
      <c r="C73" s="142"/>
      <c r="D73" s="142"/>
    </row>
    <row r="74" spans="1:4" s="23" customFormat="1" ht="20.399999999999999" x14ac:dyDescent="0.3">
      <c r="A74" s="87"/>
      <c r="C74" s="142"/>
      <c r="D74" s="142"/>
    </row>
    <row r="75" spans="1:4" s="23" customFormat="1" ht="20.399999999999999" x14ac:dyDescent="0.3">
      <c r="A75" s="87"/>
      <c r="C75" s="142"/>
      <c r="D75" s="142"/>
    </row>
    <row r="76" spans="1:4" s="23" customFormat="1" ht="20.399999999999999" x14ac:dyDescent="0.3">
      <c r="A76" s="87"/>
      <c r="C76" s="142"/>
      <c r="D76" s="142"/>
    </row>
    <row r="77" spans="1:4" s="23" customFormat="1" ht="20.399999999999999" x14ac:dyDescent="0.3">
      <c r="A77" s="87"/>
      <c r="C77" s="142"/>
      <c r="D77" s="142"/>
    </row>
    <row r="78" spans="1:4" s="23" customFormat="1" ht="20.399999999999999" x14ac:dyDescent="0.3">
      <c r="A78" s="87"/>
      <c r="C78" s="142"/>
      <c r="D78" s="142"/>
    </row>
    <row r="79" spans="1:4" s="23" customFormat="1" ht="20.399999999999999" x14ac:dyDescent="0.3">
      <c r="A79" s="87"/>
      <c r="C79" s="142"/>
      <c r="D79" s="142"/>
    </row>
    <row r="80" spans="1:4" s="23" customFormat="1" ht="20.399999999999999" x14ac:dyDescent="0.3">
      <c r="A80" s="87"/>
      <c r="C80" s="142"/>
      <c r="D80" s="142"/>
    </row>
    <row r="81" spans="1:4" s="23" customFormat="1" ht="20.399999999999999" x14ac:dyDescent="0.3">
      <c r="A81" s="87"/>
      <c r="C81" s="142"/>
      <c r="D81" s="142"/>
    </row>
    <row r="82" spans="1:4" s="23" customFormat="1" ht="20.399999999999999" x14ac:dyDescent="0.3">
      <c r="A82" s="87"/>
      <c r="C82" s="142"/>
      <c r="D82" s="142"/>
    </row>
    <row r="83" spans="1:4" s="23" customFormat="1" ht="20.399999999999999" x14ac:dyDescent="0.3">
      <c r="A83" s="87"/>
      <c r="C83" s="142"/>
      <c r="D83" s="142"/>
    </row>
    <row r="84" spans="1:4" s="23" customFormat="1" ht="20.399999999999999" x14ac:dyDescent="0.3">
      <c r="A84" s="87"/>
      <c r="C84" s="142"/>
      <c r="D84" s="142"/>
    </row>
    <row r="85" spans="1:4" s="23" customFormat="1" ht="20.399999999999999" x14ac:dyDescent="0.3">
      <c r="A85" s="87"/>
      <c r="C85" s="142"/>
      <c r="D85" s="142"/>
    </row>
    <row r="86" spans="1:4" s="23" customFormat="1" ht="20.399999999999999" x14ac:dyDescent="0.3">
      <c r="A86" s="87"/>
      <c r="C86" s="142"/>
      <c r="D86" s="142"/>
    </row>
    <row r="87" spans="1:4" s="23" customFormat="1" ht="20.399999999999999" x14ac:dyDescent="0.3">
      <c r="A87" s="87"/>
      <c r="C87" s="142"/>
      <c r="D87" s="142"/>
    </row>
    <row r="88" spans="1:4" s="23" customFormat="1" ht="20.399999999999999" x14ac:dyDescent="0.3">
      <c r="A88" s="87"/>
      <c r="C88" s="142"/>
      <c r="D88" s="142"/>
    </row>
    <row r="89" spans="1:4" s="23" customFormat="1" ht="20.399999999999999" x14ac:dyDescent="0.3">
      <c r="A89" s="87"/>
      <c r="C89" s="142"/>
      <c r="D89" s="142"/>
    </row>
    <row r="90" spans="1:4" s="23" customFormat="1" ht="20.399999999999999" x14ac:dyDescent="0.3">
      <c r="A90" s="87"/>
      <c r="C90" s="142"/>
      <c r="D90" s="142"/>
    </row>
    <row r="91" spans="1:4" s="23" customFormat="1" ht="20.399999999999999" x14ac:dyDescent="0.3">
      <c r="A91" s="87"/>
      <c r="C91" s="142"/>
      <c r="D91" s="142"/>
    </row>
    <row r="92" spans="1:4" s="23" customFormat="1" ht="20.399999999999999" x14ac:dyDescent="0.3">
      <c r="A92" s="87"/>
      <c r="C92" s="142"/>
      <c r="D92" s="142"/>
    </row>
    <row r="93" spans="1:4" s="23" customFormat="1" ht="20.399999999999999" x14ac:dyDescent="0.3">
      <c r="A93" s="87"/>
      <c r="C93" s="142"/>
      <c r="D93" s="142"/>
    </row>
    <row r="94" spans="1:4" s="23" customFormat="1" ht="20.399999999999999" x14ac:dyDescent="0.3">
      <c r="A94" s="87"/>
      <c r="C94" s="142"/>
      <c r="D94" s="142"/>
    </row>
    <row r="95" spans="1:4" s="23" customFormat="1" ht="20.399999999999999" x14ac:dyDescent="0.3">
      <c r="A95" s="87"/>
      <c r="C95" s="142"/>
      <c r="D95" s="142"/>
    </row>
    <row r="96" spans="1:4" s="23" customFormat="1" ht="20.399999999999999" x14ac:dyDescent="0.3">
      <c r="A96" s="87"/>
      <c r="C96" s="142"/>
      <c r="D96" s="142"/>
    </row>
    <row r="97" spans="1:4" s="23" customFormat="1" ht="20.399999999999999" x14ac:dyDescent="0.3">
      <c r="A97" s="87"/>
      <c r="C97" s="142"/>
      <c r="D97" s="142"/>
    </row>
    <row r="98" spans="1:4" s="23" customFormat="1" ht="20.399999999999999" x14ac:dyDescent="0.3">
      <c r="A98" s="87"/>
      <c r="C98" s="142"/>
      <c r="D98" s="142"/>
    </row>
    <row r="99" spans="1:4" s="23" customFormat="1" ht="20.399999999999999" x14ac:dyDescent="0.3">
      <c r="A99" s="87"/>
      <c r="C99" s="142"/>
      <c r="D99" s="142"/>
    </row>
    <row r="100" spans="1:4" s="23" customFormat="1" ht="20.399999999999999" x14ac:dyDescent="0.3">
      <c r="A100" s="87"/>
      <c r="C100" s="142"/>
      <c r="D100" s="142"/>
    </row>
    <row r="101" spans="1:4" s="23" customFormat="1" ht="20.399999999999999" x14ac:dyDescent="0.3">
      <c r="A101" s="87"/>
      <c r="C101" s="142"/>
      <c r="D101" s="142"/>
    </row>
    <row r="102" spans="1:4" s="23" customFormat="1" ht="20.399999999999999" x14ac:dyDescent="0.3">
      <c r="A102" s="87"/>
      <c r="C102" s="142"/>
      <c r="D102" s="142"/>
    </row>
    <row r="103" spans="1:4" s="23" customFormat="1" ht="20.399999999999999" x14ac:dyDescent="0.3">
      <c r="A103" s="87"/>
      <c r="C103" s="142"/>
      <c r="D103" s="142"/>
    </row>
    <row r="104" spans="1:4" s="23" customFormat="1" ht="20.399999999999999" x14ac:dyDescent="0.3">
      <c r="A104" s="87"/>
      <c r="C104" s="142"/>
      <c r="D104" s="142"/>
    </row>
    <row r="105" spans="1:4" s="23" customFormat="1" ht="20.399999999999999" x14ac:dyDescent="0.3">
      <c r="A105" s="87"/>
      <c r="C105" s="142"/>
      <c r="D105" s="142"/>
    </row>
    <row r="106" spans="1:4" s="23" customFormat="1" ht="20.399999999999999" x14ac:dyDescent="0.3">
      <c r="A106" s="87"/>
      <c r="C106" s="142"/>
      <c r="D106" s="142"/>
    </row>
    <row r="107" spans="1:4" s="23" customFormat="1" ht="20.399999999999999" x14ac:dyDescent="0.3">
      <c r="A107" s="87"/>
      <c r="C107" s="142"/>
      <c r="D107" s="142"/>
    </row>
    <row r="108" spans="1:4" s="23" customFormat="1" ht="20.399999999999999" x14ac:dyDescent="0.3">
      <c r="A108" s="87"/>
      <c r="C108" s="142"/>
      <c r="D108" s="142"/>
    </row>
    <row r="109" spans="1:4" s="23" customFormat="1" ht="20.399999999999999" x14ac:dyDescent="0.3">
      <c r="A109" s="87"/>
      <c r="C109" s="142"/>
      <c r="D109" s="142"/>
    </row>
    <row r="110" spans="1:4" s="23" customFormat="1" ht="20.399999999999999" x14ac:dyDescent="0.3">
      <c r="A110" s="87"/>
      <c r="C110" s="142"/>
      <c r="D110" s="142"/>
    </row>
    <row r="111" spans="1:4" s="23" customFormat="1" ht="20.399999999999999" x14ac:dyDescent="0.3">
      <c r="A111" s="87"/>
      <c r="C111" s="142"/>
      <c r="D111" s="142"/>
    </row>
    <row r="112" spans="1:4" s="23" customFormat="1" ht="20.399999999999999" x14ac:dyDescent="0.3">
      <c r="A112" s="87"/>
      <c r="C112" s="142"/>
      <c r="D112" s="142"/>
    </row>
    <row r="113" spans="1:4" s="23" customFormat="1" ht="20.399999999999999" x14ac:dyDescent="0.3">
      <c r="A113" s="87"/>
      <c r="C113" s="142"/>
      <c r="D113" s="142"/>
    </row>
    <row r="114" spans="1:4" s="23" customFormat="1" ht="20.399999999999999" x14ac:dyDescent="0.3">
      <c r="A114" s="87"/>
      <c r="C114" s="142"/>
      <c r="D114" s="142"/>
    </row>
    <row r="115" spans="1:4" s="23" customFormat="1" ht="20.399999999999999" x14ac:dyDescent="0.3">
      <c r="A115" s="87"/>
      <c r="C115" s="142"/>
      <c r="D115" s="142"/>
    </row>
    <row r="116" spans="1:4" s="23" customFormat="1" ht="20.399999999999999" x14ac:dyDescent="0.3">
      <c r="A116" s="87"/>
      <c r="C116" s="142"/>
      <c r="D116" s="142"/>
    </row>
    <row r="117" spans="1:4" s="23" customFormat="1" ht="20.399999999999999" x14ac:dyDescent="0.3">
      <c r="A117" s="87"/>
      <c r="C117" s="142"/>
      <c r="D117" s="142"/>
    </row>
    <row r="118" spans="1:4" s="23" customFormat="1" ht="20.399999999999999" x14ac:dyDescent="0.3">
      <c r="A118" s="87"/>
      <c r="C118" s="142"/>
      <c r="D118" s="142"/>
    </row>
    <row r="119" spans="1:4" s="23" customFormat="1" ht="20.399999999999999" x14ac:dyDescent="0.3">
      <c r="A119" s="87"/>
      <c r="C119" s="142"/>
      <c r="D119" s="142"/>
    </row>
    <row r="120" spans="1:4" s="23" customFormat="1" ht="20.399999999999999" x14ac:dyDescent="0.3">
      <c r="A120" s="87"/>
      <c r="C120" s="142"/>
      <c r="D120" s="142"/>
    </row>
    <row r="121" spans="1:4" s="23" customFormat="1" ht="20.399999999999999" x14ac:dyDescent="0.3">
      <c r="A121" s="87"/>
      <c r="C121" s="142"/>
      <c r="D121" s="142"/>
    </row>
    <row r="122" spans="1:4" s="23" customFormat="1" ht="20.399999999999999" x14ac:dyDescent="0.3">
      <c r="A122" s="87"/>
      <c r="C122" s="142"/>
      <c r="D122" s="142"/>
    </row>
    <row r="123" spans="1:4" s="23" customFormat="1" ht="20.399999999999999" x14ac:dyDescent="0.3">
      <c r="A123" s="87"/>
      <c r="C123" s="142"/>
      <c r="D123" s="142"/>
    </row>
    <row r="124" spans="1:4" s="23" customFormat="1" ht="20.399999999999999" x14ac:dyDescent="0.3">
      <c r="A124" s="87"/>
      <c r="C124" s="142"/>
      <c r="D124" s="142"/>
    </row>
    <row r="125" spans="1:4" s="23" customFormat="1" ht="20.399999999999999" x14ac:dyDescent="0.3">
      <c r="A125" s="87"/>
      <c r="C125" s="142"/>
      <c r="D125" s="142"/>
    </row>
    <row r="126" spans="1:4" s="23" customFormat="1" ht="20.399999999999999" x14ac:dyDescent="0.3">
      <c r="A126" s="87"/>
      <c r="C126" s="142"/>
      <c r="D126" s="142"/>
    </row>
    <row r="127" spans="1:4" s="23" customFormat="1" ht="20.399999999999999" x14ac:dyDescent="0.3">
      <c r="A127" s="87"/>
      <c r="C127" s="142"/>
      <c r="D127" s="142"/>
    </row>
    <row r="128" spans="1:4" s="23" customFormat="1" ht="20.399999999999999" x14ac:dyDescent="0.3">
      <c r="A128" s="87"/>
      <c r="C128" s="142"/>
      <c r="D128" s="142"/>
    </row>
    <row r="129" spans="1:4" s="23" customFormat="1" ht="20.399999999999999" x14ac:dyDescent="0.3">
      <c r="A129" s="87"/>
      <c r="C129" s="142"/>
      <c r="D129" s="142"/>
    </row>
    <row r="130" spans="1:4" s="23" customFormat="1" ht="20.399999999999999" x14ac:dyDescent="0.3">
      <c r="A130" s="87"/>
      <c r="C130" s="142"/>
      <c r="D130" s="142"/>
    </row>
    <row r="131" spans="1:4" s="23" customFormat="1" ht="20.399999999999999" x14ac:dyDescent="0.3">
      <c r="A131" s="87"/>
      <c r="C131" s="142"/>
      <c r="D131" s="142"/>
    </row>
    <row r="132" spans="1:4" s="23" customFormat="1" ht="20.399999999999999" x14ac:dyDescent="0.3">
      <c r="A132" s="87"/>
      <c r="C132" s="142"/>
      <c r="D132" s="142"/>
    </row>
    <row r="133" spans="1:4" s="23" customFormat="1" ht="20.399999999999999" x14ac:dyDescent="0.3">
      <c r="A133" s="87"/>
      <c r="C133" s="142"/>
      <c r="D133" s="142"/>
    </row>
    <row r="134" spans="1:4" s="23" customFormat="1" ht="20.399999999999999" x14ac:dyDescent="0.3">
      <c r="A134" s="87"/>
      <c r="C134" s="142"/>
      <c r="D134" s="142"/>
    </row>
    <row r="135" spans="1:4" s="23" customFormat="1" ht="20.399999999999999" x14ac:dyDescent="0.3">
      <c r="A135" s="87"/>
      <c r="C135" s="142"/>
      <c r="D135" s="142"/>
    </row>
    <row r="136" spans="1:4" s="23" customFormat="1" ht="20.399999999999999" x14ac:dyDescent="0.3">
      <c r="A136" s="87"/>
      <c r="C136" s="142"/>
      <c r="D136" s="142"/>
    </row>
    <row r="137" spans="1:4" s="23" customFormat="1" ht="20.399999999999999" x14ac:dyDescent="0.3">
      <c r="A137" s="87"/>
      <c r="C137" s="142"/>
      <c r="D137" s="142"/>
    </row>
    <row r="138" spans="1:4" s="23" customFormat="1" ht="20.399999999999999" x14ac:dyDescent="0.3">
      <c r="A138" s="87"/>
      <c r="C138" s="142"/>
      <c r="D138" s="142"/>
    </row>
    <row r="139" spans="1:4" s="23" customFormat="1" ht="20.399999999999999" x14ac:dyDescent="0.3">
      <c r="A139" s="87"/>
      <c r="C139" s="142"/>
      <c r="D139" s="142"/>
    </row>
    <row r="140" spans="1:4" s="23" customFormat="1" ht="20.399999999999999" x14ac:dyDescent="0.3">
      <c r="A140" s="87"/>
      <c r="C140" s="142"/>
      <c r="D140" s="142"/>
    </row>
    <row r="141" spans="1:4" s="23" customFormat="1" ht="20.399999999999999" x14ac:dyDescent="0.3">
      <c r="A141" s="87"/>
      <c r="C141" s="142"/>
      <c r="D141" s="142"/>
    </row>
    <row r="142" spans="1:4" s="23" customFormat="1" ht="20.399999999999999" x14ac:dyDescent="0.3">
      <c r="A142" s="87"/>
      <c r="C142" s="142"/>
      <c r="D142" s="142"/>
    </row>
    <row r="143" spans="1:4" s="23" customFormat="1" ht="20.399999999999999" x14ac:dyDescent="0.3">
      <c r="A143" s="87"/>
      <c r="C143" s="142"/>
      <c r="D143" s="142"/>
    </row>
    <row r="144" spans="1:4" s="23" customFormat="1" ht="20.399999999999999" x14ac:dyDescent="0.3">
      <c r="A144" s="87"/>
      <c r="C144" s="142"/>
      <c r="D144" s="142"/>
    </row>
    <row r="145" spans="1:4" s="23" customFormat="1" ht="20.399999999999999" x14ac:dyDescent="0.3">
      <c r="A145" s="87"/>
      <c r="C145" s="142"/>
      <c r="D145" s="142"/>
    </row>
    <row r="146" spans="1:4" s="23" customFormat="1" ht="20.399999999999999" x14ac:dyDescent="0.3">
      <c r="A146" s="87"/>
      <c r="C146" s="142"/>
      <c r="D146" s="142"/>
    </row>
    <row r="147" spans="1:4" s="23" customFormat="1" ht="20.399999999999999" x14ac:dyDescent="0.3">
      <c r="A147" s="87"/>
      <c r="C147" s="142"/>
      <c r="D147" s="142"/>
    </row>
    <row r="148" spans="1:4" s="23" customFormat="1" ht="20.399999999999999" x14ac:dyDescent="0.3">
      <c r="A148" s="87"/>
      <c r="C148" s="142"/>
      <c r="D148" s="142"/>
    </row>
    <row r="149" spans="1:4" s="23" customFormat="1" ht="20.399999999999999" x14ac:dyDescent="0.3">
      <c r="A149" s="87"/>
      <c r="C149" s="142"/>
      <c r="D149" s="142"/>
    </row>
    <row r="150" spans="1:4" s="23" customFormat="1" ht="20.399999999999999" x14ac:dyDescent="0.3">
      <c r="A150" s="87"/>
      <c r="C150" s="142"/>
      <c r="D150" s="142"/>
    </row>
    <row r="151" spans="1:4" s="23" customFormat="1" ht="20.399999999999999" x14ac:dyDescent="0.3">
      <c r="A151" s="87"/>
      <c r="C151" s="142"/>
      <c r="D151" s="142"/>
    </row>
    <row r="152" spans="1:4" s="23" customFormat="1" ht="20.399999999999999" x14ac:dyDescent="0.3">
      <c r="A152" s="87"/>
      <c r="C152" s="142"/>
      <c r="D152" s="142"/>
    </row>
    <row r="153" spans="1:4" s="23" customFormat="1" ht="20.399999999999999" x14ac:dyDescent="0.3">
      <c r="A153" s="87"/>
      <c r="C153" s="142"/>
      <c r="D153" s="142"/>
    </row>
    <row r="154" spans="1:4" s="23" customFormat="1" ht="20.399999999999999" x14ac:dyDescent="0.3">
      <c r="A154" s="87"/>
      <c r="C154" s="142"/>
      <c r="D154" s="142"/>
    </row>
    <row r="155" spans="1:4" s="23" customFormat="1" ht="20.399999999999999" x14ac:dyDescent="0.3">
      <c r="A155" s="87"/>
      <c r="C155" s="142"/>
      <c r="D155" s="142"/>
    </row>
    <row r="156" spans="1:4" s="23" customFormat="1" ht="20.399999999999999" x14ac:dyDescent="0.3">
      <c r="A156" s="87"/>
      <c r="C156" s="142"/>
      <c r="D156" s="142"/>
    </row>
    <row r="157" spans="1:4" s="23" customFormat="1" ht="20.399999999999999" x14ac:dyDescent="0.3">
      <c r="A157" s="87"/>
      <c r="C157" s="142"/>
      <c r="D157" s="142"/>
    </row>
    <row r="158" spans="1:4" s="23" customFormat="1" ht="20.399999999999999" x14ac:dyDescent="0.3">
      <c r="A158" s="87"/>
      <c r="C158" s="142"/>
      <c r="D158" s="142"/>
    </row>
    <row r="159" spans="1:4" s="23" customFormat="1" ht="20.399999999999999" x14ac:dyDescent="0.3">
      <c r="A159" s="87"/>
      <c r="C159" s="142"/>
      <c r="D159" s="142"/>
    </row>
    <row r="160" spans="1:4" s="23" customFormat="1" ht="20.399999999999999" x14ac:dyDescent="0.3">
      <c r="A160" s="87"/>
      <c r="C160" s="142"/>
      <c r="D160" s="142"/>
    </row>
    <row r="161" spans="1:4" s="23" customFormat="1" ht="20.399999999999999" x14ac:dyDescent="0.3">
      <c r="A161" s="87"/>
      <c r="C161" s="142"/>
      <c r="D161" s="142"/>
    </row>
    <row r="162" spans="1:4" s="23" customFormat="1" ht="20.399999999999999" x14ac:dyDescent="0.3">
      <c r="A162" s="87"/>
      <c r="C162" s="142"/>
      <c r="D162" s="142"/>
    </row>
    <row r="163" spans="1:4" s="23" customFormat="1" ht="20.399999999999999" x14ac:dyDescent="0.3">
      <c r="A163" s="87"/>
      <c r="C163" s="142"/>
      <c r="D163" s="142"/>
    </row>
    <row r="164" spans="1:4" s="23" customFormat="1" ht="20.399999999999999" x14ac:dyDescent="0.3">
      <c r="A164" s="87"/>
      <c r="C164" s="142"/>
      <c r="D164" s="142"/>
    </row>
    <row r="165" spans="1:4" s="23" customFormat="1" ht="20.399999999999999" x14ac:dyDescent="0.3">
      <c r="A165" s="87"/>
      <c r="C165" s="142"/>
      <c r="D165" s="142"/>
    </row>
    <row r="166" spans="1:4" s="23" customFormat="1" ht="20.399999999999999" x14ac:dyDescent="0.3">
      <c r="A166" s="87"/>
      <c r="C166" s="142"/>
      <c r="D166" s="142"/>
    </row>
    <row r="167" spans="1:4" s="23" customFormat="1" ht="20.399999999999999" x14ac:dyDescent="0.3">
      <c r="A167" s="87"/>
      <c r="C167" s="142"/>
      <c r="D167" s="142"/>
    </row>
    <row r="168" spans="1:4" s="23" customFormat="1" ht="20.399999999999999" x14ac:dyDescent="0.3">
      <c r="A168" s="87"/>
      <c r="C168" s="142"/>
      <c r="D168" s="142"/>
    </row>
    <row r="169" spans="1:4" s="23" customFormat="1" ht="20.399999999999999" x14ac:dyDescent="0.3">
      <c r="A169" s="87"/>
      <c r="C169" s="142"/>
      <c r="D169" s="142"/>
    </row>
    <row r="170" spans="1:4" s="23" customFormat="1" ht="20.399999999999999" x14ac:dyDescent="0.3">
      <c r="A170" s="87"/>
      <c r="C170" s="142"/>
      <c r="D170" s="142"/>
    </row>
    <row r="171" spans="1:4" s="23" customFormat="1" ht="20.399999999999999" x14ac:dyDescent="0.3">
      <c r="A171" s="87"/>
      <c r="C171" s="142"/>
      <c r="D171" s="142"/>
    </row>
    <row r="172" spans="1:4" s="23" customFormat="1" ht="20.399999999999999" x14ac:dyDescent="0.3">
      <c r="A172" s="87"/>
      <c r="C172" s="142"/>
      <c r="D172" s="142"/>
    </row>
    <row r="173" spans="1:4" s="23" customFormat="1" ht="20.399999999999999" x14ac:dyDescent="0.3">
      <c r="A173" s="87"/>
      <c r="C173" s="142"/>
      <c r="D173" s="142"/>
    </row>
    <row r="174" spans="1:4" s="23" customFormat="1" ht="20.399999999999999" x14ac:dyDescent="0.3">
      <c r="A174" s="87"/>
      <c r="C174" s="142"/>
      <c r="D174" s="142"/>
    </row>
    <row r="175" spans="1:4" s="23" customFormat="1" ht="20.399999999999999" x14ac:dyDescent="0.3">
      <c r="A175" s="87"/>
      <c r="C175" s="142"/>
      <c r="D175" s="142"/>
    </row>
    <row r="176" spans="1:4" s="23" customFormat="1" ht="20.399999999999999" x14ac:dyDescent="0.3">
      <c r="A176" s="87"/>
      <c r="C176" s="142"/>
      <c r="D176" s="142"/>
    </row>
    <row r="177" spans="1:4" s="23" customFormat="1" ht="20.399999999999999" x14ac:dyDescent="0.3">
      <c r="A177" s="87"/>
      <c r="C177" s="142"/>
      <c r="D177" s="142"/>
    </row>
    <row r="178" spans="1:4" s="23" customFormat="1" ht="20.399999999999999" x14ac:dyDescent="0.3">
      <c r="A178" s="87"/>
      <c r="C178" s="142"/>
      <c r="D178" s="142"/>
    </row>
    <row r="179" spans="1:4" s="23" customFormat="1" ht="20.399999999999999" x14ac:dyDescent="0.3">
      <c r="A179" s="87"/>
      <c r="C179" s="142"/>
      <c r="D179" s="142"/>
    </row>
    <row r="180" spans="1:4" s="23" customFormat="1" ht="20.399999999999999" x14ac:dyDescent="0.3">
      <c r="A180" s="87"/>
      <c r="C180" s="142"/>
      <c r="D180" s="142"/>
    </row>
    <row r="181" spans="1:4" s="23" customFormat="1" ht="20.399999999999999" x14ac:dyDescent="0.3">
      <c r="A181" s="87"/>
      <c r="C181" s="142"/>
      <c r="D181" s="142"/>
    </row>
    <row r="182" spans="1:4" s="23" customFormat="1" ht="20.399999999999999" x14ac:dyDescent="0.3">
      <c r="A182" s="87"/>
      <c r="C182" s="142"/>
      <c r="D182" s="142"/>
    </row>
    <row r="183" spans="1:4" s="23" customFormat="1" ht="20.399999999999999" x14ac:dyDescent="0.3">
      <c r="A183" s="87"/>
      <c r="C183" s="142"/>
      <c r="D183" s="142"/>
    </row>
    <row r="184" spans="1:4" s="23" customFormat="1" ht="20.399999999999999" x14ac:dyDescent="0.3">
      <c r="A184" s="87"/>
      <c r="C184" s="142"/>
      <c r="D184" s="142"/>
    </row>
    <row r="185" spans="1:4" s="23" customFormat="1" ht="20.399999999999999" x14ac:dyDescent="0.3">
      <c r="A185" s="87"/>
      <c r="C185" s="142"/>
      <c r="D185" s="142"/>
    </row>
    <row r="186" spans="1:4" s="23" customFormat="1" ht="20.399999999999999" x14ac:dyDescent="0.3">
      <c r="A186" s="87"/>
      <c r="C186" s="142"/>
      <c r="D186" s="142"/>
    </row>
    <row r="187" spans="1:4" s="23" customFormat="1" ht="20.399999999999999" x14ac:dyDescent="0.3">
      <c r="A187" s="87"/>
      <c r="C187" s="142"/>
      <c r="D187" s="142"/>
    </row>
    <row r="188" spans="1:4" s="23" customFormat="1" ht="20.399999999999999" x14ac:dyDescent="0.3">
      <c r="A188" s="87"/>
      <c r="C188" s="142"/>
      <c r="D188" s="142"/>
    </row>
    <row r="189" spans="1:4" s="23" customFormat="1" ht="20.399999999999999" x14ac:dyDescent="0.3">
      <c r="A189" s="87"/>
      <c r="C189" s="142"/>
      <c r="D189" s="142"/>
    </row>
    <row r="190" spans="1:4" s="23" customFormat="1" ht="20.399999999999999" x14ac:dyDescent="0.3">
      <c r="A190" s="87"/>
      <c r="C190" s="142"/>
      <c r="D190" s="142"/>
    </row>
    <row r="191" spans="1:4" s="23" customFormat="1" ht="20.399999999999999" x14ac:dyDescent="0.3">
      <c r="A191" s="87"/>
      <c r="C191" s="142"/>
      <c r="D191" s="142"/>
    </row>
    <row r="192" spans="1:4" s="23" customFormat="1" ht="20.399999999999999" x14ac:dyDescent="0.3">
      <c r="A192" s="87"/>
      <c r="C192" s="142"/>
      <c r="D192" s="142"/>
    </row>
    <row r="193" spans="1:4" s="23" customFormat="1" ht="20.399999999999999" x14ac:dyDescent="0.3">
      <c r="A193" s="87"/>
      <c r="C193" s="142"/>
      <c r="D193" s="142"/>
    </row>
    <row r="194" spans="1:4" s="23" customFormat="1" ht="20.399999999999999" x14ac:dyDescent="0.3">
      <c r="A194" s="87"/>
      <c r="C194" s="142"/>
      <c r="D194" s="142"/>
    </row>
    <row r="195" spans="1:4" s="23" customFormat="1" ht="20.399999999999999" x14ac:dyDescent="0.3">
      <c r="A195" s="87"/>
      <c r="C195" s="142"/>
      <c r="D195" s="142"/>
    </row>
    <row r="196" spans="1:4" s="23" customFormat="1" ht="20.399999999999999" x14ac:dyDescent="0.3">
      <c r="A196" s="87"/>
      <c r="C196" s="142"/>
      <c r="D196" s="142"/>
    </row>
    <row r="197" spans="1:4" s="23" customFormat="1" ht="20.399999999999999" x14ac:dyDescent="0.3">
      <c r="A197" s="87"/>
      <c r="C197" s="142"/>
      <c r="D197" s="142"/>
    </row>
    <row r="198" spans="1:4" s="23" customFormat="1" ht="20.399999999999999" x14ac:dyDescent="0.3">
      <c r="A198" s="87"/>
      <c r="C198" s="142"/>
      <c r="D198" s="142"/>
    </row>
    <row r="199" spans="1:4" s="23" customFormat="1" ht="20.399999999999999" x14ac:dyDescent="0.3">
      <c r="A199" s="87"/>
      <c r="C199" s="142"/>
      <c r="D199" s="142"/>
    </row>
    <row r="200" spans="1:4" s="23" customFormat="1" ht="20.399999999999999" x14ac:dyDescent="0.3">
      <c r="A200" s="87"/>
      <c r="C200" s="142"/>
      <c r="D200" s="142"/>
    </row>
    <row r="201" spans="1:4" s="23" customFormat="1" ht="20.399999999999999" x14ac:dyDescent="0.3">
      <c r="A201" s="87"/>
      <c r="C201" s="142"/>
      <c r="D201" s="142"/>
    </row>
    <row r="202" spans="1:4" s="23" customFormat="1" ht="20.399999999999999" x14ac:dyDescent="0.3">
      <c r="A202" s="87"/>
      <c r="C202" s="142"/>
      <c r="D202" s="142"/>
    </row>
    <row r="203" spans="1:4" s="23" customFormat="1" ht="20.399999999999999" x14ac:dyDescent="0.3">
      <c r="A203" s="87"/>
      <c r="C203" s="142"/>
      <c r="D203" s="142"/>
    </row>
    <row r="204" spans="1:4" s="23" customFormat="1" ht="20.399999999999999" x14ac:dyDescent="0.3">
      <c r="A204" s="87"/>
      <c r="C204" s="142"/>
      <c r="D204" s="142"/>
    </row>
    <row r="205" spans="1:4" s="23" customFormat="1" ht="20.399999999999999" x14ac:dyDescent="0.3">
      <c r="A205" s="87"/>
      <c r="C205" s="142"/>
      <c r="D205" s="142"/>
    </row>
    <row r="206" spans="1:4" s="23" customFormat="1" ht="20.399999999999999" x14ac:dyDescent="0.3">
      <c r="A206" s="87"/>
      <c r="C206" s="142"/>
      <c r="D206" s="142"/>
    </row>
    <row r="207" spans="1:4" s="23" customFormat="1" ht="20.399999999999999" x14ac:dyDescent="0.3">
      <c r="A207" s="87"/>
      <c r="C207" s="142"/>
      <c r="D207" s="142"/>
    </row>
    <row r="208" spans="1:4" s="23" customFormat="1" x14ac:dyDescent="0.3">
      <c r="A208" s="87"/>
    </row>
    <row r="209" spans="1:8" s="23" customFormat="1" ht="20.399999999999999" x14ac:dyDescent="0.3">
      <c r="A209" s="87"/>
      <c r="B209" s="143" t="s">
        <v>86</v>
      </c>
      <c r="C209" s="143" t="s">
        <v>138</v>
      </c>
      <c r="D209" s="144" t="s">
        <v>86</v>
      </c>
      <c r="E209" s="144" t="s">
        <v>138</v>
      </c>
    </row>
    <row r="210" spans="1:8" s="23" customFormat="1" ht="42" x14ac:dyDescent="0.4">
      <c r="A210" s="87"/>
      <c r="B210" s="145" t="s">
        <v>88</v>
      </c>
      <c r="C210" s="145" t="s">
        <v>203</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5" t="s">
        <v>88</v>
      </c>
      <c r="C211" s="145" t="s">
        <v>204</v>
      </c>
      <c r="E211" s="23" t="s">
        <v>203</v>
      </c>
      <c r="F211" s="23" t="str">
        <f t="shared" ref="F211:F221" si="0">IF(NOT(ISBLANK(D211)),D211,IF(NOT(ISBLANK(E211)),"     "&amp;E211,FALSE))</f>
        <v xml:space="preserve">     Afectación menor a 200 SMLMV</v>
      </c>
    </row>
    <row r="212" spans="1:8" s="23" customFormat="1" ht="42" x14ac:dyDescent="0.4">
      <c r="A212" s="87"/>
      <c r="B212" s="145" t="s">
        <v>88</v>
      </c>
      <c r="C212" s="145" t="s">
        <v>208</v>
      </c>
      <c r="E212" s="23" t="s">
        <v>204</v>
      </c>
      <c r="F212" s="23" t="str">
        <f t="shared" si="0"/>
        <v xml:space="preserve">     Entre 200 y 1000 SMLMV</v>
      </c>
    </row>
    <row r="213" spans="1:8" s="23" customFormat="1" ht="42" x14ac:dyDescent="0.4">
      <c r="A213" s="87"/>
      <c r="B213" s="145" t="s">
        <v>88</v>
      </c>
      <c r="C213" s="145" t="s">
        <v>209</v>
      </c>
      <c r="E213" s="23" t="s">
        <v>208</v>
      </c>
      <c r="F213" s="23" t="str">
        <f t="shared" si="0"/>
        <v xml:space="preserve">     Entre 1000 y 5000 SMLMV </v>
      </c>
    </row>
    <row r="214" spans="1:8" s="23" customFormat="1" ht="42" x14ac:dyDescent="0.4">
      <c r="A214" s="87"/>
      <c r="B214" s="145" t="s">
        <v>88</v>
      </c>
      <c r="C214" s="145" t="s">
        <v>205</v>
      </c>
      <c r="E214" s="23" t="s">
        <v>209</v>
      </c>
      <c r="F214" s="23" t="str">
        <f t="shared" si="0"/>
        <v xml:space="preserve">     Entre 5000 y 10000 SMLMV</v>
      </c>
    </row>
    <row r="215" spans="1:8" s="23" customFormat="1" ht="42" x14ac:dyDescent="0.4">
      <c r="A215" s="87"/>
      <c r="B215" s="145" t="s">
        <v>56</v>
      </c>
      <c r="C215" s="145" t="s">
        <v>91</v>
      </c>
      <c r="E215" s="23" t="s">
        <v>205</v>
      </c>
      <c r="F215" s="23" t="str">
        <f t="shared" si="0"/>
        <v xml:space="preserve">     Mayor a 10000 SMLMV</v>
      </c>
    </row>
    <row r="216" spans="1:8" s="23" customFormat="1" ht="63" x14ac:dyDescent="0.4">
      <c r="A216" s="87"/>
      <c r="B216" s="145" t="s">
        <v>56</v>
      </c>
      <c r="C216" s="145" t="s">
        <v>92</v>
      </c>
      <c r="D216" s="23" t="s">
        <v>56</v>
      </c>
      <c r="F216" s="23" t="str">
        <f t="shared" si="0"/>
        <v>Pérdida Reputacional</v>
      </c>
    </row>
    <row r="217" spans="1:8" s="23" customFormat="1" ht="42" x14ac:dyDescent="0.4">
      <c r="A217" s="87"/>
      <c r="B217" s="145" t="s">
        <v>56</v>
      </c>
      <c r="C217" s="145" t="s">
        <v>94</v>
      </c>
      <c r="E217" s="23" t="s">
        <v>91</v>
      </c>
      <c r="F217" s="23" t="str">
        <f>IF(NOT(ISBLANK(D217)),D217,IF(NOT(ISBLANK(E217)),"     "&amp;E217,FALSE))</f>
        <v xml:space="preserve">     El riesgo afecta la imagen de alguna área de la organización</v>
      </c>
    </row>
    <row r="218" spans="1:8" s="23" customFormat="1" ht="63" x14ac:dyDescent="0.4">
      <c r="A218" s="87"/>
      <c r="B218" s="145" t="s">
        <v>56</v>
      </c>
      <c r="C218" s="145"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5" t="s">
        <v>56</v>
      </c>
      <c r="C219" s="145"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6" t="s">
        <v>139</v>
      </c>
    </row>
    <row r="224" spans="1:8" s="23" customFormat="1" x14ac:dyDescent="0.3">
      <c r="F224" s="146" t="s">
        <v>140</v>
      </c>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249977111117893"/>
  </sheetPr>
  <dimension ref="B1:F16"/>
  <sheetViews>
    <sheetView workbookViewId="0">
      <selection activeCell="E4" sqref="E4"/>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769" t="s">
        <v>76</v>
      </c>
      <c r="C1" s="770"/>
      <c r="D1" s="770"/>
      <c r="E1" s="770"/>
      <c r="F1" s="771"/>
    </row>
    <row r="2" spans="2:6" ht="16.2" thickBot="1" x14ac:dyDescent="0.35">
      <c r="B2" s="73"/>
      <c r="C2" s="73"/>
      <c r="D2" s="73"/>
      <c r="E2" s="73"/>
      <c r="F2" s="73"/>
    </row>
    <row r="3" spans="2:6" ht="16.2" thickBot="1" x14ac:dyDescent="0.35">
      <c r="B3" s="773" t="s">
        <v>62</v>
      </c>
      <c r="C3" s="774"/>
      <c r="D3" s="774"/>
      <c r="E3" s="85" t="s">
        <v>63</v>
      </c>
      <c r="F3" s="86" t="s">
        <v>64</v>
      </c>
    </row>
    <row r="4" spans="2:6" ht="31.2" x14ac:dyDescent="0.3">
      <c r="B4" s="775" t="s">
        <v>65</v>
      </c>
      <c r="C4" s="777" t="s">
        <v>13</v>
      </c>
      <c r="D4" s="74" t="s">
        <v>14</v>
      </c>
      <c r="E4" s="75" t="s">
        <v>66</v>
      </c>
      <c r="F4" s="76">
        <v>0.25</v>
      </c>
    </row>
    <row r="5" spans="2:6" ht="46.8" x14ac:dyDescent="0.3">
      <c r="B5" s="776"/>
      <c r="C5" s="778"/>
      <c r="D5" s="77" t="s">
        <v>15</v>
      </c>
      <c r="E5" s="78" t="s">
        <v>67</v>
      </c>
      <c r="F5" s="79">
        <v>0.15</v>
      </c>
    </row>
    <row r="6" spans="2:6" ht="46.8" x14ac:dyDescent="0.3">
      <c r="B6" s="776"/>
      <c r="C6" s="778"/>
      <c r="D6" s="77" t="s">
        <v>16</v>
      </c>
      <c r="E6" s="78" t="s">
        <v>68</v>
      </c>
      <c r="F6" s="79">
        <v>0.1</v>
      </c>
    </row>
    <row r="7" spans="2:6" ht="62.4" x14ac:dyDescent="0.3">
      <c r="B7" s="776"/>
      <c r="C7" s="778" t="s">
        <v>17</v>
      </c>
      <c r="D7" s="77" t="s">
        <v>10</v>
      </c>
      <c r="E7" s="78" t="s">
        <v>69</v>
      </c>
      <c r="F7" s="79">
        <v>0.25</v>
      </c>
    </row>
    <row r="8" spans="2:6" ht="31.2" x14ac:dyDescent="0.3">
      <c r="B8" s="776"/>
      <c r="C8" s="778"/>
      <c r="D8" s="77" t="s">
        <v>9</v>
      </c>
      <c r="E8" s="78" t="s">
        <v>70</v>
      </c>
      <c r="F8" s="79">
        <v>0.15</v>
      </c>
    </row>
    <row r="9" spans="2:6" ht="46.8" x14ac:dyDescent="0.3">
      <c r="B9" s="776" t="s">
        <v>149</v>
      </c>
      <c r="C9" s="778" t="s">
        <v>18</v>
      </c>
      <c r="D9" s="77" t="s">
        <v>19</v>
      </c>
      <c r="E9" s="78" t="s">
        <v>71</v>
      </c>
      <c r="F9" s="80" t="s">
        <v>72</v>
      </c>
    </row>
    <row r="10" spans="2:6" ht="46.8" x14ac:dyDescent="0.3">
      <c r="B10" s="776"/>
      <c r="C10" s="778"/>
      <c r="D10" s="77" t="s">
        <v>20</v>
      </c>
      <c r="E10" s="78" t="s">
        <v>73</v>
      </c>
      <c r="F10" s="80" t="s">
        <v>72</v>
      </c>
    </row>
    <row r="11" spans="2:6" ht="46.8" x14ac:dyDescent="0.3">
      <c r="B11" s="776"/>
      <c r="C11" s="778" t="s">
        <v>21</v>
      </c>
      <c r="D11" s="77" t="s">
        <v>22</v>
      </c>
      <c r="E11" s="78" t="s">
        <v>74</v>
      </c>
      <c r="F11" s="80" t="s">
        <v>72</v>
      </c>
    </row>
    <row r="12" spans="2:6" ht="46.8" x14ac:dyDescent="0.3">
      <c r="B12" s="776"/>
      <c r="C12" s="778"/>
      <c r="D12" s="77" t="s">
        <v>23</v>
      </c>
      <c r="E12" s="78" t="s">
        <v>75</v>
      </c>
      <c r="F12" s="80" t="s">
        <v>72</v>
      </c>
    </row>
    <row r="13" spans="2:6" ht="31.2" x14ac:dyDescent="0.3">
      <c r="B13" s="776"/>
      <c r="C13" s="778" t="s">
        <v>24</v>
      </c>
      <c r="D13" s="77" t="s">
        <v>113</v>
      </c>
      <c r="E13" s="78" t="s">
        <v>116</v>
      </c>
      <c r="F13" s="80" t="s">
        <v>72</v>
      </c>
    </row>
    <row r="14" spans="2:6" ht="16.2" thickBot="1" x14ac:dyDescent="0.35">
      <c r="B14" s="779"/>
      <c r="C14" s="780"/>
      <c r="D14" s="81" t="s">
        <v>114</v>
      </c>
      <c r="E14" s="82" t="s">
        <v>115</v>
      </c>
      <c r="F14" s="83" t="s">
        <v>72</v>
      </c>
    </row>
    <row r="15" spans="2:6" ht="49.5" customHeight="1" x14ac:dyDescent="0.3">
      <c r="B15" s="772" t="s">
        <v>146</v>
      </c>
      <c r="C15" s="772"/>
      <c r="D15" s="772"/>
      <c r="E15" s="772"/>
      <c r="F15" s="772"/>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2025-01-14T14:15:44Z</cp:lastPrinted>
  <dcterms:created xsi:type="dcterms:W3CDTF">2020-03-24T23:12:47Z</dcterms:created>
  <dcterms:modified xsi:type="dcterms:W3CDTF">2025-05-09T04:56:22Z</dcterms:modified>
</cp:coreProperties>
</file>