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22. GEST PART CIUDADANA\"/>
    </mc:Choice>
  </mc:AlternateContent>
  <xr:revisionPtr revIDLastSave="0" documentId="13_ncr:1_{79F52C85-64D6-43AB-AE44-5EAFE8E3B321}" xr6:coauthVersionLast="47" xr6:coauthVersionMax="47" xr10:uidLastSave="{00000000-0000-0000-0000-000000000000}"/>
  <bookViews>
    <workbookView xWindow="-96" yWindow="-96" windowWidth="23232" windowHeight="12432"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s>
  <calcPr calcId="191029"/>
  <pivotCaches>
    <pivotCache cacheId="19"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22" l="1"/>
  <c r="R13" i="22"/>
  <c r="R14" i="22"/>
  <c r="R15" i="22"/>
  <c r="R16" i="22"/>
  <c r="R17" i="22"/>
  <c r="R18" i="22"/>
  <c r="R19" i="22"/>
  <c r="R20" i="22"/>
  <c r="R21" i="22"/>
  <c r="R22" i="22"/>
  <c r="R23" i="22"/>
  <c r="R24" i="22"/>
  <c r="R25" i="22"/>
  <c r="R26" i="22"/>
  <c r="R11" i="22"/>
  <c r="S22" i="22"/>
  <c r="S23" i="22"/>
  <c r="S24" i="22"/>
  <c r="S25" i="22"/>
  <c r="S26" i="22"/>
  <c r="T11" i="1" l="1"/>
  <c r="S12" i="22" l="1"/>
  <c r="S13" i="22"/>
  <c r="S14" i="22"/>
  <c r="S15" i="22"/>
  <c r="S16" i="22"/>
  <c r="S17" i="22"/>
  <c r="S18" i="22"/>
  <c r="S19" i="22"/>
  <c r="S20" i="22"/>
  <c r="S21" i="22"/>
  <c r="S11" i="22"/>
  <c r="S27" i="22" l="1"/>
  <c r="S28" i="22" s="1"/>
  <c r="W66" i="1" l="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AE52" i="1" s="1"/>
  <c r="AD52" i="1" s="1"/>
  <c r="W50" i="1"/>
  <c r="T50" i="1"/>
  <c r="W49" i="1"/>
  <c r="T49" i="1"/>
  <c r="W48" i="1"/>
  <c r="T48" i="1"/>
  <c r="W47" i="1"/>
  <c r="T47" i="1"/>
  <c r="AE48" i="1" s="1"/>
  <c r="AD48" i="1" s="1"/>
  <c r="W46" i="1"/>
  <c r="T46" i="1"/>
  <c r="W45" i="1"/>
  <c r="T45" i="1"/>
  <c r="W44" i="1"/>
  <c r="T44" i="1"/>
  <c r="W43" i="1"/>
  <c r="T43" i="1"/>
  <c r="AE44" i="1" s="1"/>
  <c r="AD44" i="1" s="1"/>
  <c r="W42" i="1"/>
  <c r="T42" i="1"/>
  <c r="W41" i="1"/>
  <c r="T41" i="1"/>
  <c r="W40" i="1"/>
  <c r="T40" i="1"/>
  <c r="W39" i="1"/>
  <c r="T39" i="1"/>
  <c r="AE40" i="1" s="1"/>
  <c r="AD40" i="1" s="1"/>
  <c r="W38" i="1"/>
  <c r="T38" i="1"/>
  <c r="W37" i="1"/>
  <c r="T37" i="1"/>
  <c r="W36" i="1"/>
  <c r="T36" i="1"/>
  <c r="W35" i="1"/>
  <c r="T35" i="1"/>
  <c r="AE36" i="1" s="1"/>
  <c r="AD36" i="1" s="1"/>
  <c r="W34" i="1"/>
  <c r="T34" i="1"/>
  <c r="W33" i="1"/>
  <c r="T33" i="1"/>
  <c r="W32" i="1"/>
  <c r="T32" i="1"/>
  <c r="W31" i="1"/>
  <c r="T31" i="1"/>
  <c r="AE32" i="1" s="1"/>
  <c r="AD32" i="1" s="1"/>
  <c r="W30" i="1"/>
  <c r="T30" i="1"/>
  <c r="W29" i="1"/>
  <c r="T29" i="1"/>
  <c r="W28" i="1"/>
  <c r="T28" i="1"/>
  <c r="W27" i="1"/>
  <c r="T27" i="1"/>
  <c r="AE28" i="1" s="1"/>
  <c r="AD28" i="1" s="1"/>
  <c r="W26" i="1"/>
  <c r="T26" i="1"/>
  <c r="W25" i="1"/>
  <c r="T25" i="1"/>
  <c r="W24" i="1"/>
  <c r="T24" i="1"/>
  <c r="W23" i="1"/>
  <c r="T23" i="1"/>
  <c r="AE24" i="1" s="1"/>
  <c r="AD24" i="1" s="1"/>
  <c r="W22" i="1"/>
  <c r="T22" i="1"/>
  <c r="W21" i="1"/>
  <c r="T21" i="1"/>
  <c r="W20" i="1"/>
  <c r="T20" i="1"/>
  <c r="W19" i="1"/>
  <c r="T19" i="1"/>
  <c r="AE20" i="1" s="1"/>
  <c r="AD20" i="1" s="1"/>
  <c r="W18" i="1"/>
  <c r="T18" i="1"/>
  <c r="W17" i="1"/>
  <c r="T17" i="1"/>
  <c r="W16" i="1"/>
  <c r="T16" i="1"/>
  <c r="W15" i="1"/>
  <c r="T15" i="1"/>
  <c r="AE16" i="1" s="1"/>
  <c r="AD16" i="1" s="1"/>
  <c r="W14" i="1"/>
  <c r="T14" i="1"/>
  <c r="W13" i="1"/>
  <c r="T13" i="1"/>
  <c r="AA13" i="1" s="1"/>
  <c r="AE56" i="1" l="1"/>
  <c r="AD56" i="1" s="1"/>
  <c r="AE15" i="1"/>
  <c r="AD15" i="1" s="1"/>
  <c r="AE17" i="1"/>
  <c r="AD17" i="1" s="1"/>
  <c r="AE21" i="1"/>
  <c r="AD21" i="1" s="1"/>
  <c r="AE27" i="1"/>
  <c r="AD27" i="1" s="1"/>
  <c r="AE29" i="1"/>
  <c r="AD29" i="1" s="1"/>
  <c r="AE33" i="1"/>
  <c r="AD33" i="1" s="1"/>
  <c r="AE35" i="1"/>
  <c r="AD35" i="1" s="1"/>
  <c r="AE39" i="1"/>
  <c r="AD39" i="1" s="1"/>
  <c r="AE41" i="1"/>
  <c r="AD41" i="1" s="1"/>
  <c r="AE45" i="1"/>
  <c r="AD45" i="1" s="1"/>
  <c r="AE47" i="1"/>
  <c r="AD47" i="1" s="1"/>
  <c r="AE51" i="1"/>
  <c r="AD51" i="1" s="1"/>
  <c r="AE59" i="1"/>
  <c r="AD59" i="1" s="1"/>
  <c r="AE64" i="1"/>
  <c r="AD64" i="1" s="1"/>
  <c r="AE23" i="1"/>
  <c r="AD23" i="1" s="1"/>
  <c r="AE63" i="1"/>
  <c r="AD63" i="1" s="1"/>
  <c r="AE60" i="1"/>
  <c r="AD60" i="1" s="1"/>
  <c r="AE53" i="1"/>
  <c r="AD53" i="1" s="1"/>
  <c r="AE57" i="1"/>
  <c r="AD57" i="1" s="1"/>
  <c r="AE65" i="1"/>
  <c r="AD65" i="1" s="1"/>
  <c r="AE14" i="1"/>
  <c r="AD14" i="1" s="1"/>
  <c r="AE18" i="1"/>
  <c r="AD18" i="1" s="1"/>
  <c r="AE22" i="1"/>
  <c r="AD22" i="1" s="1"/>
  <c r="AE26" i="1"/>
  <c r="AD26" i="1" s="1"/>
  <c r="AE30" i="1"/>
  <c r="AD30" i="1" s="1"/>
  <c r="AE34" i="1"/>
  <c r="AD34" i="1" s="1"/>
  <c r="AE38" i="1"/>
  <c r="AD38" i="1" s="1"/>
  <c r="AE42" i="1"/>
  <c r="AD42" i="1" s="1"/>
  <c r="AE46" i="1"/>
  <c r="AD46" i="1" s="1"/>
  <c r="AE50" i="1"/>
  <c r="AD50" i="1" s="1"/>
  <c r="AE54" i="1"/>
  <c r="AD54" i="1" s="1"/>
  <c r="AE58" i="1"/>
  <c r="AD58" i="1" s="1"/>
  <c r="AE62" i="1"/>
  <c r="AD62" i="1" s="1"/>
  <c r="AE66" i="1"/>
  <c r="AD66" i="1" s="1"/>
  <c r="AA61" i="1"/>
  <c r="AA63" i="1"/>
  <c r="AA65" i="1"/>
  <c r="AE61" i="1"/>
  <c r="AD61" i="1" s="1"/>
  <c r="AA62" i="1"/>
  <c r="AA64" i="1"/>
  <c r="AA66" i="1"/>
  <c r="AA55" i="1"/>
  <c r="AA57" i="1"/>
  <c r="AA59" i="1"/>
  <c r="AE55" i="1"/>
  <c r="AD55" i="1" s="1"/>
  <c r="AA56" i="1"/>
  <c r="AA58" i="1"/>
  <c r="AA60" i="1"/>
  <c r="AA49" i="1"/>
  <c r="AA51" i="1"/>
  <c r="AA53" i="1"/>
  <c r="AE49" i="1"/>
  <c r="AD49" i="1" s="1"/>
  <c r="AA50" i="1"/>
  <c r="AA52" i="1"/>
  <c r="AA54" i="1"/>
  <c r="AA43" i="1"/>
  <c r="AA45" i="1"/>
  <c r="AA47" i="1"/>
  <c r="AE43" i="1"/>
  <c r="AD43" i="1" s="1"/>
  <c r="AA44" i="1"/>
  <c r="AA46" i="1"/>
  <c r="AA48" i="1"/>
  <c r="AA37" i="1"/>
  <c r="AA39" i="1"/>
  <c r="AA41" i="1"/>
  <c r="AE37" i="1"/>
  <c r="AD37" i="1" s="1"/>
  <c r="AA38" i="1"/>
  <c r="AA40" i="1"/>
  <c r="AA42" i="1"/>
  <c r="AA31" i="1"/>
  <c r="AA33" i="1"/>
  <c r="AA35" i="1"/>
  <c r="AE31" i="1"/>
  <c r="AD31" i="1" s="1"/>
  <c r="AA32" i="1"/>
  <c r="AA34" i="1"/>
  <c r="AA36" i="1"/>
  <c r="AA25" i="1"/>
  <c r="AA27" i="1"/>
  <c r="AA29" i="1"/>
  <c r="AE25" i="1"/>
  <c r="AD25" i="1" s="1"/>
  <c r="AA26" i="1"/>
  <c r="AA28" i="1"/>
  <c r="AA30" i="1"/>
  <c r="AA19" i="1"/>
  <c r="AA21" i="1"/>
  <c r="AA23" i="1"/>
  <c r="AE19" i="1"/>
  <c r="AD19" i="1" s="1"/>
  <c r="AA20" i="1"/>
  <c r="AA22" i="1"/>
  <c r="AA24" i="1"/>
  <c r="AA15" i="1"/>
  <c r="AA17" i="1"/>
  <c r="AA14" i="1"/>
  <c r="AA16" i="1"/>
  <c r="AA18" i="1"/>
  <c r="AC66" i="1" l="1"/>
  <c r="AB66" i="1"/>
  <c r="AF66" i="1" s="1"/>
  <c r="AC64" i="1"/>
  <c r="AB64" i="1"/>
  <c r="AF64" i="1" s="1"/>
  <c r="AC62" i="1"/>
  <c r="AB62" i="1"/>
  <c r="AF62" i="1" s="1"/>
  <c r="AC65" i="1"/>
  <c r="AB65" i="1"/>
  <c r="AF65" i="1" s="1"/>
  <c r="AC63" i="1"/>
  <c r="AB63" i="1"/>
  <c r="AF63" i="1" s="1"/>
  <c r="AC61" i="1"/>
  <c r="AB61" i="1"/>
  <c r="AF61" i="1" s="1"/>
  <c r="AC60" i="1"/>
  <c r="AB60" i="1"/>
  <c r="AF60" i="1" s="1"/>
  <c r="AC58" i="1"/>
  <c r="AB58" i="1"/>
  <c r="AF58" i="1" s="1"/>
  <c r="AC56" i="1"/>
  <c r="AB56" i="1"/>
  <c r="AF56" i="1" s="1"/>
  <c r="AC59" i="1"/>
  <c r="AB59" i="1"/>
  <c r="AF59" i="1" s="1"/>
  <c r="AC57" i="1"/>
  <c r="AB57" i="1"/>
  <c r="AF57" i="1" s="1"/>
  <c r="AC55" i="1"/>
  <c r="AB55" i="1"/>
  <c r="AF55" i="1" s="1"/>
  <c r="AC54" i="1"/>
  <c r="AB54" i="1"/>
  <c r="AF54" i="1" s="1"/>
  <c r="AC52" i="1"/>
  <c r="AB52" i="1"/>
  <c r="AF52" i="1" s="1"/>
  <c r="AC50" i="1"/>
  <c r="AB50" i="1"/>
  <c r="AF50" i="1" s="1"/>
  <c r="AC53" i="1"/>
  <c r="AB53" i="1"/>
  <c r="AF53" i="1" s="1"/>
  <c r="AC51" i="1"/>
  <c r="AB51" i="1"/>
  <c r="AF51" i="1" s="1"/>
  <c r="AC49" i="1"/>
  <c r="AB49" i="1"/>
  <c r="AF49" i="1" s="1"/>
  <c r="AC48" i="1"/>
  <c r="AB48" i="1"/>
  <c r="AF48" i="1" s="1"/>
  <c r="AC46" i="1"/>
  <c r="AB46" i="1"/>
  <c r="AF46" i="1" s="1"/>
  <c r="AC44" i="1"/>
  <c r="AB44" i="1"/>
  <c r="AF44" i="1" s="1"/>
  <c r="AC47" i="1"/>
  <c r="AB47" i="1"/>
  <c r="AF47" i="1" s="1"/>
  <c r="AC45" i="1"/>
  <c r="AB45" i="1"/>
  <c r="AF45" i="1" s="1"/>
  <c r="AC43" i="1"/>
  <c r="AB43" i="1"/>
  <c r="AF43" i="1" s="1"/>
  <c r="AC42" i="1"/>
  <c r="AB42" i="1"/>
  <c r="AF42" i="1" s="1"/>
  <c r="AC40" i="1"/>
  <c r="AB40" i="1"/>
  <c r="AF40" i="1" s="1"/>
  <c r="AC38" i="1"/>
  <c r="AB38" i="1"/>
  <c r="AF38" i="1" s="1"/>
  <c r="AC41" i="1"/>
  <c r="AB41" i="1"/>
  <c r="AF41" i="1" s="1"/>
  <c r="AC39" i="1"/>
  <c r="AB39" i="1"/>
  <c r="AF39" i="1" s="1"/>
  <c r="AC37" i="1"/>
  <c r="AB37" i="1"/>
  <c r="AF37" i="1" s="1"/>
  <c r="AC36" i="1"/>
  <c r="AB36" i="1"/>
  <c r="AF36" i="1" s="1"/>
  <c r="AC34" i="1"/>
  <c r="AB34" i="1"/>
  <c r="AF34" i="1" s="1"/>
  <c r="AC32" i="1"/>
  <c r="AB32" i="1"/>
  <c r="AF32" i="1" s="1"/>
  <c r="AB35" i="1"/>
  <c r="AF35" i="1" s="1"/>
  <c r="AC35" i="1"/>
  <c r="AB33" i="1"/>
  <c r="AF33" i="1" s="1"/>
  <c r="AC33" i="1"/>
  <c r="AC31" i="1"/>
  <c r="AB31" i="1"/>
  <c r="AF31" i="1" s="1"/>
  <c r="AC30" i="1"/>
  <c r="AB30" i="1"/>
  <c r="AF30" i="1" s="1"/>
  <c r="AC28" i="1"/>
  <c r="AB28" i="1"/>
  <c r="AF28" i="1" s="1"/>
  <c r="AC26" i="1"/>
  <c r="AB26" i="1"/>
  <c r="AF26" i="1" s="1"/>
  <c r="AC29" i="1"/>
  <c r="AB29" i="1"/>
  <c r="AF29" i="1" s="1"/>
  <c r="AC27" i="1"/>
  <c r="AB27" i="1"/>
  <c r="AF27" i="1" s="1"/>
  <c r="AC25" i="1"/>
  <c r="AB25" i="1"/>
  <c r="AF25" i="1" s="1"/>
  <c r="AC22" i="1"/>
  <c r="AB22" i="1"/>
  <c r="AF22" i="1" s="1"/>
  <c r="AC20" i="1"/>
  <c r="AB20" i="1"/>
  <c r="AF20" i="1" s="1"/>
  <c r="AC23" i="1"/>
  <c r="AB23" i="1"/>
  <c r="AF23" i="1" s="1"/>
  <c r="AC24" i="1"/>
  <c r="AB24" i="1"/>
  <c r="AF24" i="1" s="1"/>
  <c r="AC21" i="1"/>
  <c r="AB21" i="1"/>
  <c r="AF21" i="1" s="1"/>
  <c r="AC19" i="1"/>
  <c r="AB19" i="1"/>
  <c r="AF19" i="1" s="1"/>
  <c r="AC18" i="1"/>
  <c r="AB18" i="1"/>
  <c r="AF18" i="1" s="1"/>
  <c r="AC16" i="1"/>
  <c r="AB16" i="1"/>
  <c r="AF16" i="1" s="1"/>
  <c r="AC17" i="1"/>
  <c r="AB17" i="1"/>
  <c r="AF17" i="1" s="1"/>
  <c r="AC15" i="1"/>
  <c r="AB15" i="1"/>
  <c r="AF15" i="1" s="1"/>
  <c r="AC14" i="1"/>
  <c r="AB14" i="1"/>
  <c r="AF14" i="1" s="1"/>
  <c r="AC13" i="1"/>
  <c r="AB13" i="1"/>
  <c r="K10" i="1" l="1"/>
  <c r="L10" i="1" s="1"/>
  <c r="K19" i="1"/>
  <c r="L19" i="1" s="1"/>
  <c r="K25" i="1"/>
  <c r="K31" i="1"/>
  <c r="L31" i="1" s="1"/>
  <c r="K37" i="1"/>
  <c r="L37" i="1" s="1"/>
  <c r="K43" i="1"/>
  <c r="L43" i="1" s="1"/>
  <c r="K49" i="1"/>
  <c r="L49" i="1" s="1"/>
  <c r="K55" i="1"/>
  <c r="L55" i="1" s="1"/>
  <c r="K61" i="1"/>
  <c r="L61" i="1" s="1"/>
  <c r="W11" i="1"/>
  <c r="W12" i="1"/>
  <c r="N65" i="1"/>
  <c r="N35" i="1"/>
  <c r="N57" i="1"/>
  <c r="N26" i="1"/>
  <c r="N56" i="1"/>
  <c r="N34" i="1"/>
  <c r="N24" i="1"/>
  <c r="N54" i="1"/>
  <c r="N46" i="1"/>
  <c r="N39" i="1"/>
  <c r="N30" i="1"/>
  <c r="N33" i="1"/>
  <c r="N47" i="1"/>
  <c r="N28" i="1"/>
  <c r="N20" i="1"/>
  <c r="N21" i="1"/>
  <c r="N64" i="1"/>
  <c r="N52" i="1"/>
  <c r="N22" i="1"/>
  <c r="N38" i="1"/>
  <c r="N32" i="1"/>
  <c r="N58" i="1"/>
  <c r="N59" i="1"/>
  <c r="N48" i="1"/>
  <c r="N36" i="1"/>
  <c r="N29" i="1"/>
  <c r="N40" i="1"/>
  <c r="N41" i="1"/>
  <c r="N23" i="1"/>
  <c r="N45" i="1"/>
  <c r="N44" i="1"/>
  <c r="N27" i="1"/>
  <c r="N66" i="1"/>
  <c r="N53" i="1"/>
  <c r="N63" i="1"/>
  <c r="N50" i="1"/>
  <c r="N42" i="1"/>
  <c r="N62" i="1"/>
  <c r="N60" i="1"/>
  <c r="N51" i="1"/>
  <c r="L25" i="1" l="1"/>
  <c r="F217" i="13" l="1"/>
  <c r="T12" i="1"/>
  <c r="W10" i="1" l="1"/>
  <c r="T10" i="1"/>
  <c r="N18" i="1"/>
  <c r="N15" i="1"/>
  <c r="N17" i="1"/>
  <c r="N14" i="1"/>
  <c r="N16" i="1"/>
  <c r="AA10" i="1" l="1"/>
  <c r="AC10" i="1" s="1"/>
  <c r="F221" i="13"/>
  <c r="F211" i="13"/>
  <c r="F212" i="13"/>
  <c r="F213" i="13"/>
  <c r="F214" i="13"/>
  <c r="F215" i="13"/>
  <c r="F216" i="13"/>
  <c r="F218" i="13"/>
  <c r="F219" i="13"/>
  <c r="F220" i="13"/>
  <c r="F210" i="13"/>
  <c r="B221" i="13" a="1"/>
  <c r="N12" i="1"/>
  <c r="N11"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3" i="1" l="1"/>
  <c r="L13"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10"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9" i="1" l="1"/>
  <c r="O19" i="1" s="1"/>
  <c r="N25" i="1"/>
  <c r="O25" i="1" s="1"/>
  <c r="N31" i="1"/>
  <c r="O31" i="1" s="1"/>
  <c r="N37" i="1"/>
  <c r="O37" i="1" s="1"/>
  <c r="N43" i="1"/>
  <c r="O43" i="1" s="1"/>
  <c r="N49" i="1"/>
  <c r="O49" i="1" s="1"/>
  <c r="N55" i="1"/>
  <c r="O55" i="1" s="1"/>
  <c r="N61" i="1"/>
  <c r="O61" i="1" s="1"/>
  <c r="N13" i="1"/>
  <c r="O13" i="1" s="1"/>
  <c r="N10" i="1"/>
  <c r="O10" i="1" s="1"/>
  <c r="P38" i="18" l="1"/>
  <c r="J6" i="18"/>
  <c r="V6" i="18"/>
  <c r="J22" i="18"/>
  <c r="V22" i="18"/>
  <c r="AH6" i="18"/>
  <c r="P22" i="18"/>
  <c r="AH22" i="18"/>
  <c r="P6" i="18"/>
  <c r="P10" i="1"/>
  <c r="AE10"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3" i="1"/>
  <c r="R30" i="18"/>
  <c r="AD38" i="18"/>
  <c r="AD22" i="18"/>
  <c r="P13" i="1"/>
  <c r="AE13" i="1" s="1"/>
  <c r="AD13" i="1" s="1"/>
  <c r="AF13" i="1" s="1"/>
  <c r="L30" i="18"/>
  <c r="AJ14" i="18"/>
  <c r="L14" i="18"/>
  <c r="X38" i="18"/>
  <c r="L22" i="18"/>
  <c r="AD30" i="18"/>
  <c r="AJ22" i="18"/>
  <c r="X14" i="18"/>
  <c r="X6" i="18"/>
  <c r="R22" i="18"/>
  <c r="L6" i="18"/>
  <c r="X22" i="18"/>
  <c r="P61" i="1"/>
  <c r="Q61"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5" i="1"/>
  <c r="Q55"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49" i="1"/>
  <c r="P49"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3" i="1"/>
  <c r="Q43"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7" i="1"/>
  <c r="P37"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1" i="1"/>
  <c r="P31"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5" i="1"/>
  <c r="Q25"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19" i="1"/>
  <c r="Q19"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36" i="19"/>
  <c r="P6" i="19"/>
  <c r="AB36" i="19"/>
  <c r="AH16" i="19"/>
  <c r="AH6" i="19"/>
  <c r="V46" i="19"/>
  <c r="AB46" i="19"/>
  <c r="AB26" i="19"/>
  <c r="AB16" i="19"/>
  <c r="J16" i="19"/>
  <c r="P26" i="19"/>
  <c r="V16" i="19"/>
  <c r="AF10" i="1"/>
  <c r="J36" i="19"/>
  <c r="J26" i="19"/>
  <c r="J46" i="19"/>
  <c r="AH46" i="19"/>
  <c r="AH26" i="19"/>
  <c r="P46" i="19" l="1"/>
  <c r="AB6" i="19"/>
  <c r="V26" i="19"/>
  <c r="J6" i="19"/>
  <c r="P16" i="19"/>
  <c r="V36"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<sst xmlns="http://schemas.openxmlformats.org/spreadsheetml/2006/main" count="532" uniqueCount="365">
  <si>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</si>
  <si>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</si>
  <si>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</si>
  <si>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</si>
  <si>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</si>
  <si>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</si>
  <si>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</si>
  <si>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</si>
  <si>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</si>
  <si>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</si>
  <si>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</si>
  <si>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</si>
  <si>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</si>
  <si>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</si>
  <si>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</si>
  <si>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</si>
  <si>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</si>
  <si>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</si>
  <si>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</si>
  <si>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</si>
  <si>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</si>
  <si>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</si>
  <si>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</si>
  <si>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</si>
  <si>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</si>
  <si>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</si>
  <si>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</si>
  <si>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</si>
  <si>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</si>
  <si>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</si>
  <si>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</si>
  <si>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</si>
  <si>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</si>
  <si>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</si>
  <si>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</si>
  <si>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</si>
  <si>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</si>
  <si>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</si>
  <si>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</si>
  <si>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</si>
  <si>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</si>
  <si>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</si>
  <si>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</si>
  <si>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</si>
  <si>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</si>
  <si>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</si>
  <si>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</si>
  <si>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</si>
  <si>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</si>
  <si>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</si>
  <si>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</si>
  <si>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</si>
  <si>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</si>
  <si>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</si>
  <si>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</si>
  <si>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</si>
  <si>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</si>
  <si>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</si>
  <si>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</si>
  <si>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</si>
  <si>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</si>
  <si>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</si>
  <si>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</si>
  <si>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</si>
  <si>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</si>
  <si>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</si>
  <si>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</si>
  <si>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</si>
  <si>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</si>
  <si>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</si>
  <si>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</si>
  <si>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</si>
  <si>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</si>
  <si>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</si>
  <si>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</si>
  <si>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</si>
  <si>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</si>
  <si>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</si>
  <si>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</si>
  <si>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</si>
  <si>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</si>
  <si>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</si>
  <si>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</si>
  <si>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</si>
  <si>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</si>
  <si>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</si>
  <si>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</si>
  <si>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</si>
  <si>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</si>
  <si>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</si>
  <si>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</si>
  <si>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</si>
  <si>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</si>
  <si>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</si>
  <si>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</si>
  <si>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</si>
  <si>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</si>
  <si>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</si>
  <si>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</si>
  <si>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</si>
  <si>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</si>
  <si>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</si>
  <si>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</si>
  <si>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</si>
  <si>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</si>
  <si>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</si>
  <si>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</si>
  <si>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</si>
  <si>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</si>
  <si>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</si>
  <si>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</si>
  <si>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</si>
  <si>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</si>
  <si>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</si>
  <si>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</si>
  <si>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</si>
  <si>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</si>
  <si>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</si>
  <si>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</si>
  <si>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</si>
  <si>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</si>
  <si>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</si>
  <si>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</si>
  <si>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</si>
  <si>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</si>
  <si>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</si>
  <si>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</si>
  <si>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</si>
  <si>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</si>
  <si>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</si>
  <si>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</si>
  <si>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</si>
  <si>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</si>
  <si>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</si>
  <si>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</si>
  <si>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</si>
  <si>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</si>
  <si>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</si>
  <si>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</si>
  <si>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</si>
  <si>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</si>
  <si>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</si>
  <si>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</si>
  <si>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</si>
  <si>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</si>
  <si>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</si>
  <si>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</si>
  <si>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</si>
  <si>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</si>
  <si>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</si>
  <si>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</si>
  <si>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</si>
  <si>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</si>
  <si>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</si>
  <si>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</si>
  <si>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</si>
  <si>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</si>
  <si>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</si>
  <si>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</si>
  <si>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</si>
  <si>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</si>
  <si>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</si>
  <si>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</si>
  <si>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</si>
  <si>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</si>
  <si>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</si>
  <si>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</si>
  <si>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</si>
  <si>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</si>
  <si>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</si>
  <si>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</si>
  <si>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</si>
  <si>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</si>
  <si>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</si>
  <si>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</si>
  <si>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</si>
  <si>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</si>
  <si>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</si>
  <si>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</si>
  <si>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</si>
  <si>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</si>
  <si>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</si>
  <si>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</si>
  <si>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</si>
  <si>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</si>
  <si>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</si>
  <si>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</si>
  <si>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</si>
  <si>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</si>
  <si>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</si>
  <si>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</si>
  <si>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</si>
  <si>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</si>
  <si>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</si>
  <si>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</si>
  <si>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</si>
  <si>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</si>
  <si>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</si>
  <si>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</si>
  <si>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</si>
  <si>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</si>
  <si>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</si>
  <si>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</si>
  <si>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</si>
  <si>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</si>
  <si>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</si>
  <si>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</si>
  <si>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</si>
  <si>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</si>
  <si>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</si>
  <si>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</si>
  <si>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</si>
  <si>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</si>
  <si>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</si>
  <si>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</si>
  <si>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CONTEXTO ESTRATEGICO </t>
  </si>
  <si>
    <t>FACTORES EXTERNOS</t>
  </si>
  <si>
    <t>CAUSAS</t>
  </si>
  <si>
    <t>FACTORES INTERNOS</t>
  </si>
  <si>
    <t>FACTORES DEL PROCESO</t>
  </si>
  <si>
    <t>SOCIALES Y CULTURALES</t>
  </si>
  <si>
    <t>POLÍTICOS</t>
  </si>
  <si>
    <t>TECNOLÓGICOS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</si>
  <si>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</si>
  <si>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</si>
  <si>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</si>
  <si>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</si>
  <si>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</si>
  <si>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</si>
  <si>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</si>
  <si>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</si>
  <si>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</si>
  <si>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</si>
  <si>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</si>
  <si>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</si>
  <si>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</si>
  <si>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</si>
  <si>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</si>
  <si>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</si>
  <si>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</si>
  <si>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</si>
  <si>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</si>
  <si>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</si>
  <si>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</si>
  <si>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</si>
  <si>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</si>
  <si>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</si>
  <si>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</si>
  <si>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</si>
  <si>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</si>
  <si>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</si>
  <si>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</si>
  <si>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</si>
  <si>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</si>
  <si>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</si>
  <si>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</si>
  <si>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</si>
  <si>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r>
      <rPr>
        <b/>
        <sz val="11"/>
        <color theme="1"/>
        <rFont val="Arial"/>
        <family val="2"/>
      </rPr>
      <t>Versión:</t>
    </r>
    <r>
      <rPr>
        <sz val="11"/>
        <color theme="1"/>
        <rFont val="Arial"/>
        <family val="2"/>
      </rPr>
      <t xml:space="preserve"> 01</t>
    </r>
  </si>
  <si>
    <r>
      <rPr>
        <b/>
        <sz val="11"/>
        <color theme="1"/>
        <rFont val="Arial"/>
        <family val="2"/>
      </rPr>
      <t xml:space="preserve">Página: </t>
    </r>
    <r>
      <rPr>
        <sz val="11"/>
        <color theme="1"/>
        <rFont val="Arial"/>
        <family val="2"/>
      </rPr>
      <t xml:space="preserve"> 1 de 1</t>
    </r>
  </si>
  <si>
    <r>
      <rPr>
        <b/>
        <sz val="11"/>
        <color theme="1"/>
        <rFont val="Arial"/>
        <family val="2"/>
      </rPr>
      <t>Código:</t>
    </r>
    <r>
      <rPr>
        <sz val="11"/>
        <color theme="1"/>
        <rFont val="Arial"/>
        <family val="2"/>
      </rPr>
      <t xml:space="preserve">  FOR-029-PRO-SIG-01</t>
    </r>
  </si>
  <si>
    <r>
      <rPr>
        <b/>
        <sz val="11"/>
        <color theme="1"/>
        <rFont val="Arial"/>
        <family val="2"/>
      </rPr>
      <t xml:space="preserve">Fecha:    </t>
    </r>
    <r>
      <rPr>
        <sz val="11"/>
        <color theme="1"/>
        <rFont val="Arial"/>
        <family val="2"/>
      </rPr>
      <t>21/02/2024</t>
    </r>
  </si>
  <si>
    <r>
      <t>FORMATO:</t>
    </r>
    <r>
      <rPr>
        <sz val="11"/>
        <color rgb="FF000000"/>
        <rFont val="Arial"/>
        <family val="2"/>
      </rPr>
      <t xml:space="preserve"> MATRIZ DOFA</t>
    </r>
  </si>
  <si>
    <r>
      <t xml:space="preserve">FORMATO: </t>
    </r>
    <r>
      <rPr>
        <sz val="11"/>
        <color rgb="FF000000"/>
        <rFont val="Arial"/>
        <family val="2"/>
      </rPr>
      <t>CONTEXTO ESTRATEGICO</t>
    </r>
  </si>
  <si>
    <r>
      <rPr>
        <b/>
        <sz val="11"/>
        <color theme="1"/>
        <rFont val="Arial"/>
        <family val="2"/>
      </rPr>
      <t xml:space="preserve">Versión: </t>
    </r>
    <r>
      <rPr>
        <sz val="11"/>
        <color theme="1"/>
        <rFont val="Arial"/>
        <family val="2"/>
      </rPr>
      <t>01</t>
    </r>
  </si>
  <si>
    <r>
      <rPr>
        <b/>
        <sz val="11"/>
        <color theme="1"/>
        <rFont val="Arial"/>
        <family val="2"/>
      </rPr>
      <t xml:space="preserve">Código: </t>
    </r>
    <r>
      <rPr>
        <sz val="11"/>
        <color theme="1"/>
        <rFont val="Arial"/>
        <family val="2"/>
      </rPr>
      <t>FOR-029-PRO-SIG-01</t>
    </r>
  </si>
  <si>
    <r>
      <rPr>
        <b/>
        <sz val="11"/>
        <color theme="1"/>
        <rFont val="Arial"/>
        <family val="2"/>
      </rPr>
      <t xml:space="preserve">Página:  </t>
    </r>
    <r>
      <rPr>
        <sz val="11"/>
        <color theme="1"/>
        <rFont val="Arial"/>
        <family val="2"/>
      </rPr>
      <t>1 de 1</t>
    </r>
  </si>
  <si>
    <r>
      <rPr>
        <b/>
        <sz val="11"/>
        <color theme="1"/>
        <rFont val="Arial"/>
        <family val="2"/>
      </rPr>
      <t>Fecha:</t>
    </r>
    <r>
      <rPr>
        <sz val="11"/>
        <color theme="1"/>
        <rFont val="Arial"/>
        <family val="2"/>
      </rPr>
      <t xml:space="preserve">   21/02/2024</t>
    </r>
  </si>
  <si>
    <r>
      <t xml:space="preserve">Versión: </t>
    </r>
    <r>
      <rPr>
        <sz val="11"/>
        <color rgb="FF000000"/>
        <rFont val="Arial"/>
        <family val="2"/>
      </rPr>
      <t>01</t>
    </r>
  </si>
  <si>
    <r>
      <t xml:space="preserve">Fecha:    </t>
    </r>
    <r>
      <rPr>
        <sz val="11"/>
        <color rgb="FF000000"/>
        <rFont val="Arial"/>
        <family val="2"/>
      </rPr>
      <t>21/02/2024</t>
    </r>
  </si>
  <si>
    <r>
      <t xml:space="preserve">Página:   </t>
    </r>
    <r>
      <rPr>
        <sz val="11"/>
        <color rgb="FF000000"/>
        <rFont val="Arial"/>
        <family val="2"/>
      </rPr>
      <t>1 de 1</t>
    </r>
  </si>
  <si>
    <r>
      <t>Código</t>
    </r>
    <r>
      <rPr>
        <sz val="11"/>
        <color rgb="FF000000"/>
        <rFont val="Arial"/>
        <family val="2"/>
      </rPr>
      <t>: FOR-029-PRO-SIG-01</t>
    </r>
  </si>
  <si>
    <r>
      <t xml:space="preserve">PROCESO: </t>
    </r>
    <r>
      <rPr>
        <sz val="11"/>
        <color rgb="FF000000"/>
        <rFont val="Arial"/>
        <family val="2"/>
      </rPr>
      <t>SISTEMA INTEGRADO DE GESTIÓN Y MIPG</t>
    </r>
  </si>
  <si>
    <t xml:space="preserve">PROCESO: GESTION DE PARTICIPACION CIUDADANA </t>
  </si>
  <si>
    <t xml:space="preserve">OBJETIVO: FORMULAR, IMPLEMENTAR Y HACER SEGUIMIENTO CONTINUO A POLÍTICAS, PLANES, PROGRAMA, PROYECTOS Y ESTRATEGIAS ENCAMINADOS A PROMOVER Y FORTALECER LA PARTICIPACIÓN CIUDADANA EN EL MARCO DE LA ÉTICA PUBLICA EN EL MUNICIPIO DE IBAGUÉ. 
</t>
  </si>
  <si>
    <t>LEGALES Y REGLAMENTARIOS</t>
  </si>
  <si>
    <t>Constantes cambios normativos</t>
  </si>
  <si>
    <t>Presiones de agentes externos</t>
  </si>
  <si>
    <t>Cambios de gobierno</t>
  </si>
  <si>
    <t>Cambios de gobierno y Funciones adicionales que se dan normativamente</t>
  </si>
  <si>
    <t>Reportes a agentes externos</t>
  </si>
  <si>
    <t>FINANCIEROS</t>
  </si>
  <si>
    <t>PERSONAL DE LA ENTIDAD (Capacidad del personal, políticas de manejo del talento humano, idoneidad)</t>
  </si>
  <si>
    <t>TECNOLOGÍA (integridad de datos, disponibilidad de datos y sistemas, desarrollo, producción, mantenimiento de sistemas de información)</t>
  </si>
  <si>
    <t>Escaso presupuesto</t>
  </si>
  <si>
    <t>Infraestrucutra inadecuada y reducida</t>
  </si>
  <si>
    <t>Capacidad instalada insuficiente</t>
  </si>
  <si>
    <t>Frecuente rotación de personal de contrato</t>
  </si>
  <si>
    <t>Alta rotación del personal directiva</t>
  </si>
  <si>
    <t>Deficientes  puestos de trabajo y elementos para realizar las labores</t>
  </si>
  <si>
    <t>Elementos que pueden afectar la salud de los trabajadores</t>
  </si>
  <si>
    <t>Deficientes Equipos de trabajo</t>
  </si>
  <si>
    <t>INTERACCIÓN CON LOS PROCESOS</t>
  </si>
  <si>
    <t>COMUNICACIÓN ENTRE LOS PROCESOS</t>
  </si>
  <si>
    <t>Deficiente cumplimiento a las directrices y tareas por parte de los procesos de la entidad</t>
  </si>
  <si>
    <t>Falta de comunicación entre la alta dirección y todos los procesos</t>
  </si>
  <si>
    <t xml:space="preserve">Deficiente personal de planta para realizar las funciones de esta Dirección. </t>
  </si>
  <si>
    <t xml:space="preserve">Falta de articulación entre las diferentes areas. </t>
  </si>
  <si>
    <t xml:space="preserve"> GESTION DE PARTICIPACION CIUDADANA </t>
  </si>
  <si>
    <t>1. Escaso presupuesto</t>
  </si>
  <si>
    <t>2. Infraestrucutra inadecuada y reducida</t>
  </si>
  <si>
    <t>3. Capacidad instalada insuficiente</t>
  </si>
  <si>
    <t>4. Frecuente rotación de personal de contrato</t>
  </si>
  <si>
    <t>5. Alta rotación del personal directiva</t>
  </si>
  <si>
    <t>6. Deficientes  puestos de trabajo y elementos para realizar las labores</t>
  </si>
  <si>
    <t>7. Elementos que pueden afectar la salud de los trabajadores</t>
  </si>
  <si>
    <t>Deficientes equipos tecnologicos</t>
  </si>
  <si>
    <t>2.Profesionales idoneos</t>
  </si>
  <si>
    <t>3. Conocimiento,  experiencia, habilidades y compromiso por parte de  líderes del proceso</t>
  </si>
  <si>
    <t>5. Compromiso de todo el personal del proceso</t>
  </si>
  <si>
    <t>6. Liderazgo efectivo</t>
  </si>
  <si>
    <t>1. Capacitaciones de entes gubernamentales externos</t>
  </si>
  <si>
    <t>3. Participación de congresos nacionales y regionales</t>
  </si>
  <si>
    <t>1. Constantes cambios normativos</t>
  </si>
  <si>
    <t>D8- A1, A3Realizar reporte a la oficina de control interno, Secretaría de Planeación y a los entes de control en caso de materialización de riesgo y actualizar el mapa de riesgo de corrupción</t>
  </si>
  <si>
    <t>2. Presiones de agentes externos</t>
  </si>
  <si>
    <t>3. Cambios de gobierno</t>
  </si>
  <si>
    <t>4. Funciones adicionales que se dan normativamente</t>
  </si>
  <si>
    <t>Funciones adicionales que se dan normativamente</t>
  </si>
  <si>
    <t>5. Reportes a agentes externos</t>
  </si>
  <si>
    <t>4. Procesos de autocritica y evalución del equipo de trabajo</t>
  </si>
  <si>
    <t>7. Estrategia de comunicación liderado por un profesional idoneo.</t>
  </si>
  <si>
    <t>8. Racionalización de cuatro tramites a través de la plataforma PISAMI 2.</t>
  </si>
  <si>
    <t>2. Alianza estrategica entre esta Dirección y las Universidades de la ciudad.</t>
  </si>
  <si>
    <t xml:space="preserve">Deficientes  puestos de trabajo y elementos para realizar las labores. </t>
  </si>
  <si>
    <t>1.Adecuado trabajo en equipo</t>
  </si>
  <si>
    <t>4.Apoyo por parte de la Personeria Municipal, para fortalecer el proceso.</t>
  </si>
  <si>
    <t xml:space="preserve">F6-O2,O4 Fortalecimiento del proceso con agentes externos que apoyan las funciones que en esta se realizan. </t>
  </si>
  <si>
    <t>F2,F4- A2 Realizar muestreo aleatorio a los tramites y actos administrativos para validar el cumplimiento de los requisitos legales</t>
  </si>
  <si>
    <t>INICIA DESDE LA PLANEACIÓN DEL PROCESO HASTA REALIZAR ACTIVIDADES DE SEGUIMIENTO A
INDICADORES, AUDITORIAS, PLANES DE MEJORAMIENTO, MAPAS DE RIESGOS Y SALIDAS NO CONFORMES.</t>
  </si>
  <si>
    <t>Deficiencia de apropiación de la política de participación ciudadana por parte del personal de planta y contratistas</t>
  </si>
  <si>
    <t>Gestión</t>
  </si>
  <si>
    <t>Implementación de las actividades de la política de participación ciudadana</t>
  </si>
  <si>
    <t xml:space="preserve">Inoportuna ejecución de las actividades e informes que se deben remitir a las dependencias encargadas de consolidar, verificar y evaluar la información suministrada por este proceso. </t>
  </si>
  <si>
    <t xml:space="preserve">Reportes extemporaneos de los  informes que se deben remitir a las dependencias encargadas </t>
  </si>
  <si>
    <t>POSIBILIDAD DE IMPACTO REPUTACIONAL A CAUSA DE INVESTIGACIONES POR PARTE DE LOS ORGANISMOS DE CONTROL DEBIDO AL INCUMPLIMIENTO EN EL PLAN DE ACCIÓN Y EL CRONOGRAMA DE LAS ACTIVIDADES DEL PROCESO</t>
  </si>
  <si>
    <t xml:space="preserve">Debilidad en la planeación y entrega de los resportes de las actividades  por parte de los serivdores encargados. </t>
  </si>
  <si>
    <t xml:space="preserve">Inoportuna jecución de la planeacón y el reporte de actividades del proceso. </t>
  </si>
  <si>
    <t xml:space="preserve">La Dirección de Participación ciudadana y comunitaria realiza trimestralmente un comité técnico para hacer seguimiento a la planeación estrategica del proceso (plan de acción, indicadores, salidas no conformes y cumplimiento de meta) dejando como evidencia el acta del comité y los responsables de la información de cada actividad. </t>
  </si>
  <si>
    <t>El director (a) de participación ciudadana y comunitaria  realiza trimestralmente un comité técnico para hacer seguimiento a la planeación estrategica del proceso, dejando como evidencia el acta del comité y el memorando de envio a las dependencias responsables de revisar y compilar la información.</t>
  </si>
  <si>
    <t xml:space="preserve">Deficiencia de apropiación de la política y la estrategia de participación ciudadana por parte de los funcionarios. </t>
  </si>
  <si>
    <t>El director (a) de participación ciudadana y comunitaria en los comités técnicos, revisa y socializa los diferentes componentes y avances de la Estrategia de participación ciudadana,  dejando como evidencia el acta del comité mensual de la Dirección.</t>
  </si>
  <si>
    <t>En comité técnico se revisará el plan de acción, indicadores, salidas no conformes y ejecución de las metas, de la presente vigencia, con el fin de verificar el cumplimiento de la planeación.</t>
  </si>
  <si>
    <t xml:space="preserve">En comité técnico se revisará el plan de acción, indicadores, salidas no conformes y ejecución de las metas, de la presente vigencia, con el fin de verificar que se realice el reporte en los tiempos establecidos. </t>
  </si>
  <si>
    <t xml:space="preserve">Realizar capacitación de la política de participación ciudadana al equipo de la dirección de participación ciudada </t>
  </si>
  <si>
    <t>Director (a) de participación ciudadna y comunitaria</t>
  </si>
  <si>
    <t>Bimestral</t>
  </si>
  <si>
    <t>septiembre de 2024</t>
  </si>
  <si>
    <t>septiembre de 2025</t>
  </si>
  <si>
    <t>septiembre de 2026</t>
  </si>
  <si>
    <t>Se realiza segumiento a través del plan de acción y el POAI, verificando que estos se encuentren actualizados y se revisa porcentaje de cumplimiento de las metas y actividades de esta Dirección.</t>
  </si>
  <si>
    <t xml:space="preserve">Se realiza segumiento mediante actas de reunión de los comites técnicos y las evidencias presentadas, tales son las acta de reunión. </t>
  </si>
  <si>
    <t>En comité tecnico del mes de octubre junto con fortalecimiento Institucional Se revisa el Plan de Acción, los indicadores, medidas correctivas, así como el proceso y los procedimientos de esta Dirección. Así mismo se entrega informe al despacho de Gobierno el cumplimento de Metas. De acuerdo, con lo anterior, se encuentra acta N°010 del 04/10/2024.</t>
  </si>
  <si>
    <t xml:space="preserve">Se realiza revisión de la carpeta de comites tecnicos de la Dirección, en el que se encuentran las sigueintes:  Acta N°009 DEL 06/09/2024 y Acta N°010 DEL 04/10/2024.  Donde se evidencia que se hablo sobre la política de Participación Ciudadana y el codigo de integridad y buen gobierno. </t>
  </si>
  <si>
    <t>Fallas en la cultura de probidad.</t>
  </si>
  <si>
    <t>8. Fallas en la cultura de probidad.</t>
  </si>
  <si>
    <t>9. Deficientes equipos tecnologicos</t>
  </si>
  <si>
    <t>10. Deficiente cumplimiento a las directrices y tareas por parte de los procesos de la entidad</t>
  </si>
  <si>
    <t>11. Falta de comunicación entre la alta dirección y todos los procesos</t>
  </si>
  <si>
    <t xml:space="preserve">12. Deficiente personal de planta para realizar las funciones de esta Dirección. </t>
  </si>
  <si>
    <t xml:space="preserve">13. Falta de articulación entre las diferentes areas.  </t>
  </si>
  <si>
    <t>14. Deficiencia de apropiación de la política de participación ciudadana por parte del personal de planta y contratistas</t>
  </si>
  <si>
    <t>Fallas en la cultura de probidad</t>
  </si>
  <si>
    <t xml:space="preserve">     SEGUIMIENTO SEPTIEMBRE Y OCTUBRE DE 2024</t>
  </si>
  <si>
    <t xml:space="preserve">     SEGUIMIENTO NOVIEMBRE Y DICIEMBRE 2024</t>
  </si>
  <si>
    <t xml:space="preserve">No se aportaron las actas, sin embargo en el mes de noviembre se realizaron (2) comites técnico.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</si>
</sst>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rgb="FF000000"/>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B0F0"/>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right style="thin">
        <color indexed="64"/>
      </right>
      <top style="thin">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1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61" fillId="0" borderId="98" xfId="0" applyFont="1" applyBorder="1" applyAlignment="1" applyProtection="1">
      <alignment horizontal="center" vertical="center"/>
      <protection locked="0"/>
    </xf>
    <xf numFmtId="0" fontId="0" fillId="5" borderId="94" xfId="0" applyFill="1" applyBorder="1"/>
    <xf numFmtId="0" fontId="0" fillId="5" borderId="94" xfId="0" applyFill="1" applyBorder="1" applyAlignment="1" applyProtection="1">
      <alignment vertical="top"/>
      <protection locked="0"/>
    </xf>
    <xf numFmtId="0" fontId="65" fillId="3" borderId="95" xfId="0" applyFont="1" applyFill="1" applyBorder="1" applyAlignment="1">
      <alignment horizontal="left" vertical="center" wrapText="1"/>
    </xf>
    <xf numFmtId="0" fontId="1" fillId="3" borderId="75" xfId="0" applyFont="1" applyFill="1" applyBorder="1" applyAlignment="1">
      <alignment vertical="center" wrapText="1"/>
    </xf>
    <xf numFmtId="0" fontId="1" fillId="0" borderId="33" xfId="0" applyFont="1" applyBorder="1" applyAlignment="1" applyProtection="1">
      <alignment vertical="center" wrapText="1"/>
      <protection locked="0"/>
    </xf>
    <xf numFmtId="0" fontId="0" fillId="3" borderId="94" xfId="0" applyFill="1" applyBorder="1"/>
    <xf numFmtId="0" fontId="61" fillId="13" borderId="33" xfId="0" applyFont="1" applyFill="1" applyBorder="1" applyAlignment="1">
      <alignment horizontal="left" vertical="center" wrapText="1"/>
    </xf>
    <xf numFmtId="0" fontId="60" fillId="0" borderId="33" xfId="0" applyFont="1" applyBorder="1" applyAlignment="1">
      <alignment horizontal="left" vertical="center" wrapText="1"/>
    </xf>
    <xf numFmtId="0" fontId="61" fillId="13" borderId="33" xfId="0" applyFont="1" applyFill="1" applyBorder="1" applyAlignment="1">
      <alignment horizontal="center" vertical="center"/>
    </xf>
    <xf numFmtId="0" fontId="61" fillId="21" borderId="33" xfId="0" applyFont="1" applyFill="1" applyBorder="1" applyAlignment="1">
      <alignment horizontal="center" vertical="center"/>
    </xf>
    <xf numFmtId="0" fontId="61" fillId="21" borderId="33" xfId="0" applyFont="1" applyFill="1" applyBorder="1" applyAlignment="1">
      <alignment horizontal="left" vertical="center" wrapText="1"/>
    </xf>
    <xf numFmtId="0" fontId="65" fillId="21" borderId="33" xfId="0" applyFont="1" applyFill="1" applyBorder="1" applyAlignment="1">
      <alignment horizontal="left" vertical="center" wrapText="1"/>
    </xf>
    <xf numFmtId="0" fontId="61" fillId="22" borderId="79" xfId="0" applyFont="1" applyFill="1" applyBorder="1" applyAlignment="1">
      <alignment horizontal="left" vertical="center" wrapText="1"/>
    </xf>
    <xf numFmtId="0" fontId="61" fillId="22" borderId="33" xfId="0" applyFont="1" applyFill="1" applyBorder="1" applyAlignment="1">
      <alignment horizontal="center" vertical="center"/>
    </xf>
    <xf numFmtId="0" fontId="61" fillId="22" borderId="38"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33" xfId="0" applyBorder="1" applyAlignment="1">
      <alignment horizontal="center"/>
    </xf>
    <xf numFmtId="0" fontId="0" fillId="0" borderId="69" xfId="0" applyBorder="1" applyAlignment="1">
      <alignment horizontal="center"/>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104" xfId="0" applyFont="1" applyBorder="1" applyAlignment="1">
      <alignment horizontal="left" vertical="center" wrapText="1"/>
    </xf>
    <xf numFmtId="0" fontId="61" fillId="0" borderId="19" xfId="0" applyFont="1" applyBorder="1" applyAlignment="1">
      <alignment horizontal="left" vertical="center" wrapText="1"/>
    </xf>
    <xf numFmtId="0" fontId="61" fillId="0" borderId="13" xfId="0" applyFont="1" applyBorder="1" applyAlignment="1">
      <alignment horizontal="left" vertical="center" wrapText="1"/>
    </xf>
    <xf numFmtId="0" fontId="61" fillId="0" borderId="105" xfId="0" applyFont="1" applyBorder="1" applyAlignment="1">
      <alignment horizontal="left" vertical="center" wrapText="1"/>
    </xf>
    <xf numFmtId="0" fontId="61" fillId="0" borderId="0" xfId="0" applyFont="1" applyAlignment="1">
      <alignment horizontal="left" vertical="center" wrapText="1"/>
    </xf>
    <xf numFmtId="0" fontId="61" fillId="0" borderId="15" xfId="0" applyFont="1" applyBorder="1" applyAlignment="1">
      <alignment horizontal="left" vertical="center" wrapText="1"/>
    </xf>
    <xf numFmtId="0" fontId="61" fillId="0" borderId="90" xfId="0" applyFont="1" applyBorder="1" applyAlignment="1">
      <alignment horizontal="left" vertical="center" wrapText="1"/>
    </xf>
    <xf numFmtId="0" fontId="61" fillId="0" borderId="69" xfId="0" applyFont="1" applyBorder="1" applyAlignment="1">
      <alignment horizontal="left" vertical="center" wrapText="1"/>
    </xf>
    <xf numFmtId="0" fontId="61" fillId="0" borderId="70" xfId="0" applyFont="1" applyBorder="1" applyAlignment="1">
      <alignment horizontal="left" vertical="center" wrapText="1"/>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8"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8"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61" fillId="0" borderId="33" xfId="0" applyFont="1" applyBorder="1" applyAlignment="1">
      <alignment horizontal="center" vertical="center" wrapText="1"/>
    </xf>
    <xf numFmtId="0" fontId="38" fillId="3" borderId="33" xfId="0" applyFont="1" applyFill="1" applyBorder="1" applyAlignment="1" applyProtection="1">
      <alignment horizontal="left" vertical="center" wrapText="1"/>
      <protection locked="0"/>
    </xf>
    <xf numFmtId="0" fontId="61" fillId="13" borderId="33" xfId="0" applyFont="1" applyFill="1" applyBorder="1" applyAlignment="1">
      <alignment horizontal="center" vertical="center" wrapText="1"/>
    </xf>
    <xf numFmtId="0" fontId="72" fillId="19" borderId="33" xfId="0" applyFont="1" applyFill="1" applyBorder="1" applyAlignment="1">
      <alignment horizontal="center" vertical="center" textRotation="255"/>
    </xf>
    <xf numFmtId="0" fontId="72" fillId="19" borderId="95" xfId="0" applyFont="1" applyFill="1" applyBorder="1" applyAlignment="1">
      <alignment horizontal="center" vertical="center"/>
    </xf>
    <xf numFmtId="0" fontId="72" fillId="19" borderId="95" xfId="0" applyFont="1" applyFill="1" applyBorder="1" applyAlignment="1">
      <alignment horizontal="center" wrapText="1"/>
    </xf>
    <xf numFmtId="0" fontId="72" fillId="19" borderId="95" xfId="0" applyFont="1" applyFill="1" applyBorder="1" applyAlignment="1">
      <alignment horizontal="center"/>
    </xf>
    <xf numFmtId="0" fontId="72" fillId="19" borderId="96" xfId="0" applyFont="1" applyFill="1" applyBorder="1" applyAlignment="1">
      <alignment horizontal="center" vertical="top" wrapText="1"/>
    </xf>
    <xf numFmtId="0" fontId="72" fillId="19" borderId="52" xfId="0" applyFont="1" applyFill="1" applyBorder="1" applyAlignment="1">
      <alignment horizontal="center" vertical="top"/>
    </xf>
    <xf numFmtId="0" fontId="72" fillId="19" borderId="109" xfId="0" applyFont="1" applyFill="1" applyBorder="1" applyAlignment="1">
      <alignment horizontal="center" vertical="top"/>
    </xf>
    <xf numFmtId="0" fontId="38" fillId="3" borderId="92" xfId="0" applyFont="1" applyFill="1" applyBorder="1" applyAlignment="1" applyProtection="1">
      <alignment horizontal="left" vertical="center" wrapText="1"/>
      <protection locked="0"/>
    </xf>
    <xf numFmtId="0" fontId="38" fillId="3" borderId="98"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protection locked="0"/>
    </xf>
    <xf numFmtId="0" fontId="73" fillId="3" borderId="92" xfId="0" applyFont="1" applyFill="1" applyBorder="1" applyAlignment="1" applyProtection="1">
      <alignment horizontal="left" vertical="center" wrapText="1"/>
      <protection locked="0"/>
    </xf>
    <xf numFmtId="0" fontId="73" fillId="3" borderId="98" xfId="0" applyFont="1" applyFill="1" applyBorder="1" applyAlignment="1" applyProtection="1">
      <alignment horizontal="left" vertical="center" wrapText="1"/>
      <protection locked="0"/>
    </xf>
    <xf numFmtId="0" fontId="38" fillId="0" borderId="92" xfId="0" applyFont="1" applyBorder="1" applyAlignment="1" applyProtection="1">
      <alignment horizontal="left" vertical="center" wrapText="1"/>
      <protection locked="0"/>
    </xf>
    <xf numFmtId="0" fontId="38" fillId="0" borderId="98"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8"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8" xfId="0" applyFont="1" applyBorder="1" applyAlignment="1" applyProtection="1">
      <alignment horizontal="center" vertical="center"/>
      <protection locked="0"/>
    </xf>
    <xf numFmtId="0" fontId="72" fillId="19" borderId="33" xfId="0" applyFont="1" applyFill="1" applyBorder="1" applyAlignment="1">
      <alignment horizontal="center" vertical="center"/>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8" xfId="0" applyFont="1" applyFill="1" applyBorder="1" applyAlignment="1">
      <alignment horizontal="center" vertical="center"/>
    </xf>
    <xf numFmtId="0" fontId="38" fillId="3" borderId="81" xfId="0" applyFont="1" applyFill="1" applyBorder="1" applyAlignment="1" applyProtection="1">
      <alignment horizontal="left" vertical="center" wrapText="1"/>
      <protection locked="0"/>
    </xf>
    <xf numFmtId="0" fontId="61" fillId="22" borderId="33" xfId="0" applyFont="1" applyFill="1" applyBorder="1" applyAlignment="1">
      <alignment horizontal="left" vertical="center" wrapText="1"/>
    </xf>
    <xf numFmtId="0" fontId="61" fillId="21" borderId="33" xfId="0" applyFont="1" applyFill="1" applyBorder="1" applyAlignment="1">
      <alignment horizontal="left" vertical="center" wrapText="1"/>
    </xf>
    <xf numFmtId="0" fontId="38" fillId="0" borderId="33" xfId="0" applyFont="1" applyBorder="1" applyAlignment="1" applyProtection="1">
      <alignment horizontal="left" vertical="center"/>
      <protection locked="0"/>
    </xf>
    <xf numFmtId="0" fontId="61" fillId="0" borderId="33" xfId="0" applyFont="1" applyBorder="1" applyAlignment="1">
      <alignment horizontal="left"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8"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8" xfId="0" applyFont="1" applyFill="1" applyBorder="1" applyAlignment="1">
      <alignment horizontal="center"/>
    </xf>
    <xf numFmtId="0" fontId="38" fillId="0" borderId="81"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21" borderId="33" xfId="0" applyFont="1" applyFill="1" applyBorder="1" applyAlignment="1" applyProtection="1">
      <alignment horizontal="left" vertical="center" wrapText="1"/>
      <protection locked="0"/>
    </xf>
    <xf numFmtId="0" fontId="61" fillId="0" borderId="102" xfId="0" applyFont="1" applyBorder="1" applyAlignment="1">
      <alignment horizontal="left" vertical="center" wrapText="1"/>
    </xf>
    <xf numFmtId="0" fontId="61" fillId="0" borderId="103"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97"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92" xfId="0" applyFont="1" applyBorder="1" applyAlignment="1">
      <alignment horizontal="left" vertical="center" wrapText="1"/>
    </xf>
    <xf numFmtId="0" fontId="61" fillId="0" borderId="98" xfId="0" applyFont="1" applyBorder="1" applyAlignment="1">
      <alignment horizontal="left"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49" fillId="0" borderId="4" xfId="0" applyFont="1" applyBorder="1" applyAlignment="1" applyProtection="1">
      <alignment horizontal="center" vertical="top" textRotation="90" wrapText="1"/>
      <protection hidden="1"/>
    </xf>
    <xf numFmtId="0" fontId="49" fillId="0" borderId="8" xfId="0" applyFont="1" applyBorder="1" applyAlignment="1" applyProtection="1">
      <alignment horizontal="center" vertical="top" textRotation="90" wrapText="1"/>
      <protection hidden="1"/>
    </xf>
    <xf numFmtId="0" fontId="49" fillId="0" borderId="5" xfId="0" applyFont="1" applyBorder="1" applyAlignment="1" applyProtection="1">
      <alignment horizontal="center" vertical="top" textRotation="90" wrapText="1"/>
      <protection hidden="1"/>
    </xf>
    <xf numFmtId="164" fontId="1" fillId="0" borderId="4" xfId="1" applyNumberFormat="1" applyFont="1" applyBorder="1" applyAlignment="1">
      <alignment horizontal="center" vertical="top"/>
    </xf>
    <xf numFmtId="164" fontId="1" fillId="0" borderId="8" xfId="1" applyNumberFormat="1" applyFont="1" applyBorder="1" applyAlignment="1">
      <alignment horizontal="center" vertical="top"/>
    </xf>
    <xf numFmtId="164" fontId="1" fillId="0" borderId="5" xfId="1" applyNumberFormat="1" applyFont="1" applyBorder="1" applyAlignment="1">
      <alignment horizontal="center" vertical="top"/>
    </xf>
    <xf numFmtId="9" fontId="27" fillId="0" borderId="4" xfId="0" applyNumberFormat="1" applyFont="1" applyBorder="1" applyAlignment="1" applyProtection="1">
      <alignment horizontal="center" vertical="top"/>
      <protection hidden="1"/>
    </xf>
    <xf numFmtId="9" fontId="27" fillId="0" borderId="8" xfId="0" applyNumberFormat="1"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protection hidden="1"/>
    </xf>
    <xf numFmtId="0" fontId="49" fillId="0" borderId="4" xfId="0" applyFont="1" applyBorder="1" applyAlignment="1" applyProtection="1">
      <alignment horizontal="center" vertical="top" textRotation="90"/>
      <protection hidden="1"/>
    </xf>
    <xf numFmtId="0" fontId="49" fillId="0" borderId="8" xfId="0" applyFont="1" applyBorder="1" applyAlignment="1" applyProtection="1">
      <alignment horizontal="center" vertical="top" textRotation="90"/>
      <protection hidden="1"/>
    </xf>
    <xf numFmtId="0" fontId="49" fillId="0" borderId="5" xfId="0" applyFont="1" applyBorder="1" applyAlignment="1" applyProtection="1">
      <alignment horizontal="center" vertical="top" textRotation="90"/>
      <protection hidden="1"/>
    </xf>
    <xf numFmtId="0" fontId="4" fillId="7" borderId="33" xfId="0" applyFont="1" applyFill="1" applyBorder="1" applyAlignment="1">
      <alignment horizontal="center" vertical="center" wrapText="1"/>
    </xf>
    <xf numFmtId="0" fontId="27" fillId="3" borderId="75" xfId="0" applyFont="1" applyFill="1" applyBorder="1" applyAlignment="1" applyProtection="1">
      <alignment horizontal="left" vertical="center"/>
      <protection locked="0"/>
    </xf>
    <xf numFmtId="0" fontId="50" fillId="3" borderId="106" xfId="0" applyFont="1" applyFill="1" applyBorder="1" applyAlignment="1" applyProtection="1">
      <alignment horizontal="left" vertical="center"/>
      <protection locked="0"/>
    </xf>
    <xf numFmtId="0" fontId="50" fillId="3" borderId="107" xfId="0" applyFont="1" applyFill="1" applyBorder="1" applyAlignment="1" applyProtection="1">
      <alignment horizontal="left" vertical="center"/>
      <protection locked="0"/>
    </xf>
    <xf numFmtId="0" fontId="50" fillId="3" borderId="108"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50" fillId="0" borderId="99" xfId="0"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5</xdr:col>
      <xdr:colOff>1343025</xdr:colOff>
      <xdr:row>3</xdr:row>
      <xdr:rowOff>159016</xdr:rowOff>
    </xdr:to>
    <xdr:pic>
      <xdr:nvPicPr>
        <xdr:cNvPr id="2" name="Imagen 1">
          <a:extLst>
            <a:ext uri="{FF2B5EF4-FFF2-40B4-BE49-F238E27FC236}">
              <a16:creationId xmlns:a16="http://schemas.microsoft.com/office/drawing/2014/main" id="{F0275B7B-765F-3F38-10F9-E26725B31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225" y="0"/>
          <a:ext cx="619125" cy="7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1828800</xdr:colOff>
      <xdr:row>3</xdr:row>
      <xdr:rowOff>180281</xdr:rowOff>
    </xdr:to>
    <xdr:pic>
      <xdr:nvPicPr>
        <xdr:cNvPr id="3" name="Imagen 2">
          <a:extLst>
            <a:ext uri="{FF2B5EF4-FFF2-40B4-BE49-F238E27FC236}">
              <a16:creationId xmlns:a16="http://schemas.microsoft.com/office/drawing/2014/main" id="{5EEF3012-8060-B2C7-BFD8-789F424DB1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28800" cy="75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1</xdr:colOff>
      <xdr:row>26</xdr:row>
      <xdr:rowOff>0</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26</xdr:row>
      <xdr:rowOff>0</xdr:rowOff>
    </xdr:from>
    <xdr:to>
      <xdr:col>0</xdr:col>
      <xdr:colOff>2</xdr:colOff>
      <xdr:row>26</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209551</xdr:colOff>
      <xdr:row>0</xdr:row>
      <xdr:rowOff>0</xdr:rowOff>
    </xdr:from>
    <xdr:to>
      <xdr:col>19</xdr:col>
      <xdr:colOff>1113683</xdr:colOff>
      <xdr:row>3</xdr:row>
      <xdr:rowOff>180975</xdr:rowOff>
    </xdr:to>
    <xdr:pic>
      <xdr:nvPicPr>
        <xdr:cNvPr id="5" name="Imagen 4">
          <a:extLst>
            <a:ext uri="{FF2B5EF4-FFF2-40B4-BE49-F238E27FC236}">
              <a16:creationId xmlns:a16="http://schemas.microsoft.com/office/drawing/2014/main" id="{591EEBAE-BCDC-AE74-8797-8978336CD4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26" y="0"/>
          <a:ext cx="904132"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271100</xdr:rowOff>
    </xdr:from>
    <xdr:to>
      <xdr:col>0</xdr:col>
      <xdr:colOff>1186544</xdr:colOff>
      <xdr:row>2</xdr:row>
      <xdr:rowOff>229449</xdr:rowOff>
    </xdr:to>
    <xdr:pic>
      <xdr:nvPicPr>
        <xdr:cNvPr id="8" name="Imagen 7">
          <a:extLst>
            <a:ext uri="{FF2B5EF4-FFF2-40B4-BE49-F238E27FC236}">
              <a16:creationId xmlns:a16="http://schemas.microsoft.com/office/drawing/2014/main" id="{D5C51344-7463-B4E6-69EC-5A0E21720C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1100"/>
          <a:ext cx="1186544" cy="589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152401</xdr:colOff>
      <xdr:row>0</xdr:row>
      <xdr:rowOff>28575</xdr:rowOff>
    </xdr:from>
    <xdr:to>
      <xdr:col>9</xdr:col>
      <xdr:colOff>741701</xdr:colOff>
      <xdr:row>3</xdr:row>
      <xdr:rowOff>152400</xdr:rowOff>
    </xdr:to>
    <xdr:pic>
      <xdr:nvPicPr>
        <xdr:cNvPr id="2" name="Imagen 1">
          <a:extLst>
            <a:ext uri="{FF2B5EF4-FFF2-40B4-BE49-F238E27FC236}">
              <a16:creationId xmlns:a16="http://schemas.microsoft.com/office/drawing/2014/main" id="{E979F2D4-9129-905E-E7AB-54124D462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1" y="28575"/>
          <a:ext cx="5893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66674</xdr:colOff>
      <xdr:row>0</xdr:row>
      <xdr:rowOff>85724</xdr:rowOff>
    </xdr:from>
    <xdr:to>
      <xdr:col>1</xdr:col>
      <xdr:colOff>714374</xdr:colOff>
      <xdr:row>3</xdr:row>
      <xdr:rowOff>168117</xdr:rowOff>
    </xdr:to>
    <xdr:pic>
      <xdr:nvPicPr>
        <xdr:cNvPr id="3" name="Imagen 2">
          <a:extLst>
            <a:ext uri="{FF2B5EF4-FFF2-40B4-BE49-F238E27FC236}">
              <a16:creationId xmlns:a16="http://schemas.microsoft.com/office/drawing/2014/main" id="{C2E08980-DE53-528A-83A0-997EE40D0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4" y="85724"/>
          <a:ext cx="1590675" cy="653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1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70" zoomScaleNormal="7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33" t="s">
        <v>155</v>
      </c>
      <c r="C2" s="234"/>
      <c r="D2" s="234"/>
      <c r="E2" s="234"/>
      <c r="F2" s="234"/>
      <c r="G2" s="234"/>
      <c r="H2" s="235"/>
    </row>
    <row r="3" spans="2:8" x14ac:dyDescent="0.3">
      <c r="B3" s="68"/>
      <c r="C3" s="69"/>
      <c r="D3" s="69"/>
      <c r="E3" s="69"/>
      <c r="F3" s="69"/>
      <c r="G3" s="69"/>
      <c r="H3" s="70"/>
    </row>
    <row r="4" spans="2:8" ht="63" customHeight="1" x14ac:dyDescent="0.3">
      <c r="B4" s="236" t="s">
        <v>198</v>
      </c>
      <c r="C4" s="237"/>
      <c r="D4" s="237"/>
      <c r="E4" s="237"/>
      <c r="F4" s="237"/>
      <c r="G4" s="237"/>
      <c r="H4" s="238"/>
    </row>
    <row r="5" spans="2:8" ht="63" customHeight="1" x14ac:dyDescent="0.3">
      <c r="B5" s="239"/>
      <c r="C5" s="240"/>
      <c r="D5" s="240"/>
      <c r="E5" s="240"/>
      <c r="F5" s="240"/>
      <c r="G5" s="240"/>
      <c r="H5" s="241"/>
    </row>
    <row r="6" spans="2:8" x14ac:dyDescent="0.3">
      <c r="B6" s="242" t="s">
        <v>153</v>
      </c>
      <c r="C6" s="243"/>
      <c r="D6" s="243"/>
      <c r="E6" s="243"/>
      <c r="F6" s="243"/>
      <c r="G6" s="243"/>
      <c r="H6" s="244"/>
    </row>
    <row r="7" spans="2:8" ht="95.25" customHeight="1" x14ac:dyDescent="0.3">
      <c r="B7" s="252" t="s">
        <v>158</v>
      </c>
      <c r="C7" s="253"/>
      <c r="D7" s="253"/>
      <c r="E7" s="253"/>
      <c r="F7" s="253"/>
      <c r="G7" s="253"/>
      <c r="H7" s="254"/>
    </row>
    <row r="8" spans="2:8" x14ac:dyDescent="0.3">
      <c r="B8" s="102"/>
      <c r="C8" s="103"/>
      <c r="D8" s="103"/>
      <c r="E8" s="103"/>
      <c r="F8" s="103"/>
      <c r="G8" s="103"/>
      <c r="H8" s="104"/>
    </row>
    <row r="9" spans="2:8" ht="16.5" customHeight="1" x14ac:dyDescent="0.3">
      <c r="B9" s="245" t="s">
        <v>191</v>
      </c>
      <c r="C9" s="246"/>
      <c r="D9" s="246"/>
      <c r="E9" s="246"/>
      <c r="F9" s="246"/>
      <c r="G9" s="246"/>
      <c r="H9" s="247"/>
    </row>
    <row r="10" spans="2:8" ht="44.25" customHeight="1" x14ac:dyDescent="0.3">
      <c r="B10" s="245"/>
      <c r="C10" s="246"/>
      <c r="D10" s="246"/>
      <c r="E10" s="246"/>
      <c r="F10" s="246"/>
      <c r="G10" s="246"/>
      <c r="H10" s="247"/>
    </row>
    <row r="11" spans="2:8" ht="15" thickBot="1" x14ac:dyDescent="0.35">
      <c r="B11" s="91"/>
      <c r="C11" s="94"/>
      <c r="D11" s="99"/>
      <c r="E11" s="100"/>
      <c r="F11" s="100"/>
      <c r="G11" s="101"/>
      <c r="H11" s="95"/>
    </row>
    <row r="12" spans="2:8" ht="15" thickTop="1" x14ac:dyDescent="0.3">
      <c r="B12" s="91"/>
      <c r="C12" s="248" t="s">
        <v>154</v>
      </c>
      <c r="D12" s="249"/>
      <c r="E12" s="250" t="s">
        <v>192</v>
      </c>
      <c r="F12" s="251"/>
      <c r="G12" s="94"/>
      <c r="H12" s="95"/>
    </row>
    <row r="13" spans="2:8" ht="35.25" customHeight="1" x14ac:dyDescent="0.3">
      <c r="B13" s="91"/>
      <c r="C13" s="220" t="s">
        <v>185</v>
      </c>
      <c r="D13" s="221"/>
      <c r="E13" s="222" t="s">
        <v>190</v>
      </c>
      <c r="F13" s="223"/>
      <c r="G13" s="94"/>
      <c r="H13" s="95"/>
    </row>
    <row r="14" spans="2:8" ht="17.25" customHeight="1" x14ac:dyDescent="0.3">
      <c r="B14" s="91"/>
      <c r="C14" s="220" t="s">
        <v>186</v>
      </c>
      <c r="D14" s="221"/>
      <c r="E14" s="222" t="s">
        <v>188</v>
      </c>
      <c r="F14" s="223"/>
      <c r="G14" s="94"/>
      <c r="H14" s="95"/>
    </row>
    <row r="15" spans="2:8" ht="19.5" customHeight="1" x14ac:dyDescent="0.3">
      <c r="B15" s="91"/>
      <c r="C15" s="220" t="s">
        <v>187</v>
      </c>
      <c r="D15" s="221"/>
      <c r="E15" s="222" t="s">
        <v>189</v>
      </c>
      <c r="F15" s="223"/>
      <c r="G15" s="94"/>
      <c r="H15" s="95"/>
    </row>
    <row r="16" spans="2:8" ht="69.75" customHeight="1" x14ac:dyDescent="0.3">
      <c r="B16" s="91"/>
      <c r="C16" s="220" t="s">
        <v>156</v>
      </c>
      <c r="D16" s="221"/>
      <c r="E16" s="222" t="s">
        <v>157</v>
      </c>
      <c r="F16" s="223"/>
      <c r="G16" s="94"/>
      <c r="H16" s="95"/>
    </row>
    <row r="17" spans="2:8" ht="34.5" customHeight="1" x14ac:dyDescent="0.3">
      <c r="B17" s="91"/>
      <c r="C17" s="224" t="s">
        <v>2</v>
      </c>
      <c r="D17" s="225"/>
      <c r="E17" s="216" t="s">
        <v>199</v>
      </c>
      <c r="F17" s="217"/>
      <c r="G17" s="94"/>
      <c r="H17" s="95"/>
    </row>
    <row r="18" spans="2:8" ht="27.75" customHeight="1" x14ac:dyDescent="0.3">
      <c r="B18" s="91"/>
      <c r="C18" s="224" t="s">
        <v>3</v>
      </c>
      <c r="D18" s="225"/>
      <c r="E18" s="216" t="s">
        <v>200</v>
      </c>
      <c r="F18" s="217"/>
      <c r="G18" s="94"/>
      <c r="H18" s="95"/>
    </row>
    <row r="19" spans="2:8" ht="28.5" customHeight="1" x14ac:dyDescent="0.3">
      <c r="B19" s="91"/>
      <c r="C19" s="224" t="s">
        <v>42</v>
      </c>
      <c r="D19" s="225"/>
      <c r="E19" s="216" t="s">
        <v>201</v>
      </c>
      <c r="F19" s="217"/>
      <c r="G19" s="94"/>
      <c r="H19" s="95"/>
    </row>
    <row r="20" spans="2:8" ht="72.75" customHeight="1" x14ac:dyDescent="0.3">
      <c r="B20" s="91"/>
      <c r="C20" s="224" t="s">
        <v>1</v>
      </c>
      <c r="D20" s="225"/>
      <c r="E20" s="216" t="s">
        <v>202</v>
      </c>
      <c r="F20" s="217"/>
      <c r="G20" s="94"/>
      <c r="H20" s="95"/>
    </row>
    <row r="21" spans="2:8" ht="64.5" customHeight="1" x14ac:dyDescent="0.3">
      <c r="B21" s="91"/>
      <c r="C21" s="224" t="s">
        <v>50</v>
      </c>
      <c r="D21" s="225"/>
      <c r="E21" s="216" t="s">
        <v>160</v>
      </c>
      <c r="F21" s="217"/>
      <c r="G21" s="94"/>
      <c r="H21" s="95"/>
    </row>
    <row r="22" spans="2:8" ht="71.25" customHeight="1" x14ac:dyDescent="0.3">
      <c r="B22" s="91"/>
      <c r="C22" s="224" t="s">
        <v>159</v>
      </c>
      <c r="D22" s="225"/>
      <c r="E22" s="216" t="s">
        <v>161</v>
      </c>
      <c r="F22" s="217"/>
      <c r="G22" s="94"/>
      <c r="H22" s="95"/>
    </row>
    <row r="23" spans="2:8" ht="55.5" customHeight="1" x14ac:dyDescent="0.3">
      <c r="B23" s="91"/>
      <c r="C23" s="218" t="s">
        <v>162</v>
      </c>
      <c r="D23" s="219"/>
      <c r="E23" s="216" t="s">
        <v>163</v>
      </c>
      <c r="F23" s="217"/>
      <c r="G23" s="94"/>
      <c r="H23" s="95"/>
    </row>
    <row r="24" spans="2:8" ht="42" customHeight="1" x14ac:dyDescent="0.3">
      <c r="B24" s="91"/>
      <c r="C24" s="218" t="s">
        <v>48</v>
      </c>
      <c r="D24" s="219"/>
      <c r="E24" s="216" t="s">
        <v>164</v>
      </c>
      <c r="F24" s="217"/>
      <c r="G24" s="94"/>
      <c r="H24" s="95"/>
    </row>
    <row r="25" spans="2:8" ht="59.25" customHeight="1" x14ac:dyDescent="0.3">
      <c r="B25" s="91"/>
      <c r="C25" s="218" t="s">
        <v>152</v>
      </c>
      <c r="D25" s="219"/>
      <c r="E25" s="216" t="s">
        <v>165</v>
      </c>
      <c r="F25" s="217"/>
      <c r="G25" s="94"/>
      <c r="H25" s="95"/>
    </row>
    <row r="26" spans="2:8" ht="23.25" customHeight="1" x14ac:dyDescent="0.3">
      <c r="B26" s="91"/>
      <c r="C26" s="218" t="s">
        <v>12</v>
      </c>
      <c r="D26" s="219"/>
      <c r="E26" s="216" t="s">
        <v>166</v>
      </c>
      <c r="F26" s="217"/>
      <c r="G26" s="94"/>
      <c r="H26" s="95"/>
    </row>
    <row r="27" spans="2:8" ht="30.75" customHeight="1" x14ac:dyDescent="0.3">
      <c r="B27" s="91"/>
      <c r="C27" s="218" t="s">
        <v>170</v>
      </c>
      <c r="D27" s="219"/>
      <c r="E27" s="216" t="s">
        <v>167</v>
      </c>
      <c r="F27" s="217"/>
      <c r="G27" s="94"/>
      <c r="H27" s="95"/>
    </row>
    <row r="28" spans="2:8" ht="35.25" customHeight="1" x14ac:dyDescent="0.3">
      <c r="B28" s="91"/>
      <c r="C28" s="218" t="s">
        <v>171</v>
      </c>
      <c r="D28" s="219"/>
      <c r="E28" s="216" t="s">
        <v>168</v>
      </c>
      <c r="F28" s="217"/>
      <c r="G28" s="94"/>
      <c r="H28" s="95"/>
    </row>
    <row r="29" spans="2:8" ht="33" customHeight="1" x14ac:dyDescent="0.3">
      <c r="B29" s="91"/>
      <c r="C29" s="218" t="s">
        <v>171</v>
      </c>
      <c r="D29" s="219"/>
      <c r="E29" s="216" t="s">
        <v>168</v>
      </c>
      <c r="F29" s="217"/>
      <c r="G29" s="94"/>
      <c r="H29" s="95"/>
    </row>
    <row r="30" spans="2:8" ht="30" customHeight="1" x14ac:dyDescent="0.3">
      <c r="B30" s="91"/>
      <c r="C30" s="218" t="s">
        <v>172</v>
      </c>
      <c r="D30" s="219"/>
      <c r="E30" s="216" t="s">
        <v>169</v>
      </c>
      <c r="F30" s="217"/>
      <c r="G30" s="94"/>
      <c r="H30" s="95"/>
    </row>
    <row r="31" spans="2:8" ht="35.25" customHeight="1" x14ac:dyDescent="0.3">
      <c r="B31" s="91"/>
      <c r="C31" s="218" t="s">
        <v>173</v>
      </c>
      <c r="D31" s="219"/>
      <c r="E31" s="216" t="s">
        <v>174</v>
      </c>
      <c r="F31" s="217"/>
      <c r="G31" s="94"/>
      <c r="H31" s="95"/>
    </row>
    <row r="32" spans="2:8" ht="31.5" customHeight="1" x14ac:dyDescent="0.3">
      <c r="B32" s="91"/>
      <c r="C32" s="218" t="s">
        <v>175</v>
      </c>
      <c r="D32" s="219"/>
      <c r="E32" s="216" t="s">
        <v>176</v>
      </c>
      <c r="F32" s="217"/>
      <c r="G32" s="94"/>
      <c r="H32" s="95"/>
    </row>
    <row r="33" spans="2:8" ht="35.25" customHeight="1" x14ac:dyDescent="0.3">
      <c r="B33" s="91"/>
      <c r="C33" s="218" t="s">
        <v>177</v>
      </c>
      <c r="D33" s="219"/>
      <c r="E33" s="216" t="s">
        <v>178</v>
      </c>
      <c r="F33" s="217"/>
      <c r="G33" s="94"/>
      <c r="H33" s="95"/>
    </row>
    <row r="34" spans="2:8" ht="59.25" customHeight="1" x14ac:dyDescent="0.3">
      <c r="B34" s="91"/>
      <c r="C34" s="218" t="s">
        <v>179</v>
      </c>
      <c r="D34" s="219"/>
      <c r="E34" s="216" t="s">
        <v>180</v>
      </c>
      <c r="F34" s="217"/>
      <c r="G34" s="94"/>
      <c r="H34" s="95"/>
    </row>
    <row r="35" spans="2:8" ht="29.25" customHeight="1" x14ac:dyDescent="0.3">
      <c r="B35" s="91"/>
      <c r="C35" s="218" t="s">
        <v>29</v>
      </c>
      <c r="D35" s="219"/>
      <c r="E35" s="216" t="s">
        <v>181</v>
      </c>
      <c r="F35" s="217"/>
      <c r="G35" s="94"/>
      <c r="H35" s="95"/>
    </row>
    <row r="36" spans="2:8" ht="82.5" customHeight="1" x14ac:dyDescent="0.3">
      <c r="B36" s="91"/>
      <c r="C36" s="218" t="s">
        <v>183</v>
      </c>
      <c r="D36" s="219"/>
      <c r="E36" s="216" t="s">
        <v>182</v>
      </c>
      <c r="F36" s="217"/>
      <c r="G36" s="94"/>
      <c r="H36" s="95"/>
    </row>
    <row r="37" spans="2:8" ht="46.5" customHeight="1" x14ac:dyDescent="0.3">
      <c r="B37" s="91"/>
      <c r="C37" s="218" t="s">
        <v>39</v>
      </c>
      <c r="D37" s="219"/>
      <c r="E37" s="216" t="s">
        <v>184</v>
      </c>
      <c r="F37" s="217"/>
      <c r="G37" s="94"/>
      <c r="H37" s="95"/>
    </row>
    <row r="38" spans="2:8" ht="6.75" customHeight="1" thickBot="1" x14ac:dyDescent="0.35">
      <c r="B38" s="91"/>
      <c r="C38" s="229"/>
      <c r="D38" s="230"/>
      <c r="E38" s="231"/>
      <c r="F38" s="232"/>
      <c r="G38" s="94"/>
      <c r="H38" s="95"/>
    </row>
    <row r="39" spans="2:8" ht="15" thickTop="1" x14ac:dyDescent="0.3">
      <c r="B39" s="91"/>
      <c r="C39" s="92"/>
      <c r="D39" s="92"/>
      <c r="E39" s="93"/>
      <c r="F39" s="93"/>
      <c r="G39" s="94"/>
      <c r="H39" s="95"/>
    </row>
    <row r="40" spans="2:8" ht="21" customHeight="1" x14ac:dyDescent="0.3">
      <c r="B40" s="226" t="s">
        <v>193</v>
      </c>
      <c r="C40" s="227"/>
      <c r="D40" s="227"/>
      <c r="E40" s="227"/>
      <c r="F40" s="227"/>
      <c r="G40" s="227"/>
      <c r="H40" s="228"/>
    </row>
    <row r="41" spans="2:8" ht="20.25" customHeight="1" x14ac:dyDescent="0.3">
      <c r="B41" s="226" t="s">
        <v>194</v>
      </c>
      <c r="C41" s="227"/>
      <c r="D41" s="227"/>
      <c r="E41" s="227"/>
      <c r="F41" s="227"/>
      <c r="G41" s="227"/>
      <c r="H41" s="228"/>
    </row>
    <row r="42" spans="2:8" ht="20.25" customHeight="1" x14ac:dyDescent="0.3">
      <c r="B42" s="226" t="s">
        <v>195</v>
      </c>
      <c r="C42" s="227"/>
      <c r="D42" s="227"/>
      <c r="E42" s="227"/>
      <c r="F42" s="227"/>
      <c r="G42" s="227"/>
      <c r="H42" s="228"/>
    </row>
    <row r="43" spans="2:8" ht="20.25" customHeight="1" x14ac:dyDescent="0.3">
      <c r="B43" s="226" t="s">
        <v>196</v>
      </c>
      <c r="C43" s="227"/>
      <c r="D43" s="227"/>
      <c r="E43" s="227"/>
      <c r="F43" s="227"/>
      <c r="G43" s="227"/>
      <c r="H43" s="228"/>
    </row>
    <row r="44" spans="2:8" x14ac:dyDescent="0.3">
      <c r="B44" s="226" t="s">
        <v>197</v>
      </c>
      <c r="C44" s="227"/>
      <c r="D44" s="227"/>
      <c r="E44" s="227"/>
      <c r="F44" s="227"/>
      <c r="G44" s="227"/>
      <c r="H44" s="228"/>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election activeCell="H7" sqref="H7"/>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07" t="s">
        <v>77</v>
      </c>
      <c r="C1" s="608"/>
      <c r="D1" s="608"/>
      <c r="E1" s="608"/>
      <c r="F1" s="609"/>
    </row>
    <row r="2" spans="2:6" ht="16.2" thickBot="1" x14ac:dyDescent="0.35">
      <c r="B2" s="73"/>
      <c r="C2" s="73"/>
      <c r="D2" s="73"/>
      <c r="E2" s="73"/>
      <c r="F2" s="73"/>
    </row>
    <row r="3" spans="2:6" ht="16.2" thickBot="1" x14ac:dyDescent="0.35">
      <c r="B3" s="611" t="s">
        <v>63</v>
      </c>
      <c r="C3" s="612"/>
      <c r="D3" s="612"/>
      <c r="E3" s="85" t="s">
        <v>64</v>
      </c>
      <c r="F3" s="86" t="s">
        <v>65</v>
      </c>
    </row>
    <row r="4" spans="2:6" ht="31.2" x14ac:dyDescent="0.3">
      <c r="B4" s="613" t="s">
        <v>66</v>
      </c>
      <c r="C4" s="615" t="s">
        <v>13</v>
      </c>
      <c r="D4" s="74" t="s">
        <v>14</v>
      </c>
      <c r="E4" s="75" t="s">
        <v>67</v>
      </c>
      <c r="F4" s="76">
        <v>0.25</v>
      </c>
    </row>
    <row r="5" spans="2:6" ht="46.8" x14ac:dyDescent="0.3">
      <c r="B5" s="614"/>
      <c r="C5" s="616"/>
      <c r="D5" s="77" t="s">
        <v>15</v>
      </c>
      <c r="E5" s="78" t="s">
        <v>68</v>
      </c>
      <c r="F5" s="79">
        <v>0.15</v>
      </c>
    </row>
    <row r="6" spans="2:6" ht="46.8" x14ac:dyDescent="0.3">
      <c r="B6" s="614"/>
      <c r="C6" s="616"/>
      <c r="D6" s="77" t="s">
        <v>16</v>
      </c>
      <c r="E6" s="78" t="s">
        <v>69</v>
      </c>
      <c r="F6" s="79">
        <v>0.1</v>
      </c>
    </row>
    <row r="7" spans="2:6" ht="62.4" x14ac:dyDescent="0.3">
      <c r="B7" s="614"/>
      <c r="C7" s="616" t="s">
        <v>17</v>
      </c>
      <c r="D7" s="77" t="s">
        <v>10</v>
      </c>
      <c r="E7" s="78" t="s">
        <v>70</v>
      </c>
      <c r="F7" s="79">
        <v>0.25</v>
      </c>
    </row>
    <row r="8" spans="2:6" ht="31.2" x14ac:dyDescent="0.3">
      <c r="B8" s="614"/>
      <c r="C8" s="616"/>
      <c r="D8" s="77" t="s">
        <v>9</v>
      </c>
      <c r="E8" s="78" t="s">
        <v>71</v>
      </c>
      <c r="F8" s="79">
        <v>0.15</v>
      </c>
    </row>
    <row r="9" spans="2:6" ht="46.8" x14ac:dyDescent="0.3">
      <c r="B9" s="614" t="s">
        <v>151</v>
      </c>
      <c r="C9" s="616" t="s">
        <v>18</v>
      </c>
      <c r="D9" s="77" t="s">
        <v>19</v>
      </c>
      <c r="E9" s="78" t="s">
        <v>72</v>
      </c>
      <c r="F9" s="80" t="s">
        <v>73</v>
      </c>
    </row>
    <row r="10" spans="2:6" ht="46.8" x14ac:dyDescent="0.3">
      <c r="B10" s="614"/>
      <c r="C10" s="616"/>
      <c r="D10" s="77" t="s">
        <v>20</v>
      </c>
      <c r="E10" s="78" t="s">
        <v>74</v>
      </c>
      <c r="F10" s="80" t="s">
        <v>73</v>
      </c>
    </row>
    <row r="11" spans="2:6" ht="46.8" x14ac:dyDescent="0.3">
      <c r="B11" s="614"/>
      <c r="C11" s="616" t="s">
        <v>21</v>
      </c>
      <c r="D11" s="77" t="s">
        <v>22</v>
      </c>
      <c r="E11" s="78" t="s">
        <v>75</v>
      </c>
      <c r="F11" s="80" t="s">
        <v>73</v>
      </c>
    </row>
    <row r="12" spans="2:6" ht="46.8" x14ac:dyDescent="0.3">
      <c r="B12" s="614"/>
      <c r="C12" s="616"/>
      <c r="D12" s="77" t="s">
        <v>23</v>
      </c>
      <c r="E12" s="78" t="s">
        <v>76</v>
      </c>
      <c r="F12" s="80" t="s">
        <v>73</v>
      </c>
    </row>
    <row r="13" spans="2:6" ht="31.2" x14ac:dyDescent="0.3">
      <c r="B13" s="614"/>
      <c r="C13" s="616" t="s">
        <v>24</v>
      </c>
      <c r="D13" s="77" t="s">
        <v>114</v>
      </c>
      <c r="E13" s="78" t="s">
        <v>117</v>
      </c>
      <c r="F13" s="80" t="s">
        <v>73</v>
      </c>
    </row>
    <row r="14" spans="2:6" ht="16.2" thickBot="1" x14ac:dyDescent="0.35">
      <c r="B14" s="617"/>
      <c r="C14" s="618"/>
      <c r="D14" s="81" t="s">
        <v>115</v>
      </c>
      <c r="E14" s="82" t="s">
        <v>116</v>
      </c>
      <c r="F14" s="83" t="s">
        <v>73</v>
      </c>
    </row>
    <row r="15" spans="2:6" ht="49.5" customHeight="1" x14ac:dyDescent="0.3">
      <c r="B15" s="610" t="s">
        <v>148</v>
      </c>
      <c r="C15" s="610"/>
      <c r="D15" s="610"/>
      <c r="E15" s="610"/>
      <c r="F15" s="610"/>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workbookViewId="0">
      <selection activeCell="A9" sqref="A9:F9"/>
    </sheetView>
  </sheetViews>
  <sheetFormatPr baseColWidth="10" defaultColWidth="11.44140625" defaultRowHeight="13.8" x14ac:dyDescent="0.25"/>
  <cols>
    <col min="1" max="1" width="29.44140625" style="151" customWidth="1"/>
    <col min="2" max="2" width="29.109375" style="151" customWidth="1"/>
    <col min="3" max="3" width="30.33203125" style="151" customWidth="1"/>
    <col min="4" max="4" width="31.88671875" style="151" customWidth="1"/>
    <col min="5" max="5" width="32.5546875" style="151" customWidth="1"/>
    <col min="6" max="6" width="32" style="151" customWidth="1"/>
    <col min="7" max="16384" width="11.44140625" style="151"/>
  </cols>
  <sheetData>
    <row r="1" spans="1:10" ht="15" customHeight="1" x14ac:dyDescent="0.25">
      <c r="A1" s="259"/>
      <c r="B1" s="261" t="s">
        <v>271</v>
      </c>
      <c r="C1" s="261"/>
      <c r="D1" s="261"/>
      <c r="E1" s="149" t="s">
        <v>264</v>
      </c>
      <c r="F1" s="263"/>
      <c r="G1" s="150"/>
      <c r="J1" s="265"/>
    </row>
    <row r="2" spans="1:10" ht="15" customHeight="1" x14ac:dyDescent="0.25">
      <c r="A2" s="260"/>
      <c r="B2" s="262"/>
      <c r="C2" s="262"/>
      <c r="D2" s="262"/>
      <c r="E2" s="153" t="s">
        <v>263</v>
      </c>
      <c r="F2" s="264"/>
      <c r="G2" s="150"/>
      <c r="J2" s="265"/>
    </row>
    <row r="3" spans="1:10" ht="15" customHeight="1" x14ac:dyDescent="0.25">
      <c r="A3" s="260"/>
      <c r="B3" s="262" t="s">
        <v>262</v>
      </c>
      <c r="C3" s="262"/>
      <c r="D3" s="262"/>
      <c r="E3" s="153" t="s">
        <v>266</v>
      </c>
      <c r="F3" s="264"/>
      <c r="G3" s="150"/>
      <c r="J3" s="265"/>
    </row>
    <row r="4" spans="1:10" ht="15.75" customHeight="1" x14ac:dyDescent="0.25">
      <c r="A4" s="260"/>
      <c r="B4" s="262"/>
      <c r="C4" s="262"/>
      <c r="D4" s="262"/>
      <c r="E4" s="153" t="s">
        <v>265</v>
      </c>
      <c r="F4" s="264"/>
      <c r="G4" s="150"/>
      <c r="J4" s="265"/>
    </row>
    <row r="5" spans="1:10" ht="15.75" customHeight="1" x14ac:dyDescent="0.25">
      <c r="A5" s="266"/>
      <c r="B5" s="267"/>
      <c r="C5" s="267"/>
      <c r="D5" s="267"/>
      <c r="E5" s="267"/>
      <c r="F5" s="268"/>
      <c r="G5" s="150"/>
      <c r="J5" s="152"/>
    </row>
    <row r="6" spans="1:10" ht="15" customHeight="1" x14ac:dyDescent="0.25">
      <c r="A6" s="269" t="s">
        <v>215</v>
      </c>
      <c r="B6" s="270"/>
      <c r="C6" s="270"/>
      <c r="D6" s="270"/>
      <c r="E6" s="270"/>
      <c r="F6" s="271"/>
    </row>
    <row r="7" spans="1:10" ht="15.75" customHeight="1" x14ac:dyDescent="0.25">
      <c r="A7" s="269"/>
      <c r="B7" s="270"/>
      <c r="C7" s="270"/>
      <c r="D7" s="270"/>
      <c r="E7" s="270"/>
      <c r="F7" s="271"/>
    </row>
    <row r="8" spans="1:10" ht="27" customHeight="1" x14ac:dyDescent="0.25">
      <c r="A8" s="272" t="s">
        <v>272</v>
      </c>
      <c r="B8" s="273"/>
      <c r="C8" s="273"/>
      <c r="D8" s="273"/>
      <c r="E8" s="273"/>
      <c r="F8" s="274"/>
    </row>
    <row r="9" spans="1:10" ht="77.25" customHeight="1" thickBot="1" x14ac:dyDescent="0.3">
      <c r="A9" s="255" t="s">
        <v>273</v>
      </c>
      <c r="B9" s="256"/>
      <c r="C9" s="256"/>
      <c r="D9" s="256"/>
      <c r="E9" s="256"/>
      <c r="F9" s="257"/>
    </row>
    <row r="10" spans="1:10" ht="18.75" customHeight="1" thickBot="1" x14ac:dyDescent="0.3">
      <c r="A10" s="258"/>
      <c r="B10" s="258"/>
      <c r="C10" s="258"/>
      <c r="D10" s="258"/>
      <c r="E10" s="258"/>
      <c r="F10" s="258"/>
    </row>
    <row r="11" spans="1:10" ht="22.5" customHeight="1" thickBot="1" x14ac:dyDescent="0.3">
      <c r="A11" s="154" t="s">
        <v>216</v>
      </c>
      <c r="B11" s="155" t="s">
        <v>217</v>
      </c>
      <c r="C11" s="155" t="s">
        <v>218</v>
      </c>
      <c r="D11" s="155" t="s">
        <v>217</v>
      </c>
      <c r="E11" s="155" t="s">
        <v>219</v>
      </c>
      <c r="F11" s="156" t="s">
        <v>217</v>
      </c>
    </row>
    <row r="12" spans="1:10" ht="60" customHeight="1" thickBot="1" x14ac:dyDescent="0.3">
      <c r="A12" s="158" t="s">
        <v>274</v>
      </c>
      <c r="B12" s="207" t="s">
        <v>275</v>
      </c>
      <c r="C12" s="160" t="s">
        <v>280</v>
      </c>
      <c r="D12" s="211" t="s">
        <v>283</v>
      </c>
      <c r="E12" s="157" t="s">
        <v>291</v>
      </c>
      <c r="F12" s="213" t="s">
        <v>293</v>
      </c>
    </row>
    <row r="13" spans="1:10" ht="82.5" customHeight="1" x14ac:dyDescent="0.25">
      <c r="A13" s="158" t="s">
        <v>220</v>
      </c>
      <c r="B13" s="207" t="s">
        <v>276</v>
      </c>
      <c r="C13" s="160" t="s">
        <v>280</v>
      </c>
      <c r="D13" s="211" t="s">
        <v>284</v>
      </c>
      <c r="E13" s="157" t="s">
        <v>291</v>
      </c>
      <c r="F13" s="215" t="s">
        <v>296</v>
      </c>
    </row>
    <row r="14" spans="1:10" ht="73.5" customHeight="1" x14ac:dyDescent="0.25">
      <c r="A14" s="158" t="s">
        <v>221</v>
      </c>
      <c r="B14" s="207" t="s">
        <v>278</v>
      </c>
      <c r="C14" s="160" t="s">
        <v>280</v>
      </c>
      <c r="D14" s="211" t="s">
        <v>285</v>
      </c>
      <c r="E14" s="160" t="s">
        <v>292</v>
      </c>
      <c r="F14" s="215" t="s">
        <v>294</v>
      </c>
    </row>
    <row r="15" spans="1:10" ht="59.25" customHeight="1" x14ac:dyDescent="0.25">
      <c r="A15" s="158" t="s">
        <v>222</v>
      </c>
      <c r="B15" s="207" t="s">
        <v>279</v>
      </c>
      <c r="C15" s="160" t="s">
        <v>281</v>
      </c>
      <c r="D15" s="211" t="s">
        <v>286</v>
      </c>
      <c r="E15" s="160"/>
      <c r="F15" s="162"/>
    </row>
    <row r="16" spans="1:10" ht="55.2" x14ac:dyDescent="0.25">
      <c r="A16" s="158"/>
      <c r="B16" s="161"/>
      <c r="C16" s="160" t="s">
        <v>281</v>
      </c>
      <c r="D16" s="211" t="s">
        <v>323</v>
      </c>
      <c r="E16" s="160"/>
      <c r="F16" s="162"/>
    </row>
    <row r="17" spans="1:6" ht="59.25" customHeight="1" x14ac:dyDescent="0.25">
      <c r="A17" s="158"/>
      <c r="B17" s="161"/>
      <c r="C17" s="160" t="s">
        <v>281</v>
      </c>
      <c r="D17" s="211" t="s">
        <v>295</v>
      </c>
      <c r="E17" s="160"/>
      <c r="F17" s="162"/>
    </row>
    <row r="18" spans="1:6" ht="73.5" customHeight="1" x14ac:dyDescent="0.25">
      <c r="A18" s="158"/>
      <c r="B18" s="161"/>
      <c r="C18" s="160" t="s">
        <v>281</v>
      </c>
      <c r="D18" s="211" t="s">
        <v>289</v>
      </c>
      <c r="E18" s="160"/>
      <c r="F18" s="162"/>
    </row>
    <row r="19" spans="1:6" ht="73.5" customHeight="1" x14ac:dyDescent="0.25">
      <c r="A19" s="158"/>
      <c r="B19" s="161"/>
      <c r="C19" s="160" t="s">
        <v>281</v>
      </c>
      <c r="D19" s="211" t="s">
        <v>353</v>
      </c>
      <c r="E19" s="160"/>
      <c r="F19" s="162"/>
    </row>
    <row r="20" spans="1:6" ht="65.25" customHeight="1" x14ac:dyDescent="0.25">
      <c r="A20" s="158"/>
      <c r="B20" s="161"/>
      <c r="C20" s="160" t="s">
        <v>282</v>
      </c>
      <c r="D20" s="212" t="s">
        <v>290</v>
      </c>
      <c r="E20" s="160"/>
      <c r="F20" s="162"/>
    </row>
    <row r="21" spans="1:6" ht="66.75" customHeight="1" x14ac:dyDescent="0.25">
      <c r="A21" s="158"/>
      <c r="B21" s="161"/>
      <c r="C21" s="160"/>
      <c r="D21" s="163"/>
      <c r="E21" s="160"/>
      <c r="F21" s="162"/>
    </row>
    <row r="22" spans="1:6" ht="69" customHeight="1" x14ac:dyDescent="0.25">
      <c r="A22" s="158"/>
      <c r="B22" s="161"/>
      <c r="C22" s="160"/>
      <c r="D22" s="163"/>
      <c r="E22" s="160"/>
      <c r="F22" s="162"/>
    </row>
    <row r="23" spans="1:6" ht="61.5" customHeight="1" x14ac:dyDescent="0.25">
      <c r="A23" s="158"/>
      <c r="B23" s="161"/>
      <c r="C23" s="160"/>
      <c r="D23" s="163"/>
      <c r="E23" s="160"/>
      <c r="F23" s="162"/>
    </row>
    <row r="24" spans="1:6" ht="57.75" customHeight="1" x14ac:dyDescent="0.25">
      <c r="A24" s="158"/>
      <c r="B24" s="161"/>
      <c r="C24" s="160"/>
      <c r="D24" s="163"/>
      <c r="E24" s="160"/>
      <c r="F24" s="162"/>
    </row>
    <row r="25" spans="1:6" ht="62.25" customHeight="1" x14ac:dyDescent="0.25">
      <c r="A25" s="158"/>
      <c r="B25" s="161"/>
      <c r="C25" s="160"/>
      <c r="D25" s="163"/>
      <c r="E25" s="160"/>
      <c r="F25" s="162"/>
    </row>
    <row r="26" spans="1:6" ht="56.25" customHeight="1" thickBot="1" x14ac:dyDescent="0.3">
      <c r="A26" s="164"/>
      <c r="B26" s="165"/>
      <c r="C26" s="166"/>
      <c r="D26" s="167"/>
      <c r="E26" s="166"/>
      <c r="F26" s="168"/>
    </row>
    <row r="27" spans="1:6" ht="65.25" customHeight="1" x14ac:dyDescent="0.25">
      <c r="A27" s="169"/>
      <c r="B27" s="170"/>
      <c r="C27" s="169"/>
      <c r="D27" s="171"/>
      <c r="E27" s="169"/>
      <c r="F27" s="171"/>
    </row>
    <row r="28" spans="1:6" ht="62.25" customHeight="1" x14ac:dyDescent="0.25">
      <c r="A28" s="169"/>
      <c r="B28" s="170"/>
      <c r="C28" s="169"/>
      <c r="D28" s="171"/>
      <c r="E28" s="169"/>
      <c r="F28" s="171"/>
    </row>
    <row r="29" spans="1:6" ht="63" customHeight="1" x14ac:dyDescent="0.25">
      <c r="A29" s="169"/>
      <c r="B29" s="170"/>
      <c r="C29" s="169"/>
      <c r="D29" s="171"/>
      <c r="E29" s="169"/>
      <c r="F29" s="170"/>
    </row>
    <row r="30" spans="1:6" ht="51.75" customHeight="1" x14ac:dyDescent="0.25">
      <c r="A30" s="169"/>
      <c r="B30" s="170"/>
      <c r="C30" s="169"/>
      <c r="D30" s="171"/>
      <c r="E30" s="169"/>
      <c r="F30" s="170"/>
    </row>
    <row r="31" spans="1:6" ht="52.5" customHeight="1" x14ac:dyDescent="0.25">
      <c r="A31" s="169"/>
      <c r="B31" s="171"/>
      <c r="C31" s="169"/>
      <c r="D31" s="171"/>
      <c r="E31" s="169"/>
      <c r="F31" s="171"/>
    </row>
    <row r="32" spans="1:6" ht="63.75" customHeight="1" x14ac:dyDescent="0.25">
      <c r="A32" s="169"/>
      <c r="B32" s="171"/>
      <c r="C32" s="169"/>
      <c r="D32" s="171"/>
      <c r="E32" s="169"/>
      <c r="F32" s="171"/>
    </row>
    <row r="33" spans="1:6" ht="66" customHeight="1" x14ac:dyDescent="0.25">
      <c r="A33" s="169"/>
      <c r="B33" s="172"/>
      <c r="C33" s="169"/>
      <c r="D33" s="173"/>
      <c r="E33" s="169"/>
      <c r="F33" s="172"/>
    </row>
    <row r="34" spans="1:6" ht="55.5" customHeight="1" x14ac:dyDescent="0.25">
      <c r="A34" s="169"/>
      <c r="B34" s="172"/>
      <c r="C34" s="169"/>
      <c r="D34" s="173"/>
      <c r="E34" s="169"/>
      <c r="F34" s="174"/>
    </row>
    <row r="35" spans="1:6" ht="51.75" customHeight="1" x14ac:dyDescent="0.25">
      <c r="A35" s="169"/>
      <c r="B35" s="174"/>
      <c r="C35" s="169"/>
      <c r="D35" s="175"/>
      <c r="E35" s="169"/>
      <c r="F35" s="174"/>
    </row>
    <row r="36" spans="1:6" ht="55.5" customHeight="1" x14ac:dyDescent="0.25">
      <c r="A36" s="169"/>
      <c r="B36" s="174"/>
      <c r="C36" s="169"/>
      <c r="D36" s="174"/>
      <c r="E36" s="169"/>
      <c r="F36" s="174"/>
    </row>
    <row r="37" spans="1:6" ht="55.5" customHeight="1" x14ac:dyDescent="0.25">
      <c r="A37" s="169"/>
      <c r="B37" s="174"/>
      <c r="C37" s="169"/>
      <c r="D37" s="174"/>
      <c r="E37" s="169"/>
      <c r="F37" s="174"/>
    </row>
    <row r="38" spans="1:6" ht="54.75" customHeight="1" x14ac:dyDescent="0.25">
      <c r="A38" s="169"/>
      <c r="B38" s="174"/>
      <c r="C38" s="169"/>
      <c r="D38" s="174"/>
      <c r="E38" s="169"/>
      <c r="F38" s="174"/>
    </row>
    <row r="39" spans="1:6" ht="56.25" customHeight="1" x14ac:dyDescent="0.25">
      <c r="A39" s="169"/>
      <c r="B39" s="174"/>
      <c r="C39" s="169"/>
      <c r="D39" s="174"/>
      <c r="E39" s="169"/>
      <c r="F39" s="174"/>
    </row>
    <row r="40" spans="1:6" ht="54.75" customHeight="1" x14ac:dyDescent="0.25">
      <c r="A40" s="169"/>
      <c r="B40" s="172"/>
      <c r="C40" s="169"/>
      <c r="D40" s="173"/>
      <c r="E40" s="169"/>
      <c r="F40" s="172"/>
    </row>
    <row r="41" spans="1:6" ht="55.5" customHeight="1" x14ac:dyDescent="0.25">
      <c r="A41" s="169"/>
      <c r="B41" s="172"/>
      <c r="C41" s="169"/>
      <c r="D41" s="173"/>
      <c r="E41" s="169"/>
      <c r="F41" s="174"/>
    </row>
    <row r="42" spans="1:6" ht="54.75" customHeight="1" x14ac:dyDescent="0.25">
      <c r="A42" s="169"/>
      <c r="B42" s="174"/>
      <c r="C42" s="169"/>
      <c r="D42" s="175"/>
      <c r="E42" s="169"/>
      <c r="F42" s="174"/>
    </row>
    <row r="43" spans="1:6" ht="55.5" customHeight="1" x14ac:dyDescent="0.25">
      <c r="A43" s="169"/>
      <c r="B43" s="174"/>
      <c r="C43" s="169"/>
      <c r="D43" s="174"/>
      <c r="E43" s="169"/>
      <c r="F43" s="174"/>
    </row>
    <row r="44" spans="1:6" ht="56.25" customHeight="1" x14ac:dyDescent="0.25">
      <c r="A44" s="169"/>
      <c r="B44" s="174"/>
      <c r="C44" s="169"/>
      <c r="D44" s="174"/>
      <c r="E44" s="169"/>
      <c r="F44" s="174"/>
    </row>
    <row r="45" spans="1:6" ht="59.25" customHeight="1" x14ac:dyDescent="0.25">
      <c r="A45" s="169"/>
      <c r="B45" s="174"/>
      <c r="C45" s="169"/>
      <c r="D45" s="174"/>
      <c r="E45" s="169"/>
      <c r="F45" s="174"/>
    </row>
    <row r="46" spans="1:6" ht="55.5" customHeight="1" x14ac:dyDescent="0.25">
      <c r="A46" s="169"/>
      <c r="B46" s="174"/>
      <c r="C46" s="169"/>
      <c r="D46" s="174"/>
      <c r="E46" s="169"/>
      <c r="F46" s="174"/>
    </row>
    <row r="47" spans="1:6" ht="55.5" customHeight="1" x14ac:dyDescent="0.25">
      <c r="A47" s="169"/>
      <c r="B47" s="172"/>
      <c r="C47" s="169"/>
      <c r="D47" s="173"/>
      <c r="E47" s="169"/>
      <c r="F47" s="172"/>
    </row>
    <row r="48" spans="1:6" ht="56.25" customHeight="1" x14ac:dyDescent="0.25">
      <c r="A48" s="169"/>
      <c r="B48" s="172"/>
      <c r="C48" s="169"/>
      <c r="D48" s="173"/>
      <c r="E48" s="169"/>
      <c r="F48" s="174"/>
    </row>
    <row r="49" spans="1:6" ht="54" customHeight="1" x14ac:dyDescent="0.25">
      <c r="A49" s="169"/>
      <c r="B49" s="174"/>
      <c r="C49" s="169"/>
      <c r="D49" s="175"/>
      <c r="E49" s="169"/>
      <c r="F49" s="174"/>
    </row>
    <row r="50" spans="1:6" ht="56.25" customHeight="1" x14ac:dyDescent="0.25">
      <c r="A50" s="169"/>
      <c r="B50" s="174"/>
      <c r="C50" s="169"/>
      <c r="D50" s="174"/>
      <c r="E50" s="169"/>
      <c r="F50" s="174"/>
    </row>
    <row r="51" spans="1:6" ht="59.25" customHeight="1" x14ac:dyDescent="0.25">
      <c r="A51" s="169"/>
      <c r="B51" s="174"/>
      <c r="C51" s="169"/>
      <c r="D51" s="174"/>
      <c r="E51" s="169"/>
      <c r="F51" s="174"/>
    </row>
    <row r="52" spans="1:6" ht="54.75" customHeight="1" x14ac:dyDescent="0.25">
      <c r="A52" s="169"/>
      <c r="B52" s="174"/>
      <c r="C52" s="169"/>
      <c r="D52" s="174"/>
      <c r="E52" s="169"/>
      <c r="F52" s="174"/>
    </row>
    <row r="53" spans="1:6" ht="55.5" customHeight="1" x14ac:dyDescent="0.25">
      <c r="A53" s="169"/>
      <c r="B53" s="174"/>
      <c r="C53" s="169"/>
      <c r="D53" s="174"/>
      <c r="E53" s="169"/>
      <c r="F53" s="174"/>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
  <sheetViews>
    <sheetView zoomScale="70" zoomScaleNormal="70" workbookViewId="0">
      <selection activeCell="B25" sqref="B25"/>
    </sheetView>
  </sheetViews>
  <sheetFormatPr baseColWidth="10" defaultColWidth="11.44140625" defaultRowHeight="14.4" x14ac:dyDescent="0.3"/>
  <cols>
    <col min="1" max="1" width="17.6640625" style="196" customWidth="1"/>
    <col min="2" max="2" width="40.44140625" style="197" customWidth="1"/>
    <col min="3" max="9" width="6.44140625" style="197" customWidth="1"/>
    <col min="10" max="10" width="5.44140625" style="197" customWidth="1"/>
    <col min="11" max="11" width="5.6640625" style="197" customWidth="1"/>
    <col min="12" max="12" width="5.33203125" style="197" customWidth="1"/>
    <col min="13" max="14" width="5.44140625" style="197" customWidth="1"/>
    <col min="15" max="15" width="5.6640625" style="197" customWidth="1"/>
    <col min="16" max="16" width="5.44140625" style="197" customWidth="1"/>
    <col min="17" max="17" width="5.5546875" style="197" customWidth="1"/>
    <col min="18" max="18" width="8.109375" style="197" customWidth="1"/>
    <col min="19" max="19" width="30.44140625" style="198" customWidth="1"/>
    <col min="20" max="20" width="21.5546875" customWidth="1"/>
    <col min="21" max="23" width="11.44140625" hidden="1" customWidth="1"/>
  </cols>
  <sheetData>
    <row r="1" spans="1:24" ht="24.75" customHeight="1" x14ac:dyDescent="0.3">
      <c r="A1" s="277"/>
      <c r="B1" s="262" t="s">
        <v>271</v>
      </c>
      <c r="C1" s="262"/>
      <c r="D1" s="262"/>
      <c r="E1" s="262"/>
      <c r="F1" s="262"/>
      <c r="G1" s="262"/>
      <c r="H1" s="262"/>
      <c r="I1" s="262"/>
      <c r="J1" s="262"/>
      <c r="K1" s="262"/>
      <c r="L1" s="262"/>
      <c r="M1" s="262"/>
      <c r="N1" s="262"/>
      <c r="O1" s="262"/>
      <c r="P1" s="262"/>
      <c r="Q1" s="262"/>
      <c r="R1" s="262"/>
      <c r="S1" s="208" t="s">
        <v>270</v>
      </c>
      <c r="T1" s="287"/>
      <c r="U1" s="288"/>
      <c r="V1" s="288"/>
      <c r="W1" s="289"/>
    </row>
    <row r="2" spans="1:24" ht="25.5" customHeight="1" x14ac:dyDescent="0.3">
      <c r="A2" s="277"/>
      <c r="B2" s="262"/>
      <c r="C2" s="262"/>
      <c r="D2" s="262"/>
      <c r="E2" s="262"/>
      <c r="F2" s="262"/>
      <c r="G2" s="262"/>
      <c r="H2" s="262"/>
      <c r="I2" s="262"/>
      <c r="J2" s="262"/>
      <c r="K2" s="262"/>
      <c r="L2" s="262"/>
      <c r="M2" s="262"/>
      <c r="N2" s="262"/>
      <c r="O2" s="262"/>
      <c r="P2" s="262"/>
      <c r="Q2" s="262"/>
      <c r="R2" s="262"/>
      <c r="S2" s="208" t="s">
        <v>267</v>
      </c>
      <c r="T2" s="290"/>
      <c r="U2" s="291"/>
      <c r="V2" s="291"/>
      <c r="W2" s="292"/>
    </row>
    <row r="3" spans="1:24" ht="19.5" customHeight="1" x14ac:dyDescent="0.3">
      <c r="A3" s="277"/>
      <c r="B3" s="262" t="s">
        <v>223</v>
      </c>
      <c r="C3" s="262"/>
      <c r="D3" s="262"/>
      <c r="E3" s="262"/>
      <c r="F3" s="262"/>
      <c r="G3" s="262"/>
      <c r="H3" s="262"/>
      <c r="I3" s="262"/>
      <c r="J3" s="262"/>
      <c r="K3" s="262"/>
      <c r="L3" s="262"/>
      <c r="M3" s="262"/>
      <c r="N3" s="262"/>
      <c r="O3" s="262"/>
      <c r="P3" s="262"/>
      <c r="Q3" s="262"/>
      <c r="R3" s="262"/>
      <c r="S3" s="208" t="s">
        <v>268</v>
      </c>
      <c r="T3" s="290"/>
      <c r="U3" s="291"/>
      <c r="V3" s="291"/>
      <c r="W3" s="292"/>
    </row>
    <row r="4" spans="1:24" ht="21" customHeight="1" x14ac:dyDescent="0.3">
      <c r="A4" s="277"/>
      <c r="B4" s="262"/>
      <c r="C4" s="262"/>
      <c r="D4" s="262"/>
      <c r="E4" s="262"/>
      <c r="F4" s="262"/>
      <c r="G4" s="262"/>
      <c r="H4" s="262"/>
      <c r="I4" s="262"/>
      <c r="J4" s="262"/>
      <c r="K4" s="262"/>
      <c r="L4" s="262"/>
      <c r="M4" s="262"/>
      <c r="N4" s="262"/>
      <c r="O4" s="262"/>
      <c r="P4" s="262"/>
      <c r="Q4" s="262"/>
      <c r="R4" s="262"/>
      <c r="S4" s="208" t="s">
        <v>269</v>
      </c>
      <c r="T4" s="293"/>
      <c r="U4" s="294"/>
      <c r="V4" s="294"/>
      <c r="W4" s="295"/>
    </row>
    <row r="5" spans="1:24" ht="15.75" customHeight="1" x14ac:dyDescent="0.3">
      <c r="A5" s="278"/>
      <c r="B5" s="278"/>
      <c r="C5" s="278"/>
      <c r="D5" s="278"/>
      <c r="E5" s="278"/>
      <c r="F5" s="278"/>
      <c r="G5" s="278"/>
      <c r="H5" s="278"/>
      <c r="I5" s="278"/>
      <c r="J5" s="278"/>
      <c r="K5" s="278"/>
      <c r="L5" s="278"/>
      <c r="M5" s="278"/>
      <c r="N5" s="278"/>
      <c r="O5" s="278"/>
      <c r="P5" s="278"/>
      <c r="Q5" s="278"/>
      <c r="R5" s="278"/>
      <c r="S5" s="278"/>
      <c r="T5" s="279"/>
      <c r="U5" s="170"/>
      <c r="V5" s="170"/>
      <c r="W5" s="176"/>
    </row>
    <row r="6" spans="1:24" s="151" customFormat="1" ht="27" customHeight="1" x14ac:dyDescent="0.25">
      <c r="A6" s="280" t="s">
        <v>297</v>
      </c>
      <c r="B6" s="280"/>
      <c r="C6" s="280"/>
      <c r="D6" s="280"/>
      <c r="E6" s="280"/>
      <c r="F6" s="280"/>
      <c r="G6" s="280"/>
      <c r="H6" s="280"/>
      <c r="I6" s="280"/>
      <c r="J6" s="280"/>
      <c r="K6" s="280"/>
      <c r="L6" s="280"/>
      <c r="M6" s="280"/>
      <c r="N6" s="280"/>
      <c r="O6" s="280"/>
      <c r="P6" s="280"/>
      <c r="Q6" s="280"/>
      <c r="R6" s="280"/>
      <c r="S6" s="280"/>
      <c r="T6" s="280"/>
      <c r="W6" s="177"/>
    </row>
    <row r="7" spans="1:24" s="151" customFormat="1" ht="81" customHeight="1" thickBot="1" x14ac:dyDescent="0.3">
      <c r="A7" s="281" t="s">
        <v>273</v>
      </c>
      <c r="B7" s="281"/>
      <c r="C7" s="281"/>
      <c r="D7" s="281"/>
      <c r="E7" s="281"/>
      <c r="F7" s="281"/>
      <c r="G7" s="281"/>
      <c r="H7" s="281"/>
      <c r="I7" s="281"/>
      <c r="J7" s="281"/>
      <c r="K7" s="281"/>
      <c r="L7" s="281"/>
      <c r="M7" s="281"/>
      <c r="N7" s="281"/>
      <c r="O7" s="281"/>
      <c r="P7" s="281"/>
      <c r="Q7" s="281"/>
      <c r="R7" s="281"/>
      <c r="S7" s="281"/>
      <c r="T7" s="281"/>
      <c r="U7" s="178"/>
      <c r="V7" s="178"/>
      <c r="W7" s="179"/>
    </row>
    <row r="8" spans="1:24" s="151" customFormat="1" ht="26.25" customHeight="1" thickBot="1" x14ac:dyDescent="0.3">
      <c r="A8" s="180"/>
      <c r="B8" s="180"/>
      <c r="C8" s="180"/>
      <c r="D8" s="180"/>
      <c r="E8" s="180"/>
      <c r="F8" s="180"/>
      <c r="G8" s="180"/>
      <c r="H8" s="180"/>
      <c r="I8" s="180"/>
      <c r="J8" s="180"/>
      <c r="K8" s="180"/>
      <c r="L8" s="180"/>
      <c r="M8" s="180"/>
      <c r="N8" s="180"/>
      <c r="O8" s="180"/>
      <c r="P8" s="180"/>
      <c r="Q8" s="180"/>
      <c r="R8" s="180"/>
      <c r="S8" s="180"/>
      <c r="T8" s="181"/>
      <c r="X8" s="182"/>
    </row>
    <row r="9" spans="1:24" s="151" customFormat="1" ht="39.75" customHeight="1" thickBot="1" x14ac:dyDescent="0.3">
      <c r="A9" s="282"/>
      <c r="B9" s="282"/>
      <c r="C9" s="282" t="b">
        <v>0</v>
      </c>
      <c r="D9" s="282"/>
      <c r="E9" s="282"/>
      <c r="F9" s="282"/>
      <c r="G9" s="282"/>
      <c r="H9" s="282"/>
      <c r="I9" s="282"/>
      <c r="J9" s="282"/>
      <c r="K9" s="282"/>
      <c r="L9" s="282"/>
      <c r="M9" s="282"/>
      <c r="N9" s="282"/>
      <c r="O9" s="282"/>
      <c r="P9" s="282"/>
      <c r="Q9" s="282"/>
      <c r="R9" s="282"/>
      <c r="S9" s="282"/>
      <c r="T9" s="283"/>
    </row>
    <row r="10" spans="1:24" s="188" customFormat="1" ht="37.5" customHeight="1" thickBot="1" x14ac:dyDescent="0.35">
      <c r="A10" s="183" t="s">
        <v>224</v>
      </c>
      <c r="B10" s="184" t="s">
        <v>225</v>
      </c>
      <c r="C10" s="184" t="s">
        <v>226</v>
      </c>
      <c r="D10" s="184" t="s">
        <v>227</v>
      </c>
      <c r="E10" s="184" t="s">
        <v>228</v>
      </c>
      <c r="F10" s="184" t="s">
        <v>229</v>
      </c>
      <c r="G10" s="184" t="s">
        <v>230</v>
      </c>
      <c r="H10" s="184" t="s">
        <v>231</v>
      </c>
      <c r="I10" s="184" t="s">
        <v>232</v>
      </c>
      <c r="J10" s="184" t="s">
        <v>233</v>
      </c>
      <c r="K10" s="184" t="s">
        <v>234</v>
      </c>
      <c r="L10" s="184" t="s">
        <v>235</v>
      </c>
      <c r="M10" s="184" t="s">
        <v>236</v>
      </c>
      <c r="N10" s="184" t="s">
        <v>237</v>
      </c>
      <c r="O10" s="184" t="s">
        <v>238</v>
      </c>
      <c r="P10" s="184" t="s">
        <v>239</v>
      </c>
      <c r="Q10" s="184" t="s">
        <v>240</v>
      </c>
      <c r="R10" s="185" t="s">
        <v>241</v>
      </c>
      <c r="S10" s="186" t="s">
        <v>242</v>
      </c>
      <c r="T10" s="187" t="s">
        <v>243</v>
      </c>
    </row>
    <row r="11" spans="1:24" ht="39.75" customHeight="1" x14ac:dyDescent="0.3">
      <c r="A11" s="209">
        <v>1</v>
      </c>
      <c r="B11" s="159" t="s">
        <v>275</v>
      </c>
      <c r="C11" s="190">
        <v>4</v>
      </c>
      <c r="D11" s="190">
        <v>2</v>
      </c>
      <c r="E11" s="190">
        <v>2</v>
      </c>
      <c r="F11" s="190">
        <v>2</v>
      </c>
      <c r="G11" s="190">
        <v>2</v>
      </c>
      <c r="H11" s="190">
        <v>3</v>
      </c>
      <c r="I11" s="190">
        <v>2</v>
      </c>
      <c r="J11" s="190">
        <v>1</v>
      </c>
      <c r="K11" s="190">
        <v>3</v>
      </c>
      <c r="L11" s="190">
        <v>3</v>
      </c>
      <c r="M11" s="190">
        <v>2</v>
      </c>
      <c r="N11" s="190"/>
      <c r="O11" s="190"/>
      <c r="P11" s="190"/>
      <c r="Q11" s="190"/>
      <c r="R11" s="189">
        <f>SUM(C11:Q11)</f>
        <v>26</v>
      </c>
      <c r="S11" s="191">
        <f>+AVERAGE(C11:M11)</f>
        <v>2.3636363636363638</v>
      </c>
      <c r="T11" s="192"/>
    </row>
    <row r="12" spans="1:24" ht="45.75" customHeight="1" x14ac:dyDescent="0.3">
      <c r="A12" s="209">
        <v>2</v>
      </c>
      <c r="B12" s="159" t="s">
        <v>276</v>
      </c>
      <c r="C12" s="190">
        <v>4</v>
      </c>
      <c r="D12" s="190">
        <v>2</v>
      </c>
      <c r="E12" s="190">
        <v>4</v>
      </c>
      <c r="F12" s="190">
        <v>3</v>
      </c>
      <c r="G12" s="190">
        <v>5</v>
      </c>
      <c r="H12" s="190">
        <v>4</v>
      </c>
      <c r="I12" s="190">
        <v>5</v>
      </c>
      <c r="J12" s="190">
        <v>5</v>
      </c>
      <c r="K12" s="190">
        <v>4</v>
      </c>
      <c r="L12" s="190">
        <v>3</v>
      </c>
      <c r="M12" s="190">
        <v>5</v>
      </c>
      <c r="N12" s="190"/>
      <c r="O12" s="190"/>
      <c r="P12" s="190"/>
      <c r="Q12" s="190"/>
      <c r="R12" s="189">
        <f t="shared" ref="R12:R26" si="0">SUM(C12:Q12)</f>
        <v>44</v>
      </c>
      <c r="S12" s="191">
        <f t="shared" ref="S12:S21" si="1">+AVERAGE(C12:M12)</f>
        <v>4</v>
      </c>
      <c r="T12" s="202"/>
    </row>
    <row r="13" spans="1:24" ht="65.25" customHeight="1" x14ac:dyDescent="0.3">
      <c r="A13" s="209">
        <v>3</v>
      </c>
      <c r="B13" s="159" t="s">
        <v>278</v>
      </c>
      <c r="C13" s="190">
        <v>2</v>
      </c>
      <c r="D13" s="190">
        <v>5</v>
      </c>
      <c r="E13" s="190">
        <v>3</v>
      </c>
      <c r="F13" s="190">
        <v>5</v>
      </c>
      <c r="G13" s="190">
        <v>3</v>
      </c>
      <c r="H13" s="190">
        <v>2</v>
      </c>
      <c r="I13" s="190">
        <v>4</v>
      </c>
      <c r="J13" s="190">
        <v>2</v>
      </c>
      <c r="K13" s="190">
        <v>4</v>
      </c>
      <c r="L13" s="190">
        <v>2</v>
      </c>
      <c r="M13" s="190">
        <v>5</v>
      </c>
      <c r="N13" s="190"/>
      <c r="O13" s="190"/>
      <c r="P13" s="190"/>
      <c r="Q13" s="190"/>
      <c r="R13" s="189">
        <f t="shared" si="0"/>
        <v>37</v>
      </c>
      <c r="S13" s="191">
        <f t="shared" si="1"/>
        <v>3.3636363636363638</v>
      </c>
      <c r="T13" s="193"/>
    </row>
    <row r="14" spans="1:24" ht="39.75" customHeight="1" x14ac:dyDescent="0.3">
      <c r="A14" s="209">
        <v>4</v>
      </c>
      <c r="B14" s="159" t="s">
        <v>279</v>
      </c>
      <c r="C14" s="190">
        <v>2</v>
      </c>
      <c r="D14" s="190">
        <v>5</v>
      </c>
      <c r="E14" s="190">
        <v>2</v>
      </c>
      <c r="F14" s="190">
        <v>4</v>
      </c>
      <c r="G14" s="190">
        <v>4</v>
      </c>
      <c r="H14" s="190">
        <v>4</v>
      </c>
      <c r="I14" s="190">
        <v>2</v>
      </c>
      <c r="J14" s="190">
        <v>1</v>
      </c>
      <c r="K14" s="190">
        <v>4</v>
      </c>
      <c r="L14" s="190">
        <v>3</v>
      </c>
      <c r="M14" s="190">
        <v>4</v>
      </c>
      <c r="N14" s="190"/>
      <c r="O14" s="190"/>
      <c r="P14" s="190"/>
      <c r="Q14" s="190"/>
      <c r="R14" s="189">
        <f t="shared" si="0"/>
        <v>35</v>
      </c>
      <c r="S14" s="191">
        <f t="shared" si="1"/>
        <v>3.1818181818181817</v>
      </c>
      <c r="T14" s="193"/>
    </row>
    <row r="15" spans="1:24" ht="39.75" customHeight="1" x14ac:dyDescent="0.3">
      <c r="A15" s="210">
        <v>5</v>
      </c>
      <c r="B15" s="159" t="s">
        <v>283</v>
      </c>
      <c r="C15" s="190">
        <v>5</v>
      </c>
      <c r="D15" s="190">
        <v>1</v>
      </c>
      <c r="E15" s="190">
        <v>4</v>
      </c>
      <c r="F15" s="190">
        <v>5</v>
      </c>
      <c r="G15" s="190">
        <v>5</v>
      </c>
      <c r="H15" s="190">
        <v>5</v>
      </c>
      <c r="I15" s="190">
        <v>3</v>
      </c>
      <c r="J15" s="190">
        <v>4</v>
      </c>
      <c r="K15" s="190">
        <v>5</v>
      </c>
      <c r="L15" s="190">
        <v>5</v>
      </c>
      <c r="M15" s="190">
        <v>3</v>
      </c>
      <c r="N15" s="190"/>
      <c r="O15" s="190"/>
      <c r="P15" s="190"/>
      <c r="Q15" s="190"/>
      <c r="R15" s="189">
        <f t="shared" si="0"/>
        <v>45</v>
      </c>
      <c r="S15" s="191">
        <f t="shared" si="1"/>
        <v>4.0909090909090908</v>
      </c>
      <c r="T15" s="201"/>
    </row>
    <row r="16" spans="1:24" ht="39.75" customHeight="1" x14ac:dyDescent="0.3">
      <c r="A16" s="210">
        <v>6</v>
      </c>
      <c r="B16" s="159" t="s">
        <v>284</v>
      </c>
      <c r="C16" s="190">
        <v>5</v>
      </c>
      <c r="D16" s="190">
        <v>1</v>
      </c>
      <c r="E16" s="190">
        <v>4</v>
      </c>
      <c r="F16" s="190">
        <v>5</v>
      </c>
      <c r="G16" s="190">
        <v>4</v>
      </c>
      <c r="H16" s="190">
        <v>4</v>
      </c>
      <c r="I16" s="190">
        <v>3</v>
      </c>
      <c r="J16" s="190">
        <v>1</v>
      </c>
      <c r="K16" s="190">
        <v>4</v>
      </c>
      <c r="L16" s="190">
        <v>5</v>
      </c>
      <c r="M16" s="190">
        <v>5</v>
      </c>
      <c r="N16" s="190"/>
      <c r="O16" s="190"/>
      <c r="P16" s="190"/>
      <c r="Q16" s="190"/>
      <c r="R16" s="189">
        <f t="shared" si="0"/>
        <v>41</v>
      </c>
      <c r="S16" s="191">
        <f t="shared" si="1"/>
        <v>3.7272727272727271</v>
      </c>
      <c r="T16" s="193"/>
    </row>
    <row r="17" spans="1:20" ht="39.75" customHeight="1" x14ac:dyDescent="0.3">
      <c r="A17" s="210">
        <v>7</v>
      </c>
      <c r="B17" s="159" t="s">
        <v>285</v>
      </c>
      <c r="C17" s="190">
        <v>4</v>
      </c>
      <c r="D17" s="190">
        <v>1</v>
      </c>
      <c r="E17" s="190">
        <v>4</v>
      </c>
      <c r="F17" s="190">
        <v>5</v>
      </c>
      <c r="G17" s="190">
        <v>5</v>
      </c>
      <c r="H17" s="190">
        <v>4</v>
      </c>
      <c r="I17" s="190">
        <v>3</v>
      </c>
      <c r="J17" s="190">
        <v>1</v>
      </c>
      <c r="K17" s="190">
        <v>4</v>
      </c>
      <c r="L17" s="190">
        <v>3</v>
      </c>
      <c r="M17" s="190">
        <v>5</v>
      </c>
      <c r="N17" s="190"/>
      <c r="O17" s="190"/>
      <c r="P17" s="190"/>
      <c r="Q17" s="190"/>
      <c r="R17" s="189">
        <f t="shared" si="0"/>
        <v>39</v>
      </c>
      <c r="S17" s="191">
        <f t="shared" si="1"/>
        <v>3.5454545454545454</v>
      </c>
      <c r="T17" s="193"/>
    </row>
    <row r="18" spans="1:20" ht="46.5" customHeight="1" x14ac:dyDescent="0.3">
      <c r="A18" s="210">
        <v>8</v>
      </c>
      <c r="B18" s="159" t="s">
        <v>286</v>
      </c>
      <c r="C18" s="190">
        <v>3</v>
      </c>
      <c r="D18" s="190">
        <v>1</v>
      </c>
      <c r="E18" s="190">
        <v>2</v>
      </c>
      <c r="F18" s="190">
        <v>5</v>
      </c>
      <c r="G18" s="190">
        <v>4</v>
      </c>
      <c r="H18" s="190">
        <v>5</v>
      </c>
      <c r="I18" s="190">
        <v>2</v>
      </c>
      <c r="J18" s="190">
        <v>5</v>
      </c>
      <c r="K18" s="190">
        <v>4</v>
      </c>
      <c r="L18" s="190">
        <v>4</v>
      </c>
      <c r="M18" s="190">
        <v>4</v>
      </c>
      <c r="N18" s="190"/>
      <c r="O18" s="190"/>
      <c r="P18" s="190"/>
      <c r="Q18" s="190"/>
      <c r="R18" s="189">
        <f t="shared" si="0"/>
        <v>39</v>
      </c>
      <c r="S18" s="191">
        <f t="shared" si="1"/>
        <v>3.5454545454545454</v>
      </c>
      <c r="T18" s="193"/>
    </row>
    <row r="19" spans="1:20" ht="60.75" customHeight="1" x14ac:dyDescent="0.3">
      <c r="A19" s="210">
        <v>9</v>
      </c>
      <c r="B19" s="159" t="s">
        <v>323</v>
      </c>
      <c r="C19" s="190">
        <v>5</v>
      </c>
      <c r="D19" s="190">
        <v>1</v>
      </c>
      <c r="E19" s="190">
        <v>3</v>
      </c>
      <c r="F19" s="190">
        <v>5</v>
      </c>
      <c r="G19" s="190">
        <v>5</v>
      </c>
      <c r="H19" s="190">
        <v>5</v>
      </c>
      <c r="I19" s="190">
        <v>3</v>
      </c>
      <c r="J19" s="190">
        <v>4</v>
      </c>
      <c r="K19" s="190">
        <v>3</v>
      </c>
      <c r="L19" s="190">
        <v>3</v>
      </c>
      <c r="M19" s="190">
        <v>4</v>
      </c>
      <c r="N19" s="190"/>
      <c r="O19" s="190"/>
      <c r="P19" s="190"/>
      <c r="Q19" s="190"/>
      <c r="R19" s="189">
        <f t="shared" si="0"/>
        <v>41</v>
      </c>
      <c r="S19" s="191">
        <f t="shared" si="1"/>
        <v>3.7272727272727271</v>
      </c>
      <c r="T19" s="193"/>
    </row>
    <row r="20" spans="1:20" ht="39.75" customHeight="1" x14ac:dyDescent="0.3">
      <c r="A20" s="210">
        <v>10</v>
      </c>
      <c r="B20" s="159" t="s">
        <v>295</v>
      </c>
      <c r="C20" s="190">
        <v>4</v>
      </c>
      <c r="D20" s="190">
        <v>2</v>
      </c>
      <c r="E20" s="190">
        <v>4</v>
      </c>
      <c r="F20" s="190">
        <v>5</v>
      </c>
      <c r="G20" s="190">
        <v>4</v>
      </c>
      <c r="H20" s="190">
        <v>4</v>
      </c>
      <c r="I20" s="190">
        <v>5</v>
      </c>
      <c r="J20" s="190">
        <v>1</v>
      </c>
      <c r="K20" s="190">
        <v>4</v>
      </c>
      <c r="L20" s="190">
        <v>4</v>
      </c>
      <c r="M20" s="190">
        <v>4</v>
      </c>
      <c r="N20" s="190"/>
      <c r="O20" s="190"/>
      <c r="P20" s="190"/>
      <c r="Q20" s="190"/>
      <c r="R20" s="189">
        <f t="shared" si="0"/>
        <v>41</v>
      </c>
      <c r="S20" s="191">
        <f t="shared" si="1"/>
        <v>3.7272727272727271</v>
      </c>
      <c r="T20" s="193"/>
    </row>
    <row r="21" spans="1:20" ht="39.75" customHeight="1" x14ac:dyDescent="0.3">
      <c r="A21" s="210">
        <v>11</v>
      </c>
      <c r="B21" s="159" t="s">
        <v>361</v>
      </c>
      <c r="C21" s="190">
        <v>4</v>
      </c>
      <c r="D21" s="190">
        <v>4</v>
      </c>
      <c r="E21" s="190">
        <v>4</v>
      </c>
      <c r="F21" s="190">
        <v>4</v>
      </c>
      <c r="G21" s="190">
        <v>5</v>
      </c>
      <c r="H21" s="190">
        <v>4</v>
      </c>
      <c r="I21" s="190">
        <v>3</v>
      </c>
      <c r="J21" s="190">
        <v>5</v>
      </c>
      <c r="K21" s="190">
        <v>4</v>
      </c>
      <c r="L21" s="190">
        <v>3</v>
      </c>
      <c r="M21" s="190">
        <v>4</v>
      </c>
      <c r="N21" s="190"/>
      <c r="O21" s="190"/>
      <c r="P21" s="190"/>
      <c r="Q21" s="190"/>
      <c r="R21" s="189">
        <f t="shared" si="0"/>
        <v>44</v>
      </c>
      <c r="S21" s="191">
        <f t="shared" si="1"/>
        <v>4</v>
      </c>
      <c r="T21" s="201"/>
    </row>
    <row r="22" spans="1:20" ht="45.75" customHeight="1" x14ac:dyDescent="0.3">
      <c r="A22" s="210">
        <v>12</v>
      </c>
      <c r="B22" s="159" t="s">
        <v>289</v>
      </c>
      <c r="C22" s="190">
        <v>4</v>
      </c>
      <c r="D22" s="190">
        <v>1</v>
      </c>
      <c r="E22" s="190">
        <v>2</v>
      </c>
      <c r="F22" s="190">
        <v>4</v>
      </c>
      <c r="G22" s="190">
        <v>5</v>
      </c>
      <c r="H22" s="190">
        <v>4</v>
      </c>
      <c r="I22" s="190">
        <v>3</v>
      </c>
      <c r="J22" s="190">
        <v>1</v>
      </c>
      <c r="K22" s="190">
        <v>2</v>
      </c>
      <c r="L22" s="190">
        <v>2</v>
      </c>
      <c r="M22" s="190">
        <v>4</v>
      </c>
      <c r="N22" s="190"/>
      <c r="O22" s="190"/>
      <c r="P22" s="190"/>
      <c r="Q22" s="190"/>
      <c r="R22" s="189">
        <f t="shared" si="0"/>
        <v>32</v>
      </c>
      <c r="S22" s="191">
        <f t="shared" ref="S22:S26" si="2">+AVERAGE(C22:M22)</f>
        <v>2.9090909090909092</v>
      </c>
      <c r="T22" s="193"/>
    </row>
    <row r="23" spans="1:20" ht="49.5" customHeight="1" x14ac:dyDescent="0.3">
      <c r="A23" s="210">
        <v>13</v>
      </c>
      <c r="B23" s="203" t="s">
        <v>290</v>
      </c>
      <c r="C23" s="190">
        <v>5</v>
      </c>
      <c r="D23" s="190">
        <v>3</v>
      </c>
      <c r="E23" s="190">
        <v>3</v>
      </c>
      <c r="F23" s="190">
        <v>5</v>
      </c>
      <c r="G23" s="190">
        <v>5</v>
      </c>
      <c r="H23" s="190">
        <v>5</v>
      </c>
      <c r="I23" s="190">
        <v>3</v>
      </c>
      <c r="J23" s="190">
        <v>1</v>
      </c>
      <c r="K23" s="190">
        <v>3</v>
      </c>
      <c r="L23" s="190">
        <v>2</v>
      </c>
      <c r="M23" s="190">
        <v>5</v>
      </c>
      <c r="N23" s="190"/>
      <c r="O23" s="190"/>
      <c r="P23" s="190"/>
      <c r="Q23" s="190"/>
      <c r="R23" s="189">
        <f t="shared" si="0"/>
        <v>40</v>
      </c>
      <c r="S23" s="191">
        <f t="shared" si="2"/>
        <v>3.6363636363636362</v>
      </c>
      <c r="T23" s="193"/>
    </row>
    <row r="24" spans="1:20" ht="49.2" customHeight="1" x14ac:dyDescent="0.3">
      <c r="A24" s="214">
        <v>14</v>
      </c>
      <c r="B24" s="161" t="s">
        <v>293</v>
      </c>
      <c r="C24" s="200">
        <v>3</v>
      </c>
      <c r="D24" s="190">
        <v>5</v>
      </c>
      <c r="E24" s="190">
        <v>3</v>
      </c>
      <c r="F24" s="190">
        <v>2</v>
      </c>
      <c r="G24" s="190">
        <v>5</v>
      </c>
      <c r="H24" s="190">
        <v>3</v>
      </c>
      <c r="I24" s="190">
        <v>3</v>
      </c>
      <c r="J24" s="190">
        <v>3</v>
      </c>
      <c r="K24" s="190">
        <v>4</v>
      </c>
      <c r="L24" s="190">
        <v>4</v>
      </c>
      <c r="M24" s="190">
        <v>3</v>
      </c>
      <c r="N24" s="190"/>
      <c r="O24" s="190"/>
      <c r="P24" s="190"/>
      <c r="Q24" s="190"/>
      <c r="R24" s="189">
        <f t="shared" si="0"/>
        <v>38</v>
      </c>
      <c r="S24" s="191">
        <f t="shared" si="2"/>
        <v>3.4545454545454546</v>
      </c>
      <c r="T24" s="206"/>
    </row>
    <row r="25" spans="1:20" ht="39.75" customHeight="1" x14ac:dyDescent="0.3">
      <c r="A25" s="214">
        <v>15</v>
      </c>
      <c r="B25" s="161" t="s">
        <v>296</v>
      </c>
      <c r="C25" s="200">
        <v>4</v>
      </c>
      <c r="D25" s="190">
        <v>5</v>
      </c>
      <c r="E25" s="190">
        <v>4</v>
      </c>
      <c r="F25" s="190">
        <v>5</v>
      </c>
      <c r="G25" s="190">
        <v>5</v>
      </c>
      <c r="H25" s="190">
        <v>4</v>
      </c>
      <c r="I25" s="190">
        <v>4</v>
      </c>
      <c r="J25" s="190">
        <v>2</v>
      </c>
      <c r="K25" s="190">
        <v>4</v>
      </c>
      <c r="L25" s="190">
        <v>4</v>
      </c>
      <c r="M25" s="190">
        <v>4</v>
      </c>
      <c r="N25" s="190"/>
      <c r="O25" s="190"/>
      <c r="P25" s="190"/>
      <c r="Q25" s="190"/>
      <c r="R25" s="189">
        <f t="shared" si="0"/>
        <v>45</v>
      </c>
      <c r="S25" s="191">
        <f t="shared" si="2"/>
        <v>4.0909090909090908</v>
      </c>
      <c r="T25" s="201"/>
    </row>
    <row r="26" spans="1:20" ht="44.25" customHeight="1" thickBot="1" x14ac:dyDescent="0.35">
      <c r="A26" s="214">
        <v>16</v>
      </c>
      <c r="B26" s="161" t="s">
        <v>294</v>
      </c>
      <c r="C26" s="200">
        <v>4</v>
      </c>
      <c r="D26" s="190">
        <v>5</v>
      </c>
      <c r="E26" s="190">
        <v>4</v>
      </c>
      <c r="F26" s="190">
        <v>5</v>
      </c>
      <c r="G26" s="190">
        <v>5</v>
      </c>
      <c r="H26" s="190">
        <v>5</v>
      </c>
      <c r="I26" s="190">
        <v>2</v>
      </c>
      <c r="J26" s="190">
        <v>2</v>
      </c>
      <c r="K26" s="190">
        <v>5</v>
      </c>
      <c r="L26" s="190">
        <v>3</v>
      </c>
      <c r="M26" s="190">
        <v>5</v>
      </c>
      <c r="N26" s="190"/>
      <c r="O26" s="190"/>
      <c r="P26" s="190"/>
      <c r="Q26" s="190"/>
      <c r="R26" s="189">
        <f t="shared" si="0"/>
        <v>45</v>
      </c>
      <c r="S26" s="191">
        <f t="shared" si="2"/>
        <v>4.0909090909090908</v>
      </c>
      <c r="T26" s="201"/>
    </row>
    <row r="27" spans="1:20" ht="24" customHeight="1" x14ac:dyDescent="0.3">
      <c r="A27" s="284" t="s">
        <v>244</v>
      </c>
      <c r="B27" s="285"/>
      <c r="C27" s="285"/>
      <c r="D27" s="285"/>
      <c r="E27" s="285"/>
      <c r="F27" s="285"/>
      <c r="G27" s="285"/>
      <c r="H27" s="285"/>
      <c r="I27" s="285"/>
      <c r="J27" s="285"/>
      <c r="K27" s="285"/>
      <c r="L27" s="285"/>
      <c r="M27" s="285"/>
      <c r="N27" s="285"/>
      <c r="O27" s="285"/>
      <c r="P27" s="285"/>
      <c r="Q27" s="285"/>
      <c r="R27" s="286"/>
      <c r="S27" s="194">
        <f>SUM(S11:S26)</f>
        <v>57.454545454545453</v>
      </c>
    </row>
    <row r="28" spans="1:20" ht="28.5" customHeight="1" thickBot="1" x14ac:dyDescent="0.35">
      <c r="A28" s="275" t="s">
        <v>242</v>
      </c>
      <c r="B28" s="276"/>
      <c r="C28" s="276"/>
      <c r="D28" s="276"/>
      <c r="E28" s="276"/>
      <c r="F28" s="276"/>
      <c r="G28" s="276"/>
      <c r="H28" s="276"/>
      <c r="I28" s="276"/>
      <c r="J28" s="276"/>
      <c r="K28" s="276"/>
      <c r="L28" s="276"/>
      <c r="M28" s="276"/>
      <c r="N28" s="276"/>
      <c r="O28" s="276"/>
      <c r="P28" s="276"/>
      <c r="Q28" s="276"/>
      <c r="R28" s="276"/>
      <c r="S28" s="195">
        <f>S27/A26</f>
        <v>3.5909090909090908</v>
      </c>
    </row>
  </sheetData>
  <mergeCells count="10">
    <mergeCell ref="B3:R4"/>
    <mergeCell ref="A28:R28"/>
    <mergeCell ref="A1:A4"/>
    <mergeCell ref="A5:T5"/>
    <mergeCell ref="A6:T6"/>
    <mergeCell ref="A7:T7"/>
    <mergeCell ref="A9:T9"/>
    <mergeCell ref="A27:R27"/>
    <mergeCell ref="T1:W4"/>
    <mergeCell ref="B1:R2"/>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26" xr:uid="{00000000-0002-0000-03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2"/>
  <sheetViews>
    <sheetView zoomScale="70" zoomScaleNormal="70" workbookViewId="0">
      <selection activeCell="C44" sqref="C44:D44"/>
    </sheetView>
  </sheetViews>
  <sheetFormatPr baseColWidth="10" defaultColWidth="11.44140625" defaultRowHeight="13.8" x14ac:dyDescent="0.25"/>
  <cols>
    <col min="1" max="1" width="14.109375" style="151" customWidth="1"/>
    <col min="2" max="2" width="11.44140625" style="151" customWidth="1"/>
    <col min="3" max="3" width="32.6640625" style="151" customWidth="1"/>
    <col min="4" max="4" width="12.109375" style="151" customWidth="1"/>
    <col min="5" max="5" width="38" style="151" customWidth="1"/>
    <col min="6" max="6" width="30.33203125" style="151" customWidth="1"/>
    <col min="7" max="7" width="18.33203125" style="151" customWidth="1"/>
    <col min="8" max="8" width="15.5546875" style="151" customWidth="1"/>
    <col min="9" max="9" width="19.33203125" style="151" customWidth="1"/>
    <col min="10" max="10" width="14.5546875" style="151" customWidth="1"/>
    <col min="11" max="16384" width="11.44140625" style="151"/>
  </cols>
  <sheetData>
    <row r="1" spans="1:14" ht="15" customHeight="1" x14ac:dyDescent="0.25">
      <c r="A1" s="262"/>
      <c r="B1" s="262"/>
      <c r="C1" s="262" t="s">
        <v>271</v>
      </c>
      <c r="D1" s="262"/>
      <c r="E1" s="262"/>
      <c r="F1" s="262"/>
      <c r="G1" s="262"/>
      <c r="H1" s="353" t="s">
        <v>259</v>
      </c>
      <c r="I1" s="354"/>
      <c r="J1" s="355"/>
      <c r="K1" s="150"/>
      <c r="N1" s="265"/>
    </row>
    <row r="2" spans="1:14" ht="15" customHeight="1" x14ac:dyDescent="0.25">
      <c r="A2" s="262"/>
      <c r="B2" s="262"/>
      <c r="C2" s="262"/>
      <c r="D2" s="262"/>
      <c r="E2" s="262"/>
      <c r="F2" s="262"/>
      <c r="G2" s="262"/>
      <c r="H2" s="358" t="s">
        <v>257</v>
      </c>
      <c r="I2" s="359"/>
      <c r="J2" s="356"/>
      <c r="K2" s="150"/>
      <c r="N2" s="265"/>
    </row>
    <row r="3" spans="1:14" ht="15" customHeight="1" x14ac:dyDescent="0.25">
      <c r="A3" s="262"/>
      <c r="B3" s="262"/>
      <c r="C3" s="262" t="s">
        <v>261</v>
      </c>
      <c r="D3" s="262"/>
      <c r="E3" s="262"/>
      <c r="F3" s="262"/>
      <c r="G3" s="262"/>
      <c r="H3" s="358" t="s">
        <v>260</v>
      </c>
      <c r="I3" s="359"/>
      <c r="J3" s="356"/>
      <c r="K3" s="150"/>
      <c r="N3" s="265"/>
    </row>
    <row r="4" spans="1:14" ht="15.75" customHeight="1" x14ac:dyDescent="0.25">
      <c r="A4" s="262"/>
      <c r="B4" s="262"/>
      <c r="C4" s="262"/>
      <c r="D4" s="262"/>
      <c r="E4" s="262"/>
      <c r="F4" s="262"/>
      <c r="G4" s="262"/>
      <c r="H4" s="358" t="s">
        <v>258</v>
      </c>
      <c r="I4" s="359"/>
      <c r="J4" s="357"/>
      <c r="K4" s="150"/>
      <c r="N4" s="265"/>
    </row>
    <row r="5" spans="1:14" ht="15.75" customHeight="1" x14ac:dyDescent="0.25">
      <c r="A5" s="360"/>
      <c r="B5" s="361"/>
      <c r="C5" s="361"/>
      <c r="D5" s="361"/>
      <c r="E5" s="361"/>
      <c r="F5" s="361"/>
      <c r="G5" s="361"/>
      <c r="H5" s="361"/>
      <c r="I5" s="361"/>
      <c r="J5" s="362"/>
      <c r="K5" s="150"/>
      <c r="N5" s="152"/>
    </row>
    <row r="6" spans="1:14" ht="15" customHeight="1" x14ac:dyDescent="0.25">
      <c r="A6" s="338" t="s">
        <v>297</v>
      </c>
      <c r="B6" s="339"/>
      <c r="C6" s="339"/>
      <c r="D6" s="339"/>
      <c r="E6" s="339"/>
      <c r="F6" s="339"/>
      <c r="G6" s="339"/>
      <c r="H6" s="339"/>
      <c r="I6" s="339"/>
      <c r="J6" s="340"/>
    </row>
    <row r="7" spans="1:14" ht="32.25" customHeight="1" thickBot="1" x14ac:dyDescent="0.3">
      <c r="A7" s="341"/>
      <c r="B7" s="342"/>
      <c r="C7" s="342"/>
      <c r="D7" s="342"/>
      <c r="E7" s="342"/>
      <c r="F7" s="342"/>
      <c r="G7" s="342"/>
      <c r="H7" s="342"/>
      <c r="I7" s="342"/>
      <c r="J7" s="343"/>
    </row>
    <row r="8" spans="1:14" ht="23.25" customHeight="1" x14ac:dyDescent="0.25">
      <c r="A8" s="344" t="s">
        <v>245</v>
      </c>
      <c r="B8" s="344"/>
      <c r="C8" s="344"/>
      <c r="D8" s="344"/>
      <c r="E8" s="330" t="s">
        <v>218</v>
      </c>
      <c r="F8" s="345"/>
      <c r="G8" s="345"/>
      <c r="H8" s="345"/>
      <c r="I8" s="345"/>
      <c r="J8" s="346"/>
    </row>
    <row r="9" spans="1:14" ht="23.25" customHeight="1" x14ac:dyDescent="0.25">
      <c r="A9" s="344"/>
      <c r="B9" s="344"/>
      <c r="C9" s="344"/>
      <c r="D9" s="344"/>
      <c r="E9" s="329" t="s">
        <v>246</v>
      </c>
      <c r="F9" s="329"/>
      <c r="G9" s="329" t="s">
        <v>247</v>
      </c>
      <c r="H9" s="329"/>
      <c r="I9" s="329"/>
      <c r="J9" s="329"/>
    </row>
    <row r="10" spans="1:14" ht="23.25" customHeight="1" x14ac:dyDescent="0.3">
      <c r="A10" s="344"/>
      <c r="B10" s="344"/>
      <c r="C10" s="344"/>
      <c r="D10" s="344"/>
      <c r="E10" s="309" t="s">
        <v>248</v>
      </c>
      <c r="F10" s="309"/>
      <c r="G10" s="347" t="s">
        <v>249</v>
      </c>
      <c r="H10" s="348"/>
      <c r="I10" s="348"/>
      <c r="J10" s="349"/>
    </row>
    <row r="11" spans="1:14" ht="43.5" customHeight="1" x14ac:dyDescent="0.25">
      <c r="A11" s="344"/>
      <c r="B11" s="344"/>
      <c r="C11" s="344"/>
      <c r="D11" s="344"/>
      <c r="E11" s="335" t="s">
        <v>298</v>
      </c>
      <c r="F11" s="335"/>
      <c r="G11" s="320" t="s">
        <v>324</v>
      </c>
      <c r="H11" s="350"/>
      <c r="I11" s="350"/>
      <c r="J11" s="321"/>
    </row>
    <row r="12" spans="1:14" ht="43.5" customHeight="1" x14ac:dyDescent="0.25">
      <c r="A12" s="344"/>
      <c r="B12" s="344"/>
      <c r="C12" s="344"/>
      <c r="D12" s="344"/>
      <c r="E12" s="335" t="s">
        <v>299</v>
      </c>
      <c r="F12" s="335" t="s">
        <v>284</v>
      </c>
      <c r="G12" s="320" t="s">
        <v>306</v>
      </c>
      <c r="H12" s="350"/>
      <c r="I12" s="350"/>
      <c r="J12" s="321"/>
    </row>
    <row r="13" spans="1:14" ht="43.5" customHeight="1" x14ac:dyDescent="0.25">
      <c r="A13" s="344"/>
      <c r="B13" s="344"/>
      <c r="C13" s="344"/>
      <c r="D13" s="344"/>
      <c r="E13" s="335" t="s">
        <v>300</v>
      </c>
      <c r="F13" s="335" t="s">
        <v>285</v>
      </c>
      <c r="G13" s="306" t="s">
        <v>307</v>
      </c>
      <c r="H13" s="306"/>
      <c r="I13" s="306"/>
      <c r="J13" s="306"/>
    </row>
    <row r="14" spans="1:14" ht="43.5" customHeight="1" x14ac:dyDescent="0.25">
      <c r="A14" s="344"/>
      <c r="B14" s="344"/>
      <c r="C14" s="344"/>
      <c r="D14" s="344"/>
      <c r="E14" s="335" t="s">
        <v>301</v>
      </c>
      <c r="F14" s="335" t="s">
        <v>286</v>
      </c>
      <c r="G14" s="351" t="s">
        <v>319</v>
      </c>
      <c r="H14" s="351"/>
      <c r="I14" s="351"/>
      <c r="J14" s="351"/>
    </row>
    <row r="15" spans="1:14" ht="49.5" customHeight="1" x14ac:dyDescent="0.25">
      <c r="A15" s="344"/>
      <c r="B15" s="344"/>
      <c r="C15" s="344"/>
      <c r="D15" s="344"/>
      <c r="E15" s="335" t="s">
        <v>302</v>
      </c>
      <c r="F15" s="335" t="s">
        <v>287</v>
      </c>
      <c r="G15" s="351" t="s">
        <v>308</v>
      </c>
      <c r="H15" s="351"/>
      <c r="I15" s="351"/>
      <c r="J15" s="351"/>
    </row>
    <row r="16" spans="1:14" ht="49.5" customHeight="1" x14ac:dyDescent="0.25">
      <c r="A16" s="344"/>
      <c r="B16" s="344"/>
      <c r="C16" s="344"/>
      <c r="D16" s="344"/>
      <c r="E16" s="335" t="s">
        <v>303</v>
      </c>
      <c r="F16" s="335" t="s">
        <v>288</v>
      </c>
      <c r="G16" s="351" t="s">
        <v>309</v>
      </c>
      <c r="H16" s="351"/>
      <c r="I16" s="351"/>
      <c r="J16" s="351"/>
    </row>
    <row r="17" spans="1:10" ht="54.75" customHeight="1" x14ac:dyDescent="0.25">
      <c r="A17" s="344"/>
      <c r="B17" s="344"/>
      <c r="C17" s="344"/>
      <c r="D17" s="344"/>
      <c r="E17" s="335" t="s">
        <v>304</v>
      </c>
      <c r="F17" s="335" t="s">
        <v>289</v>
      </c>
      <c r="G17" s="324" t="s">
        <v>320</v>
      </c>
      <c r="H17" s="336"/>
      <c r="I17" s="336"/>
      <c r="J17" s="336"/>
    </row>
    <row r="18" spans="1:10" ht="48.75" customHeight="1" x14ac:dyDescent="0.25">
      <c r="A18" s="344"/>
      <c r="B18" s="344"/>
      <c r="C18" s="344"/>
      <c r="D18" s="344"/>
      <c r="E18" s="335" t="s">
        <v>354</v>
      </c>
      <c r="F18" s="335" t="s">
        <v>305</v>
      </c>
      <c r="G18" s="324" t="s">
        <v>321</v>
      </c>
      <c r="H18" s="336"/>
      <c r="I18" s="336"/>
      <c r="J18" s="336"/>
    </row>
    <row r="19" spans="1:10" ht="54.75" customHeight="1" x14ac:dyDescent="0.25">
      <c r="A19" s="344"/>
      <c r="B19" s="344"/>
      <c r="C19" s="344"/>
      <c r="D19" s="344"/>
      <c r="E19" s="337" t="s">
        <v>355</v>
      </c>
      <c r="F19" s="337" t="s">
        <v>305</v>
      </c>
      <c r="G19" s="324"/>
      <c r="H19" s="336"/>
      <c r="I19" s="336"/>
      <c r="J19" s="336"/>
    </row>
    <row r="20" spans="1:10" ht="59.25" customHeight="1" x14ac:dyDescent="0.25">
      <c r="A20" s="344"/>
      <c r="B20" s="344"/>
      <c r="C20" s="344"/>
      <c r="D20" s="344"/>
      <c r="E20" s="334" t="s">
        <v>356</v>
      </c>
      <c r="F20" s="334"/>
      <c r="G20" s="324"/>
      <c r="H20" s="336"/>
      <c r="I20" s="336"/>
      <c r="J20" s="336"/>
    </row>
    <row r="21" spans="1:10" ht="49.5" customHeight="1" x14ac:dyDescent="0.25">
      <c r="A21" s="344"/>
      <c r="B21" s="344"/>
      <c r="C21" s="344"/>
      <c r="D21" s="344"/>
      <c r="E21" s="334" t="s">
        <v>357</v>
      </c>
      <c r="F21" s="334" t="s">
        <v>294</v>
      </c>
      <c r="G21" s="326"/>
      <c r="H21" s="326"/>
      <c r="I21" s="326"/>
      <c r="J21" s="327"/>
    </row>
    <row r="22" spans="1:10" ht="49.5" customHeight="1" x14ac:dyDescent="0.25">
      <c r="A22" s="344"/>
      <c r="B22" s="344"/>
      <c r="C22" s="344"/>
      <c r="D22" s="344"/>
      <c r="E22" s="352" t="s">
        <v>358</v>
      </c>
      <c r="F22" s="352"/>
      <c r="G22" s="322"/>
      <c r="H22" s="323"/>
      <c r="I22" s="323"/>
      <c r="J22" s="324"/>
    </row>
    <row r="23" spans="1:10" ht="49.5" customHeight="1" x14ac:dyDescent="0.25">
      <c r="A23" s="344"/>
      <c r="B23" s="344"/>
      <c r="C23" s="344"/>
      <c r="D23" s="344"/>
      <c r="E23" s="334" t="s">
        <v>359</v>
      </c>
      <c r="F23" s="334"/>
      <c r="G23" s="322"/>
      <c r="H23" s="323"/>
      <c r="I23" s="323"/>
      <c r="J23" s="324"/>
    </row>
    <row r="24" spans="1:10" ht="49.5" customHeight="1" x14ac:dyDescent="0.25">
      <c r="A24" s="344"/>
      <c r="B24" s="344"/>
      <c r="C24" s="344"/>
      <c r="D24" s="344"/>
      <c r="E24" s="320" t="s">
        <v>360</v>
      </c>
      <c r="F24" s="321"/>
      <c r="G24" s="322"/>
      <c r="H24" s="323"/>
      <c r="I24" s="323"/>
      <c r="J24" s="324"/>
    </row>
    <row r="25" spans="1:10" ht="49.5" customHeight="1" x14ac:dyDescent="0.25">
      <c r="A25" s="344"/>
      <c r="B25" s="344"/>
      <c r="C25" s="344"/>
      <c r="D25" s="344"/>
      <c r="E25" s="320"/>
      <c r="F25" s="321"/>
      <c r="G25" s="325"/>
      <c r="H25" s="326"/>
      <c r="I25" s="326"/>
      <c r="J25" s="327"/>
    </row>
    <row r="26" spans="1:10" ht="51.75" customHeight="1" x14ac:dyDescent="0.25">
      <c r="A26" s="308" t="s">
        <v>216</v>
      </c>
      <c r="B26" s="308" t="s">
        <v>247</v>
      </c>
      <c r="C26" s="328" t="s">
        <v>250</v>
      </c>
      <c r="D26" s="328"/>
      <c r="E26" s="329" t="s">
        <v>251</v>
      </c>
      <c r="F26" s="328"/>
      <c r="G26" s="330" t="s">
        <v>252</v>
      </c>
      <c r="H26" s="331"/>
      <c r="I26" s="331"/>
      <c r="J26" s="332"/>
    </row>
    <row r="27" spans="1:10" ht="48.75" customHeight="1" x14ac:dyDescent="0.25">
      <c r="A27" s="308"/>
      <c r="B27" s="308"/>
      <c r="C27" s="315" t="s">
        <v>310</v>
      </c>
      <c r="D27" s="316"/>
      <c r="E27" s="315"/>
      <c r="F27" s="316"/>
      <c r="G27" s="315" t="s">
        <v>326</v>
      </c>
      <c r="H27" s="333"/>
      <c r="I27" s="333"/>
      <c r="J27" s="316"/>
    </row>
    <row r="28" spans="1:10" ht="51" customHeight="1" x14ac:dyDescent="0.25">
      <c r="A28" s="308"/>
      <c r="B28" s="308"/>
      <c r="C28" s="315" t="s">
        <v>322</v>
      </c>
      <c r="D28" s="316"/>
      <c r="E28" s="315"/>
      <c r="F28" s="316"/>
      <c r="G28" s="315"/>
      <c r="H28" s="333"/>
      <c r="I28" s="333"/>
      <c r="J28" s="316"/>
    </row>
    <row r="29" spans="1:10" ht="54.75" customHeight="1" x14ac:dyDescent="0.25">
      <c r="A29" s="308"/>
      <c r="B29" s="308"/>
      <c r="C29" s="315" t="s">
        <v>311</v>
      </c>
      <c r="D29" s="316"/>
      <c r="E29" s="315"/>
      <c r="F29" s="316"/>
      <c r="G29" s="315"/>
      <c r="H29" s="333"/>
      <c r="I29" s="333"/>
      <c r="J29" s="316"/>
    </row>
    <row r="30" spans="1:10" ht="49.5" customHeight="1" x14ac:dyDescent="0.25">
      <c r="A30" s="308"/>
      <c r="B30" s="308"/>
      <c r="C30" s="306" t="s">
        <v>325</v>
      </c>
      <c r="D30" s="298"/>
      <c r="E30" s="315"/>
      <c r="F30" s="316"/>
      <c r="G30" s="315"/>
      <c r="H30" s="333"/>
      <c r="I30" s="333"/>
      <c r="J30" s="316"/>
    </row>
    <row r="31" spans="1:10" ht="51" customHeight="1" x14ac:dyDescent="0.25">
      <c r="A31" s="308"/>
      <c r="B31" s="308"/>
      <c r="C31" s="315"/>
      <c r="D31" s="300"/>
      <c r="E31" s="315"/>
      <c r="F31" s="316"/>
      <c r="G31" s="298"/>
      <c r="H31" s="301"/>
      <c r="I31" s="301"/>
      <c r="J31" s="300"/>
    </row>
    <row r="32" spans="1:10" ht="52.5" customHeight="1" x14ac:dyDescent="0.25">
      <c r="A32" s="308"/>
      <c r="B32" s="308"/>
      <c r="C32" s="298"/>
      <c r="D32" s="298"/>
      <c r="E32" s="315"/>
      <c r="F32" s="316"/>
      <c r="G32" s="298"/>
      <c r="H32" s="298"/>
      <c r="I32" s="298"/>
      <c r="J32" s="298"/>
    </row>
    <row r="33" spans="1:10" ht="47.25" customHeight="1" x14ac:dyDescent="0.25">
      <c r="A33" s="308"/>
      <c r="B33" s="308"/>
      <c r="C33" s="298"/>
      <c r="D33" s="298"/>
      <c r="E33" s="318"/>
      <c r="F33" s="319"/>
      <c r="G33" s="299"/>
      <c r="H33" s="301"/>
      <c r="I33" s="301"/>
      <c r="J33" s="300"/>
    </row>
    <row r="34" spans="1:10" ht="51" customHeight="1" x14ac:dyDescent="0.25">
      <c r="A34" s="308"/>
      <c r="B34" s="308"/>
      <c r="C34" s="298"/>
      <c r="D34" s="298"/>
      <c r="E34" s="306"/>
      <c r="F34" s="306"/>
      <c r="G34" s="298"/>
      <c r="H34" s="298"/>
      <c r="I34" s="298"/>
      <c r="J34" s="298"/>
    </row>
    <row r="35" spans="1:10" ht="51" customHeight="1" x14ac:dyDescent="0.25">
      <c r="A35" s="308"/>
      <c r="B35" s="308"/>
      <c r="C35" s="306"/>
      <c r="D35" s="306"/>
      <c r="E35" s="298"/>
      <c r="F35" s="298"/>
      <c r="G35" s="298"/>
      <c r="H35" s="298"/>
      <c r="I35" s="298"/>
      <c r="J35" s="298"/>
    </row>
    <row r="36" spans="1:10" ht="51" customHeight="1" x14ac:dyDescent="0.25">
      <c r="A36" s="308"/>
      <c r="B36" s="308"/>
      <c r="C36" s="315"/>
      <c r="D36" s="316"/>
      <c r="E36" s="299"/>
      <c r="F36" s="300"/>
      <c r="G36" s="299"/>
      <c r="H36" s="301"/>
      <c r="I36" s="301"/>
      <c r="J36" s="300"/>
    </row>
    <row r="37" spans="1:10" ht="45.75" customHeight="1" x14ac:dyDescent="0.25">
      <c r="A37" s="308"/>
      <c r="B37" s="308"/>
      <c r="C37" s="315"/>
      <c r="D37" s="316"/>
      <c r="E37" s="299"/>
      <c r="F37" s="300"/>
      <c r="G37" s="299"/>
      <c r="H37" s="301"/>
      <c r="I37" s="301"/>
      <c r="J37" s="300"/>
    </row>
    <row r="38" spans="1:10" ht="41.25" customHeight="1" x14ac:dyDescent="0.25">
      <c r="A38" s="308"/>
      <c r="B38" s="308"/>
      <c r="C38" s="298"/>
      <c r="D38" s="298"/>
      <c r="E38" s="317"/>
      <c r="F38" s="317"/>
      <c r="G38" s="317"/>
      <c r="H38" s="317"/>
      <c r="I38" s="317"/>
      <c r="J38" s="317"/>
    </row>
    <row r="39" spans="1:10" ht="66" customHeight="1" x14ac:dyDescent="0.3">
      <c r="A39" s="308"/>
      <c r="B39" s="308" t="s">
        <v>246</v>
      </c>
      <c r="C39" s="309" t="s">
        <v>253</v>
      </c>
      <c r="D39" s="309"/>
      <c r="E39" s="310" t="s">
        <v>254</v>
      </c>
      <c r="F39" s="311"/>
      <c r="G39" s="312" t="s">
        <v>255</v>
      </c>
      <c r="H39" s="313"/>
      <c r="I39" s="313"/>
      <c r="J39" s="314"/>
    </row>
    <row r="40" spans="1:10" ht="51.75" customHeight="1" x14ac:dyDescent="0.25">
      <c r="A40" s="308"/>
      <c r="B40" s="308"/>
      <c r="C40" s="307" t="s">
        <v>312</v>
      </c>
      <c r="D40" s="307"/>
      <c r="E40" s="306" t="s">
        <v>313</v>
      </c>
      <c r="F40" s="306"/>
      <c r="G40" s="306" t="s">
        <v>327</v>
      </c>
      <c r="H40" s="306"/>
      <c r="I40" s="306"/>
      <c r="J40" s="306"/>
    </row>
    <row r="41" spans="1:10" ht="47.25" customHeight="1" x14ac:dyDescent="0.25">
      <c r="A41" s="308"/>
      <c r="B41" s="308"/>
      <c r="C41" s="307" t="s">
        <v>314</v>
      </c>
      <c r="D41" s="307" t="s">
        <v>276</v>
      </c>
      <c r="E41" s="306"/>
      <c r="F41" s="306"/>
      <c r="G41" s="306"/>
      <c r="H41" s="306"/>
      <c r="I41" s="306"/>
      <c r="J41" s="306"/>
    </row>
    <row r="42" spans="1:10" ht="49.5" customHeight="1" x14ac:dyDescent="0.25">
      <c r="A42" s="308"/>
      <c r="B42" s="308"/>
      <c r="C42" s="305" t="s">
        <v>315</v>
      </c>
      <c r="D42" s="305" t="s">
        <v>277</v>
      </c>
      <c r="E42" s="306"/>
      <c r="F42" s="306"/>
      <c r="G42" s="306"/>
      <c r="H42" s="306"/>
      <c r="I42" s="306"/>
      <c r="J42" s="306"/>
    </row>
    <row r="43" spans="1:10" ht="48" customHeight="1" x14ac:dyDescent="0.25">
      <c r="A43" s="308"/>
      <c r="B43" s="308"/>
      <c r="C43" s="305" t="s">
        <v>316</v>
      </c>
      <c r="D43" s="305" t="s">
        <v>317</v>
      </c>
      <c r="E43" s="306"/>
      <c r="F43" s="306"/>
      <c r="G43" s="298"/>
      <c r="H43" s="298"/>
      <c r="I43" s="298"/>
      <c r="J43" s="298"/>
    </row>
    <row r="44" spans="1:10" ht="45.75" customHeight="1" x14ac:dyDescent="0.25">
      <c r="A44" s="308"/>
      <c r="B44" s="308"/>
      <c r="C44" s="307" t="s">
        <v>318</v>
      </c>
      <c r="D44" s="307" t="s">
        <v>279</v>
      </c>
      <c r="E44" s="298"/>
      <c r="F44" s="298"/>
      <c r="G44" s="298"/>
      <c r="H44" s="298"/>
      <c r="I44" s="298"/>
      <c r="J44" s="298"/>
    </row>
    <row r="45" spans="1:10" ht="45.75" customHeight="1" x14ac:dyDescent="0.25">
      <c r="A45" s="308"/>
      <c r="B45" s="308"/>
      <c r="C45" s="298"/>
      <c r="D45" s="298"/>
      <c r="E45" s="298"/>
      <c r="F45" s="298"/>
      <c r="G45" s="298"/>
      <c r="H45" s="298"/>
      <c r="I45" s="298"/>
      <c r="J45" s="298"/>
    </row>
    <row r="46" spans="1:10" ht="45" customHeight="1" x14ac:dyDescent="0.25">
      <c r="A46" s="308"/>
      <c r="B46" s="308"/>
      <c r="C46" s="299"/>
      <c r="D46" s="300"/>
      <c r="E46" s="299"/>
      <c r="F46" s="300"/>
      <c r="G46" s="299"/>
      <c r="H46" s="301"/>
      <c r="I46" s="301"/>
      <c r="J46" s="300"/>
    </row>
    <row r="47" spans="1:10" ht="50.25" customHeight="1" x14ac:dyDescent="0.25">
      <c r="A47" s="308"/>
      <c r="B47" s="308"/>
      <c r="C47" s="299"/>
      <c r="D47" s="300"/>
      <c r="E47" s="299"/>
      <c r="F47" s="300"/>
      <c r="G47" s="299"/>
      <c r="H47" s="301"/>
      <c r="I47" s="301"/>
      <c r="J47" s="300"/>
    </row>
    <row r="48" spans="1:10" ht="52.5" customHeight="1" x14ac:dyDescent="0.25">
      <c r="A48" s="308"/>
      <c r="B48" s="308"/>
      <c r="C48" s="299"/>
      <c r="D48" s="300"/>
      <c r="E48" s="302"/>
      <c r="F48" s="303"/>
      <c r="G48" s="302"/>
      <c r="H48" s="304"/>
      <c r="I48" s="304"/>
      <c r="J48" s="303"/>
    </row>
    <row r="49" spans="1:10" ht="48" customHeight="1" x14ac:dyDescent="0.25">
      <c r="A49" s="308"/>
      <c r="B49" s="308"/>
      <c r="C49" s="299"/>
      <c r="D49" s="300"/>
      <c r="E49" s="299"/>
      <c r="F49" s="300"/>
      <c r="G49" s="299"/>
      <c r="H49" s="301"/>
      <c r="I49" s="301"/>
      <c r="J49" s="300"/>
    </row>
    <row r="50" spans="1:10" ht="46.5" customHeight="1" x14ac:dyDescent="0.25">
      <c r="A50" s="308"/>
      <c r="B50" s="308"/>
      <c r="C50" s="299"/>
      <c r="D50" s="300"/>
      <c r="E50" s="302"/>
      <c r="F50" s="303"/>
      <c r="G50" s="302"/>
      <c r="H50" s="304"/>
      <c r="I50" s="304"/>
      <c r="J50" s="303"/>
    </row>
    <row r="51" spans="1:10" ht="48" customHeight="1" x14ac:dyDescent="0.25">
      <c r="A51" s="308"/>
      <c r="B51" s="308"/>
      <c r="C51" s="299"/>
      <c r="D51" s="300"/>
      <c r="E51" s="299"/>
      <c r="F51" s="300"/>
      <c r="G51" s="299"/>
      <c r="H51" s="301"/>
      <c r="I51" s="301"/>
      <c r="J51" s="300"/>
    </row>
    <row r="52" spans="1:10" ht="53.25" customHeight="1" x14ac:dyDescent="0.25">
      <c r="A52" s="308"/>
      <c r="B52" s="308"/>
      <c r="C52" s="299"/>
      <c r="D52" s="300"/>
      <c r="E52" s="299"/>
      <c r="F52" s="300"/>
      <c r="G52" s="299"/>
      <c r="H52" s="301"/>
      <c r="I52" s="301"/>
      <c r="J52" s="300"/>
    </row>
    <row r="53" spans="1:10" ht="43.5" customHeight="1" x14ac:dyDescent="0.25">
      <c r="A53" s="308"/>
      <c r="B53" s="308"/>
      <c r="C53" s="298"/>
      <c r="D53" s="298"/>
      <c r="E53" s="298"/>
      <c r="F53" s="298"/>
      <c r="G53" s="298"/>
      <c r="H53" s="298"/>
      <c r="I53" s="298"/>
      <c r="J53" s="298"/>
    </row>
    <row r="54" spans="1:10" ht="48.75" customHeight="1" x14ac:dyDescent="0.25">
      <c r="A54" s="308"/>
      <c r="B54" s="308"/>
      <c r="C54" s="298"/>
      <c r="D54" s="298"/>
      <c r="E54" s="298"/>
      <c r="F54" s="298"/>
      <c r="G54" s="298"/>
      <c r="H54" s="298"/>
      <c r="I54" s="298"/>
      <c r="J54" s="298"/>
    </row>
    <row r="55" spans="1:10" x14ac:dyDescent="0.25">
      <c r="C55" s="199"/>
      <c r="D55" s="199"/>
      <c r="E55" s="297"/>
      <c r="F55" s="297"/>
      <c r="G55" s="297"/>
      <c r="H55" s="297"/>
      <c r="I55" s="297"/>
      <c r="J55" s="297"/>
    </row>
    <row r="56" spans="1:10" x14ac:dyDescent="0.25">
      <c r="C56" s="199"/>
      <c r="D56" s="199"/>
      <c r="E56" s="297"/>
      <c r="F56" s="297"/>
      <c r="G56" s="297"/>
      <c r="H56" s="297"/>
      <c r="I56" s="297"/>
      <c r="J56" s="297"/>
    </row>
    <row r="57" spans="1:10" x14ac:dyDescent="0.25">
      <c r="E57" s="296"/>
      <c r="F57" s="296"/>
      <c r="G57" s="296"/>
      <c r="H57" s="296"/>
      <c r="I57" s="296"/>
      <c r="J57" s="296"/>
    </row>
    <row r="58" spans="1:10" x14ac:dyDescent="0.25">
      <c r="E58" s="296"/>
      <c r="F58" s="296"/>
      <c r="G58" s="296"/>
      <c r="H58" s="296"/>
      <c r="I58" s="296"/>
      <c r="J58" s="296"/>
    </row>
    <row r="59" spans="1:10" x14ac:dyDescent="0.25">
      <c r="E59" s="296"/>
      <c r="F59" s="296"/>
      <c r="G59" s="296"/>
      <c r="H59" s="296"/>
      <c r="I59" s="296"/>
      <c r="J59" s="296"/>
    </row>
    <row r="60" spans="1:10" x14ac:dyDescent="0.25">
      <c r="E60" s="296"/>
      <c r="F60" s="296"/>
      <c r="G60" s="296"/>
      <c r="H60" s="296"/>
      <c r="I60" s="296"/>
      <c r="J60" s="296"/>
    </row>
    <row r="61" spans="1:10" x14ac:dyDescent="0.25">
      <c r="E61" s="296"/>
      <c r="F61" s="296"/>
      <c r="G61" s="296"/>
      <c r="H61" s="296"/>
      <c r="I61" s="296"/>
      <c r="J61" s="296"/>
    </row>
    <row r="62" spans="1:10" x14ac:dyDescent="0.25">
      <c r="E62" s="296"/>
      <c r="F62" s="296"/>
      <c r="G62" s="296"/>
      <c r="H62" s="296"/>
      <c r="I62" s="296"/>
      <c r="J62" s="296"/>
    </row>
    <row r="63" spans="1:10" x14ac:dyDescent="0.25">
      <c r="E63" s="296"/>
      <c r="F63" s="296"/>
      <c r="G63" s="296"/>
      <c r="H63" s="296"/>
      <c r="I63" s="296"/>
      <c r="J63" s="296"/>
    </row>
    <row r="64" spans="1:10" x14ac:dyDescent="0.25">
      <c r="E64" s="296"/>
      <c r="F64" s="296"/>
      <c r="G64" s="296"/>
      <c r="H64" s="296"/>
      <c r="I64" s="296"/>
      <c r="J64" s="296"/>
    </row>
    <row r="65" spans="5:10" x14ac:dyDescent="0.25">
      <c r="E65" s="296"/>
      <c r="F65" s="296"/>
      <c r="G65" s="296"/>
      <c r="H65" s="296"/>
      <c r="I65" s="296"/>
      <c r="J65" s="296"/>
    </row>
    <row r="66" spans="5:10" x14ac:dyDescent="0.25">
      <c r="E66" s="296"/>
      <c r="F66" s="296"/>
      <c r="G66" s="296"/>
      <c r="H66" s="296"/>
      <c r="I66" s="296"/>
      <c r="J66" s="296"/>
    </row>
    <row r="67" spans="5:10" x14ac:dyDescent="0.25">
      <c r="E67" s="296"/>
      <c r="F67" s="296"/>
      <c r="G67" s="296"/>
      <c r="H67" s="296"/>
      <c r="I67" s="296"/>
      <c r="J67" s="296"/>
    </row>
    <row r="68" spans="5:10" x14ac:dyDescent="0.25">
      <c r="E68" s="296"/>
      <c r="F68" s="296"/>
      <c r="G68" s="296"/>
      <c r="H68" s="296"/>
      <c r="I68" s="296"/>
      <c r="J68" s="296"/>
    </row>
    <row r="69" spans="5:10" x14ac:dyDescent="0.25">
      <c r="E69" s="296"/>
      <c r="F69" s="296"/>
      <c r="G69" s="296"/>
      <c r="H69" s="296"/>
      <c r="I69" s="296"/>
      <c r="J69" s="296"/>
    </row>
    <row r="70" spans="5:10" x14ac:dyDescent="0.25">
      <c r="E70" s="296"/>
      <c r="F70" s="296"/>
      <c r="G70" s="296"/>
      <c r="H70" s="296"/>
      <c r="I70" s="296"/>
      <c r="J70" s="296"/>
    </row>
    <row r="71" spans="5:10" x14ac:dyDescent="0.25">
      <c r="E71" s="296"/>
      <c r="F71" s="296"/>
      <c r="G71" s="296"/>
      <c r="H71" s="296"/>
      <c r="I71" s="296"/>
      <c r="J71" s="296"/>
    </row>
    <row r="72" spans="5:10" x14ac:dyDescent="0.25">
      <c r="E72" s="296"/>
      <c r="F72" s="296"/>
      <c r="G72" s="296"/>
      <c r="H72" s="296"/>
      <c r="I72" s="296"/>
      <c r="J72" s="296"/>
    </row>
    <row r="73" spans="5:10" x14ac:dyDescent="0.25">
      <c r="E73" s="296"/>
      <c r="F73" s="296"/>
      <c r="G73" s="296"/>
      <c r="H73" s="296"/>
      <c r="I73" s="296"/>
      <c r="J73" s="296"/>
    </row>
    <row r="74" spans="5:10" x14ac:dyDescent="0.25">
      <c r="E74" s="296"/>
      <c r="F74" s="296"/>
      <c r="G74" s="296"/>
      <c r="H74" s="296"/>
      <c r="I74" s="296"/>
      <c r="J74" s="296"/>
    </row>
    <row r="75" spans="5:10" x14ac:dyDescent="0.25">
      <c r="E75" s="296"/>
      <c r="F75" s="296"/>
      <c r="G75" s="296"/>
      <c r="H75" s="296"/>
      <c r="I75" s="296"/>
      <c r="J75" s="296"/>
    </row>
    <row r="76" spans="5:10" x14ac:dyDescent="0.25">
      <c r="E76" s="296"/>
      <c r="F76" s="296"/>
      <c r="G76" s="296"/>
      <c r="H76" s="296"/>
      <c r="I76" s="296"/>
      <c r="J76" s="296"/>
    </row>
    <row r="77" spans="5:10" x14ac:dyDescent="0.25">
      <c r="E77" s="296"/>
      <c r="F77" s="296"/>
      <c r="G77" s="296"/>
      <c r="H77" s="296"/>
      <c r="I77" s="296"/>
      <c r="J77" s="296"/>
    </row>
    <row r="78" spans="5:10" x14ac:dyDescent="0.25">
      <c r="E78" s="296"/>
      <c r="F78" s="296"/>
      <c r="G78" s="296"/>
      <c r="H78" s="296"/>
      <c r="I78" s="296"/>
      <c r="J78" s="296"/>
    </row>
    <row r="79" spans="5:10" x14ac:dyDescent="0.25">
      <c r="E79" s="296"/>
      <c r="F79" s="296"/>
      <c r="G79" s="296"/>
      <c r="H79" s="296"/>
      <c r="I79" s="296"/>
      <c r="J79" s="296"/>
    </row>
    <row r="80" spans="5:10" x14ac:dyDescent="0.25">
      <c r="E80" s="296"/>
      <c r="F80" s="296"/>
      <c r="G80" s="296"/>
      <c r="H80" s="296"/>
      <c r="I80" s="296"/>
      <c r="J80" s="296"/>
    </row>
    <row r="81" spans="5:10" x14ac:dyDescent="0.25">
      <c r="E81" s="296"/>
      <c r="F81" s="296"/>
      <c r="G81" s="296"/>
      <c r="H81" s="296"/>
      <c r="I81" s="296"/>
      <c r="J81" s="296"/>
    </row>
    <row r="82" spans="5:10" x14ac:dyDescent="0.25">
      <c r="E82" s="296"/>
      <c r="F82" s="296"/>
      <c r="G82" s="296"/>
      <c r="H82" s="296"/>
      <c r="I82" s="296"/>
      <c r="J82" s="296"/>
    </row>
    <row r="83" spans="5:10" x14ac:dyDescent="0.25">
      <c r="E83" s="296"/>
      <c r="F83" s="296"/>
      <c r="G83" s="296"/>
      <c r="H83" s="296"/>
      <c r="I83" s="296"/>
      <c r="J83" s="296"/>
    </row>
    <row r="84" spans="5:10" x14ac:dyDescent="0.25">
      <c r="E84" s="296"/>
      <c r="F84" s="296"/>
      <c r="G84" s="296"/>
      <c r="H84" s="296"/>
      <c r="I84" s="296"/>
      <c r="J84" s="296"/>
    </row>
    <row r="85" spans="5:10" x14ac:dyDescent="0.25">
      <c r="E85" s="296"/>
      <c r="F85" s="296"/>
      <c r="G85" s="296"/>
      <c r="H85" s="296"/>
      <c r="I85" s="296"/>
      <c r="J85" s="296"/>
    </row>
    <row r="86" spans="5:10" x14ac:dyDescent="0.25">
      <c r="E86" s="296"/>
      <c r="F86" s="296"/>
      <c r="G86" s="296"/>
      <c r="H86" s="296"/>
      <c r="I86" s="296"/>
      <c r="J86" s="296"/>
    </row>
    <row r="87" spans="5:10" x14ac:dyDescent="0.25">
      <c r="E87" s="296"/>
      <c r="F87" s="296"/>
      <c r="G87" s="296"/>
      <c r="H87" s="296"/>
      <c r="I87" s="296"/>
      <c r="J87" s="296"/>
    </row>
    <row r="88" spans="5:10" x14ac:dyDescent="0.25">
      <c r="E88" s="296"/>
      <c r="F88" s="296"/>
      <c r="G88" s="296"/>
      <c r="H88" s="296"/>
      <c r="I88" s="296"/>
      <c r="J88" s="296"/>
    </row>
    <row r="89" spans="5:10" x14ac:dyDescent="0.25">
      <c r="E89" s="296"/>
      <c r="F89" s="296"/>
      <c r="G89" s="296"/>
      <c r="H89" s="296"/>
      <c r="I89" s="296"/>
      <c r="J89" s="296"/>
    </row>
    <row r="90" spans="5:10" x14ac:dyDescent="0.25">
      <c r="E90" s="296"/>
      <c r="F90" s="296"/>
      <c r="G90" s="296"/>
      <c r="H90" s="296"/>
      <c r="I90" s="296"/>
      <c r="J90" s="296"/>
    </row>
    <row r="91" spans="5:10" x14ac:dyDescent="0.25">
      <c r="E91" s="296"/>
      <c r="F91" s="296"/>
      <c r="G91" s="296"/>
      <c r="H91" s="296"/>
      <c r="I91" s="296"/>
      <c r="J91" s="296"/>
    </row>
    <row r="92" spans="5:10" x14ac:dyDescent="0.25">
      <c r="E92" s="296"/>
      <c r="F92" s="296"/>
      <c r="G92" s="296"/>
      <c r="H92" s="296"/>
      <c r="I92" s="296"/>
      <c r="J92" s="296"/>
    </row>
    <row r="93" spans="5:10" x14ac:dyDescent="0.25">
      <c r="E93" s="296"/>
      <c r="F93" s="296"/>
      <c r="G93" s="296"/>
      <c r="H93" s="296"/>
      <c r="I93" s="296"/>
      <c r="J93" s="296"/>
    </row>
    <row r="94" spans="5:10" x14ac:dyDescent="0.25">
      <c r="E94" s="296"/>
      <c r="F94" s="296"/>
      <c r="G94" s="296"/>
      <c r="H94" s="296"/>
      <c r="I94" s="296"/>
      <c r="J94" s="296"/>
    </row>
    <row r="95" spans="5:10" x14ac:dyDescent="0.25">
      <c r="E95" s="296"/>
      <c r="F95" s="296"/>
      <c r="G95" s="296"/>
      <c r="H95" s="296"/>
      <c r="I95" s="296"/>
      <c r="J95" s="296"/>
    </row>
    <row r="96" spans="5:10" x14ac:dyDescent="0.25">
      <c r="E96" s="296"/>
      <c r="F96" s="296"/>
      <c r="G96" s="296"/>
      <c r="H96" s="296"/>
      <c r="I96" s="296"/>
      <c r="J96" s="296"/>
    </row>
    <row r="97" spans="5:10" x14ac:dyDescent="0.25">
      <c r="E97" s="296"/>
      <c r="F97" s="296"/>
      <c r="G97" s="296"/>
      <c r="H97" s="296"/>
      <c r="I97" s="296"/>
      <c r="J97" s="296"/>
    </row>
    <row r="98" spans="5:10" x14ac:dyDescent="0.25">
      <c r="E98" s="296"/>
      <c r="F98" s="296"/>
      <c r="G98" s="296"/>
      <c r="H98" s="296"/>
      <c r="I98" s="296"/>
      <c r="J98" s="296"/>
    </row>
    <row r="99" spans="5:10" x14ac:dyDescent="0.25">
      <c r="E99" s="296"/>
      <c r="F99" s="296"/>
      <c r="G99" s="296"/>
      <c r="H99" s="296"/>
      <c r="I99" s="296"/>
      <c r="J99" s="296"/>
    </row>
    <row r="100" spans="5:10" x14ac:dyDescent="0.25">
      <c r="E100" s="296"/>
      <c r="F100" s="296"/>
      <c r="G100" s="296"/>
      <c r="H100" s="296"/>
      <c r="I100" s="296"/>
      <c r="J100" s="296"/>
    </row>
    <row r="101" spans="5:10" x14ac:dyDescent="0.25">
      <c r="E101" s="296"/>
      <c r="F101" s="296"/>
      <c r="G101" s="296"/>
      <c r="H101" s="296"/>
      <c r="I101" s="296"/>
      <c r="J101" s="296"/>
    </row>
    <row r="102" spans="5:10" x14ac:dyDescent="0.25">
      <c r="E102" s="296"/>
      <c r="F102" s="296"/>
      <c r="G102" s="296"/>
      <c r="H102" s="296"/>
      <c r="I102" s="296"/>
      <c r="J102" s="296"/>
    </row>
    <row r="103" spans="5:10" x14ac:dyDescent="0.25">
      <c r="E103" s="296"/>
      <c r="F103" s="296"/>
      <c r="G103" s="296"/>
      <c r="H103" s="296"/>
      <c r="I103" s="296"/>
      <c r="J103" s="296"/>
    </row>
    <row r="104" spans="5:10" x14ac:dyDescent="0.25">
      <c r="E104" s="296"/>
      <c r="F104" s="296"/>
      <c r="G104" s="296"/>
      <c r="H104" s="296"/>
      <c r="I104" s="296"/>
      <c r="J104" s="296"/>
    </row>
    <row r="105" spans="5:10" x14ac:dyDescent="0.25">
      <c r="E105" s="296"/>
      <c r="F105" s="296"/>
      <c r="G105" s="296"/>
      <c r="H105" s="296"/>
      <c r="I105" s="296"/>
      <c r="J105" s="296"/>
    </row>
    <row r="106" spans="5:10" x14ac:dyDescent="0.25">
      <c r="E106" s="296"/>
      <c r="F106" s="296"/>
      <c r="G106" s="296"/>
      <c r="H106" s="296"/>
      <c r="I106" s="296"/>
      <c r="J106" s="296"/>
    </row>
    <row r="107" spans="5:10" x14ac:dyDescent="0.25">
      <c r="E107" s="296"/>
      <c r="F107" s="296"/>
      <c r="G107" s="296"/>
      <c r="H107" s="296"/>
      <c r="I107" s="296"/>
      <c r="J107" s="296"/>
    </row>
    <row r="108" spans="5:10" x14ac:dyDescent="0.25">
      <c r="E108" s="296"/>
      <c r="F108" s="296"/>
      <c r="G108" s="296"/>
      <c r="H108" s="296"/>
      <c r="I108" s="296"/>
      <c r="J108" s="296"/>
    </row>
    <row r="109" spans="5:10" x14ac:dyDescent="0.25">
      <c r="E109" s="296"/>
      <c r="F109" s="296"/>
      <c r="G109" s="296"/>
      <c r="H109" s="296"/>
      <c r="I109" s="296"/>
      <c r="J109" s="296"/>
    </row>
    <row r="110" spans="5:10" x14ac:dyDescent="0.25">
      <c r="E110" s="296"/>
      <c r="F110" s="296"/>
      <c r="G110" s="296"/>
      <c r="H110" s="296"/>
      <c r="I110" s="296"/>
      <c r="J110" s="296"/>
    </row>
    <row r="111" spans="5:10" x14ac:dyDescent="0.25">
      <c r="E111" s="296"/>
      <c r="F111" s="296"/>
      <c r="G111" s="296"/>
      <c r="H111" s="296"/>
      <c r="I111" s="296"/>
      <c r="J111" s="296"/>
    </row>
    <row r="112" spans="5:10" x14ac:dyDescent="0.25">
      <c r="E112" s="296"/>
      <c r="F112" s="296"/>
      <c r="G112" s="296"/>
      <c r="H112" s="296"/>
      <c r="I112" s="296"/>
      <c r="J112" s="296"/>
    </row>
    <row r="113" spans="5:10" x14ac:dyDescent="0.25">
      <c r="E113" s="296"/>
      <c r="F113" s="296"/>
      <c r="G113" s="296"/>
      <c r="H113" s="296"/>
      <c r="I113" s="296"/>
      <c r="J113" s="296"/>
    </row>
    <row r="114" spans="5:10" x14ac:dyDescent="0.25">
      <c r="E114" s="296"/>
      <c r="F114" s="296"/>
      <c r="G114" s="296"/>
      <c r="H114" s="296"/>
      <c r="I114" s="296"/>
      <c r="J114" s="296"/>
    </row>
    <row r="115" spans="5:10" x14ac:dyDescent="0.25">
      <c r="E115" s="296"/>
      <c r="F115" s="296"/>
      <c r="G115" s="296"/>
      <c r="H115" s="296"/>
      <c r="I115" s="296"/>
      <c r="J115" s="296"/>
    </row>
    <row r="116" spans="5:10" x14ac:dyDescent="0.25">
      <c r="E116" s="296"/>
      <c r="F116" s="296"/>
      <c r="G116" s="296"/>
      <c r="H116" s="296"/>
      <c r="I116" s="296"/>
      <c r="J116" s="296"/>
    </row>
    <row r="117" spans="5:10" x14ac:dyDescent="0.25">
      <c r="E117" s="296"/>
      <c r="F117" s="296"/>
      <c r="G117" s="296"/>
      <c r="H117" s="296"/>
      <c r="I117" s="296"/>
      <c r="J117" s="296"/>
    </row>
    <row r="118" spans="5:10" x14ac:dyDescent="0.25">
      <c r="E118" s="296"/>
      <c r="F118" s="296"/>
      <c r="G118" s="296"/>
      <c r="H118" s="296"/>
      <c r="I118" s="296"/>
      <c r="J118" s="296"/>
    </row>
    <row r="119" spans="5:10" x14ac:dyDescent="0.25">
      <c r="E119" s="296"/>
      <c r="F119" s="296"/>
      <c r="G119" s="296"/>
      <c r="H119" s="296"/>
      <c r="I119" s="296"/>
      <c r="J119" s="296"/>
    </row>
    <row r="120" spans="5:10" x14ac:dyDescent="0.25">
      <c r="E120" s="296"/>
      <c r="F120" s="296"/>
      <c r="G120" s="296"/>
      <c r="H120" s="296"/>
      <c r="I120" s="296"/>
      <c r="J120" s="296"/>
    </row>
    <row r="121" spans="5:10" x14ac:dyDescent="0.25">
      <c r="E121" s="296"/>
      <c r="F121" s="296"/>
      <c r="G121" s="296"/>
      <c r="H121" s="296"/>
      <c r="I121" s="296"/>
      <c r="J121" s="296"/>
    </row>
    <row r="122" spans="5:10" x14ac:dyDescent="0.25">
      <c r="E122" s="296"/>
      <c r="F122" s="296"/>
      <c r="G122" s="296"/>
      <c r="H122" s="296"/>
      <c r="I122" s="296"/>
      <c r="J122" s="296"/>
    </row>
    <row r="123" spans="5:10" x14ac:dyDescent="0.25">
      <c r="E123" s="296"/>
      <c r="F123" s="296"/>
      <c r="G123" s="296"/>
      <c r="H123" s="296"/>
      <c r="I123" s="296"/>
      <c r="J123" s="296"/>
    </row>
    <row r="124" spans="5:10" x14ac:dyDescent="0.25">
      <c r="E124" s="296"/>
      <c r="F124" s="296"/>
      <c r="G124" s="296"/>
      <c r="H124" s="296"/>
      <c r="I124" s="296"/>
      <c r="J124" s="296"/>
    </row>
    <row r="125" spans="5:10" x14ac:dyDescent="0.25">
      <c r="E125" s="296"/>
      <c r="F125" s="296"/>
      <c r="G125" s="296"/>
      <c r="H125" s="296"/>
      <c r="I125" s="296"/>
      <c r="J125" s="296"/>
    </row>
    <row r="126" spans="5:10" x14ac:dyDescent="0.25">
      <c r="E126" s="296"/>
      <c r="F126" s="296"/>
      <c r="G126" s="296"/>
      <c r="H126" s="296"/>
      <c r="I126" s="296"/>
      <c r="J126" s="296"/>
    </row>
    <row r="127" spans="5:10" x14ac:dyDescent="0.25">
      <c r="E127" s="296"/>
      <c r="F127" s="296"/>
      <c r="G127" s="296"/>
      <c r="H127" s="296"/>
      <c r="I127" s="296"/>
      <c r="J127" s="296"/>
    </row>
    <row r="128" spans="5:10" x14ac:dyDescent="0.25">
      <c r="E128" s="296"/>
      <c r="F128" s="296"/>
      <c r="G128" s="296"/>
      <c r="H128" s="296"/>
      <c r="I128" s="296"/>
      <c r="J128" s="296"/>
    </row>
    <row r="129" spans="5:10" x14ac:dyDescent="0.25">
      <c r="E129" s="296"/>
      <c r="F129" s="296"/>
      <c r="G129" s="296"/>
      <c r="H129" s="296"/>
      <c r="I129" s="296"/>
      <c r="J129" s="296"/>
    </row>
    <row r="130" spans="5:10" x14ac:dyDescent="0.25">
      <c r="E130" s="296"/>
      <c r="F130" s="296"/>
      <c r="G130" s="296"/>
      <c r="H130" s="296"/>
      <c r="I130" s="296"/>
      <c r="J130" s="296"/>
    </row>
    <row r="131" spans="5:10" x14ac:dyDescent="0.25">
      <c r="E131" s="296"/>
      <c r="F131" s="296"/>
      <c r="G131" s="296"/>
      <c r="H131" s="296"/>
      <c r="I131" s="296"/>
      <c r="J131" s="296"/>
    </row>
    <row r="132" spans="5:10" x14ac:dyDescent="0.25">
      <c r="E132" s="296"/>
      <c r="F132" s="296"/>
      <c r="G132" s="296"/>
      <c r="H132" s="296"/>
      <c r="I132" s="296"/>
      <c r="J132" s="296"/>
    </row>
  </sheetData>
  <mergeCells count="293">
    <mergeCell ref="H1:I1"/>
    <mergeCell ref="J1:J4"/>
    <mergeCell ref="N1:N4"/>
    <mergeCell ref="H2:I2"/>
    <mergeCell ref="H3:I3"/>
    <mergeCell ref="H4:I4"/>
    <mergeCell ref="A5:J5"/>
    <mergeCell ref="A1:B4"/>
    <mergeCell ref="C1:G2"/>
    <mergeCell ref="C3:G4"/>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9"/>
  <sheetViews>
    <sheetView tabSelected="1" topLeftCell="A11" zoomScale="80" zoomScaleNormal="80" workbookViewId="0">
      <selection sqref="A1:AO12"/>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20.109375" style="1" customWidth="1"/>
    <col min="37" max="37" width="14.88671875" style="1" customWidth="1"/>
    <col min="38" max="38" width="18.5546875" style="1" customWidth="1"/>
    <col min="39" max="39" width="21" style="1" customWidth="1"/>
    <col min="40" max="40" width="25.109375" style="1" customWidth="1"/>
    <col min="41" max="41" width="26.88671875" style="1" customWidth="1"/>
    <col min="42" max="16384" width="11.44140625" style="1"/>
  </cols>
  <sheetData>
    <row r="1" spans="1:71" ht="16.5" customHeight="1" x14ac:dyDescent="0.25">
      <c r="A1" s="388" t="s">
        <v>139</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90"/>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391"/>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3"/>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32" t="s">
        <v>43</v>
      </c>
      <c r="B4" s="433"/>
      <c r="C4" s="376" t="s">
        <v>297</v>
      </c>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432" t="s">
        <v>125</v>
      </c>
      <c r="B5" s="433"/>
      <c r="C5" s="377" t="s">
        <v>273</v>
      </c>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9"/>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32" t="s">
        <v>44</v>
      </c>
      <c r="B6" s="433"/>
      <c r="C6" s="380" t="s">
        <v>328</v>
      </c>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394" t="s">
        <v>134</v>
      </c>
      <c r="B7" s="395"/>
      <c r="C7" s="396"/>
      <c r="D7" s="396"/>
      <c r="E7" s="396"/>
      <c r="F7" s="396"/>
      <c r="G7" s="396"/>
      <c r="H7" s="396"/>
      <c r="I7" s="396"/>
      <c r="J7" s="397"/>
      <c r="K7" s="386" t="s">
        <v>135</v>
      </c>
      <c r="L7" s="396"/>
      <c r="M7" s="396"/>
      <c r="N7" s="396"/>
      <c r="O7" s="396"/>
      <c r="P7" s="396"/>
      <c r="Q7" s="397"/>
      <c r="R7" s="386" t="s">
        <v>136</v>
      </c>
      <c r="S7" s="396"/>
      <c r="T7" s="396"/>
      <c r="U7" s="396"/>
      <c r="V7" s="396"/>
      <c r="W7" s="396"/>
      <c r="X7" s="396"/>
      <c r="Y7" s="396"/>
      <c r="Z7" s="397"/>
      <c r="AA7" s="386" t="s">
        <v>137</v>
      </c>
      <c r="AB7" s="396"/>
      <c r="AC7" s="396"/>
      <c r="AD7" s="396"/>
      <c r="AE7" s="396"/>
      <c r="AF7" s="396"/>
      <c r="AG7" s="397"/>
      <c r="AH7" s="386" t="s">
        <v>34</v>
      </c>
      <c r="AI7" s="396"/>
      <c r="AJ7" s="396"/>
      <c r="AK7" s="396"/>
      <c r="AL7" s="396"/>
      <c r="AM7" s="397"/>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34" t="s">
        <v>0</v>
      </c>
      <c r="B8" s="441" t="s">
        <v>2</v>
      </c>
      <c r="C8" s="382" t="s">
        <v>3</v>
      </c>
      <c r="D8" s="382" t="s">
        <v>42</v>
      </c>
      <c r="E8" s="436" t="s">
        <v>203</v>
      </c>
      <c r="F8" s="437" t="s">
        <v>1</v>
      </c>
      <c r="G8" s="139"/>
      <c r="H8" s="139"/>
      <c r="I8" s="436" t="s">
        <v>50</v>
      </c>
      <c r="J8" s="382" t="s">
        <v>130</v>
      </c>
      <c r="K8" s="384" t="s">
        <v>33</v>
      </c>
      <c r="L8" s="385" t="s">
        <v>5</v>
      </c>
      <c r="M8" s="436" t="s">
        <v>86</v>
      </c>
      <c r="N8" s="436" t="s">
        <v>91</v>
      </c>
      <c r="O8" s="387" t="s">
        <v>45</v>
      </c>
      <c r="P8" s="385" t="s">
        <v>5</v>
      </c>
      <c r="Q8" s="382" t="s">
        <v>48</v>
      </c>
      <c r="R8" s="439" t="s">
        <v>11</v>
      </c>
      <c r="S8" s="383" t="s">
        <v>152</v>
      </c>
      <c r="T8" s="436" t="s">
        <v>12</v>
      </c>
      <c r="U8" s="383" t="s">
        <v>8</v>
      </c>
      <c r="V8" s="383"/>
      <c r="W8" s="383"/>
      <c r="X8" s="383"/>
      <c r="Y8" s="383"/>
      <c r="Z8" s="383"/>
      <c r="AA8" s="381" t="s">
        <v>133</v>
      </c>
      <c r="AB8" s="381" t="s">
        <v>46</v>
      </c>
      <c r="AC8" s="381" t="s">
        <v>5</v>
      </c>
      <c r="AD8" s="381" t="s">
        <v>47</v>
      </c>
      <c r="AE8" s="381" t="s">
        <v>5</v>
      </c>
      <c r="AF8" s="381" t="s">
        <v>49</v>
      </c>
      <c r="AG8" s="439" t="s">
        <v>29</v>
      </c>
      <c r="AH8" s="383" t="s">
        <v>34</v>
      </c>
      <c r="AI8" s="383" t="s">
        <v>35</v>
      </c>
      <c r="AJ8" s="383" t="s">
        <v>36</v>
      </c>
      <c r="AK8" s="383" t="s">
        <v>38</v>
      </c>
      <c r="AL8" s="383" t="s">
        <v>37</v>
      </c>
      <c r="AM8" s="383" t="s">
        <v>39</v>
      </c>
      <c r="AN8" s="375" t="s">
        <v>362</v>
      </c>
      <c r="AO8" s="375" t="s">
        <v>363</v>
      </c>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435"/>
      <c r="B9" s="441"/>
      <c r="C9" s="383"/>
      <c r="D9" s="383"/>
      <c r="E9" s="384"/>
      <c r="F9" s="438"/>
      <c r="G9" s="139" t="s">
        <v>256</v>
      </c>
      <c r="H9" s="139" t="s">
        <v>204</v>
      </c>
      <c r="I9" s="382"/>
      <c r="J9" s="383"/>
      <c r="K9" s="382"/>
      <c r="L9" s="386"/>
      <c r="M9" s="382"/>
      <c r="N9" s="382"/>
      <c r="O9" s="386"/>
      <c r="P9" s="386"/>
      <c r="Q9" s="383"/>
      <c r="R9" s="440"/>
      <c r="S9" s="383"/>
      <c r="T9" s="382"/>
      <c r="U9" s="7" t="s">
        <v>13</v>
      </c>
      <c r="V9" s="7" t="s">
        <v>17</v>
      </c>
      <c r="W9" s="7" t="s">
        <v>28</v>
      </c>
      <c r="X9" s="7" t="s">
        <v>18</v>
      </c>
      <c r="Y9" s="7" t="s">
        <v>21</v>
      </c>
      <c r="Z9" s="7" t="s">
        <v>24</v>
      </c>
      <c r="AA9" s="381"/>
      <c r="AB9" s="381"/>
      <c r="AC9" s="381"/>
      <c r="AD9" s="381"/>
      <c r="AE9" s="381"/>
      <c r="AF9" s="381"/>
      <c r="AG9" s="440"/>
      <c r="AH9" s="383"/>
      <c r="AI9" s="383"/>
      <c r="AJ9" s="383"/>
      <c r="AK9" s="383"/>
      <c r="AL9" s="383"/>
      <c r="AM9" s="383"/>
      <c r="AN9" s="375"/>
      <c r="AO9" s="37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31" customHeight="1" x14ac:dyDescent="0.3">
      <c r="A10" s="407">
        <v>1</v>
      </c>
      <c r="B10" s="454" t="s">
        <v>127</v>
      </c>
      <c r="C10" s="454" t="s">
        <v>335</v>
      </c>
      <c r="D10" s="457" t="s">
        <v>336</v>
      </c>
      <c r="E10" s="204" t="s">
        <v>332</v>
      </c>
      <c r="F10" s="460" t="s">
        <v>334</v>
      </c>
      <c r="G10" s="451" t="s">
        <v>330</v>
      </c>
      <c r="H10" s="460" t="s">
        <v>331</v>
      </c>
      <c r="I10" s="442" t="s">
        <v>118</v>
      </c>
      <c r="J10" s="445">
        <v>4</v>
      </c>
      <c r="K10" s="448" t="str">
        <f>IF(J10&lt;=0,"",IF(J10&lt;=2,"Muy Baja",IF(J10&lt;=24,"Baja",IF(J10&lt;=500,"Media",IF(J10&lt;=5000,"Alta","Muy Alta")))))</f>
        <v>Baja</v>
      </c>
      <c r="L10" s="464">
        <f>IF(K10="","",IF(K10="Muy Baja",0.2,IF(K10="Baja",0.4,IF(K10="Media",0.6,IF(K10="Alta",0.8,IF(K10="Muy Alta",1,))))))</f>
        <v>0.4</v>
      </c>
      <c r="M10" s="467" t="s">
        <v>145</v>
      </c>
      <c r="N10" s="464"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448" t="str">
        <f>IF(OR(N10='Tabla Impacto'!$C$11,N10='Tabla Impacto'!$D$11),"Leve",IF(OR(N10='Tabla Impacto'!$C$12,N10='Tabla Impacto'!$D$12),"Menor",IF(OR(N10='Tabla Impacto'!$C$13,N10='Tabla Impacto'!$D$13),"Moderado",IF(OR(N10='Tabla Impacto'!$C$14,N10='Tabla Impacto'!$D$14),"Mayor",IF(OR(N10='Tabla Impacto'!$C$15,N10='Tabla Impacto'!$D$15),"Catastrófico","")))))</f>
        <v>Moderado</v>
      </c>
      <c r="P10" s="464">
        <f>IF(O10="","",IF(O10="Leve",0.2,IF(O10="Menor",0.4,IF(O10="Moderado",0.6,IF(O10="Mayor",0.8,IF(O10="Catastrófico",1,))))))</f>
        <v>0.6</v>
      </c>
      <c r="Q10" s="461"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3" t="s">
        <v>337</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114" t="s">
        <v>114</v>
      </c>
      <c r="AA10" s="366">
        <f>IFERROR(IF(T10="Probabilidad",(L10-(+L10*W10)),IF(T10="Impacto",L10,"")),"")</f>
        <v>0.24</v>
      </c>
      <c r="AB10" s="363" t="str">
        <f>IFERROR(IF(AA10="","",IF(AA10&lt;=0.2,"Muy Baja",IF(AA10&lt;=0.4,"Baja",IF(AA10&lt;=0.6,"Media",IF(AA10&lt;=0.8,"Alta","Muy Alta"))))),"")</f>
        <v>Baja</v>
      </c>
      <c r="AC10" s="369">
        <f>+AA10</f>
        <v>0.24</v>
      </c>
      <c r="AD10" s="363" t="str">
        <f>IFERROR(IF(AE10="","",IF(AE10&lt;=0.2,"Leve",IF(AE10&lt;=0.4,"Menor",IF(AE10&lt;=0.6,"Moderado",IF(AE10&lt;=0.8,"Mayor","Catastrófico"))))),"")</f>
        <v>Moderado</v>
      </c>
      <c r="AE10" s="369">
        <f>IFERROR(IF(T10="Impacto",(P10-(+P10*W10)),IF(T10="Probabilidad",P10,"")),"")</f>
        <v>0.6</v>
      </c>
      <c r="AF10" s="372"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2" t="s">
        <v>131</v>
      </c>
      <c r="AH10" s="116" t="s">
        <v>341</v>
      </c>
      <c r="AI10" s="116" t="s">
        <v>344</v>
      </c>
      <c r="AJ10" s="118" t="s">
        <v>346</v>
      </c>
      <c r="AK10" s="118" t="s">
        <v>345</v>
      </c>
      <c r="AL10" s="116" t="s">
        <v>349</v>
      </c>
      <c r="AM10" s="117" t="s">
        <v>41</v>
      </c>
      <c r="AN10" s="205" t="s">
        <v>351</v>
      </c>
      <c r="AO10" s="205" t="s">
        <v>351</v>
      </c>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201.75" customHeight="1" x14ac:dyDescent="0.25">
      <c r="A11" s="408"/>
      <c r="B11" s="455"/>
      <c r="C11" s="455"/>
      <c r="D11" s="458"/>
      <c r="E11" s="204" t="s">
        <v>333</v>
      </c>
      <c r="F11" s="460"/>
      <c r="G11" s="452"/>
      <c r="H11" s="460"/>
      <c r="I11" s="443"/>
      <c r="J11" s="446"/>
      <c r="K11" s="449"/>
      <c r="L11" s="465"/>
      <c r="M11" s="468"/>
      <c r="N11" s="465">
        <f>IF(NOT(ISERROR(MATCH(M11,_xlfn.ANCHORARRAY(F21),0))),L23&amp;"Por favor no seleccionar los criterios de impacto",M11)</f>
        <v>0</v>
      </c>
      <c r="O11" s="449"/>
      <c r="P11" s="465"/>
      <c r="Q11" s="462"/>
      <c r="R11" s="105">
        <v>2</v>
      </c>
      <c r="S11" s="113" t="s">
        <v>338</v>
      </c>
      <c r="T11" s="107" t="str">
        <f>IF(OR(U11="Preventivo",U11="Detectivo"),"Probabilidad",IF(U11="Correctivo","Impacto",""))</f>
        <v>Probabilidad</v>
      </c>
      <c r="U11" s="114" t="s">
        <v>14</v>
      </c>
      <c r="V11" s="114" t="s">
        <v>9</v>
      </c>
      <c r="W11" s="115" t="str">
        <f t="shared" ref="W11:W12" si="0">IF(AND(U11="Preventivo",V11="Automático"),"50%",IF(AND(U11="Preventivo",V11="Manual"),"40%",IF(AND(U11="Detectivo",V11="Automático"),"40%",IF(AND(U11="Detectivo",V11="Manual"),"30%",IF(AND(U11="Correctivo",V11="Automático"),"35%",IF(AND(U11="Correctivo",V11="Manual"),"25%",""))))))</f>
        <v>40%</v>
      </c>
      <c r="X11" s="114" t="s">
        <v>19</v>
      </c>
      <c r="Y11" s="114" t="s">
        <v>22</v>
      </c>
      <c r="Z11" s="114" t="s">
        <v>114</v>
      </c>
      <c r="AA11" s="367"/>
      <c r="AB11" s="364"/>
      <c r="AC11" s="370"/>
      <c r="AD11" s="364"/>
      <c r="AE11" s="370"/>
      <c r="AF11" s="373"/>
      <c r="AG11" s="122" t="s">
        <v>131</v>
      </c>
      <c r="AH11" s="109" t="s">
        <v>342</v>
      </c>
      <c r="AI11" s="116" t="s">
        <v>344</v>
      </c>
      <c r="AJ11" s="118" t="s">
        <v>347</v>
      </c>
      <c r="AK11" s="118" t="s">
        <v>345</v>
      </c>
      <c r="AL11" s="116" t="s">
        <v>349</v>
      </c>
      <c r="AM11" s="110" t="s">
        <v>41</v>
      </c>
      <c r="AN11" s="205" t="s">
        <v>351</v>
      </c>
      <c r="AO11" s="205" t="s">
        <v>364</v>
      </c>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92.75" customHeight="1" x14ac:dyDescent="0.25">
      <c r="A12" s="409"/>
      <c r="B12" s="456"/>
      <c r="C12" s="456"/>
      <c r="D12" s="459"/>
      <c r="E12" s="204" t="s">
        <v>339</v>
      </c>
      <c r="F12" s="460"/>
      <c r="G12" s="453"/>
      <c r="H12" s="460"/>
      <c r="I12" s="444"/>
      <c r="J12" s="447"/>
      <c r="K12" s="450"/>
      <c r="L12" s="466"/>
      <c r="M12" s="469"/>
      <c r="N12" s="466">
        <f>IF(NOT(ISERROR(MATCH(M12,_xlfn.ANCHORARRAY(F23),0))),L25&amp;"Por favor no seleccionar los criterios de impacto",M12)</f>
        <v>0</v>
      </c>
      <c r="O12" s="450"/>
      <c r="P12" s="466"/>
      <c r="Q12" s="463"/>
      <c r="R12" s="105">
        <v>3</v>
      </c>
      <c r="S12" s="113" t="s">
        <v>340</v>
      </c>
      <c r="T12" s="107" t="str">
        <f t="shared" ref="T12" si="1">IF(OR(U12="Preventivo",U12="Detectivo"),"Probabilidad",IF(U12="Correctivo","Impacto",""))</f>
        <v>Probabilidad</v>
      </c>
      <c r="U12" s="114" t="s">
        <v>14</v>
      </c>
      <c r="V12" s="114" t="s">
        <v>9</v>
      </c>
      <c r="W12" s="115" t="str">
        <f t="shared" si="0"/>
        <v>40%</v>
      </c>
      <c r="X12" s="114" t="s">
        <v>19</v>
      </c>
      <c r="Y12" s="114" t="s">
        <v>22</v>
      </c>
      <c r="Z12" s="114" t="s">
        <v>114</v>
      </c>
      <c r="AA12" s="368"/>
      <c r="AB12" s="365"/>
      <c r="AC12" s="371"/>
      <c r="AD12" s="365"/>
      <c r="AE12" s="371"/>
      <c r="AF12" s="374"/>
      <c r="AG12" s="122" t="s">
        <v>131</v>
      </c>
      <c r="AH12" s="109" t="s">
        <v>343</v>
      </c>
      <c r="AI12" s="116" t="s">
        <v>344</v>
      </c>
      <c r="AJ12" s="118" t="s">
        <v>348</v>
      </c>
      <c r="AK12" s="118" t="s">
        <v>345</v>
      </c>
      <c r="AL12" s="116" t="s">
        <v>350</v>
      </c>
      <c r="AM12" s="110" t="s">
        <v>41</v>
      </c>
      <c r="AN12" s="205" t="s">
        <v>352</v>
      </c>
      <c r="AO12" s="205" t="s">
        <v>352</v>
      </c>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71.25" customHeight="1" x14ac:dyDescent="0.25">
      <c r="A13" s="407">
        <v>2</v>
      </c>
      <c r="B13" s="410"/>
      <c r="C13" s="410"/>
      <c r="D13" s="428"/>
      <c r="E13" s="204"/>
      <c r="F13" s="431"/>
      <c r="G13" s="451"/>
      <c r="H13" s="141"/>
      <c r="I13" s="425"/>
      <c r="J13" s="416"/>
      <c r="K13" s="419" t="str">
        <f>IF(J13&lt;=0,"",IF(J13&lt;=2,"Muy Baja",IF(J13&lt;=24,"Baja",IF(J13&lt;=500,"Media",IF(J13&lt;=5000,"Alta","Muy Alta")))))</f>
        <v/>
      </c>
      <c r="L13" s="401" t="str">
        <f>IF(K13="","",IF(K13="Muy Baja",0.2,IF(K13="Baja",0.4,IF(K13="Media",0.6,IF(K13="Alta",0.8,IF(K13="Muy Alta",1,))))))</f>
        <v/>
      </c>
      <c r="M13" s="422"/>
      <c r="N13" s="401">
        <f>IF(NOT(ISERROR(MATCH(M13,'Tabla Impacto'!$B$221:$B$223,0))),'Tabla Impacto'!$F$223&amp;"Por favor no seleccionar los criterios de impacto(Afectación Económica o presupuestal y Pérdida Reputacional)",M13)</f>
        <v>0</v>
      </c>
      <c r="O13" s="419" t="str">
        <f>IF(OR(N13='Tabla Impacto'!$C$11,N13='Tabla Impacto'!$D$11),"Leve",IF(OR(N13='Tabla Impacto'!$C$12,N13='Tabla Impacto'!$D$12),"Menor",IF(OR(N13='Tabla Impacto'!$C$13,N13='Tabla Impacto'!$D$13),"Moderado",IF(OR(N13='Tabla Impacto'!$C$14,N13='Tabla Impacto'!$D$14),"Mayor",IF(OR(N13='Tabla Impacto'!$C$15,N13='Tabla Impacto'!$D$15),"Catastrófico","")))))</f>
        <v/>
      </c>
      <c r="P13" s="401" t="str">
        <f>IF(O13="","",IF(O13="Leve",0.2,IF(O13="Menor",0.4,IF(O13="Moderado",0.6,IF(O13="Mayor",0.8,IF(O13="Catastrófico",1,))))))</f>
        <v/>
      </c>
      <c r="Q13" s="404"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
      </c>
      <c r="R13" s="105">
        <v>1</v>
      </c>
      <c r="S13" s="106"/>
      <c r="T13" s="107" t="str">
        <f>IF(OR(U13="Preventivo",U13="Detectivo"),"Probabilidad",IF(U13="Correctivo","Impacto",""))</f>
        <v/>
      </c>
      <c r="U13" s="114"/>
      <c r="V13" s="114"/>
      <c r="W13" s="115" t="str">
        <f>IF(AND(U13="Preventivo",V13="Automático"),"50%",IF(AND(U13="Preventivo",V13="Manual"),"40%",IF(AND(U13="Detectivo",V13="Automático"),"40%",IF(AND(U13="Detectivo",V13="Manual"),"30%",IF(AND(U13="Correctivo",V13="Automático"),"35%",IF(AND(U13="Correctivo",V13="Manual"),"25%",""))))))</f>
        <v/>
      </c>
      <c r="X13" s="114"/>
      <c r="Y13" s="114"/>
      <c r="Z13" s="114"/>
      <c r="AA13" s="108" t="str">
        <f>IFERROR(IF(T13="Probabilidad",(L13-(+L13*W13)),IF(T13="Impacto",L13,"")),"")</f>
        <v/>
      </c>
      <c r="AB13" s="119" t="str">
        <f>IFERROR(IF(AA13="","",IF(AA13&lt;=0.2,"Muy Baja",IF(AA13&lt;=0.4,"Baja",IF(AA13&lt;=0.6,"Media",IF(AA13&lt;=0.8,"Alta","Muy Alta"))))),"")</f>
        <v/>
      </c>
      <c r="AC13" s="120" t="str">
        <f>+AA13</f>
        <v/>
      </c>
      <c r="AD13" s="119" t="str">
        <f>IFERROR(IF(AE13="","",IF(AE13&lt;=0.2,"Leve",IF(AE13&lt;=0.4,"Menor",IF(AE13&lt;=0.6,"Moderado",IF(AE13&lt;=0.8,"Mayor","Catastrófico"))))),"")</f>
        <v/>
      </c>
      <c r="AE13" s="120" t="str">
        <f>IFERROR(IF(T13="Impacto",(P13-(+P13*W13)),IF(T13="Probabilidad",P13,"")),"")</f>
        <v/>
      </c>
      <c r="AF13" s="121" t="str">
        <f>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
      </c>
      <c r="AG13" s="122"/>
      <c r="AH13" s="109"/>
      <c r="AI13" s="110"/>
      <c r="AJ13" s="111"/>
      <c r="AK13" s="111"/>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30" customHeight="1" x14ac:dyDescent="0.25">
      <c r="A14" s="408"/>
      <c r="B14" s="411"/>
      <c r="C14" s="411"/>
      <c r="D14" s="429"/>
      <c r="E14" s="140"/>
      <c r="F14" s="431"/>
      <c r="G14" s="452"/>
      <c r="H14" s="141"/>
      <c r="I14" s="426"/>
      <c r="J14" s="417"/>
      <c r="K14" s="420"/>
      <c r="L14" s="402"/>
      <c r="M14" s="423"/>
      <c r="N14" s="402">
        <f>IF(NOT(ISERROR(MATCH(M14,_xlfn.ANCHORARRAY(F25),0))),L27&amp;"Por favor no seleccionar los criterios de impacto",M14)</f>
        <v>0</v>
      </c>
      <c r="O14" s="420"/>
      <c r="P14" s="402"/>
      <c r="Q14" s="405"/>
      <c r="R14" s="105">
        <v>2</v>
      </c>
      <c r="S14" s="106"/>
      <c r="T14" s="107" t="str">
        <f>IF(OR(U14="Preventivo",U14="Detectivo"),"Probabilidad",IF(U14="Correctivo","Impacto",""))</f>
        <v/>
      </c>
      <c r="U14" s="114"/>
      <c r="V14" s="114"/>
      <c r="W14" s="115" t="str">
        <f t="shared" ref="W14:W18" si="2">IF(AND(U14="Preventivo",V14="Automático"),"50%",IF(AND(U14="Preventivo",V14="Manual"),"40%",IF(AND(U14="Detectivo",V14="Automático"),"40%",IF(AND(U14="Detectivo",V14="Manual"),"30%",IF(AND(U14="Correctivo",V14="Automático"),"35%",IF(AND(U14="Correctivo",V14="Manual"),"25%",""))))))</f>
        <v/>
      </c>
      <c r="X14" s="114"/>
      <c r="Y14" s="114"/>
      <c r="Z14" s="114"/>
      <c r="AA14" s="108" t="str">
        <f>IFERROR(IF(AND(T13="Probabilidad",T14="Probabilidad"),(AC13-(+AC13*W14)),IF(AND(T13="Impacto",T14="Probabilidad"),(L13-(+L13*W14)),IF(T14="Impacto",AC13,""))),"")</f>
        <v/>
      </c>
      <c r="AB14" s="119" t="str">
        <f t="shared" ref="AB14:AB18" si="3">IFERROR(IF(AA14="","",IF(AA14&lt;=0.2,"Muy Baja",IF(AA14&lt;=0.4,"Baja",IF(AA14&lt;=0.6,"Media",IF(AA14&lt;=0.8,"Alta","Muy Alta"))))),"")</f>
        <v/>
      </c>
      <c r="AC14" s="120" t="str">
        <f>+AA14</f>
        <v/>
      </c>
      <c r="AD14" s="119" t="str">
        <f t="shared" ref="AD14:AD18" si="4">IFERROR(IF(AE14="","",IF(AE14&lt;=0.2,"Leve",IF(AE14&lt;=0.4,"Menor",IF(AE14&lt;=0.6,"Moderado",IF(AE14&lt;=0.8,"Mayor","Catastrófico"))))),"")</f>
        <v/>
      </c>
      <c r="AE14" s="120" t="str">
        <f>IFERROR(IF(AND(T13="Impacto",T14="Impacto"),(AE13-(+AE13*W14)),IF(AND(T13="Probabilidad",T14="Impacto"),(P13-(+P13*W14)),IF(T14="Probabilidad",AE13,""))),"")</f>
        <v/>
      </c>
      <c r="AF14" s="121" t="str">
        <f t="shared" ref="AF14:AF18" si="5">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22"/>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25.5" customHeight="1" x14ac:dyDescent="0.25">
      <c r="A15" s="408"/>
      <c r="B15" s="411"/>
      <c r="C15" s="411"/>
      <c r="D15" s="429"/>
      <c r="E15" s="140"/>
      <c r="F15" s="431"/>
      <c r="G15" s="452"/>
      <c r="H15" s="141"/>
      <c r="I15" s="426"/>
      <c r="J15" s="417"/>
      <c r="K15" s="420"/>
      <c r="L15" s="402"/>
      <c r="M15" s="423"/>
      <c r="N15" s="402">
        <f>IF(NOT(ISERROR(MATCH(M15,_xlfn.ANCHORARRAY(F26),0))),L28&amp;"Por favor no seleccionar los criterios de impacto",M15)</f>
        <v>0</v>
      </c>
      <c r="O15" s="420"/>
      <c r="P15" s="402"/>
      <c r="Q15" s="405"/>
      <c r="R15" s="105">
        <v>3</v>
      </c>
      <c r="S15" s="112"/>
      <c r="T15" s="107" t="str">
        <f t="shared" ref="T15:T18" si="6">IF(OR(U15="Preventivo",U15="Detectivo"),"Probabilidad",IF(U15="Correctivo","Impacto",""))</f>
        <v/>
      </c>
      <c r="U15" s="114"/>
      <c r="V15" s="114"/>
      <c r="W15" s="115" t="str">
        <f t="shared" si="2"/>
        <v/>
      </c>
      <c r="X15" s="114"/>
      <c r="Y15" s="114"/>
      <c r="Z15" s="114"/>
      <c r="AA15" s="108" t="str">
        <f>IFERROR(IF(AND(T14="Probabilidad",T15="Probabilidad"),(AC14-(+AC14*W15)),IF(AND(T14="Impacto",T15="Probabilidad"),(AC13-(+AC13*W15)),IF(T15="Impacto",AC14,""))),"")</f>
        <v/>
      </c>
      <c r="AB15" s="119" t="str">
        <f t="shared" si="3"/>
        <v/>
      </c>
      <c r="AC15" s="120" t="str">
        <f t="shared" ref="AC15:AC18" si="7">+AA15</f>
        <v/>
      </c>
      <c r="AD15" s="119" t="str">
        <f t="shared" si="4"/>
        <v/>
      </c>
      <c r="AE15" s="120" t="str">
        <f t="shared" ref="AE15:AE18" si="8">IFERROR(IF(AND(T14="Impacto",T15="Impacto"),(AE14-(+AE14*W15)),IF(AND(T14="Probabilidad",T15="Impacto"),(AE13-(+AE13*W15)),IF(T15="Probabilidad",AE14,""))),"")</f>
        <v/>
      </c>
      <c r="AF15" s="121" t="str">
        <f t="shared" si="5"/>
        <v/>
      </c>
      <c r="AG15" s="122"/>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5.5" customHeight="1" x14ac:dyDescent="0.25">
      <c r="A16" s="408"/>
      <c r="B16" s="411"/>
      <c r="C16" s="411"/>
      <c r="D16" s="429"/>
      <c r="E16" s="140"/>
      <c r="F16" s="431"/>
      <c r="G16" s="452"/>
      <c r="H16" s="141"/>
      <c r="I16" s="426"/>
      <c r="J16" s="417"/>
      <c r="K16" s="420"/>
      <c r="L16" s="402"/>
      <c r="M16" s="423"/>
      <c r="N16" s="402">
        <f>IF(NOT(ISERROR(MATCH(M16,_xlfn.ANCHORARRAY(F27),0))),L29&amp;"Por favor no seleccionar los criterios de impacto",M16)</f>
        <v>0</v>
      </c>
      <c r="O16" s="420"/>
      <c r="P16" s="402"/>
      <c r="Q16" s="405"/>
      <c r="R16" s="105">
        <v>4</v>
      </c>
      <c r="S16" s="106"/>
      <c r="T16" s="107" t="str">
        <f t="shared" si="6"/>
        <v/>
      </c>
      <c r="U16" s="114"/>
      <c r="V16" s="114"/>
      <c r="W16" s="115" t="str">
        <f t="shared" si="2"/>
        <v/>
      </c>
      <c r="X16" s="114"/>
      <c r="Y16" s="114"/>
      <c r="Z16" s="114"/>
      <c r="AA16" s="108" t="str">
        <f t="shared" ref="AA16:AA18" si="9">IFERROR(IF(AND(T15="Probabilidad",T16="Probabilidad"),(AC15-(+AC15*W16)),IF(AND(T15="Impacto",T16="Probabilidad"),(AC14-(+AC14*W16)),IF(T16="Impacto",AC15,""))),"")</f>
        <v/>
      </c>
      <c r="AB16" s="119" t="str">
        <f t="shared" si="3"/>
        <v/>
      </c>
      <c r="AC16" s="120" t="str">
        <f t="shared" si="7"/>
        <v/>
      </c>
      <c r="AD16" s="119" t="str">
        <f t="shared" si="4"/>
        <v/>
      </c>
      <c r="AE16" s="120" t="str">
        <f t="shared" si="8"/>
        <v/>
      </c>
      <c r="AF16" s="121" t="str">
        <f t="shared" si="5"/>
        <v/>
      </c>
      <c r="AG16" s="122"/>
      <c r="AH16" s="109"/>
      <c r="AI16" s="110"/>
      <c r="AJ16" s="111"/>
      <c r="AK16" s="111"/>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4" customHeight="1" x14ac:dyDescent="0.25">
      <c r="A17" s="408"/>
      <c r="B17" s="411"/>
      <c r="C17" s="411"/>
      <c r="D17" s="429"/>
      <c r="E17" s="140"/>
      <c r="F17" s="431"/>
      <c r="G17" s="452"/>
      <c r="H17" s="141"/>
      <c r="I17" s="426"/>
      <c r="J17" s="417"/>
      <c r="K17" s="420"/>
      <c r="L17" s="402"/>
      <c r="M17" s="423"/>
      <c r="N17" s="402">
        <f>IF(NOT(ISERROR(MATCH(M17,_xlfn.ANCHORARRAY(F28),0))),L30&amp;"Por favor no seleccionar los criterios de impacto",M17)</f>
        <v>0</v>
      </c>
      <c r="O17" s="420"/>
      <c r="P17" s="402"/>
      <c r="Q17" s="405"/>
      <c r="R17" s="105">
        <v>5</v>
      </c>
      <c r="S17" s="106"/>
      <c r="T17" s="107" t="str">
        <f t="shared" si="6"/>
        <v/>
      </c>
      <c r="U17" s="114"/>
      <c r="V17" s="114"/>
      <c r="W17" s="115" t="str">
        <f t="shared" si="2"/>
        <v/>
      </c>
      <c r="X17" s="114"/>
      <c r="Y17" s="114"/>
      <c r="Z17" s="114"/>
      <c r="AA17" s="108" t="str">
        <f t="shared" si="9"/>
        <v/>
      </c>
      <c r="AB17" s="119" t="str">
        <f t="shared" si="3"/>
        <v/>
      </c>
      <c r="AC17" s="120" t="str">
        <f t="shared" si="7"/>
        <v/>
      </c>
      <c r="AD17" s="119" t="str">
        <f t="shared" si="4"/>
        <v/>
      </c>
      <c r="AE17" s="120" t="str">
        <f t="shared" si="8"/>
        <v/>
      </c>
      <c r="AF17" s="121" t="str">
        <f t="shared" si="5"/>
        <v/>
      </c>
      <c r="AG17" s="122"/>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customHeight="1" x14ac:dyDescent="0.25">
      <c r="A18" s="409"/>
      <c r="B18" s="412"/>
      <c r="C18" s="412"/>
      <c r="D18" s="430"/>
      <c r="E18" s="140"/>
      <c r="F18" s="431"/>
      <c r="G18" s="453"/>
      <c r="H18" s="141"/>
      <c r="I18" s="427"/>
      <c r="J18" s="418"/>
      <c r="K18" s="421"/>
      <c r="L18" s="403"/>
      <c r="M18" s="424"/>
      <c r="N18" s="403">
        <f>IF(NOT(ISERROR(MATCH(M18,_xlfn.ANCHORARRAY(F29),0))),L31&amp;"Por favor no seleccionar los criterios de impacto",M18)</f>
        <v>0</v>
      </c>
      <c r="O18" s="421"/>
      <c r="P18" s="403"/>
      <c r="Q18" s="406"/>
      <c r="R18" s="105">
        <v>6</v>
      </c>
      <c r="S18" s="106"/>
      <c r="T18" s="107" t="str">
        <f t="shared" si="6"/>
        <v/>
      </c>
      <c r="U18" s="114"/>
      <c r="V18" s="114"/>
      <c r="W18" s="115" t="str">
        <f t="shared" si="2"/>
        <v/>
      </c>
      <c r="X18" s="114"/>
      <c r="Y18" s="114"/>
      <c r="Z18" s="114"/>
      <c r="AA18" s="108" t="str">
        <f t="shared" si="9"/>
        <v/>
      </c>
      <c r="AB18" s="119" t="str">
        <f t="shared" si="3"/>
        <v/>
      </c>
      <c r="AC18" s="120" t="str">
        <f t="shared" si="7"/>
        <v/>
      </c>
      <c r="AD18" s="119" t="str">
        <f t="shared" si="4"/>
        <v/>
      </c>
      <c r="AE18" s="120" t="str">
        <f t="shared" si="8"/>
        <v/>
      </c>
      <c r="AF18" s="121" t="str">
        <f t="shared" si="5"/>
        <v/>
      </c>
      <c r="AG18" s="122"/>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30.75" customHeight="1" x14ac:dyDescent="0.25">
      <c r="A19" s="407">
        <v>3</v>
      </c>
      <c r="B19" s="410"/>
      <c r="C19" s="410"/>
      <c r="D19" s="428"/>
      <c r="E19" s="204" t="s">
        <v>329</v>
      </c>
      <c r="F19" s="431"/>
      <c r="G19" s="451"/>
      <c r="H19" s="141"/>
      <c r="I19" s="425"/>
      <c r="J19" s="416"/>
      <c r="K19" s="419" t="str">
        <f t="shared" ref="K19" si="10">IF(J19&lt;=0,"",IF(J19&lt;=2,"Muy Baja",IF(J19&lt;=24,"Baja",IF(J19&lt;=500,"Media",IF(J19&lt;=5000,"Alta","Muy Alta")))))</f>
        <v/>
      </c>
      <c r="L19" s="401" t="str">
        <f t="shared" ref="L19" si="11">IF(K19="","",IF(K19="Muy Baja",0.2,IF(K19="Baja",0.4,IF(K19="Media",0.6,IF(K19="Alta",0.8,IF(K19="Muy Alta",1,))))))</f>
        <v/>
      </c>
      <c r="M19" s="422"/>
      <c r="N19" s="401">
        <f>IF(NOT(ISERROR(MATCH(M19,'Tabla Impacto'!$B$221:$B$223,0))),'Tabla Impacto'!$F$223&amp;"Por favor no seleccionar los criterios de impacto(Afectación Económica o presupuestal y Pérdida Reputacional)",M19)</f>
        <v>0</v>
      </c>
      <c r="O19" s="419" t="str">
        <f>IF(OR(N19='Tabla Impacto'!$C$11,N19='Tabla Impacto'!$D$11),"Leve",IF(OR(N19='Tabla Impacto'!$C$12,N19='Tabla Impacto'!$D$12),"Menor",IF(OR(N19='Tabla Impacto'!$C$13,N19='Tabla Impacto'!$D$13),"Moderado",IF(OR(N19='Tabla Impacto'!$C$14,N19='Tabla Impacto'!$D$14),"Mayor",IF(OR(N19='Tabla Impacto'!$C$15,N19='Tabla Impacto'!$D$15),"Catastrófico","")))))</f>
        <v/>
      </c>
      <c r="P19" s="401" t="str">
        <f t="shared" ref="P19" si="12">IF(O19="","",IF(O19="Leve",0.2,IF(O19="Menor",0.4,IF(O19="Moderado",0.6,IF(O19="Mayor",0.8,IF(O19="Catastrófico",1,))))))</f>
        <v/>
      </c>
      <c r="Q19" s="404" t="str">
        <f t="shared" ref="Q19" si="13">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
      </c>
      <c r="R19" s="105">
        <v>1</v>
      </c>
      <c r="S19" s="106"/>
      <c r="T19" s="107" t="str">
        <f>IF(OR(U19="Preventivo",U19="Detectivo"),"Probabilidad",IF(U19="Correctivo","Impacto",""))</f>
        <v/>
      </c>
      <c r="U19" s="114"/>
      <c r="V19" s="114"/>
      <c r="W19" s="115" t="str">
        <f>IF(AND(U19="Preventivo",V19="Automático"),"50%",IF(AND(U19="Preventivo",V19="Manual"),"40%",IF(AND(U19="Detectivo",V19="Automático"),"40%",IF(AND(U19="Detectivo",V19="Manual"),"30%",IF(AND(U19="Correctivo",V19="Automático"),"35%",IF(AND(U19="Correctivo",V19="Manual"),"25%",""))))))</f>
        <v/>
      </c>
      <c r="X19" s="114"/>
      <c r="Y19" s="114"/>
      <c r="Z19" s="114"/>
      <c r="AA19" s="108" t="str">
        <f>IFERROR(IF(T19="Probabilidad",(L19-(+L19*W19)),IF(T19="Impacto",L19,"")),"")</f>
        <v/>
      </c>
      <c r="AB19" s="119" t="str">
        <f>IFERROR(IF(AA19="","",IF(AA19&lt;=0.2,"Muy Baja",IF(AA19&lt;=0.4,"Baja",IF(AA19&lt;=0.6,"Media",IF(AA19&lt;=0.8,"Alta","Muy Alta"))))),"")</f>
        <v/>
      </c>
      <c r="AC19" s="120" t="str">
        <f>+AA19</f>
        <v/>
      </c>
      <c r="AD19" s="119" t="str">
        <f>IFERROR(IF(AE19="","",IF(AE19&lt;=0.2,"Leve",IF(AE19&lt;=0.4,"Menor",IF(AE19&lt;=0.6,"Moderado",IF(AE19&lt;=0.8,"Mayor","Catastrófico"))))),"")</f>
        <v/>
      </c>
      <c r="AE19" s="120" t="str">
        <f>IFERROR(IF(T19="Impacto",(P19-(+P19*W19)),IF(T19="Probabilidad",P19,"")),"")</f>
        <v/>
      </c>
      <c r="AF19" s="121" t="str">
        <f>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122"/>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6.25" customHeight="1" x14ac:dyDescent="0.25">
      <c r="A20" s="408"/>
      <c r="B20" s="411"/>
      <c r="C20" s="411"/>
      <c r="D20" s="429"/>
      <c r="E20" s="140"/>
      <c r="F20" s="431"/>
      <c r="G20" s="452"/>
      <c r="H20" s="141"/>
      <c r="I20" s="426"/>
      <c r="J20" s="417"/>
      <c r="K20" s="420"/>
      <c r="L20" s="402"/>
      <c r="M20" s="423"/>
      <c r="N20" s="402">
        <f>IF(NOT(ISERROR(MATCH(M20,_xlfn.ANCHORARRAY(F31),0))),L33&amp;"Por favor no seleccionar los criterios de impacto",M20)</f>
        <v>0</v>
      </c>
      <c r="O20" s="420"/>
      <c r="P20" s="402"/>
      <c r="Q20" s="405"/>
      <c r="R20" s="105">
        <v>2</v>
      </c>
      <c r="S20" s="106"/>
      <c r="T20" s="107" t="str">
        <f>IF(OR(U20="Preventivo",U20="Detectivo"),"Probabilidad",IF(U20="Correctivo","Impacto",""))</f>
        <v/>
      </c>
      <c r="U20" s="114"/>
      <c r="V20" s="114"/>
      <c r="W20" s="115" t="str">
        <f t="shared" ref="W20:W24" si="14">IF(AND(U20="Preventivo",V20="Automático"),"50%",IF(AND(U20="Preventivo",V20="Manual"),"40%",IF(AND(U20="Detectivo",V20="Automático"),"40%",IF(AND(U20="Detectivo",V20="Manual"),"30%",IF(AND(U20="Correctivo",V20="Automático"),"35%",IF(AND(U20="Correctivo",V20="Manual"),"25%",""))))))</f>
        <v/>
      </c>
      <c r="X20" s="114"/>
      <c r="Y20" s="114"/>
      <c r="Z20" s="114"/>
      <c r="AA20" s="108" t="str">
        <f>IFERROR(IF(AND(T19="Probabilidad",T20="Probabilidad"),(AC19-(+AC19*W20)),IF(AND(T19="Impacto",T20="Probabilidad"),(L19-(+L19*W20)),IF(T20="Impacto",AC19,""))),"")</f>
        <v/>
      </c>
      <c r="AB20" s="119" t="str">
        <f t="shared" ref="AB20:AB24" si="15">IFERROR(IF(AA20="","",IF(AA20&lt;=0.2,"Muy Baja",IF(AA20&lt;=0.4,"Baja",IF(AA20&lt;=0.6,"Media",IF(AA20&lt;=0.8,"Alta","Muy Alta"))))),"")</f>
        <v/>
      </c>
      <c r="AC20" s="120" t="str">
        <f>+AA20</f>
        <v/>
      </c>
      <c r="AD20" s="119" t="str">
        <f t="shared" ref="AD20:AD24" si="16">IFERROR(IF(AE20="","",IF(AE20&lt;=0.2,"Leve",IF(AE20&lt;=0.4,"Menor",IF(AE20&lt;=0.6,"Moderado",IF(AE20&lt;=0.8,"Mayor","Catastrófico"))))),"")</f>
        <v/>
      </c>
      <c r="AE20" s="120" t="str">
        <f>IFERROR(IF(AND(T19="Impacto",T20="Impacto"),(AE19-(+AE19*W20)),IF(AND(T19="Probabilidad",T20="Impacto"),(P19-(+P19*W20)),IF(T20="Probabilidad",AE19,""))),"")</f>
        <v/>
      </c>
      <c r="AF20" s="121" t="str">
        <f t="shared" ref="AF20:AF24" si="17">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22"/>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6.25" customHeight="1" x14ac:dyDescent="0.25">
      <c r="A21" s="408"/>
      <c r="B21" s="411"/>
      <c r="C21" s="411"/>
      <c r="D21" s="429"/>
      <c r="E21" s="140"/>
      <c r="F21" s="431"/>
      <c r="G21" s="452"/>
      <c r="H21" s="141"/>
      <c r="I21" s="426"/>
      <c r="J21" s="417"/>
      <c r="K21" s="420"/>
      <c r="L21" s="402"/>
      <c r="M21" s="423"/>
      <c r="N21" s="402">
        <f>IF(NOT(ISERROR(MATCH(M21,_xlfn.ANCHORARRAY(F32),0))),L34&amp;"Por favor no seleccionar los criterios de impacto",M21)</f>
        <v>0</v>
      </c>
      <c r="O21" s="420"/>
      <c r="P21" s="402"/>
      <c r="Q21" s="405"/>
      <c r="R21" s="105">
        <v>3</v>
      </c>
      <c r="S21" s="112"/>
      <c r="T21" s="107" t="str">
        <f t="shared" ref="T21:T24" si="18">IF(OR(U21="Preventivo",U21="Detectivo"),"Probabilidad",IF(U21="Correctivo","Impacto",""))</f>
        <v/>
      </c>
      <c r="U21" s="114"/>
      <c r="V21" s="114"/>
      <c r="W21" s="115" t="str">
        <f t="shared" si="14"/>
        <v/>
      </c>
      <c r="X21" s="114"/>
      <c r="Y21" s="114"/>
      <c r="Z21" s="114"/>
      <c r="AA21" s="108" t="str">
        <f>IFERROR(IF(AND(T20="Probabilidad",T21="Probabilidad"),(AC20-(+AC20*W21)),IF(AND(T20="Impacto",T21="Probabilidad"),(AC19-(+AC19*W21)),IF(T21="Impacto",AC20,""))),"")</f>
        <v/>
      </c>
      <c r="AB21" s="119" t="str">
        <f t="shared" si="15"/>
        <v/>
      </c>
      <c r="AC21" s="120" t="str">
        <f t="shared" ref="AC21:AC24" si="19">+AA21</f>
        <v/>
      </c>
      <c r="AD21" s="119" t="str">
        <f t="shared" si="16"/>
        <v/>
      </c>
      <c r="AE21" s="120" t="str">
        <f t="shared" ref="AE21:AE24" si="20">IFERROR(IF(AND(T20="Impacto",T21="Impacto"),(AE20-(+AE20*W21)),IF(AND(T20="Probabilidad",T21="Impacto"),(AE19-(+AE19*W21)),IF(T21="Probabilidad",AE20,""))),"")</f>
        <v/>
      </c>
      <c r="AF21" s="121" t="str">
        <f t="shared" si="17"/>
        <v/>
      </c>
      <c r="AG21" s="122"/>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408"/>
      <c r="B22" s="411"/>
      <c r="C22" s="411"/>
      <c r="D22" s="429"/>
      <c r="E22" s="140"/>
      <c r="F22" s="431"/>
      <c r="G22" s="452"/>
      <c r="H22" s="141"/>
      <c r="I22" s="426"/>
      <c r="J22" s="417"/>
      <c r="K22" s="420"/>
      <c r="L22" s="402"/>
      <c r="M22" s="423"/>
      <c r="N22" s="402">
        <f>IF(NOT(ISERROR(MATCH(M22,_xlfn.ANCHORARRAY(F33),0))),L35&amp;"Por favor no seleccionar los criterios de impacto",M22)</f>
        <v>0</v>
      </c>
      <c r="O22" s="420"/>
      <c r="P22" s="402"/>
      <c r="Q22" s="405"/>
      <c r="R22" s="105">
        <v>4</v>
      </c>
      <c r="S22" s="106"/>
      <c r="T22" s="107" t="str">
        <f t="shared" si="18"/>
        <v/>
      </c>
      <c r="U22" s="114"/>
      <c r="V22" s="114"/>
      <c r="W22" s="115" t="str">
        <f t="shared" si="14"/>
        <v/>
      </c>
      <c r="X22" s="114"/>
      <c r="Y22" s="114"/>
      <c r="Z22" s="114"/>
      <c r="AA22" s="108" t="str">
        <f t="shared" ref="AA22:AA24" si="21">IFERROR(IF(AND(T21="Probabilidad",T22="Probabilidad"),(AC21-(+AC21*W22)),IF(AND(T21="Impacto",T22="Probabilidad"),(AC20-(+AC20*W22)),IF(T22="Impacto",AC21,""))),"")</f>
        <v/>
      </c>
      <c r="AB22" s="119" t="str">
        <f t="shared" si="15"/>
        <v/>
      </c>
      <c r="AC22" s="120" t="str">
        <f t="shared" si="19"/>
        <v/>
      </c>
      <c r="AD22" s="119" t="str">
        <f t="shared" si="16"/>
        <v/>
      </c>
      <c r="AE22" s="120" t="str">
        <f t="shared" si="20"/>
        <v/>
      </c>
      <c r="AF22" s="121" t="str">
        <f t="shared" si="17"/>
        <v/>
      </c>
      <c r="AG22" s="122"/>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408"/>
      <c r="B23" s="411"/>
      <c r="C23" s="411"/>
      <c r="D23" s="429"/>
      <c r="E23" s="140"/>
      <c r="F23" s="431"/>
      <c r="G23" s="452"/>
      <c r="H23" s="141"/>
      <c r="I23" s="426"/>
      <c r="J23" s="417"/>
      <c r="K23" s="420"/>
      <c r="L23" s="402"/>
      <c r="M23" s="423"/>
      <c r="N23" s="402">
        <f>IF(NOT(ISERROR(MATCH(M23,_xlfn.ANCHORARRAY(F34),0))),L36&amp;"Por favor no seleccionar los criterios de impacto",M23)</f>
        <v>0</v>
      </c>
      <c r="O23" s="420"/>
      <c r="P23" s="402"/>
      <c r="Q23" s="405"/>
      <c r="R23" s="105">
        <v>5</v>
      </c>
      <c r="S23" s="106"/>
      <c r="T23" s="107" t="str">
        <f t="shared" si="18"/>
        <v/>
      </c>
      <c r="U23" s="114"/>
      <c r="V23" s="114"/>
      <c r="W23" s="115" t="str">
        <f t="shared" si="14"/>
        <v/>
      </c>
      <c r="X23" s="114"/>
      <c r="Y23" s="114"/>
      <c r="Z23" s="114"/>
      <c r="AA23" s="108" t="str">
        <f t="shared" si="21"/>
        <v/>
      </c>
      <c r="AB23" s="119" t="str">
        <f t="shared" si="15"/>
        <v/>
      </c>
      <c r="AC23" s="120" t="str">
        <f t="shared" si="19"/>
        <v/>
      </c>
      <c r="AD23" s="119" t="str">
        <f t="shared" si="16"/>
        <v/>
      </c>
      <c r="AE23" s="120" t="str">
        <f t="shared" si="20"/>
        <v/>
      </c>
      <c r="AF23" s="121" t="str">
        <f t="shared" si="17"/>
        <v/>
      </c>
      <c r="AG23" s="122"/>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409"/>
      <c r="B24" s="412"/>
      <c r="C24" s="412"/>
      <c r="D24" s="430"/>
      <c r="E24" s="140"/>
      <c r="F24" s="431"/>
      <c r="G24" s="453"/>
      <c r="H24" s="141"/>
      <c r="I24" s="427"/>
      <c r="J24" s="418"/>
      <c r="K24" s="421"/>
      <c r="L24" s="403"/>
      <c r="M24" s="424"/>
      <c r="N24" s="403">
        <f>IF(NOT(ISERROR(MATCH(M24,_xlfn.ANCHORARRAY(F35),0))),L37&amp;"Por favor no seleccionar los criterios de impacto",M24)</f>
        <v>0</v>
      </c>
      <c r="O24" s="421"/>
      <c r="P24" s="403"/>
      <c r="Q24" s="406"/>
      <c r="R24" s="105">
        <v>6</v>
      </c>
      <c r="S24" s="106"/>
      <c r="T24" s="107" t="str">
        <f t="shared" si="18"/>
        <v/>
      </c>
      <c r="U24" s="114"/>
      <c r="V24" s="114"/>
      <c r="W24" s="115" t="str">
        <f t="shared" si="14"/>
        <v/>
      </c>
      <c r="X24" s="114"/>
      <c r="Y24" s="114"/>
      <c r="Z24" s="114"/>
      <c r="AA24" s="108" t="str">
        <f t="shared" si="21"/>
        <v/>
      </c>
      <c r="AB24" s="119" t="str">
        <f t="shared" si="15"/>
        <v/>
      </c>
      <c r="AC24" s="120" t="str">
        <f t="shared" si="19"/>
        <v/>
      </c>
      <c r="AD24" s="119" t="str">
        <f t="shared" si="16"/>
        <v/>
      </c>
      <c r="AE24" s="120" t="str">
        <f t="shared" si="20"/>
        <v/>
      </c>
      <c r="AF24" s="121" t="str">
        <f t="shared" si="17"/>
        <v/>
      </c>
      <c r="AG24" s="122"/>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407">
        <v>4</v>
      </c>
      <c r="B25" s="410"/>
      <c r="C25" s="410"/>
      <c r="D25" s="428"/>
      <c r="E25" s="140"/>
      <c r="F25" s="431"/>
      <c r="G25" s="451"/>
      <c r="H25" s="141"/>
      <c r="I25" s="425"/>
      <c r="J25" s="416"/>
      <c r="K25" s="419" t="str">
        <f t="shared" ref="K25" si="22">IF(J25&lt;=0,"",IF(J25&lt;=2,"Muy Baja",IF(J25&lt;=24,"Baja",IF(J25&lt;=500,"Media",IF(J25&lt;=5000,"Alta","Muy Alta")))))</f>
        <v/>
      </c>
      <c r="L25" s="401" t="str">
        <f t="shared" ref="L25" si="23">IF(K25="","",IF(K25="Muy Baja",0.2,IF(K25="Baja",0.4,IF(K25="Media",0.6,IF(K25="Alta",0.8,IF(K25="Muy Alta",1,))))))</f>
        <v/>
      </c>
      <c r="M25" s="422"/>
      <c r="N25" s="401">
        <f>IF(NOT(ISERROR(MATCH(M25,'Tabla Impacto'!$B$221:$B$223,0))),'Tabla Impacto'!$F$223&amp;"Por favor no seleccionar los criterios de impacto(Afectación Económica o presupuestal y Pérdida Reputacional)",M25)</f>
        <v>0</v>
      </c>
      <c r="O25" s="419" t="str">
        <f>IF(OR(N25='Tabla Impacto'!$C$11,N25='Tabla Impacto'!$D$11),"Leve",IF(OR(N25='Tabla Impacto'!$C$12,N25='Tabla Impacto'!$D$12),"Menor",IF(OR(N25='Tabla Impacto'!$C$13,N25='Tabla Impacto'!$D$13),"Moderado",IF(OR(N25='Tabla Impacto'!$C$14,N25='Tabla Impacto'!$D$14),"Mayor",IF(OR(N25='Tabla Impacto'!$C$15,N25='Tabla Impacto'!$D$15),"Catastrófico","")))))</f>
        <v/>
      </c>
      <c r="P25" s="401" t="str">
        <f t="shared" ref="P25" si="24">IF(O25="","",IF(O25="Leve",0.2,IF(O25="Menor",0.4,IF(O25="Moderado",0.6,IF(O25="Mayor",0.8,IF(O25="Catastrófico",1,))))))</f>
        <v/>
      </c>
      <c r="Q25" s="404" t="str">
        <f t="shared" ref="Q25" si="25">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
      </c>
      <c r="R25" s="105">
        <v>1</v>
      </c>
      <c r="S25" s="106"/>
      <c r="T25" s="107" t="str">
        <f>IF(OR(U25="Preventivo",U25="Detectivo"),"Probabilidad",IF(U25="Correctivo","Impacto",""))</f>
        <v/>
      </c>
      <c r="U25" s="114"/>
      <c r="V25" s="114"/>
      <c r="W25" s="115" t="str">
        <f>IF(AND(U25="Preventivo",V25="Automático"),"50%",IF(AND(U25="Preventivo",V25="Manual"),"40%",IF(AND(U25="Detectivo",V25="Automático"),"40%",IF(AND(U25="Detectivo",V25="Manual"),"30%",IF(AND(U25="Correctivo",V25="Automático"),"35%",IF(AND(U25="Correctivo",V25="Manual"),"25%",""))))))</f>
        <v/>
      </c>
      <c r="X25" s="114"/>
      <c r="Y25" s="114"/>
      <c r="Z25" s="114"/>
      <c r="AA25" s="108" t="str">
        <f>IFERROR(IF(T25="Probabilidad",(L25-(+L25*W25)),IF(T25="Impacto",L25,"")),"")</f>
        <v/>
      </c>
      <c r="AB25" s="119" t="str">
        <f>IFERROR(IF(AA25="","",IF(AA25&lt;=0.2,"Muy Baja",IF(AA25&lt;=0.4,"Baja",IF(AA25&lt;=0.6,"Media",IF(AA25&lt;=0.8,"Alta","Muy Alta"))))),"")</f>
        <v/>
      </c>
      <c r="AC25" s="120" t="str">
        <f>+AA25</f>
        <v/>
      </c>
      <c r="AD25" s="119" t="str">
        <f>IFERROR(IF(AE25="","",IF(AE25&lt;=0.2,"Leve",IF(AE25&lt;=0.4,"Menor",IF(AE25&lt;=0.6,"Moderado",IF(AE25&lt;=0.8,"Mayor","Catastrófico"))))),"")</f>
        <v/>
      </c>
      <c r="AE25" s="120" t="str">
        <f>IFERROR(IF(T25="Impacto",(P25-(+P25*W25)),IF(T25="Probabilidad",P25,"")),"")</f>
        <v/>
      </c>
      <c r="AF25" s="121" t="str">
        <f>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122"/>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408"/>
      <c r="B26" s="411"/>
      <c r="C26" s="411"/>
      <c r="D26" s="429"/>
      <c r="E26" s="140"/>
      <c r="F26" s="431"/>
      <c r="G26" s="452"/>
      <c r="H26" s="141"/>
      <c r="I26" s="426"/>
      <c r="J26" s="417"/>
      <c r="K26" s="420"/>
      <c r="L26" s="402"/>
      <c r="M26" s="423"/>
      <c r="N26" s="402">
        <f>IF(NOT(ISERROR(MATCH(M26,_xlfn.ANCHORARRAY(F37),0))),L39&amp;"Por favor no seleccionar los criterios de impacto",M26)</f>
        <v>0</v>
      </c>
      <c r="O26" s="420"/>
      <c r="P26" s="402"/>
      <c r="Q26" s="405"/>
      <c r="R26" s="105">
        <v>2</v>
      </c>
      <c r="S26" s="106"/>
      <c r="T26" s="107" t="str">
        <f>IF(OR(U26="Preventivo",U26="Detectivo"),"Probabilidad",IF(U26="Correctivo","Impacto",""))</f>
        <v/>
      </c>
      <c r="U26" s="114"/>
      <c r="V26" s="114"/>
      <c r="W26" s="115" t="str">
        <f t="shared" ref="W26:W30" si="26">IF(AND(U26="Preventivo",V26="Automático"),"50%",IF(AND(U26="Preventivo",V26="Manual"),"40%",IF(AND(U26="Detectivo",V26="Automático"),"40%",IF(AND(U26="Detectivo",V26="Manual"),"30%",IF(AND(U26="Correctivo",V26="Automático"),"35%",IF(AND(U26="Correctivo",V26="Manual"),"25%",""))))))</f>
        <v/>
      </c>
      <c r="X26" s="114"/>
      <c r="Y26" s="114"/>
      <c r="Z26" s="114"/>
      <c r="AA26" s="108" t="str">
        <f>IFERROR(IF(AND(T25="Probabilidad",T26="Probabilidad"),(AC25-(+AC25*W26)),IF(AND(T25="Impacto",T26="Probabilidad"),(L25-(+L25*W26)),IF(T26="Impacto",AC25,""))),"")</f>
        <v/>
      </c>
      <c r="AB26" s="119" t="str">
        <f t="shared" ref="AB26:AB30" si="27">IFERROR(IF(AA26="","",IF(AA26&lt;=0.2,"Muy Baja",IF(AA26&lt;=0.4,"Baja",IF(AA26&lt;=0.6,"Media",IF(AA26&lt;=0.8,"Alta","Muy Alta"))))),"")</f>
        <v/>
      </c>
      <c r="AC26" s="120" t="str">
        <f>+AA26</f>
        <v/>
      </c>
      <c r="AD26" s="119" t="str">
        <f t="shared" ref="AD26:AD30" si="28">IFERROR(IF(AE26="","",IF(AE26&lt;=0.2,"Leve",IF(AE26&lt;=0.4,"Menor",IF(AE26&lt;=0.6,"Moderado",IF(AE26&lt;=0.8,"Mayor","Catastrófico"))))),"")</f>
        <v/>
      </c>
      <c r="AE26" s="120" t="str">
        <f>IFERROR(IF(AND(T25="Impacto",T26="Impacto"),(AE25-(+AE25*W26)),IF(AND(T25="Probabilidad",T26="Impacto"),(P25-(+P25*W26)),IF(T26="Probabilidad",AE25,""))),"")</f>
        <v/>
      </c>
      <c r="AF26" s="121" t="str">
        <f t="shared" ref="AF26:AF30" si="29">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22"/>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08"/>
      <c r="B27" s="411"/>
      <c r="C27" s="411"/>
      <c r="D27" s="429"/>
      <c r="E27" s="140"/>
      <c r="F27" s="431"/>
      <c r="G27" s="452"/>
      <c r="H27" s="141"/>
      <c r="I27" s="426"/>
      <c r="J27" s="417"/>
      <c r="K27" s="420"/>
      <c r="L27" s="402"/>
      <c r="M27" s="423"/>
      <c r="N27" s="402">
        <f>IF(NOT(ISERROR(MATCH(M27,_xlfn.ANCHORARRAY(F38),0))),L40&amp;"Por favor no seleccionar los criterios de impacto",M27)</f>
        <v>0</v>
      </c>
      <c r="O27" s="420"/>
      <c r="P27" s="402"/>
      <c r="Q27" s="405"/>
      <c r="R27" s="105">
        <v>3</v>
      </c>
      <c r="S27" s="112"/>
      <c r="T27" s="107" t="str">
        <f t="shared" ref="T27:T30" si="30">IF(OR(U27="Preventivo",U27="Detectivo"),"Probabilidad",IF(U27="Correctivo","Impacto",""))</f>
        <v/>
      </c>
      <c r="U27" s="114"/>
      <c r="V27" s="114"/>
      <c r="W27" s="115" t="str">
        <f t="shared" si="26"/>
        <v/>
      </c>
      <c r="X27" s="114"/>
      <c r="Y27" s="114"/>
      <c r="Z27" s="114"/>
      <c r="AA27" s="108" t="str">
        <f>IFERROR(IF(AND(T26="Probabilidad",T27="Probabilidad"),(AC26-(+AC26*W27)),IF(AND(T26="Impacto",T27="Probabilidad"),(AC25-(+AC25*W27)),IF(T27="Impacto",AC26,""))),"")</f>
        <v/>
      </c>
      <c r="AB27" s="119" t="str">
        <f t="shared" si="27"/>
        <v/>
      </c>
      <c r="AC27" s="120" t="str">
        <f t="shared" ref="AC27:AC30" si="31">+AA27</f>
        <v/>
      </c>
      <c r="AD27" s="119" t="str">
        <f t="shared" si="28"/>
        <v/>
      </c>
      <c r="AE27" s="120" t="str">
        <f t="shared" ref="AE27:AE30" si="32">IFERROR(IF(AND(T26="Impacto",T27="Impacto"),(AE26-(+AE26*W27)),IF(AND(T26="Probabilidad",T27="Impacto"),(AE25-(+AE25*W27)),IF(T27="Probabilidad",AE26,""))),"")</f>
        <v/>
      </c>
      <c r="AF27" s="121" t="str">
        <f t="shared" si="29"/>
        <v/>
      </c>
      <c r="AG27" s="122"/>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408"/>
      <c r="B28" s="411"/>
      <c r="C28" s="411"/>
      <c r="D28" s="429"/>
      <c r="E28" s="140"/>
      <c r="F28" s="431"/>
      <c r="G28" s="452"/>
      <c r="H28" s="141"/>
      <c r="I28" s="426"/>
      <c r="J28" s="417"/>
      <c r="K28" s="420"/>
      <c r="L28" s="402"/>
      <c r="M28" s="423"/>
      <c r="N28" s="402">
        <f>IF(NOT(ISERROR(MATCH(M28,_xlfn.ANCHORARRAY(F39),0))),L41&amp;"Por favor no seleccionar los criterios de impacto",M28)</f>
        <v>0</v>
      </c>
      <c r="O28" s="420"/>
      <c r="P28" s="402"/>
      <c r="Q28" s="405"/>
      <c r="R28" s="105">
        <v>4</v>
      </c>
      <c r="S28" s="106"/>
      <c r="T28" s="107" t="str">
        <f t="shared" si="30"/>
        <v/>
      </c>
      <c r="U28" s="114"/>
      <c r="V28" s="114"/>
      <c r="W28" s="115" t="str">
        <f t="shared" si="26"/>
        <v/>
      </c>
      <c r="X28" s="114"/>
      <c r="Y28" s="114"/>
      <c r="Z28" s="114"/>
      <c r="AA28" s="108" t="str">
        <f t="shared" ref="AA28:AA30" si="33">IFERROR(IF(AND(T27="Probabilidad",T28="Probabilidad"),(AC27-(+AC27*W28)),IF(AND(T27="Impacto",T28="Probabilidad"),(AC26-(+AC26*W28)),IF(T28="Impacto",AC27,""))),"")</f>
        <v/>
      </c>
      <c r="AB28" s="119" t="str">
        <f t="shared" si="27"/>
        <v/>
      </c>
      <c r="AC28" s="120" t="str">
        <f t="shared" si="31"/>
        <v/>
      </c>
      <c r="AD28" s="119" t="str">
        <f t="shared" si="28"/>
        <v/>
      </c>
      <c r="AE28" s="120" t="str">
        <f t="shared" si="32"/>
        <v/>
      </c>
      <c r="AF28" s="121" t="str">
        <f t="shared" si="29"/>
        <v/>
      </c>
      <c r="AG28" s="122"/>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408"/>
      <c r="B29" s="411"/>
      <c r="C29" s="411"/>
      <c r="D29" s="429"/>
      <c r="E29" s="140"/>
      <c r="F29" s="431"/>
      <c r="G29" s="452"/>
      <c r="H29" s="141"/>
      <c r="I29" s="426"/>
      <c r="J29" s="417"/>
      <c r="K29" s="420"/>
      <c r="L29" s="402"/>
      <c r="M29" s="423"/>
      <c r="N29" s="402">
        <f>IF(NOT(ISERROR(MATCH(M29,_xlfn.ANCHORARRAY(F40),0))),L42&amp;"Por favor no seleccionar los criterios de impacto",M29)</f>
        <v>0</v>
      </c>
      <c r="O29" s="420"/>
      <c r="P29" s="402"/>
      <c r="Q29" s="405"/>
      <c r="R29" s="105">
        <v>5</v>
      </c>
      <c r="S29" s="106"/>
      <c r="T29" s="107" t="str">
        <f t="shared" si="30"/>
        <v/>
      </c>
      <c r="U29" s="114"/>
      <c r="V29" s="114"/>
      <c r="W29" s="115" t="str">
        <f t="shared" si="26"/>
        <v/>
      </c>
      <c r="X29" s="114"/>
      <c r="Y29" s="114"/>
      <c r="Z29" s="114"/>
      <c r="AA29" s="108" t="str">
        <f t="shared" si="33"/>
        <v/>
      </c>
      <c r="AB29" s="119" t="str">
        <f t="shared" si="27"/>
        <v/>
      </c>
      <c r="AC29" s="120" t="str">
        <f t="shared" si="31"/>
        <v/>
      </c>
      <c r="AD29" s="119" t="str">
        <f t="shared" si="28"/>
        <v/>
      </c>
      <c r="AE29" s="120" t="str">
        <f t="shared" si="32"/>
        <v/>
      </c>
      <c r="AF29" s="121" t="str">
        <f t="shared" si="29"/>
        <v/>
      </c>
      <c r="AG29" s="122"/>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409"/>
      <c r="B30" s="412"/>
      <c r="C30" s="412"/>
      <c r="D30" s="430"/>
      <c r="E30" s="140"/>
      <c r="F30" s="431"/>
      <c r="G30" s="453"/>
      <c r="H30" s="141"/>
      <c r="I30" s="427"/>
      <c r="J30" s="418"/>
      <c r="K30" s="421"/>
      <c r="L30" s="403"/>
      <c r="M30" s="424"/>
      <c r="N30" s="403">
        <f>IF(NOT(ISERROR(MATCH(M30,_xlfn.ANCHORARRAY(F41),0))),L43&amp;"Por favor no seleccionar los criterios de impacto",M30)</f>
        <v>0</v>
      </c>
      <c r="O30" s="421"/>
      <c r="P30" s="403"/>
      <c r="Q30" s="406"/>
      <c r="R30" s="105">
        <v>6</v>
      </c>
      <c r="S30" s="106"/>
      <c r="T30" s="107" t="str">
        <f t="shared" si="30"/>
        <v/>
      </c>
      <c r="U30" s="114"/>
      <c r="V30" s="114"/>
      <c r="W30" s="115" t="str">
        <f t="shared" si="26"/>
        <v/>
      </c>
      <c r="X30" s="114"/>
      <c r="Y30" s="114"/>
      <c r="Z30" s="114"/>
      <c r="AA30" s="108" t="str">
        <f t="shared" si="33"/>
        <v/>
      </c>
      <c r="AB30" s="119" t="str">
        <f t="shared" si="27"/>
        <v/>
      </c>
      <c r="AC30" s="120" t="str">
        <f t="shared" si="31"/>
        <v/>
      </c>
      <c r="AD30" s="119" t="str">
        <f t="shared" si="28"/>
        <v/>
      </c>
      <c r="AE30" s="120" t="str">
        <f t="shared" si="32"/>
        <v/>
      </c>
      <c r="AF30" s="121" t="str">
        <f t="shared" si="29"/>
        <v/>
      </c>
      <c r="AG30" s="122"/>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407">
        <v>5</v>
      </c>
      <c r="B31" s="410"/>
      <c r="C31" s="410"/>
      <c r="D31" s="428"/>
      <c r="E31" s="140"/>
      <c r="F31" s="431"/>
      <c r="G31" s="451"/>
      <c r="H31" s="141"/>
      <c r="I31" s="425"/>
      <c r="J31" s="416"/>
      <c r="K31" s="419" t="str">
        <f t="shared" ref="K31" si="34">IF(J31&lt;=0,"",IF(J31&lt;=2,"Muy Baja",IF(J31&lt;=24,"Baja",IF(J31&lt;=500,"Media",IF(J31&lt;=5000,"Alta","Muy Alta")))))</f>
        <v/>
      </c>
      <c r="L31" s="401" t="str">
        <f t="shared" ref="L31" si="35">IF(K31="","",IF(K31="Muy Baja",0.2,IF(K31="Baja",0.4,IF(K31="Media",0.6,IF(K31="Alta",0.8,IF(K31="Muy Alta",1,))))))</f>
        <v/>
      </c>
      <c r="M31" s="422"/>
      <c r="N31" s="401">
        <f>IF(NOT(ISERROR(MATCH(M31,'Tabla Impacto'!$B$221:$B$223,0))),'Tabla Impacto'!$F$223&amp;"Por favor no seleccionar los criterios de impacto(Afectación Económica o presupuestal y Pérdida Reputacional)",M31)</f>
        <v>0</v>
      </c>
      <c r="O31" s="419" t="str">
        <f>IF(OR(N31='Tabla Impacto'!$C$11,N31='Tabla Impacto'!$D$11),"Leve",IF(OR(N31='Tabla Impacto'!$C$12,N31='Tabla Impacto'!$D$12),"Menor",IF(OR(N31='Tabla Impacto'!$C$13,N31='Tabla Impacto'!$D$13),"Moderado",IF(OR(N31='Tabla Impacto'!$C$14,N31='Tabla Impacto'!$D$14),"Mayor",IF(OR(N31='Tabla Impacto'!$C$15,N31='Tabla Impacto'!$D$15),"Catastrófico","")))))</f>
        <v/>
      </c>
      <c r="P31" s="401" t="str">
        <f t="shared" ref="P31" si="36">IF(O31="","",IF(O31="Leve",0.2,IF(O31="Menor",0.4,IF(O31="Moderado",0.6,IF(O31="Mayor",0.8,IF(O31="Catastrófico",1,))))))</f>
        <v/>
      </c>
      <c r="Q31" s="404" t="str">
        <f t="shared" ref="Q31" si="37">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
      </c>
      <c r="R31" s="105">
        <v>1</v>
      </c>
      <c r="S31" s="106"/>
      <c r="T31" s="107" t="str">
        <f>IF(OR(U31="Preventivo",U31="Detectivo"),"Probabilidad",IF(U31="Correctivo","Impacto",""))</f>
        <v/>
      </c>
      <c r="U31" s="114"/>
      <c r="V31" s="114"/>
      <c r="W31" s="115" t="str">
        <f>IF(AND(U31="Preventivo",V31="Automático"),"50%",IF(AND(U31="Preventivo",V31="Manual"),"40%",IF(AND(U31="Detectivo",V31="Automático"),"40%",IF(AND(U31="Detectivo",V31="Manual"),"30%",IF(AND(U31="Correctivo",V31="Automático"),"35%",IF(AND(U31="Correctivo",V31="Manual"),"25%",""))))))</f>
        <v/>
      </c>
      <c r="X31" s="114"/>
      <c r="Y31" s="114"/>
      <c r="Z31" s="114"/>
      <c r="AA31" s="108" t="str">
        <f>IFERROR(IF(T31="Probabilidad",(L31-(+L31*W31)),IF(T31="Impacto",L31,"")),"")</f>
        <v/>
      </c>
      <c r="AB31" s="119" t="str">
        <f>IFERROR(IF(AA31="","",IF(AA31&lt;=0.2,"Muy Baja",IF(AA31&lt;=0.4,"Baja",IF(AA31&lt;=0.6,"Media",IF(AA31&lt;=0.8,"Alta","Muy Alta"))))),"")</f>
        <v/>
      </c>
      <c r="AC31" s="120" t="str">
        <f>+AA31</f>
        <v/>
      </c>
      <c r="AD31" s="119" t="str">
        <f>IFERROR(IF(AE31="","",IF(AE31&lt;=0.2,"Leve",IF(AE31&lt;=0.4,"Menor",IF(AE31&lt;=0.6,"Moderado",IF(AE31&lt;=0.8,"Mayor","Catastrófico"))))),"")</f>
        <v/>
      </c>
      <c r="AE31" s="120" t="str">
        <f>IFERROR(IF(T31="Impacto",(P31-(+P31*W31)),IF(T31="Probabilidad",P31,"")),"")</f>
        <v/>
      </c>
      <c r="AF31" s="121" t="str">
        <f>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122"/>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408"/>
      <c r="B32" s="411"/>
      <c r="C32" s="411"/>
      <c r="D32" s="429"/>
      <c r="E32" s="140"/>
      <c r="F32" s="431"/>
      <c r="G32" s="452"/>
      <c r="H32" s="141"/>
      <c r="I32" s="426"/>
      <c r="J32" s="417"/>
      <c r="K32" s="420"/>
      <c r="L32" s="402"/>
      <c r="M32" s="423"/>
      <c r="N32" s="402">
        <f>IF(NOT(ISERROR(MATCH(M32,_xlfn.ANCHORARRAY(F43),0))),L45&amp;"Por favor no seleccionar los criterios de impacto",M32)</f>
        <v>0</v>
      </c>
      <c r="O32" s="420"/>
      <c r="P32" s="402"/>
      <c r="Q32" s="405"/>
      <c r="R32" s="105">
        <v>2</v>
      </c>
      <c r="S32" s="106"/>
      <c r="T32" s="107" t="str">
        <f>IF(OR(U32="Preventivo",U32="Detectivo"),"Probabilidad",IF(U32="Correctivo","Impacto",""))</f>
        <v/>
      </c>
      <c r="U32" s="114"/>
      <c r="V32" s="114"/>
      <c r="W32" s="115" t="str">
        <f t="shared" ref="W32:W36" si="38">IF(AND(U32="Preventivo",V32="Automático"),"50%",IF(AND(U32="Preventivo",V32="Manual"),"40%",IF(AND(U32="Detectivo",V32="Automático"),"40%",IF(AND(U32="Detectivo",V32="Manual"),"30%",IF(AND(U32="Correctivo",V32="Automático"),"35%",IF(AND(U32="Correctivo",V32="Manual"),"25%",""))))))</f>
        <v/>
      </c>
      <c r="X32" s="114"/>
      <c r="Y32" s="114"/>
      <c r="Z32" s="114"/>
      <c r="AA32" s="108" t="str">
        <f>IFERROR(IF(AND(T31="Probabilidad",T32="Probabilidad"),(AC31-(+AC31*W32)),IF(AND(T31="Impacto",T32="Probabilidad"),(L31-(+L31*W32)),IF(T32="Impacto",AC31,""))),"")</f>
        <v/>
      </c>
      <c r="AB32" s="119" t="str">
        <f t="shared" ref="AB32:AB36" si="39">IFERROR(IF(AA32="","",IF(AA32&lt;=0.2,"Muy Baja",IF(AA32&lt;=0.4,"Baja",IF(AA32&lt;=0.6,"Media",IF(AA32&lt;=0.8,"Alta","Muy Alta"))))),"")</f>
        <v/>
      </c>
      <c r="AC32" s="120" t="str">
        <f>+AA32</f>
        <v/>
      </c>
      <c r="AD32" s="119" t="str">
        <f t="shared" ref="AD32:AD36" si="40">IFERROR(IF(AE32="","",IF(AE32&lt;=0.2,"Leve",IF(AE32&lt;=0.4,"Menor",IF(AE32&lt;=0.6,"Moderado",IF(AE32&lt;=0.8,"Mayor","Catastrófico"))))),"")</f>
        <v/>
      </c>
      <c r="AE32" s="120" t="str">
        <f>IFERROR(IF(AND(T31="Impacto",T32="Impacto"),(AE31-(+AE31*W32)),IF(AND(T31="Probabilidad",T32="Impacto"),(P31-(+P31*W32)),IF(T32="Probabilidad",AE31,""))),"")</f>
        <v/>
      </c>
      <c r="AF32" s="121" t="str">
        <f t="shared" ref="AF32:AF36" si="41">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22"/>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08"/>
      <c r="B33" s="411"/>
      <c r="C33" s="411"/>
      <c r="D33" s="429"/>
      <c r="E33" s="140"/>
      <c r="F33" s="431"/>
      <c r="G33" s="452"/>
      <c r="H33" s="141"/>
      <c r="I33" s="426"/>
      <c r="J33" s="417"/>
      <c r="K33" s="420"/>
      <c r="L33" s="402"/>
      <c r="M33" s="423"/>
      <c r="N33" s="402">
        <f>IF(NOT(ISERROR(MATCH(M33,_xlfn.ANCHORARRAY(F44),0))),L46&amp;"Por favor no seleccionar los criterios de impacto",M33)</f>
        <v>0</v>
      </c>
      <c r="O33" s="420"/>
      <c r="P33" s="402"/>
      <c r="Q33" s="405"/>
      <c r="R33" s="105">
        <v>3</v>
      </c>
      <c r="S33" s="112"/>
      <c r="T33" s="107" t="str">
        <f t="shared" ref="T33:T36" si="42">IF(OR(U33="Preventivo",U33="Detectivo"),"Probabilidad",IF(U33="Correctivo","Impacto",""))</f>
        <v/>
      </c>
      <c r="U33" s="114"/>
      <c r="V33" s="114"/>
      <c r="W33" s="115" t="str">
        <f t="shared" si="38"/>
        <v/>
      </c>
      <c r="X33" s="114"/>
      <c r="Y33" s="114"/>
      <c r="Z33" s="114"/>
      <c r="AA33" s="108" t="str">
        <f>IFERROR(IF(AND(T32="Probabilidad",T33="Probabilidad"),(AC32-(+AC32*W33)),IF(AND(T32="Impacto",T33="Probabilidad"),(AC31-(+AC31*W33)),IF(T33="Impacto",AC32,""))),"")</f>
        <v/>
      </c>
      <c r="AB33" s="119" t="str">
        <f t="shared" si="39"/>
        <v/>
      </c>
      <c r="AC33" s="120" t="str">
        <f t="shared" ref="AC33:AC36" si="43">+AA33</f>
        <v/>
      </c>
      <c r="AD33" s="119" t="str">
        <f t="shared" si="40"/>
        <v/>
      </c>
      <c r="AE33" s="120" t="str">
        <f t="shared" ref="AE33:AE36" si="44">IFERROR(IF(AND(T32="Impacto",T33="Impacto"),(AE32-(+AE32*W33)),IF(AND(T32="Probabilidad",T33="Impacto"),(AE31-(+AE31*W33)),IF(T33="Probabilidad",AE32,""))),"")</f>
        <v/>
      </c>
      <c r="AF33" s="121" t="str">
        <f t="shared" si="41"/>
        <v/>
      </c>
      <c r="AG33" s="122"/>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408"/>
      <c r="B34" s="411"/>
      <c r="C34" s="411"/>
      <c r="D34" s="429"/>
      <c r="E34" s="140"/>
      <c r="F34" s="431"/>
      <c r="G34" s="452"/>
      <c r="H34" s="141"/>
      <c r="I34" s="426"/>
      <c r="J34" s="417"/>
      <c r="K34" s="420"/>
      <c r="L34" s="402"/>
      <c r="M34" s="423"/>
      <c r="N34" s="402">
        <f>IF(NOT(ISERROR(MATCH(M34,_xlfn.ANCHORARRAY(F45),0))),L47&amp;"Por favor no seleccionar los criterios de impacto",M34)</f>
        <v>0</v>
      </c>
      <c r="O34" s="420"/>
      <c r="P34" s="402"/>
      <c r="Q34" s="405"/>
      <c r="R34" s="105">
        <v>4</v>
      </c>
      <c r="S34" s="106"/>
      <c r="T34" s="107" t="str">
        <f t="shared" si="42"/>
        <v/>
      </c>
      <c r="U34" s="114"/>
      <c r="V34" s="114"/>
      <c r="W34" s="115" t="str">
        <f t="shared" si="38"/>
        <v/>
      </c>
      <c r="X34" s="114"/>
      <c r="Y34" s="114"/>
      <c r="Z34" s="114"/>
      <c r="AA34" s="108" t="str">
        <f t="shared" ref="AA34:AA36" si="45">IFERROR(IF(AND(T33="Probabilidad",T34="Probabilidad"),(AC33-(+AC33*W34)),IF(AND(T33="Impacto",T34="Probabilidad"),(AC32-(+AC32*W34)),IF(T34="Impacto",AC33,""))),"")</f>
        <v/>
      </c>
      <c r="AB34" s="119" t="str">
        <f t="shared" si="39"/>
        <v/>
      </c>
      <c r="AC34" s="120" t="str">
        <f t="shared" si="43"/>
        <v/>
      </c>
      <c r="AD34" s="119" t="str">
        <f t="shared" si="40"/>
        <v/>
      </c>
      <c r="AE34" s="120" t="str">
        <f t="shared" si="44"/>
        <v/>
      </c>
      <c r="AF34" s="121" t="str">
        <f t="shared" si="41"/>
        <v/>
      </c>
      <c r="AG34" s="122"/>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408"/>
      <c r="B35" s="411"/>
      <c r="C35" s="411"/>
      <c r="D35" s="429"/>
      <c r="E35" s="140"/>
      <c r="F35" s="431"/>
      <c r="G35" s="452"/>
      <c r="H35" s="141"/>
      <c r="I35" s="426"/>
      <c r="J35" s="417"/>
      <c r="K35" s="420"/>
      <c r="L35" s="402"/>
      <c r="M35" s="423"/>
      <c r="N35" s="402">
        <f>IF(NOT(ISERROR(MATCH(M35,_xlfn.ANCHORARRAY(F46),0))),L48&amp;"Por favor no seleccionar los criterios de impacto",M35)</f>
        <v>0</v>
      </c>
      <c r="O35" s="420"/>
      <c r="P35" s="402"/>
      <c r="Q35" s="405"/>
      <c r="R35" s="105">
        <v>5</v>
      </c>
      <c r="S35" s="106"/>
      <c r="T35" s="107" t="str">
        <f t="shared" si="42"/>
        <v/>
      </c>
      <c r="U35" s="114"/>
      <c r="V35" s="114"/>
      <c r="W35" s="115" t="str">
        <f t="shared" si="38"/>
        <v/>
      </c>
      <c r="X35" s="114"/>
      <c r="Y35" s="114"/>
      <c r="Z35" s="114"/>
      <c r="AA35" s="108" t="str">
        <f t="shared" si="45"/>
        <v/>
      </c>
      <c r="AB35" s="119" t="str">
        <f t="shared" si="39"/>
        <v/>
      </c>
      <c r="AC35" s="120" t="str">
        <f t="shared" si="43"/>
        <v/>
      </c>
      <c r="AD35" s="119" t="str">
        <f t="shared" si="40"/>
        <v/>
      </c>
      <c r="AE35" s="120" t="str">
        <f t="shared" si="44"/>
        <v/>
      </c>
      <c r="AF35" s="121" t="str">
        <f t="shared" si="41"/>
        <v/>
      </c>
      <c r="AG35" s="122"/>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409"/>
      <c r="B36" s="412"/>
      <c r="C36" s="412"/>
      <c r="D36" s="430"/>
      <c r="E36" s="140"/>
      <c r="F36" s="431"/>
      <c r="G36" s="453"/>
      <c r="H36" s="141"/>
      <c r="I36" s="427"/>
      <c r="J36" s="418"/>
      <c r="K36" s="421"/>
      <c r="L36" s="403"/>
      <c r="M36" s="424"/>
      <c r="N36" s="403">
        <f>IF(NOT(ISERROR(MATCH(M36,_xlfn.ANCHORARRAY(F47),0))),L49&amp;"Por favor no seleccionar los criterios de impacto",M36)</f>
        <v>0</v>
      </c>
      <c r="O36" s="421"/>
      <c r="P36" s="403"/>
      <c r="Q36" s="406"/>
      <c r="R36" s="105">
        <v>6</v>
      </c>
      <c r="S36" s="106"/>
      <c r="T36" s="107" t="str">
        <f t="shared" si="42"/>
        <v/>
      </c>
      <c r="U36" s="114"/>
      <c r="V36" s="114"/>
      <c r="W36" s="115" t="str">
        <f t="shared" si="38"/>
        <v/>
      </c>
      <c r="X36" s="114"/>
      <c r="Y36" s="114"/>
      <c r="Z36" s="114"/>
      <c r="AA36" s="108" t="str">
        <f t="shared" si="45"/>
        <v/>
      </c>
      <c r="AB36" s="119" t="str">
        <f t="shared" si="39"/>
        <v/>
      </c>
      <c r="AC36" s="120" t="str">
        <f t="shared" si="43"/>
        <v/>
      </c>
      <c r="AD36" s="119" t="str">
        <f t="shared" si="40"/>
        <v/>
      </c>
      <c r="AE36" s="120" t="str">
        <f t="shared" si="44"/>
        <v/>
      </c>
      <c r="AF36" s="121" t="str">
        <f t="shared" si="41"/>
        <v/>
      </c>
      <c r="AG36" s="122"/>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407">
        <v>6</v>
      </c>
      <c r="B37" s="410"/>
      <c r="C37" s="410"/>
      <c r="D37" s="428"/>
      <c r="E37" s="140"/>
      <c r="F37" s="431"/>
      <c r="G37" s="451"/>
      <c r="H37" s="141"/>
      <c r="I37" s="425"/>
      <c r="J37" s="416"/>
      <c r="K37" s="419" t="str">
        <f t="shared" ref="K37" si="46">IF(J37&lt;=0,"",IF(J37&lt;=2,"Muy Baja",IF(J37&lt;=24,"Baja",IF(J37&lt;=500,"Media",IF(J37&lt;=5000,"Alta","Muy Alta")))))</f>
        <v/>
      </c>
      <c r="L37" s="401" t="str">
        <f t="shared" ref="L37" si="47">IF(K37="","",IF(K37="Muy Baja",0.2,IF(K37="Baja",0.4,IF(K37="Media",0.6,IF(K37="Alta",0.8,IF(K37="Muy Alta",1,))))))</f>
        <v/>
      </c>
      <c r="M37" s="422"/>
      <c r="N37" s="401">
        <f>IF(NOT(ISERROR(MATCH(M37,'Tabla Impacto'!$B$221:$B$223,0))),'Tabla Impacto'!$F$223&amp;"Por favor no seleccionar los criterios de impacto(Afectación Económica o presupuestal y Pérdida Reputacional)",M37)</f>
        <v>0</v>
      </c>
      <c r="O37" s="419" t="str">
        <f>IF(OR(N37='Tabla Impacto'!$C$11,N37='Tabla Impacto'!$D$11),"Leve",IF(OR(N37='Tabla Impacto'!$C$12,N37='Tabla Impacto'!$D$12),"Menor",IF(OR(N37='Tabla Impacto'!$C$13,N37='Tabla Impacto'!$D$13),"Moderado",IF(OR(N37='Tabla Impacto'!$C$14,N37='Tabla Impacto'!$D$14),"Mayor",IF(OR(N37='Tabla Impacto'!$C$15,N37='Tabla Impacto'!$D$15),"Catastrófico","")))))</f>
        <v/>
      </c>
      <c r="P37" s="401" t="str">
        <f t="shared" ref="P37" si="48">IF(O37="","",IF(O37="Leve",0.2,IF(O37="Menor",0.4,IF(O37="Moderado",0.6,IF(O37="Mayor",0.8,IF(O37="Catastrófico",1,))))))</f>
        <v/>
      </c>
      <c r="Q37" s="404" t="str">
        <f t="shared" ref="Q37" si="49">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
      </c>
      <c r="R37" s="105">
        <v>1</v>
      </c>
      <c r="S37" s="106"/>
      <c r="T37" s="107" t="str">
        <f>IF(OR(U37="Preventivo",U37="Detectivo"),"Probabilidad",IF(U37="Correctivo","Impacto",""))</f>
        <v/>
      </c>
      <c r="U37" s="114"/>
      <c r="V37" s="114"/>
      <c r="W37" s="115" t="str">
        <f>IF(AND(U37="Preventivo",V37="Automático"),"50%",IF(AND(U37="Preventivo",V37="Manual"),"40%",IF(AND(U37="Detectivo",V37="Automático"),"40%",IF(AND(U37="Detectivo",V37="Manual"),"30%",IF(AND(U37="Correctivo",V37="Automático"),"35%",IF(AND(U37="Correctivo",V37="Manual"),"25%",""))))))</f>
        <v/>
      </c>
      <c r="X37" s="114"/>
      <c r="Y37" s="114"/>
      <c r="Z37" s="114"/>
      <c r="AA37" s="108" t="str">
        <f>IFERROR(IF(T37="Probabilidad",(L37-(+L37*W37)),IF(T37="Impacto",L37,"")),"")</f>
        <v/>
      </c>
      <c r="AB37" s="119" t="str">
        <f>IFERROR(IF(AA37="","",IF(AA37&lt;=0.2,"Muy Baja",IF(AA37&lt;=0.4,"Baja",IF(AA37&lt;=0.6,"Media",IF(AA37&lt;=0.8,"Alta","Muy Alta"))))),"")</f>
        <v/>
      </c>
      <c r="AC37" s="120" t="str">
        <f>+AA37</f>
        <v/>
      </c>
      <c r="AD37" s="119" t="str">
        <f>IFERROR(IF(AE37="","",IF(AE37&lt;=0.2,"Leve",IF(AE37&lt;=0.4,"Menor",IF(AE37&lt;=0.6,"Moderado",IF(AE37&lt;=0.8,"Mayor","Catastrófico"))))),"")</f>
        <v/>
      </c>
      <c r="AE37" s="120" t="str">
        <f>IFERROR(IF(T37="Impacto",(P37-(+P37*W37)),IF(T37="Probabilidad",P37,"")),"")</f>
        <v/>
      </c>
      <c r="AF37" s="121" t="str">
        <f>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122"/>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408"/>
      <c r="B38" s="411"/>
      <c r="C38" s="411"/>
      <c r="D38" s="429"/>
      <c r="E38" s="140"/>
      <c r="F38" s="431"/>
      <c r="G38" s="452"/>
      <c r="H38" s="141"/>
      <c r="I38" s="426"/>
      <c r="J38" s="417"/>
      <c r="K38" s="420"/>
      <c r="L38" s="402"/>
      <c r="M38" s="423"/>
      <c r="N38" s="402">
        <f>IF(NOT(ISERROR(MATCH(M38,_xlfn.ANCHORARRAY(F49),0))),L51&amp;"Por favor no seleccionar los criterios de impacto",M38)</f>
        <v>0</v>
      </c>
      <c r="O38" s="420"/>
      <c r="P38" s="402"/>
      <c r="Q38" s="405"/>
      <c r="R38" s="105">
        <v>2</v>
      </c>
      <c r="S38" s="106"/>
      <c r="T38" s="107" t="str">
        <f>IF(OR(U38="Preventivo",U38="Detectivo"),"Probabilidad",IF(U38="Correctivo","Impacto",""))</f>
        <v/>
      </c>
      <c r="U38" s="114"/>
      <c r="V38" s="114"/>
      <c r="W38" s="115" t="str">
        <f t="shared" ref="W38:W42" si="50">IF(AND(U38="Preventivo",V38="Automático"),"50%",IF(AND(U38="Preventivo",V38="Manual"),"40%",IF(AND(U38="Detectivo",V38="Automático"),"40%",IF(AND(U38="Detectivo",V38="Manual"),"30%",IF(AND(U38="Correctivo",V38="Automático"),"35%",IF(AND(U38="Correctivo",V38="Manual"),"25%",""))))))</f>
        <v/>
      </c>
      <c r="X38" s="114"/>
      <c r="Y38" s="114"/>
      <c r="Z38" s="114"/>
      <c r="AA38" s="108" t="str">
        <f>IFERROR(IF(AND(T37="Probabilidad",T38="Probabilidad"),(AC37-(+AC37*W38)),IF(AND(T37="Impacto",T38="Probabilidad"),(L37-(+L37*W38)),IF(T38="Impacto",AC37,""))),"")</f>
        <v/>
      </c>
      <c r="AB38" s="119" t="str">
        <f t="shared" ref="AB38:AB42" si="51">IFERROR(IF(AA38="","",IF(AA38&lt;=0.2,"Muy Baja",IF(AA38&lt;=0.4,"Baja",IF(AA38&lt;=0.6,"Media",IF(AA38&lt;=0.8,"Alta","Muy Alta"))))),"")</f>
        <v/>
      </c>
      <c r="AC38" s="120" t="str">
        <f>+AA38</f>
        <v/>
      </c>
      <c r="AD38" s="119" t="str">
        <f t="shared" ref="AD38:AD42" si="52">IFERROR(IF(AE38="","",IF(AE38&lt;=0.2,"Leve",IF(AE38&lt;=0.4,"Menor",IF(AE38&lt;=0.6,"Moderado",IF(AE38&lt;=0.8,"Mayor","Catastrófico"))))),"")</f>
        <v/>
      </c>
      <c r="AE38" s="120" t="str">
        <f>IFERROR(IF(AND(T37="Impacto",T38="Impacto"),(AE37-(+AE37*W38)),IF(AND(T37="Probabilidad",T38="Impacto"),(P37-(+P37*W38)),IF(T38="Probabilidad",AE37,""))),"")</f>
        <v/>
      </c>
      <c r="AF38" s="121" t="str">
        <f t="shared" ref="AF38:AF42" si="53">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22"/>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08"/>
      <c r="B39" s="411"/>
      <c r="C39" s="411"/>
      <c r="D39" s="429"/>
      <c r="E39" s="140"/>
      <c r="F39" s="431"/>
      <c r="G39" s="452"/>
      <c r="H39" s="141"/>
      <c r="I39" s="426"/>
      <c r="J39" s="417"/>
      <c r="K39" s="420"/>
      <c r="L39" s="402"/>
      <c r="M39" s="423"/>
      <c r="N39" s="402">
        <f>IF(NOT(ISERROR(MATCH(M39,_xlfn.ANCHORARRAY(F50),0))),L52&amp;"Por favor no seleccionar los criterios de impacto",M39)</f>
        <v>0</v>
      </c>
      <c r="O39" s="420"/>
      <c r="P39" s="402"/>
      <c r="Q39" s="405"/>
      <c r="R39" s="105">
        <v>3</v>
      </c>
      <c r="S39" s="112"/>
      <c r="T39" s="107" t="str">
        <f t="shared" ref="T39:T42" si="54">IF(OR(U39="Preventivo",U39="Detectivo"),"Probabilidad",IF(U39="Correctivo","Impacto",""))</f>
        <v/>
      </c>
      <c r="U39" s="114"/>
      <c r="V39" s="114"/>
      <c r="W39" s="115" t="str">
        <f t="shared" si="50"/>
        <v/>
      </c>
      <c r="X39" s="114"/>
      <c r="Y39" s="114"/>
      <c r="Z39" s="114"/>
      <c r="AA39" s="108" t="str">
        <f>IFERROR(IF(AND(T38="Probabilidad",T39="Probabilidad"),(AC38-(+AC38*W39)),IF(AND(T38="Impacto",T39="Probabilidad"),(AC37-(+AC37*W39)),IF(T39="Impacto",AC38,""))),"")</f>
        <v/>
      </c>
      <c r="AB39" s="119" t="str">
        <f t="shared" si="51"/>
        <v/>
      </c>
      <c r="AC39" s="120" t="str">
        <f t="shared" ref="AC39:AC42" si="55">+AA39</f>
        <v/>
      </c>
      <c r="AD39" s="119" t="str">
        <f t="shared" si="52"/>
        <v/>
      </c>
      <c r="AE39" s="120" t="str">
        <f t="shared" ref="AE39:AE42" si="56">IFERROR(IF(AND(T38="Impacto",T39="Impacto"),(AE38-(+AE38*W39)),IF(AND(T38="Probabilidad",T39="Impacto"),(AE37-(+AE37*W39)),IF(T39="Probabilidad",AE38,""))),"")</f>
        <v/>
      </c>
      <c r="AF39" s="121" t="str">
        <f t="shared" si="53"/>
        <v/>
      </c>
      <c r="AG39" s="122"/>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408"/>
      <c r="B40" s="411"/>
      <c r="C40" s="411"/>
      <c r="D40" s="429"/>
      <c r="E40" s="140"/>
      <c r="F40" s="431"/>
      <c r="G40" s="452"/>
      <c r="H40" s="141"/>
      <c r="I40" s="426"/>
      <c r="J40" s="417"/>
      <c r="K40" s="420"/>
      <c r="L40" s="402"/>
      <c r="M40" s="423"/>
      <c r="N40" s="402">
        <f>IF(NOT(ISERROR(MATCH(M40,_xlfn.ANCHORARRAY(F51),0))),L53&amp;"Por favor no seleccionar los criterios de impacto",M40)</f>
        <v>0</v>
      </c>
      <c r="O40" s="420"/>
      <c r="P40" s="402"/>
      <c r="Q40" s="405"/>
      <c r="R40" s="105">
        <v>4</v>
      </c>
      <c r="S40" s="106"/>
      <c r="T40" s="107" t="str">
        <f t="shared" si="54"/>
        <v/>
      </c>
      <c r="U40" s="114"/>
      <c r="V40" s="114"/>
      <c r="W40" s="115" t="str">
        <f t="shared" si="50"/>
        <v/>
      </c>
      <c r="X40" s="114"/>
      <c r="Y40" s="114"/>
      <c r="Z40" s="114"/>
      <c r="AA40" s="108" t="str">
        <f t="shared" ref="AA40:AA42" si="57">IFERROR(IF(AND(T39="Probabilidad",T40="Probabilidad"),(AC39-(+AC39*W40)),IF(AND(T39="Impacto",T40="Probabilidad"),(AC38-(+AC38*W40)),IF(T40="Impacto",AC39,""))),"")</f>
        <v/>
      </c>
      <c r="AB40" s="119" t="str">
        <f t="shared" si="51"/>
        <v/>
      </c>
      <c r="AC40" s="120" t="str">
        <f t="shared" si="55"/>
        <v/>
      </c>
      <c r="AD40" s="119" t="str">
        <f t="shared" si="52"/>
        <v/>
      </c>
      <c r="AE40" s="120" t="str">
        <f t="shared" si="56"/>
        <v/>
      </c>
      <c r="AF40" s="121" t="str">
        <f t="shared" si="53"/>
        <v/>
      </c>
      <c r="AG40" s="122"/>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408"/>
      <c r="B41" s="411"/>
      <c r="C41" s="411"/>
      <c r="D41" s="429"/>
      <c r="E41" s="140"/>
      <c r="F41" s="431"/>
      <c r="G41" s="452"/>
      <c r="H41" s="141"/>
      <c r="I41" s="426"/>
      <c r="J41" s="417"/>
      <c r="K41" s="420"/>
      <c r="L41" s="402"/>
      <c r="M41" s="423"/>
      <c r="N41" s="402">
        <f>IF(NOT(ISERROR(MATCH(M41,_xlfn.ANCHORARRAY(F52),0))),L54&amp;"Por favor no seleccionar los criterios de impacto",M41)</f>
        <v>0</v>
      </c>
      <c r="O41" s="420"/>
      <c r="P41" s="402"/>
      <c r="Q41" s="405"/>
      <c r="R41" s="105">
        <v>5</v>
      </c>
      <c r="S41" s="106"/>
      <c r="T41" s="107" t="str">
        <f t="shared" si="54"/>
        <v/>
      </c>
      <c r="U41" s="114"/>
      <c r="V41" s="114"/>
      <c r="W41" s="115" t="str">
        <f t="shared" si="50"/>
        <v/>
      </c>
      <c r="X41" s="114"/>
      <c r="Y41" s="114"/>
      <c r="Z41" s="114"/>
      <c r="AA41" s="108" t="str">
        <f t="shared" si="57"/>
        <v/>
      </c>
      <c r="AB41" s="119" t="str">
        <f t="shared" si="51"/>
        <v/>
      </c>
      <c r="AC41" s="120" t="str">
        <f t="shared" si="55"/>
        <v/>
      </c>
      <c r="AD41" s="119" t="str">
        <f t="shared" si="52"/>
        <v/>
      </c>
      <c r="AE41" s="120" t="str">
        <f t="shared" si="56"/>
        <v/>
      </c>
      <c r="AF41" s="121" t="str">
        <f t="shared" si="53"/>
        <v/>
      </c>
      <c r="AG41" s="122"/>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409"/>
      <c r="B42" s="412"/>
      <c r="C42" s="412"/>
      <c r="D42" s="430"/>
      <c r="E42" s="140"/>
      <c r="F42" s="431"/>
      <c r="G42" s="453"/>
      <c r="H42" s="141"/>
      <c r="I42" s="427"/>
      <c r="J42" s="418"/>
      <c r="K42" s="421"/>
      <c r="L42" s="403"/>
      <c r="M42" s="424"/>
      <c r="N42" s="403">
        <f>IF(NOT(ISERROR(MATCH(M42,_xlfn.ANCHORARRAY(F53),0))),L55&amp;"Por favor no seleccionar los criterios de impacto",M42)</f>
        <v>0</v>
      </c>
      <c r="O42" s="421"/>
      <c r="P42" s="403"/>
      <c r="Q42" s="406"/>
      <c r="R42" s="105">
        <v>6</v>
      </c>
      <c r="S42" s="106"/>
      <c r="T42" s="107" t="str">
        <f t="shared" si="54"/>
        <v/>
      </c>
      <c r="U42" s="114"/>
      <c r="V42" s="114"/>
      <c r="W42" s="115" t="str">
        <f t="shared" si="50"/>
        <v/>
      </c>
      <c r="X42" s="114"/>
      <c r="Y42" s="114"/>
      <c r="Z42" s="114"/>
      <c r="AA42" s="108" t="str">
        <f t="shared" si="57"/>
        <v/>
      </c>
      <c r="AB42" s="119" t="str">
        <f t="shared" si="51"/>
        <v/>
      </c>
      <c r="AC42" s="120" t="str">
        <f t="shared" si="55"/>
        <v/>
      </c>
      <c r="AD42" s="119" t="str">
        <f t="shared" si="52"/>
        <v/>
      </c>
      <c r="AE42" s="120" t="str">
        <f t="shared" si="56"/>
        <v/>
      </c>
      <c r="AF42" s="121" t="str">
        <f t="shared" si="53"/>
        <v/>
      </c>
      <c r="AG42" s="122"/>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407">
        <v>7</v>
      </c>
      <c r="B43" s="410"/>
      <c r="C43" s="410"/>
      <c r="D43" s="410"/>
      <c r="E43" s="124"/>
      <c r="F43" s="414"/>
      <c r="G43" s="451"/>
      <c r="H43" s="127"/>
      <c r="I43" s="410"/>
      <c r="J43" s="416"/>
      <c r="K43" s="419" t="str">
        <f t="shared" ref="K43" si="58">IF(J43&lt;=0,"",IF(J43&lt;=2,"Muy Baja",IF(J43&lt;=24,"Baja",IF(J43&lt;=500,"Media",IF(J43&lt;=5000,"Alta","Muy Alta")))))</f>
        <v/>
      </c>
      <c r="L43" s="401" t="str">
        <f t="shared" ref="L43" si="59">IF(K43="","",IF(K43="Muy Baja",0.2,IF(K43="Baja",0.4,IF(K43="Media",0.6,IF(K43="Alta",0.8,IF(K43="Muy Alta",1,))))))</f>
        <v/>
      </c>
      <c r="M43" s="422"/>
      <c r="N43" s="401">
        <f>IF(NOT(ISERROR(MATCH(M43,'Tabla Impacto'!$B$221:$B$223,0))),'Tabla Impacto'!$F$223&amp;"Por favor no seleccionar los criterios de impacto(Afectación Económica o presupuestal y Pérdida Reputacional)",M43)</f>
        <v>0</v>
      </c>
      <c r="O43" s="419" t="str">
        <f>IF(OR(N43='Tabla Impacto'!$C$11,N43='Tabla Impacto'!$D$11),"Leve",IF(OR(N43='Tabla Impacto'!$C$12,N43='Tabla Impacto'!$D$12),"Menor",IF(OR(N43='Tabla Impacto'!$C$13,N43='Tabla Impacto'!$D$13),"Moderado",IF(OR(N43='Tabla Impacto'!$C$14,N43='Tabla Impacto'!$D$14),"Mayor",IF(OR(N43='Tabla Impacto'!$C$15,N43='Tabla Impacto'!$D$15),"Catastrófico","")))))</f>
        <v/>
      </c>
      <c r="P43" s="401" t="str">
        <f t="shared" ref="P43" si="60">IF(O43="","",IF(O43="Leve",0.2,IF(O43="Menor",0.4,IF(O43="Moderado",0.6,IF(O43="Mayor",0.8,IF(O43="Catastrófico",1,))))))</f>
        <v/>
      </c>
      <c r="Q43" s="404" t="str">
        <f t="shared" ref="Q43" si="61">IF(OR(AND(K43="Muy Baja",O43="Leve"),AND(K43="Muy Baja",O43="Menor"),AND(K43="Baja",O43="Leve")),"Bajo",IF(OR(AND(K43="Muy baja",O43="Moderado"),AND(K43="Baja",O43="Menor"),AND(K43="Baja",O43="Moderado"),AND(K43="Media",O43="Leve"),AND(K43="Media",O43="Menor"),AND(K43="Media",O43="Moderado"),AND(K43="Alta",O43="Leve"),AND(K43="Alta",O43="Menor")),"Moderado",IF(OR(AND(K43="Muy Baja",O43="Mayor"),AND(K43="Baja",O43="Mayor"),AND(K43="Media",O43="Mayor"),AND(K43="Alta",O43="Moderado"),AND(K43="Alta",O43="Mayor"),AND(K43="Muy Alta",O43="Leve"),AND(K43="Muy Alta",O43="Menor"),AND(K43="Muy Alta",O43="Moderado"),AND(K43="Muy Alta",O43="Mayor")),"Alto",IF(OR(AND(K43="Muy Baja",O43="Catastrófico"),AND(K43="Baja",O43="Catastrófico"),AND(K43="Media",O43="Catastrófico"),AND(K43="Alta",O43="Catastrófico"),AND(K43="Muy Alta",O43="Catastrófico")),"Extremo",""))))</f>
        <v/>
      </c>
      <c r="R43" s="105">
        <v>1</v>
      </c>
      <c r="S43" s="106"/>
      <c r="T43" s="107" t="str">
        <f>IF(OR(U43="Preventivo",U43="Detectivo"),"Probabilidad",IF(U43="Correctivo","Impacto",""))</f>
        <v/>
      </c>
      <c r="U43" s="114"/>
      <c r="V43" s="114"/>
      <c r="W43" s="115" t="str">
        <f>IF(AND(U43="Preventivo",V43="Automático"),"50%",IF(AND(U43="Preventivo",V43="Manual"),"40%",IF(AND(U43="Detectivo",V43="Automático"),"40%",IF(AND(U43="Detectivo",V43="Manual"),"30%",IF(AND(U43="Correctivo",V43="Automático"),"35%",IF(AND(U43="Correctivo",V43="Manual"),"25%",""))))))</f>
        <v/>
      </c>
      <c r="X43" s="114"/>
      <c r="Y43" s="114"/>
      <c r="Z43" s="114"/>
      <c r="AA43" s="108" t="str">
        <f>IFERROR(IF(T43="Probabilidad",(L43-(+L43*W43)),IF(T43="Impacto",L43,"")),"")</f>
        <v/>
      </c>
      <c r="AB43" s="119" t="str">
        <f>IFERROR(IF(AA43="","",IF(AA43&lt;=0.2,"Muy Baja",IF(AA43&lt;=0.4,"Baja",IF(AA43&lt;=0.6,"Media",IF(AA43&lt;=0.8,"Alta","Muy Alta"))))),"")</f>
        <v/>
      </c>
      <c r="AC43" s="120" t="str">
        <f>+AA43</f>
        <v/>
      </c>
      <c r="AD43" s="119" t="str">
        <f>IFERROR(IF(AE43="","",IF(AE43&lt;=0.2,"Leve",IF(AE43&lt;=0.4,"Menor",IF(AE43&lt;=0.6,"Moderado",IF(AE43&lt;=0.8,"Mayor","Catastrófico"))))),"")</f>
        <v/>
      </c>
      <c r="AE43" s="120" t="str">
        <f>IFERROR(IF(T43="Impacto",(P43-(+P43*W43)),IF(T43="Probabilidad",P43,"")),"")</f>
        <v/>
      </c>
      <c r="AF43" s="121" t="str">
        <f>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22"/>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408"/>
      <c r="B44" s="411"/>
      <c r="C44" s="411"/>
      <c r="D44" s="411"/>
      <c r="E44" s="124"/>
      <c r="F44" s="414"/>
      <c r="G44" s="452"/>
      <c r="H44" s="127"/>
      <c r="I44" s="411"/>
      <c r="J44" s="417"/>
      <c r="K44" s="420"/>
      <c r="L44" s="402"/>
      <c r="M44" s="423"/>
      <c r="N44" s="402">
        <f>IF(NOT(ISERROR(MATCH(M44,_xlfn.ANCHORARRAY(F55),0))),L57&amp;"Por favor no seleccionar los criterios de impacto",M44)</f>
        <v>0</v>
      </c>
      <c r="O44" s="420"/>
      <c r="P44" s="402"/>
      <c r="Q44" s="405"/>
      <c r="R44" s="105">
        <v>2</v>
      </c>
      <c r="S44" s="106"/>
      <c r="T44" s="107" t="str">
        <f>IF(OR(U44="Preventivo",U44="Detectivo"),"Probabilidad",IF(U44="Correctivo","Impacto",""))</f>
        <v/>
      </c>
      <c r="U44" s="114"/>
      <c r="V44" s="114"/>
      <c r="W44" s="115" t="str">
        <f t="shared" ref="W44:W48" si="62">IF(AND(U44="Preventivo",V44="Automático"),"50%",IF(AND(U44="Preventivo",V44="Manual"),"40%",IF(AND(U44="Detectivo",V44="Automático"),"40%",IF(AND(U44="Detectivo",V44="Manual"),"30%",IF(AND(U44="Correctivo",V44="Automático"),"35%",IF(AND(U44="Correctivo",V44="Manual"),"25%",""))))))</f>
        <v/>
      </c>
      <c r="X44" s="114"/>
      <c r="Y44" s="114"/>
      <c r="Z44" s="114"/>
      <c r="AA44" s="108" t="str">
        <f>IFERROR(IF(AND(T43="Probabilidad",T44="Probabilidad"),(AC43-(+AC43*W44)),IF(AND(T43="Impacto",T44="Probabilidad"),(L43-(+L43*W44)),IF(T44="Impacto",AC43,""))),"")</f>
        <v/>
      </c>
      <c r="AB44" s="119" t="str">
        <f t="shared" ref="AB44:AB48" si="63">IFERROR(IF(AA44="","",IF(AA44&lt;=0.2,"Muy Baja",IF(AA44&lt;=0.4,"Baja",IF(AA44&lt;=0.6,"Media",IF(AA44&lt;=0.8,"Alta","Muy Alta"))))),"")</f>
        <v/>
      </c>
      <c r="AC44" s="120" t="str">
        <f>+AA44</f>
        <v/>
      </c>
      <c r="AD44" s="119" t="str">
        <f t="shared" ref="AD44:AD48" si="64">IFERROR(IF(AE44="","",IF(AE44&lt;=0.2,"Leve",IF(AE44&lt;=0.4,"Menor",IF(AE44&lt;=0.6,"Moderado",IF(AE44&lt;=0.8,"Mayor","Catastrófico"))))),"")</f>
        <v/>
      </c>
      <c r="AE44" s="120" t="str">
        <f>IFERROR(IF(AND(T43="Impacto",T44="Impacto"),(AE43-(+AE43*W44)),IF(AND(T43="Probabilidad",T44="Impacto"),(P43-(+P43*W44)),IF(T44="Probabilidad",AE43,""))),"")</f>
        <v/>
      </c>
      <c r="AF44" s="121" t="str">
        <f t="shared" ref="AF44:AF48" si="65">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22"/>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08"/>
      <c r="B45" s="411"/>
      <c r="C45" s="411"/>
      <c r="D45" s="411"/>
      <c r="E45" s="124"/>
      <c r="F45" s="414"/>
      <c r="G45" s="452"/>
      <c r="H45" s="127"/>
      <c r="I45" s="411"/>
      <c r="J45" s="417"/>
      <c r="K45" s="420"/>
      <c r="L45" s="402"/>
      <c r="M45" s="423"/>
      <c r="N45" s="402">
        <f>IF(NOT(ISERROR(MATCH(M45,_xlfn.ANCHORARRAY(F56),0))),L58&amp;"Por favor no seleccionar los criterios de impacto",M45)</f>
        <v>0</v>
      </c>
      <c r="O45" s="420"/>
      <c r="P45" s="402"/>
      <c r="Q45" s="405"/>
      <c r="R45" s="105">
        <v>3</v>
      </c>
      <c r="S45" s="112"/>
      <c r="T45" s="107" t="str">
        <f t="shared" ref="T45:T48" si="66">IF(OR(U45="Preventivo",U45="Detectivo"),"Probabilidad",IF(U45="Correctivo","Impacto",""))</f>
        <v/>
      </c>
      <c r="U45" s="114"/>
      <c r="V45" s="114"/>
      <c r="W45" s="115" t="str">
        <f t="shared" si="62"/>
        <v/>
      </c>
      <c r="X45" s="114"/>
      <c r="Y45" s="114"/>
      <c r="Z45" s="114"/>
      <c r="AA45" s="108" t="str">
        <f>IFERROR(IF(AND(T44="Probabilidad",T45="Probabilidad"),(AC44-(+AC44*W45)),IF(AND(T44="Impacto",T45="Probabilidad"),(AC43-(+AC43*W45)),IF(T45="Impacto",AC44,""))),"")</f>
        <v/>
      </c>
      <c r="AB45" s="119" t="str">
        <f t="shared" si="63"/>
        <v/>
      </c>
      <c r="AC45" s="120" t="str">
        <f t="shared" ref="AC45:AC48" si="67">+AA45</f>
        <v/>
      </c>
      <c r="AD45" s="119" t="str">
        <f t="shared" si="64"/>
        <v/>
      </c>
      <c r="AE45" s="120" t="str">
        <f t="shared" ref="AE45:AE48" si="68">IFERROR(IF(AND(T44="Impacto",T45="Impacto"),(AE44-(+AE44*W45)),IF(AND(T44="Probabilidad",T45="Impacto"),(AE43-(+AE43*W45)),IF(T45="Probabilidad",AE44,""))),"")</f>
        <v/>
      </c>
      <c r="AF45" s="121" t="str">
        <f t="shared" si="65"/>
        <v/>
      </c>
      <c r="AG45" s="122"/>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408"/>
      <c r="B46" s="411"/>
      <c r="C46" s="411"/>
      <c r="D46" s="411"/>
      <c r="E46" s="124"/>
      <c r="F46" s="414"/>
      <c r="G46" s="452"/>
      <c r="H46" s="127"/>
      <c r="I46" s="411"/>
      <c r="J46" s="417"/>
      <c r="K46" s="420"/>
      <c r="L46" s="402"/>
      <c r="M46" s="423"/>
      <c r="N46" s="402">
        <f>IF(NOT(ISERROR(MATCH(M46,_xlfn.ANCHORARRAY(F57),0))),L59&amp;"Por favor no seleccionar los criterios de impacto",M46)</f>
        <v>0</v>
      </c>
      <c r="O46" s="420"/>
      <c r="P46" s="402"/>
      <c r="Q46" s="405"/>
      <c r="R46" s="105">
        <v>4</v>
      </c>
      <c r="S46" s="106"/>
      <c r="T46" s="107" t="str">
        <f t="shared" si="66"/>
        <v/>
      </c>
      <c r="U46" s="114"/>
      <c r="V46" s="114"/>
      <c r="W46" s="115" t="str">
        <f t="shared" si="62"/>
        <v/>
      </c>
      <c r="X46" s="114"/>
      <c r="Y46" s="114"/>
      <c r="Z46" s="114"/>
      <c r="AA46" s="108" t="str">
        <f t="shared" ref="AA46:AA48" si="69">IFERROR(IF(AND(T45="Probabilidad",T46="Probabilidad"),(AC45-(+AC45*W46)),IF(AND(T45="Impacto",T46="Probabilidad"),(AC44-(+AC44*W46)),IF(T46="Impacto",AC45,""))),"")</f>
        <v/>
      </c>
      <c r="AB46" s="119" t="str">
        <f t="shared" si="63"/>
        <v/>
      </c>
      <c r="AC46" s="120" t="str">
        <f t="shared" si="67"/>
        <v/>
      </c>
      <c r="AD46" s="119" t="str">
        <f t="shared" si="64"/>
        <v/>
      </c>
      <c r="AE46" s="120" t="str">
        <f t="shared" si="68"/>
        <v/>
      </c>
      <c r="AF46" s="121" t="str">
        <f t="shared" si="65"/>
        <v/>
      </c>
      <c r="AG46" s="122"/>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408"/>
      <c r="B47" s="411"/>
      <c r="C47" s="411"/>
      <c r="D47" s="411"/>
      <c r="E47" s="124"/>
      <c r="F47" s="414"/>
      <c r="G47" s="452"/>
      <c r="H47" s="127"/>
      <c r="I47" s="411"/>
      <c r="J47" s="417"/>
      <c r="K47" s="420"/>
      <c r="L47" s="402"/>
      <c r="M47" s="423"/>
      <c r="N47" s="402">
        <f>IF(NOT(ISERROR(MATCH(M47,_xlfn.ANCHORARRAY(F58),0))),L60&amp;"Por favor no seleccionar los criterios de impacto",M47)</f>
        <v>0</v>
      </c>
      <c r="O47" s="420"/>
      <c r="P47" s="402"/>
      <c r="Q47" s="405"/>
      <c r="R47" s="105">
        <v>5</v>
      </c>
      <c r="S47" s="106"/>
      <c r="T47" s="107" t="str">
        <f t="shared" si="66"/>
        <v/>
      </c>
      <c r="U47" s="114"/>
      <c r="V47" s="114"/>
      <c r="W47" s="115" t="str">
        <f t="shared" si="62"/>
        <v/>
      </c>
      <c r="X47" s="114"/>
      <c r="Y47" s="114"/>
      <c r="Z47" s="114"/>
      <c r="AA47" s="108" t="str">
        <f t="shared" si="69"/>
        <v/>
      </c>
      <c r="AB47" s="119" t="str">
        <f t="shared" si="63"/>
        <v/>
      </c>
      <c r="AC47" s="120" t="str">
        <f t="shared" si="67"/>
        <v/>
      </c>
      <c r="AD47" s="119" t="str">
        <f t="shared" si="64"/>
        <v/>
      </c>
      <c r="AE47" s="120" t="str">
        <f t="shared" si="68"/>
        <v/>
      </c>
      <c r="AF47" s="121" t="str">
        <f t="shared" si="65"/>
        <v/>
      </c>
      <c r="AG47" s="122"/>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409"/>
      <c r="B48" s="412"/>
      <c r="C48" s="412"/>
      <c r="D48" s="412"/>
      <c r="E48" s="125"/>
      <c r="F48" s="415"/>
      <c r="G48" s="453"/>
      <c r="H48" s="128"/>
      <c r="I48" s="412"/>
      <c r="J48" s="418"/>
      <c r="K48" s="421"/>
      <c r="L48" s="403"/>
      <c r="M48" s="424"/>
      <c r="N48" s="403">
        <f>IF(NOT(ISERROR(MATCH(M48,_xlfn.ANCHORARRAY(F59),0))),L61&amp;"Por favor no seleccionar los criterios de impacto",M48)</f>
        <v>0</v>
      </c>
      <c r="O48" s="421"/>
      <c r="P48" s="403"/>
      <c r="Q48" s="406"/>
      <c r="R48" s="105">
        <v>6</v>
      </c>
      <c r="S48" s="106"/>
      <c r="T48" s="107" t="str">
        <f t="shared" si="66"/>
        <v/>
      </c>
      <c r="U48" s="114"/>
      <c r="V48" s="114"/>
      <c r="W48" s="115" t="str">
        <f t="shared" si="62"/>
        <v/>
      </c>
      <c r="X48" s="114"/>
      <c r="Y48" s="114"/>
      <c r="Z48" s="114"/>
      <c r="AA48" s="108" t="str">
        <f t="shared" si="69"/>
        <v/>
      </c>
      <c r="AB48" s="119" t="str">
        <f t="shared" si="63"/>
        <v/>
      </c>
      <c r="AC48" s="120" t="str">
        <f t="shared" si="67"/>
        <v/>
      </c>
      <c r="AD48" s="119" t="str">
        <f t="shared" si="64"/>
        <v/>
      </c>
      <c r="AE48" s="120" t="str">
        <f t="shared" si="68"/>
        <v/>
      </c>
      <c r="AF48" s="121" t="str">
        <f t="shared" si="65"/>
        <v/>
      </c>
      <c r="AG48" s="122"/>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407">
        <v>8</v>
      </c>
      <c r="B49" s="410"/>
      <c r="C49" s="410"/>
      <c r="D49" s="410"/>
      <c r="E49" s="123"/>
      <c r="F49" s="413"/>
      <c r="G49" s="451"/>
      <c r="H49" s="126"/>
      <c r="I49" s="410"/>
      <c r="J49" s="416"/>
      <c r="K49" s="419" t="str">
        <f t="shared" ref="K49" si="70">IF(J49&lt;=0,"",IF(J49&lt;=2,"Muy Baja",IF(J49&lt;=24,"Baja",IF(J49&lt;=500,"Media",IF(J49&lt;=5000,"Alta","Muy Alta")))))</f>
        <v/>
      </c>
      <c r="L49" s="401" t="str">
        <f t="shared" ref="L49" si="71">IF(K49="","",IF(K49="Muy Baja",0.2,IF(K49="Baja",0.4,IF(K49="Media",0.6,IF(K49="Alta",0.8,IF(K49="Muy Alta",1,))))))</f>
        <v/>
      </c>
      <c r="M49" s="422"/>
      <c r="N49" s="401">
        <f>IF(NOT(ISERROR(MATCH(M49,'Tabla Impacto'!$B$221:$B$223,0))),'Tabla Impacto'!$F$223&amp;"Por favor no seleccionar los criterios de impacto(Afectación Económica o presupuestal y Pérdida Reputacional)",M49)</f>
        <v>0</v>
      </c>
      <c r="O49" s="419" t="str">
        <f>IF(OR(N49='Tabla Impacto'!$C$11,N49='Tabla Impacto'!$D$11),"Leve",IF(OR(N49='Tabla Impacto'!$C$12,N49='Tabla Impacto'!$D$12),"Menor",IF(OR(N49='Tabla Impacto'!$C$13,N49='Tabla Impacto'!$D$13),"Moderado",IF(OR(N49='Tabla Impacto'!$C$14,N49='Tabla Impacto'!$D$14),"Mayor",IF(OR(N49='Tabla Impacto'!$C$15,N49='Tabla Impacto'!$D$15),"Catastrófico","")))))</f>
        <v/>
      </c>
      <c r="P49" s="401" t="str">
        <f t="shared" ref="P49" si="72">IF(O49="","",IF(O49="Leve",0.2,IF(O49="Menor",0.4,IF(O49="Moderado",0.6,IF(O49="Mayor",0.8,IF(O49="Catastrófico",1,))))))</f>
        <v/>
      </c>
      <c r="Q49" s="404" t="str">
        <f t="shared" ref="Q49" si="73">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
      </c>
      <c r="R49" s="105">
        <v>1</v>
      </c>
      <c r="S49" s="106"/>
      <c r="T49" s="107" t="str">
        <f>IF(OR(U49="Preventivo",U49="Detectivo"),"Probabilidad",IF(U49="Correctivo","Impacto",""))</f>
        <v/>
      </c>
      <c r="U49" s="114"/>
      <c r="V49" s="114"/>
      <c r="W49" s="115" t="str">
        <f>IF(AND(U49="Preventivo",V49="Automático"),"50%",IF(AND(U49="Preventivo",V49="Manual"),"40%",IF(AND(U49="Detectivo",V49="Automático"),"40%",IF(AND(U49="Detectivo",V49="Manual"),"30%",IF(AND(U49="Correctivo",V49="Automático"),"35%",IF(AND(U49="Correctivo",V49="Manual"),"25%",""))))))</f>
        <v/>
      </c>
      <c r="X49" s="114"/>
      <c r="Y49" s="114"/>
      <c r="Z49" s="114"/>
      <c r="AA49" s="108" t="str">
        <f>IFERROR(IF(T49="Probabilidad",(L49-(+L49*W49)),IF(T49="Impacto",L49,"")),"")</f>
        <v/>
      </c>
      <c r="AB49" s="119" t="str">
        <f>IFERROR(IF(AA49="","",IF(AA49&lt;=0.2,"Muy Baja",IF(AA49&lt;=0.4,"Baja",IF(AA49&lt;=0.6,"Media",IF(AA49&lt;=0.8,"Alta","Muy Alta"))))),"")</f>
        <v/>
      </c>
      <c r="AC49" s="120" t="str">
        <f>+AA49</f>
        <v/>
      </c>
      <c r="AD49" s="119" t="str">
        <f>IFERROR(IF(AE49="","",IF(AE49&lt;=0.2,"Leve",IF(AE49&lt;=0.4,"Menor",IF(AE49&lt;=0.6,"Moderado",IF(AE49&lt;=0.8,"Mayor","Catastrófico"))))),"")</f>
        <v/>
      </c>
      <c r="AE49" s="120" t="str">
        <f>IFERROR(IF(T49="Impacto",(P49-(+P49*W49)),IF(T49="Probabilidad",P49,"")),"")</f>
        <v/>
      </c>
      <c r="AF49" s="121" t="str">
        <f>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122"/>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408"/>
      <c r="B50" s="411"/>
      <c r="C50" s="411"/>
      <c r="D50" s="411"/>
      <c r="E50" s="124"/>
      <c r="F50" s="414"/>
      <c r="G50" s="452"/>
      <c r="H50" s="127"/>
      <c r="I50" s="411"/>
      <c r="J50" s="417"/>
      <c r="K50" s="420"/>
      <c r="L50" s="402"/>
      <c r="M50" s="423"/>
      <c r="N50" s="402">
        <f>IF(NOT(ISERROR(MATCH(M50,_xlfn.ANCHORARRAY(F61),0))),L63&amp;"Por favor no seleccionar los criterios de impacto",M50)</f>
        <v>0</v>
      </c>
      <c r="O50" s="420"/>
      <c r="P50" s="402"/>
      <c r="Q50" s="405"/>
      <c r="R50" s="105">
        <v>2</v>
      </c>
      <c r="S50" s="106"/>
      <c r="T50" s="107" t="str">
        <f>IF(OR(U50="Preventivo",U50="Detectivo"),"Probabilidad",IF(U50="Correctivo","Impacto",""))</f>
        <v/>
      </c>
      <c r="U50" s="114"/>
      <c r="V50" s="114"/>
      <c r="W50" s="115" t="str">
        <f t="shared" ref="W50:W54" si="74">IF(AND(U50="Preventivo",V50="Automático"),"50%",IF(AND(U50="Preventivo",V50="Manual"),"40%",IF(AND(U50="Detectivo",V50="Automático"),"40%",IF(AND(U50="Detectivo",V50="Manual"),"30%",IF(AND(U50="Correctivo",V50="Automático"),"35%",IF(AND(U50="Correctivo",V50="Manual"),"25%",""))))))</f>
        <v/>
      </c>
      <c r="X50" s="114"/>
      <c r="Y50" s="114"/>
      <c r="Z50" s="114"/>
      <c r="AA50" s="108" t="str">
        <f>IFERROR(IF(AND(T49="Probabilidad",T50="Probabilidad"),(AC49-(+AC49*W50)),IF(AND(T49="Impacto",T50="Probabilidad"),(L49-(+L49*W50)),IF(T50="Impacto",AC49,""))),"")</f>
        <v/>
      </c>
      <c r="AB50" s="119" t="str">
        <f t="shared" ref="AB50:AB54" si="75">IFERROR(IF(AA50="","",IF(AA50&lt;=0.2,"Muy Baja",IF(AA50&lt;=0.4,"Baja",IF(AA50&lt;=0.6,"Media",IF(AA50&lt;=0.8,"Alta","Muy Alta"))))),"")</f>
        <v/>
      </c>
      <c r="AC50" s="120" t="str">
        <f>+AA50</f>
        <v/>
      </c>
      <c r="AD50" s="119" t="str">
        <f t="shared" ref="AD50:AD54" si="76">IFERROR(IF(AE50="","",IF(AE50&lt;=0.2,"Leve",IF(AE50&lt;=0.4,"Menor",IF(AE50&lt;=0.6,"Moderado",IF(AE50&lt;=0.8,"Mayor","Catastrófico"))))),"")</f>
        <v/>
      </c>
      <c r="AE50" s="120" t="str">
        <f>IFERROR(IF(AND(T49="Impacto",T50="Impacto"),(AE49-(+AE49*W50)),IF(AND(T49="Probabilidad",T50="Impacto"),(P49-(+P49*W50)),IF(T50="Probabilidad",AE49,""))),"")</f>
        <v/>
      </c>
      <c r="AF50" s="121" t="str">
        <f t="shared" ref="AF50:AF54" si="77">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22"/>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08"/>
      <c r="B51" s="411"/>
      <c r="C51" s="411"/>
      <c r="D51" s="411"/>
      <c r="E51" s="124"/>
      <c r="F51" s="414"/>
      <c r="G51" s="452"/>
      <c r="H51" s="127"/>
      <c r="I51" s="411"/>
      <c r="J51" s="417"/>
      <c r="K51" s="420"/>
      <c r="L51" s="402"/>
      <c r="M51" s="423"/>
      <c r="N51" s="402">
        <f>IF(NOT(ISERROR(MATCH(M51,_xlfn.ANCHORARRAY(F62),0))),L64&amp;"Por favor no seleccionar los criterios de impacto",M51)</f>
        <v>0</v>
      </c>
      <c r="O51" s="420"/>
      <c r="P51" s="402"/>
      <c r="Q51" s="405"/>
      <c r="R51" s="105">
        <v>3</v>
      </c>
      <c r="S51" s="112"/>
      <c r="T51" s="107" t="str">
        <f t="shared" ref="T51:T54" si="78">IF(OR(U51="Preventivo",U51="Detectivo"),"Probabilidad",IF(U51="Correctivo","Impacto",""))</f>
        <v/>
      </c>
      <c r="U51" s="114"/>
      <c r="V51" s="114"/>
      <c r="W51" s="115" t="str">
        <f t="shared" si="74"/>
        <v/>
      </c>
      <c r="X51" s="114"/>
      <c r="Y51" s="114"/>
      <c r="Z51" s="114"/>
      <c r="AA51" s="108" t="str">
        <f>IFERROR(IF(AND(T50="Probabilidad",T51="Probabilidad"),(AC50-(+AC50*W51)),IF(AND(T50="Impacto",T51="Probabilidad"),(AC49-(+AC49*W51)),IF(T51="Impacto",AC50,""))),"")</f>
        <v/>
      </c>
      <c r="AB51" s="119" t="str">
        <f t="shared" si="75"/>
        <v/>
      </c>
      <c r="AC51" s="120" t="str">
        <f t="shared" ref="AC51:AC54" si="79">+AA51</f>
        <v/>
      </c>
      <c r="AD51" s="119" t="str">
        <f t="shared" si="76"/>
        <v/>
      </c>
      <c r="AE51" s="120" t="str">
        <f t="shared" ref="AE51:AE54" si="80">IFERROR(IF(AND(T50="Impacto",T51="Impacto"),(AE50-(+AE50*W51)),IF(AND(T50="Probabilidad",T51="Impacto"),(AE49-(+AE49*W51)),IF(T51="Probabilidad",AE50,""))),"")</f>
        <v/>
      </c>
      <c r="AF51" s="121" t="str">
        <f t="shared" si="77"/>
        <v/>
      </c>
      <c r="AG51" s="122"/>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408"/>
      <c r="B52" s="411"/>
      <c r="C52" s="411"/>
      <c r="D52" s="411"/>
      <c r="E52" s="124"/>
      <c r="F52" s="414"/>
      <c r="G52" s="452"/>
      <c r="H52" s="127"/>
      <c r="I52" s="411"/>
      <c r="J52" s="417"/>
      <c r="K52" s="420"/>
      <c r="L52" s="402"/>
      <c r="M52" s="423"/>
      <c r="N52" s="402">
        <f>IF(NOT(ISERROR(MATCH(M52,_xlfn.ANCHORARRAY(F63),0))),L65&amp;"Por favor no seleccionar los criterios de impacto",M52)</f>
        <v>0</v>
      </c>
      <c r="O52" s="420"/>
      <c r="P52" s="402"/>
      <c r="Q52" s="405"/>
      <c r="R52" s="105">
        <v>4</v>
      </c>
      <c r="S52" s="106"/>
      <c r="T52" s="107" t="str">
        <f t="shared" si="78"/>
        <v/>
      </c>
      <c r="U52" s="114"/>
      <c r="V52" s="114"/>
      <c r="W52" s="115" t="str">
        <f t="shared" si="74"/>
        <v/>
      </c>
      <c r="X52" s="114"/>
      <c r="Y52" s="114"/>
      <c r="Z52" s="114"/>
      <c r="AA52" s="108" t="str">
        <f t="shared" ref="AA52:AA54" si="81">IFERROR(IF(AND(T51="Probabilidad",T52="Probabilidad"),(AC51-(+AC51*W52)),IF(AND(T51="Impacto",T52="Probabilidad"),(AC50-(+AC50*W52)),IF(T52="Impacto",AC51,""))),"")</f>
        <v/>
      </c>
      <c r="AB52" s="119" t="str">
        <f t="shared" si="75"/>
        <v/>
      </c>
      <c r="AC52" s="120" t="str">
        <f t="shared" si="79"/>
        <v/>
      </c>
      <c r="AD52" s="119" t="str">
        <f t="shared" si="76"/>
        <v/>
      </c>
      <c r="AE52" s="120" t="str">
        <f t="shared" si="80"/>
        <v/>
      </c>
      <c r="AF52" s="121" t="str">
        <f t="shared" si="77"/>
        <v/>
      </c>
      <c r="AG52" s="122"/>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408"/>
      <c r="B53" s="411"/>
      <c r="C53" s="411"/>
      <c r="D53" s="411"/>
      <c r="E53" s="124"/>
      <c r="F53" s="414"/>
      <c r="G53" s="452"/>
      <c r="H53" s="127"/>
      <c r="I53" s="411"/>
      <c r="J53" s="417"/>
      <c r="K53" s="420"/>
      <c r="L53" s="402"/>
      <c r="M53" s="423"/>
      <c r="N53" s="402">
        <f>IF(NOT(ISERROR(MATCH(M53,_xlfn.ANCHORARRAY(F64),0))),L66&amp;"Por favor no seleccionar los criterios de impacto",M53)</f>
        <v>0</v>
      </c>
      <c r="O53" s="420"/>
      <c r="P53" s="402"/>
      <c r="Q53" s="405"/>
      <c r="R53" s="105">
        <v>5</v>
      </c>
      <c r="S53" s="106"/>
      <c r="T53" s="107" t="str">
        <f t="shared" si="78"/>
        <v/>
      </c>
      <c r="U53" s="114"/>
      <c r="V53" s="114"/>
      <c r="W53" s="115" t="str">
        <f t="shared" si="74"/>
        <v/>
      </c>
      <c r="X53" s="114"/>
      <c r="Y53" s="114"/>
      <c r="Z53" s="114"/>
      <c r="AA53" s="108" t="str">
        <f t="shared" si="81"/>
        <v/>
      </c>
      <c r="AB53" s="119" t="str">
        <f t="shared" si="75"/>
        <v/>
      </c>
      <c r="AC53" s="120" t="str">
        <f t="shared" si="79"/>
        <v/>
      </c>
      <c r="AD53" s="119" t="str">
        <f t="shared" si="76"/>
        <v/>
      </c>
      <c r="AE53" s="120" t="str">
        <f t="shared" si="80"/>
        <v/>
      </c>
      <c r="AF53" s="121" t="str">
        <f t="shared" si="77"/>
        <v/>
      </c>
      <c r="AG53" s="122"/>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409"/>
      <c r="B54" s="412"/>
      <c r="C54" s="412"/>
      <c r="D54" s="412"/>
      <c r="E54" s="125"/>
      <c r="F54" s="415"/>
      <c r="G54" s="453"/>
      <c r="H54" s="128"/>
      <c r="I54" s="412"/>
      <c r="J54" s="418"/>
      <c r="K54" s="421"/>
      <c r="L54" s="403"/>
      <c r="M54" s="424"/>
      <c r="N54" s="403">
        <f>IF(NOT(ISERROR(MATCH(M54,_xlfn.ANCHORARRAY(F65),0))),L67&amp;"Por favor no seleccionar los criterios de impacto",M54)</f>
        <v>0</v>
      </c>
      <c r="O54" s="421"/>
      <c r="P54" s="403"/>
      <c r="Q54" s="406"/>
      <c r="R54" s="105">
        <v>6</v>
      </c>
      <c r="S54" s="106"/>
      <c r="T54" s="107" t="str">
        <f t="shared" si="78"/>
        <v/>
      </c>
      <c r="U54" s="114"/>
      <c r="V54" s="114"/>
      <c r="W54" s="115" t="str">
        <f t="shared" si="74"/>
        <v/>
      </c>
      <c r="X54" s="114"/>
      <c r="Y54" s="114"/>
      <c r="Z54" s="114"/>
      <c r="AA54" s="108" t="str">
        <f t="shared" si="81"/>
        <v/>
      </c>
      <c r="AB54" s="119" t="str">
        <f t="shared" si="75"/>
        <v/>
      </c>
      <c r="AC54" s="120" t="str">
        <f t="shared" si="79"/>
        <v/>
      </c>
      <c r="AD54" s="119" t="str">
        <f t="shared" si="76"/>
        <v/>
      </c>
      <c r="AE54" s="120" t="str">
        <f t="shared" si="80"/>
        <v/>
      </c>
      <c r="AF54" s="121" t="str">
        <f t="shared" si="77"/>
        <v/>
      </c>
      <c r="AG54" s="122"/>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407">
        <v>9</v>
      </c>
      <c r="B55" s="410"/>
      <c r="C55" s="410"/>
      <c r="D55" s="410"/>
      <c r="E55" s="123"/>
      <c r="F55" s="413"/>
      <c r="G55" s="451"/>
      <c r="H55" s="126"/>
      <c r="I55" s="410"/>
      <c r="J55" s="416"/>
      <c r="K55" s="419" t="str">
        <f t="shared" ref="K55" si="82">IF(J55&lt;=0,"",IF(J55&lt;=2,"Muy Baja",IF(J55&lt;=24,"Baja",IF(J55&lt;=500,"Media",IF(J55&lt;=5000,"Alta","Muy Alta")))))</f>
        <v/>
      </c>
      <c r="L55" s="401" t="str">
        <f t="shared" ref="L55" si="83">IF(K55="","",IF(K55="Muy Baja",0.2,IF(K55="Baja",0.4,IF(K55="Media",0.6,IF(K55="Alta",0.8,IF(K55="Muy Alta",1,))))))</f>
        <v/>
      </c>
      <c r="M55" s="422"/>
      <c r="N55" s="401">
        <f>IF(NOT(ISERROR(MATCH(M55,'Tabla Impacto'!$B$221:$B$223,0))),'Tabla Impacto'!$F$223&amp;"Por favor no seleccionar los criterios de impacto(Afectación Económica o presupuestal y Pérdida Reputacional)",M55)</f>
        <v>0</v>
      </c>
      <c r="O55" s="419" t="str">
        <f>IF(OR(N55='Tabla Impacto'!$C$11,N55='Tabla Impacto'!$D$11),"Leve",IF(OR(N55='Tabla Impacto'!$C$12,N55='Tabla Impacto'!$D$12),"Menor",IF(OR(N55='Tabla Impacto'!$C$13,N55='Tabla Impacto'!$D$13),"Moderado",IF(OR(N55='Tabla Impacto'!$C$14,N55='Tabla Impacto'!$D$14),"Mayor",IF(OR(N55='Tabla Impacto'!$C$15,N55='Tabla Impacto'!$D$15),"Catastrófico","")))))</f>
        <v/>
      </c>
      <c r="P55" s="401" t="str">
        <f t="shared" ref="P55" si="84">IF(O55="","",IF(O55="Leve",0.2,IF(O55="Menor",0.4,IF(O55="Moderado",0.6,IF(O55="Mayor",0.8,IF(O55="Catastrófico",1,))))))</f>
        <v/>
      </c>
      <c r="Q55" s="404" t="str">
        <f t="shared" ref="Q55" si="85">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
      </c>
      <c r="R55" s="105">
        <v>1</v>
      </c>
      <c r="S55" s="106"/>
      <c r="T55" s="107" t="str">
        <f>IF(OR(U55="Preventivo",U55="Detectivo"),"Probabilidad",IF(U55="Correctivo","Impacto",""))</f>
        <v/>
      </c>
      <c r="U55" s="114"/>
      <c r="V55" s="114"/>
      <c r="W55" s="115" t="str">
        <f>IF(AND(U55="Preventivo",V55="Automático"),"50%",IF(AND(U55="Preventivo",V55="Manual"),"40%",IF(AND(U55="Detectivo",V55="Automático"),"40%",IF(AND(U55="Detectivo",V55="Manual"),"30%",IF(AND(U55="Correctivo",V55="Automático"),"35%",IF(AND(U55="Correctivo",V55="Manual"),"25%",""))))))</f>
        <v/>
      </c>
      <c r="X55" s="114"/>
      <c r="Y55" s="114"/>
      <c r="Z55" s="114"/>
      <c r="AA55" s="108" t="str">
        <f>IFERROR(IF(T55="Probabilidad",(L55-(+L55*W55)),IF(T55="Impacto",L55,"")),"")</f>
        <v/>
      </c>
      <c r="AB55" s="119" t="str">
        <f>IFERROR(IF(AA55="","",IF(AA55&lt;=0.2,"Muy Baja",IF(AA55&lt;=0.4,"Baja",IF(AA55&lt;=0.6,"Media",IF(AA55&lt;=0.8,"Alta","Muy Alta"))))),"")</f>
        <v/>
      </c>
      <c r="AC55" s="120" t="str">
        <f>+AA55</f>
        <v/>
      </c>
      <c r="AD55" s="119" t="str">
        <f>IFERROR(IF(AE55="","",IF(AE55&lt;=0.2,"Leve",IF(AE55&lt;=0.4,"Menor",IF(AE55&lt;=0.6,"Moderado",IF(AE55&lt;=0.8,"Mayor","Catastrófico"))))),"")</f>
        <v/>
      </c>
      <c r="AE55" s="120" t="str">
        <f>IFERROR(IF(T55="Impacto",(P55-(+P55*W55)),IF(T55="Probabilidad",P55,"")),"")</f>
        <v/>
      </c>
      <c r="AF55" s="121" t="str">
        <f>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22"/>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408"/>
      <c r="B56" s="411"/>
      <c r="C56" s="411"/>
      <c r="D56" s="411"/>
      <c r="E56" s="124"/>
      <c r="F56" s="414"/>
      <c r="G56" s="452"/>
      <c r="H56" s="127"/>
      <c r="I56" s="411"/>
      <c r="J56" s="417"/>
      <c r="K56" s="420"/>
      <c r="L56" s="402"/>
      <c r="M56" s="423"/>
      <c r="N56" s="402">
        <f>IF(NOT(ISERROR(MATCH(M56,_xlfn.ANCHORARRAY(F67),0))),L69&amp;"Por favor no seleccionar los criterios de impacto",M56)</f>
        <v>0</v>
      </c>
      <c r="O56" s="420"/>
      <c r="P56" s="402"/>
      <c r="Q56" s="405"/>
      <c r="R56" s="105">
        <v>2</v>
      </c>
      <c r="S56" s="106"/>
      <c r="T56" s="107" t="str">
        <f>IF(OR(U56="Preventivo",U56="Detectivo"),"Probabilidad",IF(U56="Correctivo","Impacto",""))</f>
        <v/>
      </c>
      <c r="U56" s="114"/>
      <c r="V56" s="114"/>
      <c r="W56" s="115" t="str">
        <f t="shared" ref="W56:W60" si="86">IF(AND(U56="Preventivo",V56="Automático"),"50%",IF(AND(U56="Preventivo",V56="Manual"),"40%",IF(AND(U56="Detectivo",V56="Automático"),"40%",IF(AND(U56="Detectivo",V56="Manual"),"30%",IF(AND(U56="Correctivo",V56="Automático"),"35%",IF(AND(U56="Correctivo",V56="Manual"),"25%",""))))))</f>
        <v/>
      </c>
      <c r="X56" s="114"/>
      <c r="Y56" s="114"/>
      <c r="Z56" s="114"/>
      <c r="AA56" s="108" t="str">
        <f>IFERROR(IF(AND(T55="Probabilidad",T56="Probabilidad"),(AC55-(+AC55*W56)),IF(AND(T55="Impacto",T56="Probabilidad"),(L55-(+L55*W56)),IF(T56="Impacto",AC55,""))),"")</f>
        <v/>
      </c>
      <c r="AB56" s="119" t="str">
        <f t="shared" ref="AB56:AB60" si="87">IFERROR(IF(AA56="","",IF(AA56&lt;=0.2,"Muy Baja",IF(AA56&lt;=0.4,"Baja",IF(AA56&lt;=0.6,"Media",IF(AA56&lt;=0.8,"Alta","Muy Alta"))))),"")</f>
        <v/>
      </c>
      <c r="AC56" s="120" t="str">
        <f>+AA56</f>
        <v/>
      </c>
      <c r="AD56" s="119" t="str">
        <f t="shared" ref="AD56:AD60" si="88">IFERROR(IF(AE56="","",IF(AE56&lt;=0.2,"Leve",IF(AE56&lt;=0.4,"Menor",IF(AE56&lt;=0.6,"Moderado",IF(AE56&lt;=0.8,"Mayor","Catastrófico"))))),"")</f>
        <v/>
      </c>
      <c r="AE56" s="120" t="str">
        <f>IFERROR(IF(AND(T55="Impacto",T56="Impacto"),(AE55-(+AE55*W56)),IF(AND(T55="Probabilidad",T56="Impacto"),(P55-(+P55*W56)),IF(T56="Probabilidad",AE55,""))),"")</f>
        <v/>
      </c>
      <c r="AF56" s="121" t="str">
        <f t="shared" ref="AF56:AF60" si="89">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22"/>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408"/>
      <c r="B57" s="411"/>
      <c r="C57" s="411"/>
      <c r="D57" s="411"/>
      <c r="E57" s="124"/>
      <c r="F57" s="414"/>
      <c r="G57" s="452"/>
      <c r="H57" s="127"/>
      <c r="I57" s="411"/>
      <c r="J57" s="417"/>
      <c r="K57" s="420"/>
      <c r="L57" s="402"/>
      <c r="M57" s="423"/>
      <c r="N57" s="402">
        <f>IF(NOT(ISERROR(MATCH(M57,_xlfn.ANCHORARRAY(F68),0))),L70&amp;"Por favor no seleccionar los criterios de impacto",M57)</f>
        <v>0</v>
      </c>
      <c r="O57" s="420"/>
      <c r="P57" s="402"/>
      <c r="Q57" s="405"/>
      <c r="R57" s="105">
        <v>3</v>
      </c>
      <c r="S57" s="112"/>
      <c r="T57" s="107" t="str">
        <f t="shared" ref="T57:T60" si="90">IF(OR(U57="Preventivo",U57="Detectivo"),"Probabilidad",IF(U57="Correctivo","Impacto",""))</f>
        <v/>
      </c>
      <c r="U57" s="114"/>
      <c r="V57" s="114"/>
      <c r="W57" s="115" t="str">
        <f t="shared" si="86"/>
        <v/>
      </c>
      <c r="X57" s="114"/>
      <c r="Y57" s="114"/>
      <c r="Z57" s="114"/>
      <c r="AA57" s="108" t="str">
        <f>IFERROR(IF(AND(T56="Probabilidad",T57="Probabilidad"),(AC56-(+AC56*W57)),IF(AND(T56="Impacto",T57="Probabilidad"),(AC55-(+AC55*W57)),IF(T57="Impacto",AC56,""))),"")</f>
        <v/>
      </c>
      <c r="AB57" s="119" t="str">
        <f t="shared" si="87"/>
        <v/>
      </c>
      <c r="AC57" s="120" t="str">
        <f t="shared" ref="AC57:AC60" si="91">+AA57</f>
        <v/>
      </c>
      <c r="AD57" s="119" t="str">
        <f t="shared" si="88"/>
        <v/>
      </c>
      <c r="AE57" s="120" t="str">
        <f t="shared" ref="AE57:AE60" si="92">IFERROR(IF(AND(T56="Impacto",T57="Impacto"),(AE56-(+AE56*W57)),IF(AND(T56="Probabilidad",T57="Impacto"),(AE55-(+AE55*W57)),IF(T57="Probabilidad",AE56,""))),"")</f>
        <v/>
      </c>
      <c r="AF57" s="121" t="str">
        <f t="shared" si="89"/>
        <v/>
      </c>
      <c r="AG57" s="122"/>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408"/>
      <c r="B58" s="411"/>
      <c r="C58" s="411"/>
      <c r="D58" s="411"/>
      <c r="E58" s="124"/>
      <c r="F58" s="414"/>
      <c r="G58" s="452"/>
      <c r="H58" s="127"/>
      <c r="I58" s="411"/>
      <c r="J58" s="417"/>
      <c r="K58" s="420"/>
      <c r="L58" s="402"/>
      <c r="M58" s="423"/>
      <c r="N58" s="402">
        <f>IF(NOT(ISERROR(MATCH(M58,_xlfn.ANCHORARRAY(F69),0))),L71&amp;"Por favor no seleccionar los criterios de impacto",M58)</f>
        <v>0</v>
      </c>
      <c r="O58" s="420"/>
      <c r="P58" s="402"/>
      <c r="Q58" s="405"/>
      <c r="R58" s="105">
        <v>4</v>
      </c>
      <c r="S58" s="106"/>
      <c r="T58" s="107" t="str">
        <f t="shared" si="90"/>
        <v/>
      </c>
      <c r="U58" s="114"/>
      <c r="V58" s="114"/>
      <c r="W58" s="115" t="str">
        <f t="shared" si="86"/>
        <v/>
      </c>
      <c r="X58" s="114"/>
      <c r="Y58" s="114"/>
      <c r="Z58" s="114"/>
      <c r="AA58" s="108" t="str">
        <f t="shared" ref="AA58:AA60" si="93">IFERROR(IF(AND(T57="Probabilidad",T58="Probabilidad"),(AC57-(+AC57*W58)),IF(AND(T57="Impacto",T58="Probabilidad"),(AC56-(+AC56*W58)),IF(T58="Impacto",AC57,""))),"")</f>
        <v/>
      </c>
      <c r="AB58" s="119" t="str">
        <f t="shared" si="87"/>
        <v/>
      </c>
      <c r="AC58" s="120" t="str">
        <f t="shared" si="91"/>
        <v/>
      </c>
      <c r="AD58" s="119" t="str">
        <f t="shared" si="88"/>
        <v/>
      </c>
      <c r="AE58" s="120" t="str">
        <f t="shared" si="92"/>
        <v/>
      </c>
      <c r="AF58" s="121" t="str">
        <f t="shared" si="89"/>
        <v/>
      </c>
      <c r="AG58" s="122"/>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408"/>
      <c r="B59" s="411"/>
      <c r="C59" s="411"/>
      <c r="D59" s="411"/>
      <c r="E59" s="124"/>
      <c r="F59" s="414"/>
      <c r="G59" s="452"/>
      <c r="H59" s="127"/>
      <c r="I59" s="411"/>
      <c r="J59" s="417"/>
      <c r="K59" s="420"/>
      <c r="L59" s="402"/>
      <c r="M59" s="423"/>
      <c r="N59" s="402">
        <f>IF(NOT(ISERROR(MATCH(M59,_xlfn.ANCHORARRAY(F70),0))),L72&amp;"Por favor no seleccionar los criterios de impacto",M59)</f>
        <v>0</v>
      </c>
      <c r="O59" s="420"/>
      <c r="P59" s="402"/>
      <c r="Q59" s="405"/>
      <c r="R59" s="105">
        <v>5</v>
      </c>
      <c r="S59" s="106"/>
      <c r="T59" s="107" t="str">
        <f t="shared" si="90"/>
        <v/>
      </c>
      <c r="U59" s="114"/>
      <c r="V59" s="114"/>
      <c r="W59" s="115" t="str">
        <f t="shared" si="86"/>
        <v/>
      </c>
      <c r="X59" s="114"/>
      <c r="Y59" s="114"/>
      <c r="Z59" s="114"/>
      <c r="AA59" s="108" t="str">
        <f t="shared" si="93"/>
        <v/>
      </c>
      <c r="AB59" s="119" t="str">
        <f t="shared" si="87"/>
        <v/>
      </c>
      <c r="AC59" s="120" t="str">
        <f t="shared" si="91"/>
        <v/>
      </c>
      <c r="AD59" s="119" t="str">
        <f t="shared" si="88"/>
        <v/>
      </c>
      <c r="AE59" s="120" t="str">
        <f t="shared" si="92"/>
        <v/>
      </c>
      <c r="AF59" s="121" t="str">
        <f t="shared" si="89"/>
        <v/>
      </c>
      <c r="AG59" s="122"/>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25">
      <c r="A60" s="409"/>
      <c r="B60" s="412"/>
      <c r="C60" s="412"/>
      <c r="D60" s="412"/>
      <c r="E60" s="125"/>
      <c r="F60" s="415"/>
      <c r="G60" s="453"/>
      <c r="H60" s="128"/>
      <c r="I60" s="412"/>
      <c r="J60" s="418"/>
      <c r="K60" s="421"/>
      <c r="L60" s="403"/>
      <c r="M60" s="424"/>
      <c r="N60" s="403">
        <f>IF(NOT(ISERROR(MATCH(M60,_xlfn.ANCHORARRAY(F71),0))),L73&amp;"Por favor no seleccionar los criterios de impacto",M60)</f>
        <v>0</v>
      </c>
      <c r="O60" s="421"/>
      <c r="P60" s="403"/>
      <c r="Q60" s="406"/>
      <c r="R60" s="105">
        <v>6</v>
      </c>
      <c r="S60" s="106"/>
      <c r="T60" s="107" t="str">
        <f t="shared" si="90"/>
        <v/>
      </c>
      <c r="U60" s="114"/>
      <c r="V60" s="114"/>
      <c r="W60" s="115" t="str">
        <f t="shared" si="86"/>
        <v/>
      </c>
      <c r="X60" s="114"/>
      <c r="Y60" s="114"/>
      <c r="Z60" s="114"/>
      <c r="AA60" s="108" t="str">
        <f t="shared" si="93"/>
        <v/>
      </c>
      <c r="AB60" s="119" t="str">
        <f t="shared" si="87"/>
        <v/>
      </c>
      <c r="AC60" s="120" t="str">
        <f t="shared" si="91"/>
        <v/>
      </c>
      <c r="AD60" s="119" t="str">
        <f t="shared" si="88"/>
        <v/>
      </c>
      <c r="AE60" s="120" t="str">
        <f t="shared" si="92"/>
        <v/>
      </c>
      <c r="AF60" s="121" t="str">
        <f t="shared" si="89"/>
        <v/>
      </c>
      <c r="AG60" s="122"/>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19.5" customHeight="1" x14ac:dyDescent="0.25">
      <c r="A61" s="407">
        <v>10</v>
      </c>
      <c r="B61" s="410"/>
      <c r="C61" s="410"/>
      <c r="D61" s="410"/>
      <c r="E61" s="123"/>
      <c r="F61" s="413"/>
      <c r="G61" s="451"/>
      <c r="H61" s="126"/>
      <c r="I61" s="410"/>
      <c r="J61" s="416"/>
      <c r="K61" s="419" t="str">
        <f t="shared" ref="K61" si="94">IF(J61&lt;=0,"",IF(J61&lt;=2,"Muy Baja",IF(J61&lt;=24,"Baja",IF(J61&lt;=500,"Media",IF(J61&lt;=5000,"Alta","Muy Alta")))))</f>
        <v/>
      </c>
      <c r="L61" s="401" t="str">
        <f t="shared" ref="L61" si="95">IF(K61="","",IF(K61="Muy Baja",0.2,IF(K61="Baja",0.4,IF(K61="Media",0.6,IF(K61="Alta",0.8,IF(K61="Muy Alta",1,))))))</f>
        <v/>
      </c>
      <c r="M61" s="422"/>
      <c r="N61" s="401">
        <f>IF(NOT(ISERROR(MATCH(M61,'Tabla Impacto'!$B$221:$B$223,0))),'Tabla Impacto'!$F$223&amp;"Por favor no seleccionar los criterios de impacto(Afectación Económica o presupuestal y Pérdida Reputacional)",M61)</f>
        <v>0</v>
      </c>
      <c r="O61" s="419" t="str">
        <f>IF(OR(N61='Tabla Impacto'!$C$11,N61='Tabla Impacto'!$D$11),"Leve",IF(OR(N61='Tabla Impacto'!$C$12,N61='Tabla Impacto'!$D$12),"Menor",IF(OR(N61='Tabla Impacto'!$C$13,N61='Tabla Impacto'!$D$13),"Moderado",IF(OR(N61='Tabla Impacto'!$C$14,N61='Tabla Impacto'!$D$14),"Mayor",IF(OR(N61='Tabla Impacto'!$C$15,N61='Tabla Impacto'!$D$15),"Catastrófico","")))))</f>
        <v/>
      </c>
      <c r="P61" s="401" t="str">
        <f t="shared" ref="P61" si="96">IF(O61="","",IF(O61="Leve",0.2,IF(O61="Menor",0.4,IF(O61="Moderado",0.6,IF(O61="Mayor",0.8,IF(O61="Catastrófico",1,))))))</f>
        <v/>
      </c>
      <c r="Q61" s="404" t="str">
        <f t="shared" ref="Q61" si="97">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
      </c>
      <c r="R61" s="105">
        <v>1</v>
      </c>
      <c r="S61" s="106"/>
      <c r="T61" s="107" t="str">
        <f>IF(OR(U61="Preventivo",U61="Detectivo"),"Probabilidad",IF(U61="Correctivo","Impacto",""))</f>
        <v/>
      </c>
      <c r="U61" s="114"/>
      <c r="V61" s="114"/>
      <c r="W61" s="115" t="str">
        <f>IF(AND(U61="Preventivo",V61="Automático"),"50%",IF(AND(U61="Preventivo",V61="Manual"),"40%",IF(AND(U61="Detectivo",V61="Automático"),"40%",IF(AND(U61="Detectivo",V61="Manual"),"30%",IF(AND(U61="Correctivo",V61="Automático"),"35%",IF(AND(U61="Correctivo",V61="Manual"),"25%",""))))))</f>
        <v/>
      </c>
      <c r="X61" s="114"/>
      <c r="Y61" s="114"/>
      <c r="Z61" s="114"/>
      <c r="AA61" s="108" t="str">
        <f>IFERROR(IF(T61="Probabilidad",(L61-(+L61*W61)),IF(T61="Impacto",L61,"")),"")</f>
        <v/>
      </c>
      <c r="AB61" s="119" t="str">
        <f>IFERROR(IF(AA61="","",IF(AA61&lt;=0.2,"Muy Baja",IF(AA61&lt;=0.4,"Baja",IF(AA61&lt;=0.6,"Media",IF(AA61&lt;=0.8,"Alta","Muy Alta"))))),"")</f>
        <v/>
      </c>
      <c r="AC61" s="120" t="str">
        <f>+AA61</f>
        <v/>
      </c>
      <c r="AD61" s="119" t="str">
        <f>IFERROR(IF(AE61="","",IF(AE61&lt;=0.2,"Leve",IF(AE61&lt;=0.4,"Menor",IF(AE61&lt;=0.6,"Moderado",IF(AE61&lt;=0.8,"Mayor","Catastrófico"))))),"")</f>
        <v/>
      </c>
      <c r="AE61" s="120" t="str">
        <f>IFERROR(IF(T61="Impacto",(P61-(+P61*W61)),IF(T61="Probabilidad",P61,"")),"")</f>
        <v/>
      </c>
      <c r="AF61" s="121" t="str">
        <f>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122"/>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19.5" customHeight="1" x14ac:dyDescent="0.25">
      <c r="A62" s="408"/>
      <c r="B62" s="411"/>
      <c r="C62" s="411"/>
      <c r="D62" s="411"/>
      <c r="E62" s="124"/>
      <c r="F62" s="414"/>
      <c r="G62" s="452"/>
      <c r="H62" s="127"/>
      <c r="I62" s="411"/>
      <c r="J62" s="417"/>
      <c r="K62" s="420"/>
      <c r="L62" s="402"/>
      <c r="M62" s="423"/>
      <c r="N62" s="402">
        <f>IF(NOT(ISERROR(MATCH(M62,_xlfn.ANCHORARRAY(F73),0))),L75&amp;"Por favor no seleccionar los criterios de impacto",M62)</f>
        <v>0</v>
      </c>
      <c r="O62" s="420"/>
      <c r="P62" s="402"/>
      <c r="Q62" s="405"/>
      <c r="R62" s="105">
        <v>2</v>
      </c>
      <c r="S62" s="106"/>
      <c r="T62" s="107" t="str">
        <f>IF(OR(U62="Preventivo",U62="Detectivo"),"Probabilidad",IF(U62="Correctivo","Impacto",""))</f>
        <v/>
      </c>
      <c r="U62" s="114"/>
      <c r="V62" s="114"/>
      <c r="W62" s="115" t="str">
        <f t="shared" ref="W62:W66" si="98">IF(AND(U62="Preventivo",V62="Automático"),"50%",IF(AND(U62="Preventivo",V62="Manual"),"40%",IF(AND(U62="Detectivo",V62="Automático"),"40%",IF(AND(U62="Detectivo",V62="Manual"),"30%",IF(AND(U62="Correctivo",V62="Automático"),"35%",IF(AND(U62="Correctivo",V62="Manual"),"25%",""))))))</f>
        <v/>
      </c>
      <c r="X62" s="114"/>
      <c r="Y62" s="114"/>
      <c r="Z62" s="114"/>
      <c r="AA62" s="108" t="str">
        <f>IFERROR(IF(AND(T61="Probabilidad",T62="Probabilidad"),(AC61-(+AC61*W62)),IF(AND(T61="Impacto",T62="Probabilidad"),(L61-(+L61*W62)),IF(T62="Impacto",AC61,""))),"")</f>
        <v/>
      </c>
      <c r="AB62" s="119" t="str">
        <f t="shared" ref="AB62:AB66" si="99">IFERROR(IF(AA62="","",IF(AA62&lt;=0.2,"Muy Baja",IF(AA62&lt;=0.4,"Baja",IF(AA62&lt;=0.6,"Media",IF(AA62&lt;=0.8,"Alta","Muy Alta"))))),"")</f>
        <v/>
      </c>
      <c r="AC62" s="120" t="str">
        <f>+AA62</f>
        <v/>
      </c>
      <c r="AD62" s="119" t="str">
        <f t="shared" ref="AD62:AD66" si="100">IFERROR(IF(AE62="","",IF(AE62&lt;=0.2,"Leve",IF(AE62&lt;=0.4,"Menor",IF(AE62&lt;=0.6,"Moderado",IF(AE62&lt;=0.8,"Mayor","Catastrófico"))))),"")</f>
        <v/>
      </c>
      <c r="AE62" s="120" t="str">
        <f>IFERROR(IF(AND(T61="Impacto",T62="Impacto"),(AE61-(+AE61*W62)),IF(AND(T61="Probabilidad",T62="Impacto"),(P61-(+P61*W62)),IF(T62="Probabilidad",AE61,""))),"")</f>
        <v/>
      </c>
      <c r="AF62" s="121" t="str">
        <f t="shared" ref="AF62:AF66" si="101">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22"/>
      <c r="AH62" s="109"/>
      <c r="AI62" s="110"/>
      <c r="AJ62" s="111"/>
      <c r="AK62" s="111"/>
      <c r="AL62" s="109"/>
      <c r="AM62" s="110"/>
    </row>
    <row r="63" spans="1:71" ht="19.5" customHeight="1" x14ac:dyDescent="0.25">
      <c r="A63" s="408"/>
      <c r="B63" s="411"/>
      <c r="C63" s="411"/>
      <c r="D63" s="411"/>
      <c r="E63" s="124"/>
      <c r="F63" s="414"/>
      <c r="G63" s="452"/>
      <c r="H63" s="127"/>
      <c r="I63" s="411"/>
      <c r="J63" s="417"/>
      <c r="K63" s="420"/>
      <c r="L63" s="402"/>
      <c r="M63" s="423"/>
      <c r="N63" s="402">
        <f>IF(NOT(ISERROR(MATCH(M63,_xlfn.ANCHORARRAY(F74),0))),L76&amp;"Por favor no seleccionar los criterios de impacto",M63)</f>
        <v>0</v>
      </c>
      <c r="O63" s="420"/>
      <c r="P63" s="402"/>
      <c r="Q63" s="405"/>
      <c r="R63" s="105">
        <v>3</v>
      </c>
      <c r="S63" s="112"/>
      <c r="T63" s="107" t="str">
        <f t="shared" ref="T63:T66" si="102">IF(OR(U63="Preventivo",U63="Detectivo"),"Probabilidad",IF(U63="Correctivo","Impacto",""))</f>
        <v/>
      </c>
      <c r="U63" s="114"/>
      <c r="V63" s="114"/>
      <c r="W63" s="115" t="str">
        <f t="shared" si="98"/>
        <v/>
      </c>
      <c r="X63" s="114"/>
      <c r="Y63" s="114"/>
      <c r="Z63" s="114"/>
      <c r="AA63" s="108" t="str">
        <f>IFERROR(IF(AND(T62="Probabilidad",T63="Probabilidad"),(AC62-(+AC62*W63)),IF(AND(T62="Impacto",T63="Probabilidad"),(AC61-(+AC61*W63)),IF(T63="Impacto",AC62,""))),"")</f>
        <v/>
      </c>
      <c r="AB63" s="119" t="str">
        <f t="shared" si="99"/>
        <v/>
      </c>
      <c r="AC63" s="120" t="str">
        <f t="shared" ref="AC63:AC66" si="103">+AA63</f>
        <v/>
      </c>
      <c r="AD63" s="119" t="str">
        <f t="shared" si="100"/>
        <v/>
      </c>
      <c r="AE63" s="120" t="str">
        <f t="shared" ref="AE63:AE66" si="104">IFERROR(IF(AND(T62="Impacto",T63="Impacto"),(AE62-(+AE62*W63)),IF(AND(T62="Probabilidad",T63="Impacto"),(AE61-(+AE61*W63)),IF(T63="Probabilidad",AE62,""))),"")</f>
        <v/>
      </c>
      <c r="AF63" s="121" t="str">
        <f t="shared" si="101"/>
        <v/>
      </c>
      <c r="AG63" s="122"/>
      <c r="AH63" s="109"/>
      <c r="AI63" s="110"/>
      <c r="AJ63" s="111"/>
      <c r="AK63" s="111"/>
      <c r="AL63" s="109"/>
      <c r="AM63" s="110"/>
    </row>
    <row r="64" spans="1:71" ht="19.5" customHeight="1" x14ac:dyDescent="0.25">
      <c r="A64" s="408"/>
      <c r="B64" s="411"/>
      <c r="C64" s="411"/>
      <c r="D64" s="411"/>
      <c r="E64" s="124"/>
      <c r="F64" s="414"/>
      <c r="G64" s="452"/>
      <c r="H64" s="127"/>
      <c r="I64" s="411"/>
      <c r="J64" s="417"/>
      <c r="K64" s="420"/>
      <c r="L64" s="402"/>
      <c r="M64" s="423"/>
      <c r="N64" s="402">
        <f>IF(NOT(ISERROR(MATCH(M64,_xlfn.ANCHORARRAY(F75),0))),L77&amp;"Por favor no seleccionar los criterios de impacto",M64)</f>
        <v>0</v>
      </c>
      <c r="O64" s="420"/>
      <c r="P64" s="402"/>
      <c r="Q64" s="405"/>
      <c r="R64" s="105">
        <v>4</v>
      </c>
      <c r="S64" s="106"/>
      <c r="T64" s="107" t="str">
        <f t="shared" si="102"/>
        <v/>
      </c>
      <c r="U64" s="114"/>
      <c r="V64" s="114"/>
      <c r="W64" s="115" t="str">
        <f t="shared" si="98"/>
        <v/>
      </c>
      <c r="X64" s="114"/>
      <c r="Y64" s="114"/>
      <c r="Z64" s="114"/>
      <c r="AA64" s="108" t="str">
        <f t="shared" ref="AA64:AA66" si="105">IFERROR(IF(AND(T63="Probabilidad",T64="Probabilidad"),(AC63-(+AC63*W64)),IF(AND(T63="Impacto",T64="Probabilidad"),(AC62-(+AC62*W64)),IF(T64="Impacto",AC63,""))),"")</f>
        <v/>
      </c>
      <c r="AB64" s="119" t="str">
        <f t="shared" si="99"/>
        <v/>
      </c>
      <c r="AC64" s="120" t="str">
        <f t="shared" si="103"/>
        <v/>
      </c>
      <c r="AD64" s="119" t="str">
        <f t="shared" si="100"/>
        <v/>
      </c>
      <c r="AE64" s="120" t="str">
        <f t="shared" si="104"/>
        <v/>
      </c>
      <c r="AF64" s="121" t="str">
        <f t="shared" si="101"/>
        <v/>
      </c>
      <c r="AG64" s="122"/>
      <c r="AH64" s="109"/>
      <c r="AI64" s="110"/>
      <c r="AJ64" s="111"/>
      <c r="AK64" s="111"/>
      <c r="AL64" s="109"/>
      <c r="AM64" s="110"/>
    </row>
    <row r="65" spans="1:39" ht="19.5" customHeight="1" x14ac:dyDescent="0.25">
      <c r="A65" s="408"/>
      <c r="B65" s="411"/>
      <c r="C65" s="411"/>
      <c r="D65" s="411"/>
      <c r="E65" s="124"/>
      <c r="F65" s="414"/>
      <c r="G65" s="452"/>
      <c r="H65" s="127"/>
      <c r="I65" s="411"/>
      <c r="J65" s="417"/>
      <c r="K65" s="420"/>
      <c r="L65" s="402"/>
      <c r="M65" s="423"/>
      <c r="N65" s="402">
        <f>IF(NOT(ISERROR(MATCH(M65,_xlfn.ANCHORARRAY(F76),0))),L78&amp;"Por favor no seleccionar los criterios de impacto",M65)</f>
        <v>0</v>
      </c>
      <c r="O65" s="420"/>
      <c r="P65" s="402"/>
      <c r="Q65" s="405"/>
      <c r="R65" s="105">
        <v>5</v>
      </c>
      <c r="S65" s="106"/>
      <c r="T65" s="107" t="str">
        <f t="shared" si="102"/>
        <v/>
      </c>
      <c r="U65" s="114"/>
      <c r="V65" s="114"/>
      <c r="W65" s="115" t="str">
        <f t="shared" si="98"/>
        <v/>
      </c>
      <c r="X65" s="114"/>
      <c r="Y65" s="114"/>
      <c r="Z65" s="114"/>
      <c r="AA65" s="108" t="str">
        <f t="shared" si="105"/>
        <v/>
      </c>
      <c r="AB65" s="119" t="str">
        <f t="shared" si="99"/>
        <v/>
      </c>
      <c r="AC65" s="120" t="str">
        <f t="shared" si="103"/>
        <v/>
      </c>
      <c r="AD65" s="119" t="str">
        <f t="shared" si="100"/>
        <v/>
      </c>
      <c r="AE65" s="120" t="str">
        <f t="shared" si="104"/>
        <v/>
      </c>
      <c r="AF65" s="121" t="str">
        <f t="shared" si="101"/>
        <v/>
      </c>
      <c r="AG65" s="122"/>
      <c r="AH65" s="109"/>
      <c r="AI65" s="110"/>
      <c r="AJ65" s="111"/>
      <c r="AK65" s="111"/>
      <c r="AL65" s="109"/>
      <c r="AM65" s="110"/>
    </row>
    <row r="66" spans="1:39" ht="19.5" customHeight="1" x14ac:dyDescent="0.25">
      <c r="A66" s="409"/>
      <c r="B66" s="412"/>
      <c r="C66" s="412"/>
      <c r="D66" s="412"/>
      <c r="E66" s="125"/>
      <c r="F66" s="415"/>
      <c r="G66" s="453"/>
      <c r="H66" s="128"/>
      <c r="I66" s="412"/>
      <c r="J66" s="418"/>
      <c r="K66" s="421"/>
      <c r="L66" s="403"/>
      <c r="M66" s="424"/>
      <c r="N66" s="403">
        <f>IF(NOT(ISERROR(MATCH(M66,_xlfn.ANCHORARRAY(F77),0))),L79&amp;"Por favor no seleccionar los criterios de impacto",M66)</f>
        <v>0</v>
      </c>
      <c r="O66" s="421"/>
      <c r="P66" s="403"/>
      <c r="Q66" s="406"/>
      <c r="R66" s="105">
        <v>6</v>
      </c>
      <c r="S66" s="106"/>
      <c r="T66" s="107" t="str">
        <f t="shared" si="102"/>
        <v/>
      </c>
      <c r="U66" s="114"/>
      <c r="V66" s="114"/>
      <c r="W66" s="115" t="str">
        <f t="shared" si="98"/>
        <v/>
      </c>
      <c r="X66" s="114"/>
      <c r="Y66" s="114"/>
      <c r="Z66" s="114"/>
      <c r="AA66" s="108" t="str">
        <f t="shared" si="105"/>
        <v/>
      </c>
      <c r="AB66" s="119" t="str">
        <f t="shared" si="99"/>
        <v/>
      </c>
      <c r="AC66" s="120" t="str">
        <f t="shared" si="103"/>
        <v/>
      </c>
      <c r="AD66" s="119" t="str">
        <f t="shared" si="100"/>
        <v/>
      </c>
      <c r="AE66" s="120" t="str">
        <f t="shared" si="104"/>
        <v/>
      </c>
      <c r="AF66" s="121" t="str">
        <f t="shared" si="101"/>
        <v/>
      </c>
      <c r="AG66" s="122"/>
      <c r="AH66" s="109"/>
      <c r="AI66" s="110"/>
      <c r="AJ66" s="111"/>
      <c r="AK66" s="111"/>
      <c r="AL66" s="109"/>
      <c r="AM66" s="110"/>
    </row>
    <row r="67" spans="1:39" ht="49.5" customHeight="1" x14ac:dyDescent="0.25">
      <c r="A67" s="6"/>
      <c r="B67" s="398" t="s">
        <v>126</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400"/>
    </row>
    <row r="69" spans="1:39" x14ac:dyDescent="0.25">
      <c r="A69" s="1"/>
      <c r="B69" s="24" t="s">
        <v>138</v>
      </c>
      <c r="C69" s="1"/>
      <c r="D69" s="1"/>
      <c r="E69" s="1"/>
      <c r="I69" s="1"/>
    </row>
  </sheetData>
  <dataConsolidate/>
  <mergeCells count="204">
    <mergeCell ref="AO8:AO9"/>
    <mergeCell ref="G13:G18"/>
    <mergeCell ref="G19:G24"/>
    <mergeCell ref="G25:G30"/>
    <mergeCell ref="G31:G36"/>
    <mergeCell ref="G37:G42"/>
    <mergeCell ref="G43:G48"/>
    <mergeCell ref="G49:G54"/>
    <mergeCell ref="G55:G60"/>
    <mergeCell ref="AH8:AH9"/>
    <mergeCell ref="AM8:AM9"/>
    <mergeCell ref="AL8:AL9"/>
    <mergeCell ref="AK8:AK9"/>
    <mergeCell ref="AJ8:AJ9"/>
    <mergeCell ref="AI8:AI9"/>
    <mergeCell ref="P31:P36"/>
    <mergeCell ref="Q31:Q36"/>
    <mergeCell ref="P37:P42"/>
    <mergeCell ref="Q37:Q42"/>
    <mergeCell ref="M43:M48"/>
    <mergeCell ref="N43:N48"/>
    <mergeCell ref="O43:O48"/>
    <mergeCell ref="M37:M42"/>
    <mergeCell ref="N37:N42"/>
    <mergeCell ref="G61:G66"/>
    <mergeCell ref="A10:A12"/>
    <mergeCell ref="B10:B12"/>
    <mergeCell ref="C10:C12"/>
    <mergeCell ref="D10:D12"/>
    <mergeCell ref="F10:F12"/>
    <mergeCell ref="Q10:Q12"/>
    <mergeCell ref="L10:L12"/>
    <mergeCell ref="M10:M12"/>
    <mergeCell ref="N10:N12"/>
    <mergeCell ref="O10:O12"/>
    <mergeCell ref="P10:P12"/>
    <mergeCell ref="H10:H12"/>
    <mergeCell ref="G10:G12"/>
    <mergeCell ref="D13:D18"/>
    <mergeCell ref="F13:F18"/>
    <mergeCell ref="N13:N18"/>
    <mergeCell ref="O13:O18"/>
    <mergeCell ref="P13:P18"/>
    <mergeCell ref="Q13:Q18"/>
    <mergeCell ref="A19:A24"/>
    <mergeCell ref="B19:B24"/>
    <mergeCell ref="C19:C24"/>
    <mergeCell ref="D19:D24"/>
    <mergeCell ref="Q8:Q9"/>
    <mergeCell ref="M8:M9"/>
    <mergeCell ref="N8:N9"/>
    <mergeCell ref="T8:T9"/>
    <mergeCell ref="U8:Z8"/>
    <mergeCell ref="E8:E9"/>
    <mergeCell ref="I10:I12"/>
    <mergeCell ref="J10:J12"/>
    <mergeCell ref="K10:K12"/>
    <mergeCell ref="M19:M24"/>
    <mergeCell ref="N19:N24"/>
    <mergeCell ref="O19:O24"/>
    <mergeCell ref="I13:I18"/>
    <mergeCell ref="J13:J18"/>
    <mergeCell ref="K13:K18"/>
    <mergeCell ref="L13:L18"/>
    <mergeCell ref="M13:M18"/>
    <mergeCell ref="A4:B4"/>
    <mergeCell ref="A5:B5"/>
    <mergeCell ref="A6:B6"/>
    <mergeCell ref="A8:A9"/>
    <mergeCell ref="I8:I9"/>
    <mergeCell ref="F8:F9"/>
    <mergeCell ref="D8:D9"/>
    <mergeCell ref="C8:C9"/>
    <mergeCell ref="B8:B9"/>
    <mergeCell ref="A13:A18"/>
    <mergeCell ref="B13:B18"/>
    <mergeCell ref="C13:C18"/>
    <mergeCell ref="P19:P24"/>
    <mergeCell ref="Q19:Q24"/>
    <mergeCell ref="A25:A30"/>
    <mergeCell ref="B25:B30"/>
    <mergeCell ref="C25:C30"/>
    <mergeCell ref="D25:D30"/>
    <mergeCell ref="F25:F30"/>
    <mergeCell ref="I25:I30"/>
    <mergeCell ref="J25:J30"/>
    <mergeCell ref="K25:K30"/>
    <mergeCell ref="L25:L30"/>
    <mergeCell ref="M25:M30"/>
    <mergeCell ref="N25:N30"/>
    <mergeCell ref="O25:O30"/>
    <mergeCell ref="P25:P30"/>
    <mergeCell ref="Q25:Q30"/>
    <mergeCell ref="F19:F24"/>
    <mergeCell ref="I19:I24"/>
    <mergeCell ref="J19:J24"/>
    <mergeCell ref="K19:K24"/>
    <mergeCell ref="L19:L24"/>
    <mergeCell ref="A31:A36"/>
    <mergeCell ref="B31:B36"/>
    <mergeCell ref="C31:C36"/>
    <mergeCell ref="A37:A42"/>
    <mergeCell ref="B37:B42"/>
    <mergeCell ref="C37:C42"/>
    <mergeCell ref="D37:D42"/>
    <mergeCell ref="F37:F42"/>
    <mergeCell ref="I37:I42"/>
    <mergeCell ref="D31:D36"/>
    <mergeCell ref="F31:F36"/>
    <mergeCell ref="O37:O42"/>
    <mergeCell ref="I31:I36"/>
    <mergeCell ref="J31:J36"/>
    <mergeCell ref="K31:K36"/>
    <mergeCell ref="L31:L36"/>
    <mergeCell ref="M31:M36"/>
    <mergeCell ref="J37:J42"/>
    <mergeCell ref="K37:K42"/>
    <mergeCell ref="L37:L42"/>
    <mergeCell ref="N31:N36"/>
    <mergeCell ref="O31:O36"/>
    <mergeCell ref="A49:A54"/>
    <mergeCell ref="B49:B54"/>
    <mergeCell ref="C49:C54"/>
    <mergeCell ref="D49:D54"/>
    <mergeCell ref="F49:F54"/>
    <mergeCell ref="A43:A48"/>
    <mergeCell ref="B43:B48"/>
    <mergeCell ref="C43:C48"/>
    <mergeCell ref="D43:D48"/>
    <mergeCell ref="F43:F48"/>
    <mergeCell ref="P43:P48"/>
    <mergeCell ref="Q43:Q48"/>
    <mergeCell ref="I49:I54"/>
    <mergeCell ref="J49:J54"/>
    <mergeCell ref="K49:K54"/>
    <mergeCell ref="L49:L54"/>
    <mergeCell ref="M49:M54"/>
    <mergeCell ref="I43:I48"/>
    <mergeCell ref="J43:J48"/>
    <mergeCell ref="K43:K48"/>
    <mergeCell ref="L43:L48"/>
    <mergeCell ref="N49:N54"/>
    <mergeCell ref="O49:O54"/>
    <mergeCell ref="P49:P54"/>
    <mergeCell ref="Q49:Q54"/>
    <mergeCell ref="N55:N60"/>
    <mergeCell ref="O55:O60"/>
    <mergeCell ref="A55:A60"/>
    <mergeCell ref="B55:B60"/>
    <mergeCell ref="C55:C60"/>
    <mergeCell ref="D55:D60"/>
    <mergeCell ref="F55:F60"/>
    <mergeCell ref="I55:I60"/>
    <mergeCell ref="J55:J60"/>
    <mergeCell ref="K55:K60"/>
    <mergeCell ref="L55:L60"/>
    <mergeCell ref="A1:AM2"/>
    <mergeCell ref="A7:J7"/>
    <mergeCell ref="K7:Q7"/>
    <mergeCell ref="R7:Z7"/>
    <mergeCell ref="AA7:AG7"/>
    <mergeCell ref="AH7:AM7"/>
    <mergeCell ref="B67:AM67"/>
    <mergeCell ref="P55:P60"/>
    <mergeCell ref="Q55:Q60"/>
    <mergeCell ref="A61:A66"/>
    <mergeCell ref="B61:B66"/>
    <mergeCell ref="C61:C66"/>
    <mergeCell ref="D61:D66"/>
    <mergeCell ref="F61:F66"/>
    <mergeCell ref="I61:I66"/>
    <mergeCell ref="J61:J66"/>
    <mergeCell ref="K61:K66"/>
    <mergeCell ref="L61:L66"/>
    <mergeCell ref="M61:M66"/>
    <mergeCell ref="N61:N66"/>
    <mergeCell ref="O61:O66"/>
    <mergeCell ref="P61:P66"/>
    <mergeCell ref="Q61:Q66"/>
    <mergeCell ref="M55:M60"/>
    <mergeCell ref="AD10:AD12"/>
    <mergeCell ref="AB10:AB12"/>
    <mergeCell ref="AA10:AA12"/>
    <mergeCell ref="AC10:AC12"/>
    <mergeCell ref="AE10:AE12"/>
    <mergeCell ref="AF10:AF12"/>
    <mergeCell ref="AN8:AN9"/>
    <mergeCell ref="C4:AM4"/>
    <mergeCell ref="C5:AM5"/>
    <mergeCell ref="C6:AM6"/>
    <mergeCell ref="AC8:AC9"/>
    <mergeCell ref="J8:J9"/>
    <mergeCell ref="K8:K9"/>
    <mergeCell ref="L8:L9"/>
    <mergeCell ref="O8:O9"/>
    <mergeCell ref="P8:P9"/>
    <mergeCell ref="AG8:AG9"/>
    <mergeCell ref="R8:R9"/>
    <mergeCell ref="AF8:AF9"/>
    <mergeCell ref="AE8:AE9"/>
    <mergeCell ref="AA8:AA9"/>
    <mergeCell ref="S8:S9"/>
    <mergeCell ref="AD8:AD9"/>
    <mergeCell ref="AB8:AB9"/>
  </mergeCells>
  <conditionalFormatting sqref="K10 AB10 K13 AB13:AB66 K19 K25 K31 K37 K43 K49 K55 K61">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66">
    <cfRule type="containsText" dxfId="13" priority="323" operator="containsText" text="❌">
      <formula>NOT(ISERROR(SEARCH("❌",N10)))</formula>
    </cfRule>
  </conditionalFormatting>
  <conditionalFormatting sqref="O10 AD10 O13 AD13:AD66 O19 O25 O31 O37 O43 O49 O55 O61">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 AF13:AF66">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3 Q19 Q25 Q31 Q37 Q43 Q49 Q55 Q61">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dataValidations count="4">
    <dataValidation type="list" allowBlank="1" showInputMessage="1" showErrorMessage="1" sqref="G10:G66" xr:uid="{00000000-0002-0000-0400-000000000000}">
      <formula1>"Gestión, FISCAL,"</formula1>
    </dataValidation>
    <dataValidation type="custom" allowBlank="1" showInputMessage="1" showErrorMessage="1" error="Recuerde que las acciones se generan bajo la medida de mitigar el riesgo" sqref="AI10:AI12" xr:uid="{00000000-0002-0000-0400-000001000000}">
      <formula1>IF(OR(AG10=#REF!,AG10=#REF!,AG10=#REF!),ISBLANK(AG10),ISTEXT(AG10))</formula1>
    </dataValidation>
    <dataValidation type="custom" allowBlank="1" showInputMessage="1" showErrorMessage="1" error="Recuerde que las acciones se generan bajo la medida de mitigar el riesgo" sqref="AK10:AK12" xr:uid="{00000000-0002-0000-0400-000002000000}">
      <formula1>IF(OR(AG10=#REF!,AG10=#REF!,AG10=#REF!),ISBLANK(AG10),ISTEXT(AG10))</formula1>
    </dataValidation>
    <dataValidation type="custom" allowBlank="1" showInputMessage="1" showErrorMessage="1" error="Recuerde que las acciones se generan bajo la medida de mitigar el riesgo" sqref="AL10:AL12" xr:uid="{00000000-0002-0000-0400-000003000000}">
      <formula1>IF(OR(AG10=#REF!,AG10=#REF!,AG10=#REF!),ISBLANK(AG10),ISTEXT(AG10))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4000000}">
          <x14:formula1>
            <xm:f>'Opciones Tratamiento'!$B$9:$B$10</xm:f>
          </x14:formula1>
          <xm:sqref>AM10:AM14 AM16:AM17 AM19:AM20 AM22:AM23 AM25:AM26 AM28:AM29 AM31:AM32 AM34:AM35 AM37:AM38 AM40:AM41 AM43:AM44 AM46:AM47 AM49:AM50 AM52:AM53 AM55:AM56 AM58:AM59 AM61:AM62 AM64:AM65</xm:sqref>
        </x14:dataValidation>
        <x14:dataValidation type="list" allowBlank="1" showInputMessage="1" showErrorMessage="1" xr:uid="{00000000-0002-0000-0400-000005000000}">
          <x14:formula1>
            <xm:f>'Opciones Tratamiento'!$B$2:$B$5</xm:f>
          </x14:formula1>
          <xm:sqref>AG15:AG19 AG21:AG25 AG27:AG31 AG33:AG37 AG39:AG43 AG45:AG49 AG51:AG55 AG57:AG61 AG63:AG66 AG10:AG13</xm:sqref>
        </x14:dataValidation>
        <x14:dataValidation type="list" allowBlank="1" showInputMessage="1" showErrorMessage="1" xr:uid="{00000000-0002-0000-0400-000006000000}">
          <x14:formula1>
            <xm:f>'C:\Users\HOME\Downloads\[Formato Matriz de Riesgos 2021 (1).xlsx]Opciones Tratamiento'!#REF!</xm:f>
          </x14:formula1>
          <xm:sqref>AG14 AG20 AG26 AG32 AG38 AG44 AG50 AG56 AG62</xm:sqref>
        </x14:dataValidation>
        <x14:dataValidation type="list" allowBlank="1" showInputMessage="1" showErrorMessage="1" xr:uid="{00000000-0002-0000-0400-000007000000}">
          <x14:formula1>
            <xm:f>'Tabla Valoración controles'!$D$4:$D$6</xm:f>
          </x14:formula1>
          <xm:sqref>U10:U66</xm:sqref>
        </x14:dataValidation>
        <x14:dataValidation type="list" allowBlank="1" showInputMessage="1" showErrorMessage="1" xr:uid="{00000000-0002-0000-0400-000008000000}">
          <x14:formula1>
            <xm:f>'Tabla Valoración controles'!$D$7:$D$8</xm:f>
          </x14:formula1>
          <xm:sqref>V10:V66</xm:sqref>
        </x14:dataValidation>
        <x14:dataValidation type="list" allowBlank="1" showInputMessage="1" showErrorMessage="1" xr:uid="{00000000-0002-0000-0400-000009000000}">
          <x14:formula1>
            <xm:f>'Tabla Valoración controles'!$D$9:$D$10</xm:f>
          </x14:formula1>
          <xm:sqref>X10:X66</xm:sqref>
        </x14:dataValidation>
        <x14:dataValidation type="list" allowBlank="1" showInputMessage="1" showErrorMessage="1" xr:uid="{00000000-0002-0000-0400-00000A000000}">
          <x14:formula1>
            <xm:f>'Tabla Valoración controles'!$D$11:$D$12</xm:f>
          </x14:formula1>
          <xm:sqref>Y10:Y66</xm:sqref>
        </x14:dataValidation>
        <x14:dataValidation type="list" allowBlank="1" showInputMessage="1" showErrorMessage="1" xr:uid="{00000000-0002-0000-0400-00000B000000}">
          <x14:formula1>
            <xm:f>'Tabla Valoración controles'!$D$13:$D$14</xm:f>
          </x14:formula1>
          <xm:sqref>Z10:Z66</xm:sqref>
        </x14:dataValidation>
        <x14:dataValidation type="list" allowBlank="1" showInputMessage="1" showErrorMessage="1" xr:uid="{00000000-0002-0000-0400-00000C000000}">
          <x14:formula1>
            <xm:f>'Opciones Tratamiento'!$B$13:$B$19</xm:f>
          </x14:formula1>
          <xm:sqref>I10:I66</xm:sqref>
        </x14:dataValidation>
        <x14:dataValidation type="list" allowBlank="1" showInputMessage="1" showErrorMessage="1" xr:uid="{00000000-0002-0000-0400-00000D000000}">
          <x14:formula1>
            <xm:f>'Opciones Tratamiento'!$E$2:$E$4</xm:f>
          </x14:formula1>
          <xm:sqref>B10:B66</xm:sqref>
        </x14:dataValidation>
        <x14:dataValidation type="list" allowBlank="1" showInputMessage="1" showErrorMessage="1" xr:uid="{00000000-0002-0000-0400-00000E000000}">
          <x14:formula1>
            <xm:f>'Tabla Impacto'!$F$210:$F$221</xm:f>
          </x14:formula1>
          <xm:sqref>M10:M66</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AH10:AH66</xm:sqref>
        </x14:dataValidation>
        <x14:dataValidation type="custom" allowBlank="1" showInputMessage="1" showErrorMessage="1" error="Recuerde que las acciones se generan bajo la medida de mitigar el riesgo" xr:uid="{00000000-0002-0000-0400-000010000000}">
          <x14:formula1>
            <xm:f>IF(OR(AG13='Opciones Tratamiento'!$B$2,AG13='Opciones Tratamiento'!$B$3,AG13='Opciones Tratamiento'!$B$4),ISBLANK(AG13),ISTEXT(AG13))</xm:f>
          </x14:formula1>
          <xm:sqref>AI13:AI66</xm:sqref>
        </x14:dataValidation>
        <x14:dataValidation type="custom" allowBlank="1" showInputMessage="1" showErrorMessage="1" error="Recuerde que las acciones se generan bajo la medida de mitigar el riesgo" xr:uid="{00000000-0002-0000-0400-000011000000}">
          <x14:formula1>
            <xm:f>IF(OR(AG10='Opciones Tratamiento'!$B$2,AG10='Opciones Tratamiento'!$B$3,AG10='Opciones Tratamiento'!$B$4),ISBLANK(AG10),ISTEXT(AG10))</xm:f>
          </x14:formula1>
          <xm:sqref>AJ10:AJ66</xm:sqref>
        </x14:dataValidation>
        <x14:dataValidation type="custom" allowBlank="1" showInputMessage="1" showErrorMessage="1" error="Recuerde que las acciones se generan bajo la medida de mitigar el riesgo" xr:uid="{00000000-0002-0000-0400-000012000000}">
          <x14:formula1>
            <xm:f>IF(OR(AG13='Opciones Tratamiento'!$B$2,AG13='Opciones Tratamiento'!$B$3,AG13='Opciones Tratamiento'!$B$4),ISBLANK(AG13),ISTEXT(AG13))</xm:f>
          </x14:formula1>
          <xm:sqref>AK13:AK66</xm:sqref>
        </x14:dataValidation>
        <x14:dataValidation type="custom" allowBlank="1" showInputMessage="1" showErrorMessage="1" error="Recuerde que las acciones se generan bajo la medida de mitigar el riesgo" xr:uid="{00000000-0002-0000-0400-000013000000}">
          <x14:formula1>
            <xm:f>IF(OR(AG13='Opciones Tratamiento'!$B$2,AG13='Opciones Tratamiento'!$B$3,AG13='Opciones Tratamiento'!$B$4),ISBLANK(AG13),ISTEXT(AG13))</xm:f>
          </x14:formula1>
          <xm:sqref>AL13:AL66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55" t="s">
        <v>150</v>
      </c>
      <c r="C2" s="555"/>
      <c r="D2" s="555"/>
      <c r="E2" s="555"/>
      <c r="F2" s="555"/>
      <c r="G2" s="555"/>
      <c r="H2" s="555"/>
      <c r="I2" s="555"/>
      <c r="J2" s="523" t="s">
        <v>2</v>
      </c>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55"/>
      <c r="C3" s="555"/>
      <c r="D3" s="555"/>
      <c r="E3" s="555"/>
      <c r="F3" s="555"/>
      <c r="G3" s="555"/>
      <c r="H3" s="555"/>
      <c r="I3" s="555"/>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55"/>
      <c r="C4" s="555"/>
      <c r="D4" s="555"/>
      <c r="E4" s="555"/>
      <c r="F4" s="555"/>
      <c r="G4" s="555"/>
      <c r="H4" s="555"/>
      <c r="I4" s="555"/>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70" t="s">
        <v>4</v>
      </c>
      <c r="C6" s="470"/>
      <c r="D6" s="471"/>
      <c r="E6" s="508" t="s">
        <v>111</v>
      </c>
      <c r="F6" s="509"/>
      <c r="G6" s="509"/>
      <c r="H6" s="509"/>
      <c r="I6" s="510"/>
      <c r="J6" s="519" t="str">
        <f>IF(AND('Mapa final'!$K$10="Muy Alta",'Mapa final'!$O$10="Leve"),CONCATENATE("R",'Mapa final'!$A$10),"")</f>
        <v/>
      </c>
      <c r="K6" s="520"/>
      <c r="L6" s="520" t="str">
        <f>IF(AND('Mapa final'!$K$13="Muy Alta",'Mapa final'!$O$13="Leve"),CONCATENATE("R",'Mapa final'!$A$13),"")</f>
        <v/>
      </c>
      <c r="M6" s="520"/>
      <c r="N6" s="520" t="str">
        <f>IF(AND('Mapa final'!$K$19="Muy Alta",'Mapa final'!$O$19="Leve"),CONCATENATE("R",'Mapa final'!$A$19),"")</f>
        <v/>
      </c>
      <c r="O6" s="522"/>
      <c r="P6" s="519" t="str">
        <f>IF(AND('Mapa final'!$K$10="Muy Alta",'Mapa final'!$O$10="Menor"),CONCATENATE("R",'Mapa final'!$A$10),"")</f>
        <v/>
      </c>
      <c r="Q6" s="520"/>
      <c r="R6" s="520" t="str">
        <f>IF(AND('Mapa final'!$K$13="Muy Alta",'Mapa final'!$O$13="Menor"),CONCATENATE("R",'Mapa final'!$A$13),"")</f>
        <v/>
      </c>
      <c r="S6" s="520"/>
      <c r="T6" s="520" t="str">
        <f>IF(AND('Mapa final'!$K$19="Muy Alta",'Mapa final'!$O$19="Menor"),CONCATENATE("R",'Mapa final'!$A$19),"")</f>
        <v/>
      </c>
      <c r="U6" s="522"/>
      <c r="V6" s="519" t="str">
        <f>IF(AND('Mapa final'!$K$10="Muy Alta",'Mapa final'!$O$10="Moderado"),CONCATENATE("R",'Mapa final'!$A$10),"")</f>
        <v/>
      </c>
      <c r="W6" s="520"/>
      <c r="X6" s="520" t="str">
        <f>IF(AND('Mapa final'!$K$13="Muy Alta",'Mapa final'!$O$13="Moderado"),CONCATENATE("R",'Mapa final'!$A$13),"")</f>
        <v/>
      </c>
      <c r="Y6" s="520"/>
      <c r="Z6" s="520" t="str">
        <f>IF(AND('Mapa final'!$K$19="Muy Alta",'Mapa final'!$O$19="Moderado"),CONCATENATE("R",'Mapa final'!$A$19),"")</f>
        <v/>
      </c>
      <c r="AA6" s="522"/>
      <c r="AB6" s="519" t="str">
        <f>IF(AND('Mapa final'!$K$10="Muy Alta",'Mapa final'!$O$10="Mayor"),CONCATENATE("R",'Mapa final'!$A$10),"")</f>
        <v/>
      </c>
      <c r="AC6" s="520"/>
      <c r="AD6" s="520" t="str">
        <f>IF(AND('Mapa final'!$K$13="Muy Alta",'Mapa final'!$O$13="Mayor"),CONCATENATE("R",'Mapa final'!$A$13),"")</f>
        <v/>
      </c>
      <c r="AE6" s="520"/>
      <c r="AF6" s="520" t="str">
        <f>IF(AND('Mapa final'!$K$19="Muy Alta",'Mapa final'!$O$19="Mayor"),CONCATENATE("R",'Mapa final'!$A$19),"")</f>
        <v/>
      </c>
      <c r="AG6" s="522"/>
      <c r="AH6" s="534" t="str">
        <f>IF(AND('Mapa final'!$K$10="Muy Alta",'Mapa final'!$O$10="Catastrófico"),CONCATENATE("R",'Mapa final'!$A$10),"")</f>
        <v/>
      </c>
      <c r="AI6" s="535"/>
      <c r="AJ6" s="535" t="str">
        <f>IF(AND('Mapa final'!$K$13="Muy Alta",'Mapa final'!$O$13="Catastrófico"),CONCATENATE("R",'Mapa final'!$A$13),"")</f>
        <v/>
      </c>
      <c r="AK6" s="535"/>
      <c r="AL6" s="535" t="str">
        <f>IF(AND('Mapa final'!$K$19="Muy Alta",'Mapa final'!$O$19="Catastrófico"),CONCATENATE("R",'Mapa final'!$A$19),"")</f>
        <v/>
      </c>
      <c r="AM6" s="536"/>
      <c r="AO6" s="472" t="s">
        <v>78</v>
      </c>
      <c r="AP6" s="473"/>
      <c r="AQ6" s="473"/>
      <c r="AR6" s="473"/>
      <c r="AS6" s="473"/>
      <c r="AT6" s="47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70"/>
      <c r="C7" s="470"/>
      <c r="D7" s="471"/>
      <c r="E7" s="511"/>
      <c r="F7" s="512"/>
      <c r="G7" s="512"/>
      <c r="H7" s="512"/>
      <c r="I7" s="513"/>
      <c r="J7" s="521"/>
      <c r="K7" s="517"/>
      <c r="L7" s="517"/>
      <c r="M7" s="517"/>
      <c r="N7" s="517"/>
      <c r="O7" s="518"/>
      <c r="P7" s="521"/>
      <c r="Q7" s="517"/>
      <c r="R7" s="517"/>
      <c r="S7" s="517"/>
      <c r="T7" s="517"/>
      <c r="U7" s="518"/>
      <c r="V7" s="521"/>
      <c r="W7" s="517"/>
      <c r="X7" s="517"/>
      <c r="Y7" s="517"/>
      <c r="Z7" s="517"/>
      <c r="AA7" s="518"/>
      <c r="AB7" s="521"/>
      <c r="AC7" s="517"/>
      <c r="AD7" s="517"/>
      <c r="AE7" s="517"/>
      <c r="AF7" s="517"/>
      <c r="AG7" s="518"/>
      <c r="AH7" s="528"/>
      <c r="AI7" s="529"/>
      <c r="AJ7" s="529"/>
      <c r="AK7" s="529"/>
      <c r="AL7" s="529"/>
      <c r="AM7" s="530"/>
      <c r="AN7" s="67"/>
      <c r="AO7" s="475"/>
      <c r="AP7" s="476"/>
      <c r="AQ7" s="476"/>
      <c r="AR7" s="476"/>
      <c r="AS7" s="476"/>
      <c r="AT7" s="47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70"/>
      <c r="C8" s="470"/>
      <c r="D8" s="471"/>
      <c r="E8" s="511"/>
      <c r="F8" s="512"/>
      <c r="G8" s="512"/>
      <c r="H8" s="512"/>
      <c r="I8" s="513"/>
      <c r="J8" s="521" t="str">
        <f>IF(AND('Mapa final'!$K$25="Muy Alta",'Mapa final'!$O$25="Leve"),CONCATENATE("R",'Mapa final'!$A$25),"")</f>
        <v/>
      </c>
      <c r="K8" s="517"/>
      <c r="L8" s="517" t="str">
        <f>IF(AND('Mapa final'!$K$31="Muy Alta",'Mapa final'!$O$31="Leve"),CONCATENATE("R",'Mapa final'!$A$31),"")</f>
        <v/>
      </c>
      <c r="M8" s="517"/>
      <c r="N8" s="517" t="str">
        <f>IF(AND('Mapa final'!$K$37="Muy Alta",'Mapa final'!$O$37="Leve"),CONCATENATE("R",'Mapa final'!$A$37),"")</f>
        <v/>
      </c>
      <c r="O8" s="518"/>
      <c r="P8" s="521" t="str">
        <f>IF(AND('Mapa final'!$K$25="Muy Alta",'Mapa final'!$O$25="Menor"),CONCATENATE("R",'Mapa final'!$A$25),"")</f>
        <v/>
      </c>
      <c r="Q8" s="517"/>
      <c r="R8" s="517" t="str">
        <f>IF(AND('Mapa final'!$K$31="Muy Alta",'Mapa final'!$O$31="Menor"),CONCATENATE("R",'Mapa final'!$A$31),"")</f>
        <v/>
      </c>
      <c r="S8" s="517"/>
      <c r="T8" s="517" t="str">
        <f>IF(AND('Mapa final'!$K$37="Muy Alta",'Mapa final'!$O$37="Menor"),CONCATENATE("R",'Mapa final'!$A$37),"")</f>
        <v/>
      </c>
      <c r="U8" s="518"/>
      <c r="V8" s="521" t="str">
        <f>IF(AND('Mapa final'!$K$25="Muy Alta",'Mapa final'!$O$25="Moderado"),CONCATENATE("R",'Mapa final'!$A$25),"")</f>
        <v/>
      </c>
      <c r="W8" s="517"/>
      <c r="X8" s="517" t="str">
        <f>IF(AND('Mapa final'!$K$31="Muy Alta",'Mapa final'!$O$31="Moderado"),CONCATENATE("R",'Mapa final'!$A$31),"")</f>
        <v/>
      </c>
      <c r="Y8" s="517"/>
      <c r="Z8" s="517" t="str">
        <f>IF(AND('Mapa final'!$K$37="Muy Alta",'Mapa final'!$O$37="Moderado"),CONCATENATE("R",'Mapa final'!$A$37),"")</f>
        <v/>
      </c>
      <c r="AA8" s="518"/>
      <c r="AB8" s="521" t="str">
        <f>IF(AND('Mapa final'!$K$25="Muy Alta",'Mapa final'!$O$25="Mayor"),CONCATENATE("R",'Mapa final'!$A$25),"")</f>
        <v/>
      </c>
      <c r="AC8" s="517"/>
      <c r="AD8" s="517" t="str">
        <f>IF(AND('Mapa final'!$K$31="Muy Alta",'Mapa final'!$O$31="Mayor"),CONCATENATE("R",'Mapa final'!$A$31),"")</f>
        <v/>
      </c>
      <c r="AE8" s="517"/>
      <c r="AF8" s="517" t="str">
        <f>IF(AND('Mapa final'!$K$37="Muy Alta",'Mapa final'!$O$37="Mayor"),CONCATENATE("R",'Mapa final'!$A$37),"")</f>
        <v/>
      </c>
      <c r="AG8" s="518"/>
      <c r="AH8" s="528" t="str">
        <f>IF(AND('Mapa final'!$K$25="Muy Alta",'Mapa final'!$O$25="Catastrófico"),CONCATENATE("R",'Mapa final'!$A$25),"")</f>
        <v/>
      </c>
      <c r="AI8" s="529"/>
      <c r="AJ8" s="529" t="str">
        <f>IF(AND('Mapa final'!$K$31="Muy Alta",'Mapa final'!$O$31="Catastrófico"),CONCATENATE("R",'Mapa final'!$A$31),"")</f>
        <v/>
      </c>
      <c r="AK8" s="529"/>
      <c r="AL8" s="529" t="str">
        <f>IF(AND('Mapa final'!$K$37="Muy Alta",'Mapa final'!$O$37="Catastrófico"),CONCATENATE("R",'Mapa final'!$A$37),"")</f>
        <v/>
      </c>
      <c r="AM8" s="530"/>
      <c r="AN8" s="67"/>
      <c r="AO8" s="475"/>
      <c r="AP8" s="476"/>
      <c r="AQ8" s="476"/>
      <c r="AR8" s="476"/>
      <c r="AS8" s="476"/>
      <c r="AT8" s="47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70"/>
      <c r="C9" s="470"/>
      <c r="D9" s="471"/>
      <c r="E9" s="511"/>
      <c r="F9" s="512"/>
      <c r="G9" s="512"/>
      <c r="H9" s="512"/>
      <c r="I9" s="513"/>
      <c r="J9" s="521"/>
      <c r="K9" s="517"/>
      <c r="L9" s="517"/>
      <c r="M9" s="517"/>
      <c r="N9" s="517"/>
      <c r="O9" s="518"/>
      <c r="P9" s="521"/>
      <c r="Q9" s="517"/>
      <c r="R9" s="517"/>
      <c r="S9" s="517"/>
      <c r="T9" s="517"/>
      <c r="U9" s="518"/>
      <c r="V9" s="521"/>
      <c r="W9" s="517"/>
      <c r="X9" s="517"/>
      <c r="Y9" s="517"/>
      <c r="Z9" s="517"/>
      <c r="AA9" s="518"/>
      <c r="AB9" s="521"/>
      <c r="AC9" s="517"/>
      <c r="AD9" s="517"/>
      <c r="AE9" s="517"/>
      <c r="AF9" s="517"/>
      <c r="AG9" s="518"/>
      <c r="AH9" s="528"/>
      <c r="AI9" s="529"/>
      <c r="AJ9" s="529"/>
      <c r="AK9" s="529"/>
      <c r="AL9" s="529"/>
      <c r="AM9" s="530"/>
      <c r="AN9" s="67"/>
      <c r="AO9" s="475"/>
      <c r="AP9" s="476"/>
      <c r="AQ9" s="476"/>
      <c r="AR9" s="476"/>
      <c r="AS9" s="476"/>
      <c r="AT9" s="47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70"/>
      <c r="C10" s="470"/>
      <c r="D10" s="471"/>
      <c r="E10" s="511"/>
      <c r="F10" s="512"/>
      <c r="G10" s="512"/>
      <c r="H10" s="512"/>
      <c r="I10" s="513"/>
      <c r="J10" s="521" t="str">
        <f>IF(AND('Mapa final'!$K$43="Muy Alta",'Mapa final'!$O$43="Leve"),CONCATENATE("R",'Mapa final'!$A$43),"")</f>
        <v/>
      </c>
      <c r="K10" s="517"/>
      <c r="L10" s="517" t="str">
        <f>IF(AND('Mapa final'!$K$49="Muy Alta",'Mapa final'!$O$49="Leve"),CONCATENATE("R",'Mapa final'!$A$49),"")</f>
        <v/>
      </c>
      <c r="M10" s="517"/>
      <c r="N10" s="517" t="str">
        <f>IF(AND('Mapa final'!$K$55="Muy Alta",'Mapa final'!$O$55="Leve"),CONCATENATE("R",'Mapa final'!$A$55),"")</f>
        <v/>
      </c>
      <c r="O10" s="518"/>
      <c r="P10" s="521" t="str">
        <f>IF(AND('Mapa final'!$K$43="Muy Alta",'Mapa final'!$O$43="Menor"),CONCATENATE("R",'Mapa final'!$A$43),"")</f>
        <v/>
      </c>
      <c r="Q10" s="517"/>
      <c r="R10" s="517" t="str">
        <f>IF(AND('Mapa final'!$K$49="Muy Alta",'Mapa final'!$O$49="Menor"),CONCATENATE("R",'Mapa final'!$A$49),"")</f>
        <v/>
      </c>
      <c r="S10" s="517"/>
      <c r="T10" s="517" t="str">
        <f>IF(AND('Mapa final'!$K$55="Muy Alta",'Mapa final'!$O$55="Menor"),CONCATENATE("R",'Mapa final'!$A$55),"")</f>
        <v/>
      </c>
      <c r="U10" s="518"/>
      <c r="V10" s="521" t="str">
        <f>IF(AND('Mapa final'!$K$43="Muy Alta",'Mapa final'!$O$43="Moderado"),CONCATENATE("R",'Mapa final'!$A$43),"")</f>
        <v/>
      </c>
      <c r="W10" s="517"/>
      <c r="X10" s="517" t="str">
        <f>IF(AND('Mapa final'!$K$49="Muy Alta",'Mapa final'!$O$49="Moderado"),CONCATENATE("R",'Mapa final'!$A$49),"")</f>
        <v/>
      </c>
      <c r="Y10" s="517"/>
      <c r="Z10" s="517" t="str">
        <f>IF(AND('Mapa final'!$K$55="Muy Alta",'Mapa final'!$O$55="Moderado"),CONCATENATE("R",'Mapa final'!$A$55),"")</f>
        <v/>
      </c>
      <c r="AA10" s="518"/>
      <c r="AB10" s="521" t="str">
        <f>IF(AND('Mapa final'!$K$43="Muy Alta",'Mapa final'!$O$43="Mayor"),CONCATENATE("R",'Mapa final'!$A$43),"")</f>
        <v/>
      </c>
      <c r="AC10" s="517"/>
      <c r="AD10" s="517" t="str">
        <f>IF(AND('Mapa final'!$K$49="Muy Alta",'Mapa final'!$O$49="Mayor"),CONCATENATE("R",'Mapa final'!$A$49),"")</f>
        <v/>
      </c>
      <c r="AE10" s="517"/>
      <c r="AF10" s="517" t="str">
        <f>IF(AND('Mapa final'!$K$55="Muy Alta",'Mapa final'!$O$55="Mayor"),CONCATENATE("R",'Mapa final'!$A$55),"")</f>
        <v/>
      </c>
      <c r="AG10" s="518"/>
      <c r="AH10" s="528" t="str">
        <f>IF(AND('Mapa final'!$K$43="Muy Alta",'Mapa final'!$O$43="Catastrófico"),CONCATENATE("R",'Mapa final'!$A$43),"")</f>
        <v/>
      </c>
      <c r="AI10" s="529"/>
      <c r="AJ10" s="529" t="str">
        <f>IF(AND('Mapa final'!$K$49="Muy Alta",'Mapa final'!$O$49="Catastrófico"),CONCATENATE("R",'Mapa final'!$A$49),"")</f>
        <v/>
      </c>
      <c r="AK10" s="529"/>
      <c r="AL10" s="529" t="str">
        <f>IF(AND('Mapa final'!$K$55="Muy Alta",'Mapa final'!$O$55="Catastrófico"),CONCATENATE("R",'Mapa final'!$A$55),"")</f>
        <v/>
      </c>
      <c r="AM10" s="530"/>
      <c r="AN10" s="67"/>
      <c r="AO10" s="475"/>
      <c r="AP10" s="476"/>
      <c r="AQ10" s="476"/>
      <c r="AR10" s="476"/>
      <c r="AS10" s="476"/>
      <c r="AT10" s="47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70"/>
      <c r="C11" s="470"/>
      <c r="D11" s="471"/>
      <c r="E11" s="511"/>
      <c r="F11" s="512"/>
      <c r="G11" s="512"/>
      <c r="H11" s="512"/>
      <c r="I11" s="513"/>
      <c r="J11" s="521"/>
      <c r="K11" s="517"/>
      <c r="L11" s="517"/>
      <c r="M11" s="517"/>
      <c r="N11" s="517"/>
      <c r="O11" s="518"/>
      <c r="P11" s="521"/>
      <c r="Q11" s="517"/>
      <c r="R11" s="517"/>
      <c r="S11" s="517"/>
      <c r="T11" s="517"/>
      <c r="U11" s="518"/>
      <c r="V11" s="521"/>
      <c r="W11" s="517"/>
      <c r="X11" s="517"/>
      <c r="Y11" s="517"/>
      <c r="Z11" s="517"/>
      <c r="AA11" s="518"/>
      <c r="AB11" s="521"/>
      <c r="AC11" s="517"/>
      <c r="AD11" s="517"/>
      <c r="AE11" s="517"/>
      <c r="AF11" s="517"/>
      <c r="AG11" s="518"/>
      <c r="AH11" s="528"/>
      <c r="AI11" s="529"/>
      <c r="AJ11" s="529"/>
      <c r="AK11" s="529"/>
      <c r="AL11" s="529"/>
      <c r="AM11" s="530"/>
      <c r="AN11" s="67"/>
      <c r="AO11" s="475"/>
      <c r="AP11" s="476"/>
      <c r="AQ11" s="476"/>
      <c r="AR11" s="476"/>
      <c r="AS11" s="476"/>
      <c r="AT11" s="47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70"/>
      <c r="C12" s="470"/>
      <c r="D12" s="471"/>
      <c r="E12" s="511"/>
      <c r="F12" s="512"/>
      <c r="G12" s="512"/>
      <c r="H12" s="512"/>
      <c r="I12" s="513"/>
      <c r="J12" s="521" t="str">
        <f>IF(AND('Mapa final'!$K$61="Muy Alta",'Mapa final'!$O$61="Leve"),CONCATENATE("R",'Mapa final'!$A$61),"")</f>
        <v/>
      </c>
      <c r="K12" s="517"/>
      <c r="L12" s="517" t="str">
        <f>IF(AND('Mapa final'!$K$67="Muy Alta",'Mapa final'!$O$67="Leve"),CONCATENATE("R",'Mapa final'!$A$67),"")</f>
        <v/>
      </c>
      <c r="M12" s="517"/>
      <c r="N12" s="517" t="str">
        <f>IF(AND('Mapa final'!$K$73="Muy Alta",'Mapa final'!$O$73="Leve"),CONCATENATE("R",'Mapa final'!$A$73),"")</f>
        <v/>
      </c>
      <c r="O12" s="518"/>
      <c r="P12" s="521" t="str">
        <f>IF(AND('Mapa final'!$K$61="Muy Alta",'Mapa final'!$O$61="Menor"),CONCATENATE("R",'Mapa final'!$A$61),"")</f>
        <v/>
      </c>
      <c r="Q12" s="517"/>
      <c r="R12" s="517" t="str">
        <f>IF(AND('Mapa final'!$K$67="Muy Alta",'Mapa final'!$O$67="Menor"),CONCATENATE("R",'Mapa final'!$A$67),"")</f>
        <v/>
      </c>
      <c r="S12" s="517"/>
      <c r="T12" s="517" t="str">
        <f>IF(AND('Mapa final'!$K$73="Muy Alta",'Mapa final'!$O$73="Menor"),CONCATENATE("R",'Mapa final'!$A$73),"")</f>
        <v/>
      </c>
      <c r="U12" s="518"/>
      <c r="V12" s="521" t="str">
        <f>IF(AND('Mapa final'!$K$61="Muy Alta",'Mapa final'!$O$61="Moderado"),CONCATENATE("R",'Mapa final'!$A$61),"")</f>
        <v/>
      </c>
      <c r="W12" s="517"/>
      <c r="X12" s="517" t="str">
        <f>IF(AND('Mapa final'!$K$67="Muy Alta",'Mapa final'!$O$67="Moderado"),CONCATENATE("R",'Mapa final'!$A$67),"")</f>
        <v/>
      </c>
      <c r="Y12" s="517"/>
      <c r="Z12" s="517" t="str">
        <f>IF(AND('Mapa final'!$K$73="Muy Alta",'Mapa final'!$O$73="Moderado"),CONCATENATE("R",'Mapa final'!$A$73),"")</f>
        <v/>
      </c>
      <c r="AA12" s="518"/>
      <c r="AB12" s="521" t="str">
        <f>IF(AND('Mapa final'!$K$61="Muy Alta",'Mapa final'!$O$61="Mayor"),CONCATENATE("R",'Mapa final'!$A$61),"")</f>
        <v/>
      </c>
      <c r="AC12" s="517"/>
      <c r="AD12" s="517" t="str">
        <f>IF(AND('Mapa final'!$K$67="Muy Alta",'Mapa final'!$O$67="Mayor"),CONCATENATE("R",'Mapa final'!$A$67),"")</f>
        <v/>
      </c>
      <c r="AE12" s="517"/>
      <c r="AF12" s="517" t="str">
        <f>IF(AND('Mapa final'!$K$73="Muy Alta",'Mapa final'!$O$73="Mayor"),CONCATENATE("R",'Mapa final'!$A$73),"")</f>
        <v/>
      </c>
      <c r="AG12" s="518"/>
      <c r="AH12" s="528" t="str">
        <f>IF(AND('Mapa final'!$K$61="Muy Alta",'Mapa final'!$O$61="Catastrófico"),CONCATENATE("R",'Mapa final'!$A$61),"")</f>
        <v/>
      </c>
      <c r="AI12" s="529"/>
      <c r="AJ12" s="529" t="str">
        <f>IF(AND('Mapa final'!$K$67="Muy Alta",'Mapa final'!$O$67="Catastrófico"),CONCATENATE("R",'Mapa final'!$A$67),"")</f>
        <v/>
      </c>
      <c r="AK12" s="529"/>
      <c r="AL12" s="529" t="str">
        <f>IF(AND('Mapa final'!$K$73="Muy Alta",'Mapa final'!$O$73="Catastrófico"),CONCATENATE("R",'Mapa final'!$A$73),"")</f>
        <v/>
      </c>
      <c r="AM12" s="530"/>
      <c r="AN12" s="67"/>
      <c r="AO12" s="475"/>
      <c r="AP12" s="476"/>
      <c r="AQ12" s="476"/>
      <c r="AR12" s="476"/>
      <c r="AS12" s="476"/>
      <c r="AT12" s="47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70"/>
      <c r="C13" s="470"/>
      <c r="D13" s="471"/>
      <c r="E13" s="514"/>
      <c r="F13" s="515"/>
      <c r="G13" s="515"/>
      <c r="H13" s="515"/>
      <c r="I13" s="516"/>
      <c r="J13" s="521"/>
      <c r="K13" s="517"/>
      <c r="L13" s="517"/>
      <c r="M13" s="517"/>
      <c r="N13" s="517"/>
      <c r="O13" s="518"/>
      <c r="P13" s="521"/>
      <c r="Q13" s="517"/>
      <c r="R13" s="517"/>
      <c r="S13" s="517"/>
      <c r="T13" s="517"/>
      <c r="U13" s="518"/>
      <c r="V13" s="521"/>
      <c r="W13" s="517"/>
      <c r="X13" s="517"/>
      <c r="Y13" s="517"/>
      <c r="Z13" s="517"/>
      <c r="AA13" s="518"/>
      <c r="AB13" s="521"/>
      <c r="AC13" s="517"/>
      <c r="AD13" s="517"/>
      <c r="AE13" s="517"/>
      <c r="AF13" s="517"/>
      <c r="AG13" s="518"/>
      <c r="AH13" s="531"/>
      <c r="AI13" s="532"/>
      <c r="AJ13" s="532"/>
      <c r="AK13" s="532"/>
      <c r="AL13" s="532"/>
      <c r="AM13" s="533"/>
      <c r="AN13" s="67"/>
      <c r="AO13" s="478"/>
      <c r="AP13" s="479"/>
      <c r="AQ13" s="479"/>
      <c r="AR13" s="479"/>
      <c r="AS13" s="479"/>
      <c r="AT13" s="48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70"/>
      <c r="C14" s="470"/>
      <c r="D14" s="471"/>
      <c r="E14" s="508" t="s">
        <v>110</v>
      </c>
      <c r="F14" s="509"/>
      <c r="G14" s="509"/>
      <c r="H14" s="509"/>
      <c r="I14" s="509"/>
      <c r="J14" s="543" t="str">
        <f>IF(AND('Mapa final'!$K$10="Alta",'Mapa final'!$O$10="Leve"),CONCATENATE("R",'Mapa final'!$A$10),"")</f>
        <v/>
      </c>
      <c r="K14" s="544"/>
      <c r="L14" s="544" t="str">
        <f>IF(AND('Mapa final'!$K$13="Alta",'Mapa final'!$O$13="Leve"),CONCATENATE("R",'Mapa final'!$A$13),"")</f>
        <v/>
      </c>
      <c r="M14" s="544"/>
      <c r="N14" s="544" t="str">
        <f>IF(AND('Mapa final'!$K$19="Alta",'Mapa final'!$O$19="Leve"),CONCATENATE("R",'Mapa final'!$A$19),"")</f>
        <v/>
      </c>
      <c r="O14" s="545"/>
      <c r="P14" s="543" t="str">
        <f>IF(AND('Mapa final'!$K$10="Alta",'Mapa final'!$O$10="Menor"),CONCATENATE("R",'Mapa final'!$A$10),"")</f>
        <v/>
      </c>
      <c r="Q14" s="544"/>
      <c r="R14" s="544" t="str">
        <f>IF(AND('Mapa final'!$K$13="Alta",'Mapa final'!$O$13="Menor"),CONCATENATE("R",'Mapa final'!$A$13),"")</f>
        <v/>
      </c>
      <c r="S14" s="544"/>
      <c r="T14" s="544" t="str">
        <f>IF(AND('Mapa final'!$K$19="Alta",'Mapa final'!$O$19="Menor"),CONCATENATE("R",'Mapa final'!$A$19),"")</f>
        <v/>
      </c>
      <c r="U14" s="545"/>
      <c r="V14" s="519" t="str">
        <f>IF(AND('Mapa final'!$K$10="Alta",'Mapa final'!$O$10="Moderado"),CONCATENATE("R",'Mapa final'!$A$10),"")</f>
        <v/>
      </c>
      <c r="W14" s="520"/>
      <c r="X14" s="520" t="str">
        <f>IF(AND('Mapa final'!$K$13="Alta",'Mapa final'!$O$13="Moderado"),CONCATENATE("R",'Mapa final'!$A$13),"")</f>
        <v/>
      </c>
      <c r="Y14" s="520"/>
      <c r="Z14" s="520" t="str">
        <f>IF(AND('Mapa final'!$K$19="Alta",'Mapa final'!$O$19="Moderado"),CONCATENATE("R",'Mapa final'!$A$19),"")</f>
        <v/>
      </c>
      <c r="AA14" s="522"/>
      <c r="AB14" s="519" t="str">
        <f>IF(AND('Mapa final'!$K$10="Alta",'Mapa final'!$O$10="Mayor"),CONCATENATE("R",'Mapa final'!$A$10),"")</f>
        <v/>
      </c>
      <c r="AC14" s="520"/>
      <c r="AD14" s="520" t="str">
        <f>IF(AND('Mapa final'!$K$13="Alta",'Mapa final'!$O$13="Mayor"),CONCATENATE("R",'Mapa final'!$A$13),"")</f>
        <v/>
      </c>
      <c r="AE14" s="520"/>
      <c r="AF14" s="520" t="str">
        <f>IF(AND('Mapa final'!$K$19="Alta",'Mapa final'!$O$19="Mayor"),CONCATENATE("R",'Mapa final'!$A$19),"")</f>
        <v/>
      </c>
      <c r="AG14" s="522"/>
      <c r="AH14" s="534" t="str">
        <f>IF(AND('Mapa final'!$K$10="Alta",'Mapa final'!$O$10="Catastrófico"),CONCATENATE("R",'Mapa final'!$A$10),"")</f>
        <v/>
      </c>
      <c r="AI14" s="535"/>
      <c r="AJ14" s="535" t="str">
        <f>IF(AND('Mapa final'!$K$13="Alta",'Mapa final'!$O$13="Catastrófico"),CONCATENATE("R",'Mapa final'!$A$13),"")</f>
        <v/>
      </c>
      <c r="AK14" s="535"/>
      <c r="AL14" s="535" t="str">
        <f>IF(AND('Mapa final'!$K$19="Alta",'Mapa final'!$O$19="Catastrófico"),CONCATENATE("R",'Mapa final'!$A$19),"")</f>
        <v/>
      </c>
      <c r="AM14" s="536"/>
      <c r="AN14" s="67"/>
      <c r="AO14" s="481" t="s">
        <v>79</v>
      </c>
      <c r="AP14" s="482"/>
      <c r="AQ14" s="482"/>
      <c r="AR14" s="482"/>
      <c r="AS14" s="482"/>
      <c r="AT14" s="48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70"/>
      <c r="C15" s="470"/>
      <c r="D15" s="471"/>
      <c r="E15" s="511"/>
      <c r="F15" s="512"/>
      <c r="G15" s="512"/>
      <c r="H15" s="512"/>
      <c r="I15" s="512"/>
      <c r="J15" s="537"/>
      <c r="K15" s="538"/>
      <c r="L15" s="538"/>
      <c r="M15" s="538"/>
      <c r="N15" s="538"/>
      <c r="O15" s="539"/>
      <c r="P15" s="537"/>
      <c r="Q15" s="538"/>
      <c r="R15" s="538"/>
      <c r="S15" s="538"/>
      <c r="T15" s="538"/>
      <c r="U15" s="539"/>
      <c r="V15" s="521"/>
      <c r="W15" s="517"/>
      <c r="X15" s="517"/>
      <c r="Y15" s="517"/>
      <c r="Z15" s="517"/>
      <c r="AA15" s="518"/>
      <c r="AB15" s="521"/>
      <c r="AC15" s="517"/>
      <c r="AD15" s="517"/>
      <c r="AE15" s="517"/>
      <c r="AF15" s="517"/>
      <c r="AG15" s="518"/>
      <c r="AH15" s="528"/>
      <c r="AI15" s="529"/>
      <c r="AJ15" s="529"/>
      <c r="AK15" s="529"/>
      <c r="AL15" s="529"/>
      <c r="AM15" s="530"/>
      <c r="AN15" s="67"/>
      <c r="AO15" s="484"/>
      <c r="AP15" s="485"/>
      <c r="AQ15" s="485"/>
      <c r="AR15" s="485"/>
      <c r="AS15" s="485"/>
      <c r="AT15" s="48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70"/>
      <c r="C16" s="470"/>
      <c r="D16" s="471"/>
      <c r="E16" s="511"/>
      <c r="F16" s="512"/>
      <c r="G16" s="512"/>
      <c r="H16" s="512"/>
      <c r="I16" s="512"/>
      <c r="J16" s="537" t="str">
        <f>IF(AND('Mapa final'!$K$25="Alta",'Mapa final'!$O$25="Leve"),CONCATENATE("R",'Mapa final'!$A$25),"")</f>
        <v/>
      </c>
      <c r="K16" s="538"/>
      <c r="L16" s="538" t="str">
        <f>IF(AND('Mapa final'!$K$31="Alta",'Mapa final'!$O$31="Leve"),CONCATENATE("R",'Mapa final'!$A$31),"")</f>
        <v/>
      </c>
      <c r="M16" s="538"/>
      <c r="N16" s="538" t="str">
        <f>IF(AND('Mapa final'!$K$37="Alta",'Mapa final'!$O$37="Leve"),CONCATENATE("R",'Mapa final'!$A$37),"")</f>
        <v/>
      </c>
      <c r="O16" s="539"/>
      <c r="P16" s="537" t="str">
        <f>IF(AND('Mapa final'!$K$25="Alta",'Mapa final'!$O$25="Menor"),CONCATENATE("R",'Mapa final'!$A$25),"")</f>
        <v/>
      </c>
      <c r="Q16" s="538"/>
      <c r="R16" s="538" t="str">
        <f>IF(AND('Mapa final'!$K$31="Alta",'Mapa final'!$O$31="Menor"),CONCATENATE("R",'Mapa final'!$A$31),"")</f>
        <v/>
      </c>
      <c r="S16" s="538"/>
      <c r="T16" s="538" t="str">
        <f>IF(AND('Mapa final'!$K$37="Alta",'Mapa final'!$O$37="Menor"),CONCATENATE("R",'Mapa final'!$A$37),"")</f>
        <v/>
      </c>
      <c r="U16" s="539"/>
      <c r="V16" s="521" t="str">
        <f>IF(AND('Mapa final'!$K$25="Alta",'Mapa final'!$O$25="Moderado"),CONCATENATE("R",'Mapa final'!$A$25),"")</f>
        <v/>
      </c>
      <c r="W16" s="517"/>
      <c r="X16" s="517" t="str">
        <f>IF(AND('Mapa final'!$K$31="Alta",'Mapa final'!$O$31="Moderado"),CONCATENATE("R",'Mapa final'!$A$31),"")</f>
        <v/>
      </c>
      <c r="Y16" s="517"/>
      <c r="Z16" s="517" t="str">
        <f>IF(AND('Mapa final'!$K$37="Alta",'Mapa final'!$O$37="Moderado"),CONCATENATE("R",'Mapa final'!$A$37),"")</f>
        <v/>
      </c>
      <c r="AA16" s="518"/>
      <c r="AB16" s="521" t="str">
        <f>IF(AND('Mapa final'!$K$25="Alta",'Mapa final'!$O$25="Mayor"),CONCATENATE("R",'Mapa final'!$A$25),"")</f>
        <v/>
      </c>
      <c r="AC16" s="517"/>
      <c r="AD16" s="517" t="str">
        <f>IF(AND('Mapa final'!$K$31="Alta",'Mapa final'!$O$31="Mayor"),CONCATENATE("R",'Mapa final'!$A$31),"")</f>
        <v/>
      </c>
      <c r="AE16" s="517"/>
      <c r="AF16" s="517" t="str">
        <f>IF(AND('Mapa final'!$K$37="Alta",'Mapa final'!$O$37="Mayor"),CONCATENATE("R",'Mapa final'!$A$37),"")</f>
        <v/>
      </c>
      <c r="AG16" s="518"/>
      <c r="AH16" s="528" t="str">
        <f>IF(AND('Mapa final'!$K$25="Alta",'Mapa final'!$O$25="Catastrófico"),CONCATENATE("R",'Mapa final'!$A$25),"")</f>
        <v/>
      </c>
      <c r="AI16" s="529"/>
      <c r="AJ16" s="529" t="str">
        <f>IF(AND('Mapa final'!$K$31="Alta",'Mapa final'!$O$31="Catastrófico"),CONCATENATE("R",'Mapa final'!$A$31),"")</f>
        <v/>
      </c>
      <c r="AK16" s="529"/>
      <c r="AL16" s="529" t="str">
        <f>IF(AND('Mapa final'!$K$37="Alta",'Mapa final'!$O$37="Catastrófico"),CONCATENATE("R",'Mapa final'!$A$37),"")</f>
        <v/>
      </c>
      <c r="AM16" s="530"/>
      <c r="AN16" s="67"/>
      <c r="AO16" s="484"/>
      <c r="AP16" s="485"/>
      <c r="AQ16" s="485"/>
      <c r="AR16" s="485"/>
      <c r="AS16" s="485"/>
      <c r="AT16" s="48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70"/>
      <c r="C17" s="470"/>
      <c r="D17" s="471"/>
      <c r="E17" s="511"/>
      <c r="F17" s="512"/>
      <c r="G17" s="512"/>
      <c r="H17" s="512"/>
      <c r="I17" s="512"/>
      <c r="J17" s="537"/>
      <c r="K17" s="538"/>
      <c r="L17" s="538"/>
      <c r="M17" s="538"/>
      <c r="N17" s="538"/>
      <c r="O17" s="539"/>
      <c r="P17" s="537"/>
      <c r="Q17" s="538"/>
      <c r="R17" s="538"/>
      <c r="S17" s="538"/>
      <c r="T17" s="538"/>
      <c r="U17" s="539"/>
      <c r="V17" s="521"/>
      <c r="W17" s="517"/>
      <c r="X17" s="517"/>
      <c r="Y17" s="517"/>
      <c r="Z17" s="517"/>
      <c r="AA17" s="518"/>
      <c r="AB17" s="521"/>
      <c r="AC17" s="517"/>
      <c r="AD17" s="517"/>
      <c r="AE17" s="517"/>
      <c r="AF17" s="517"/>
      <c r="AG17" s="518"/>
      <c r="AH17" s="528"/>
      <c r="AI17" s="529"/>
      <c r="AJ17" s="529"/>
      <c r="AK17" s="529"/>
      <c r="AL17" s="529"/>
      <c r="AM17" s="530"/>
      <c r="AN17" s="67"/>
      <c r="AO17" s="484"/>
      <c r="AP17" s="485"/>
      <c r="AQ17" s="485"/>
      <c r="AR17" s="485"/>
      <c r="AS17" s="485"/>
      <c r="AT17" s="48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70"/>
      <c r="C18" s="470"/>
      <c r="D18" s="471"/>
      <c r="E18" s="511"/>
      <c r="F18" s="512"/>
      <c r="G18" s="512"/>
      <c r="H18" s="512"/>
      <c r="I18" s="512"/>
      <c r="J18" s="537" t="str">
        <f>IF(AND('Mapa final'!$K$43="Alta",'Mapa final'!$O$43="Leve"),CONCATENATE("R",'Mapa final'!$A$43),"")</f>
        <v/>
      </c>
      <c r="K18" s="538"/>
      <c r="L18" s="538" t="str">
        <f>IF(AND('Mapa final'!$K$49="Alta",'Mapa final'!$O$49="Leve"),CONCATENATE("R",'Mapa final'!$A$49),"")</f>
        <v/>
      </c>
      <c r="M18" s="538"/>
      <c r="N18" s="538" t="str">
        <f>IF(AND('Mapa final'!$K$55="Alta",'Mapa final'!$O$55="Leve"),CONCATENATE("R",'Mapa final'!$A$55),"")</f>
        <v/>
      </c>
      <c r="O18" s="539"/>
      <c r="P18" s="537" t="str">
        <f>IF(AND('Mapa final'!$K$43="Alta",'Mapa final'!$O$43="Menor"),CONCATENATE("R",'Mapa final'!$A$43),"")</f>
        <v/>
      </c>
      <c r="Q18" s="538"/>
      <c r="R18" s="538" t="str">
        <f>IF(AND('Mapa final'!$K$49="Alta",'Mapa final'!$O$49="Menor"),CONCATENATE("R",'Mapa final'!$A$49),"")</f>
        <v/>
      </c>
      <c r="S18" s="538"/>
      <c r="T18" s="538" t="str">
        <f>IF(AND('Mapa final'!$K$55="Alta",'Mapa final'!$O$55="Menor"),CONCATENATE("R",'Mapa final'!$A$55),"")</f>
        <v/>
      </c>
      <c r="U18" s="539"/>
      <c r="V18" s="521" t="str">
        <f>IF(AND('Mapa final'!$K$43="Alta",'Mapa final'!$O$43="Moderado"),CONCATENATE("R",'Mapa final'!$A$43),"")</f>
        <v/>
      </c>
      <c r="W18" s="517"/>
      <c r="X18" s="517" t="str">
        <f>IF(AND('Mapa final'!$K$49="Alta",'Mapa final'!$O$49="Moderado"),CONCATENATE("R",'Mapa final'!$A$49),"")</f>
        <v/>
      </c>
      <c r="Y18" s="517"/>
      <c r="Z18" s="517" t="str">
        <f>IF(AND('Mapa final'!$K$55="Alta",'Mapa final'!$O$55="Moderado"),CONCATENATE("R",'Mapa final'!$A$55),"")</f>
        <v/>
      </c>
      <c r="AA18" s="518"/>
      <c r="AB18" s="521" t="str">
        <f>IF(AND('Mapa final'!$K$43="Alta",'Mapa final'!$O$43="Mayor"),CONCATENATE("R",'Mapa final'!$A$43),"")</f>
        <v/>
      </c>
      <c r="AC18" s="517"/>
      <c r="AD18" s="517" t="str">
        <f>IF(AND('Mapa final'!$K$49="Alta",'Mapa final'!$O$49="Mayor"),CONCATENATE("R",'Mapa final'!$A$49),"")</f>
        <v/>
      </c>
      <c r="AE18" s="517"/>
      <c r="AF18" s="517" t="str">
        <f>IF(AND('Mapa final'!$K$55="Alta",'Mapa final'!$O$55="Mayor"),CONCATENATE("R",'Mapa final'!$A$55),"")</f>
        <v/>
      </c>
      <c r="AG18" s="518"/>
      <c r="AH18" s="528" t="str">
        <f>IF(AND('Mapa final'!$K$43="Alta",'Mapa final'!$O$43="Catastrófico"),CONCATENATE("R",'Mapa final'!$A$43),"")</f>
        <v/>
      </c>
      <c r="AI18" s="529"/>
      <c r="AJ18" s="529" t="str">
        <f>IF(AND('Mapa final'!$K$49="Alta",'Mapa final'!$O$49="Catastrófico"),CONCATENATE("R",'Mapa final'!$A$49),"")</f>
        <v/>
      </c>
      <c r="AK18" s="529"/>
      <c r="AL18" s="529" t="str">
        <f>IF(AND('Mapa final'!$K$55="Alta",'Mapa final'!$O$55="Catastrófico"),CONCATENATE("R",'Mapa final'!$A$55),"")</f>
        <v/>
      </c>
      <c r="AM18" s="530"/>
      <c r="AN18" s="67"/>
      <c r="AO18" s="484"/>
      <c r="AP18" s="485"/>
      <c r="AQ18" s="485"/>
      <c r="AR18" s="485"/>
      <c r="AS18" s="485"/>
      <c r="AT18" s="48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70"/>
      <c r="C19" s="470"/>
      <c r="D19" s="471"/>
      <c r="E19" s="511"/>
      <c r="F19" s="512"/>
      <c r="G19" s="512"/>
      <c r="H19" s="512"/>
      <c r="I19" s="512"/>
      <c r="J19" s="537"/>
      <c r="K19" s="538"/>
      <c r="L19" s="538"/>
      <c r="M19" s="538"/>
      <c r="N19" s="538"/>
      <c r="O19" s="539"/>
      <c r="P19" s="537"/>
      <c r="Q19" s="538"/>
      <c r="R19" s="538"/>
      <c r="S19" s="538"/>
      <c r="T19" s="538"/>
      <c r="U19" s="539"/>
      <c r="V19" s="521"/>
      <c r="W19" s="517"/>
      <c r="X19" s="517"/>
      <c r="Y19" s="517"/>
      <c r="Z19" s="517"/>
      <c r="AA19" s="518"/>
      <c r="AB19" s="521"/>
      <c r="AC19" s="517"/>
      <c r="AD19" s="517"/>
      <c r="AE19" s="517"/>
      <c r="AF19" s="517"/>
      <c r="AG19" s="518"/>
      <c r="AH19" s="528"/>
      <c r="AI19" s="529"/>
      <c r="AJ19" s="529"/>
      <c r="AK19" s="529"/>
      <c r="AL19" s="529"/>
      <c r="AM19" s="530"/>
      <c r="AN19" s="67"/>
      <c r="AO19" s="484"/>
      <c r="AP19" s="485"/>
      <c r="AQ19" s="485"/>
      <c r="AR19" s="485"/>
      <c r="AS19" s="485"/>
      <c r="AT19" s="48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70"/>
      <c r="C20" s="470"/>
      <c r="D20" s="471"/>
      <c r="E20" s="511"/>
      <c r="F20" s="512"/>
      <c r="G20" s="512"/>
      <c r="H20" s="512"/>
      <c r="I20" s="512"/>
      <c r="J20" s="537" t="str">
        <f>IF(AND('Mapa final'!$K$61="Alta",'Mapa final'!$O$61="Leve"),CONCATENATE("R",'Mapa final'!$A$61),"")</f>
        <v/>
      </c>
      <c r="K20" s="538"/>
      <c r="L20" s="538" t="str">
        <f>IF(AND('Mapa final'!$K$67="Alta",'Mapa final'!$O$67="Leve"),CONCATENATE("R",'Mapa final'!$A$67),"")</f>
        <v/>
      </c>
      <c r="M20" s="538"/>
      <c r="N20" s="538" t="str">
        <f>IF(AND('Mapa final'!$K$73="Alta",'Mapa final'!$O$73="Leve"),CONCATENATE("R",'Mapa final'!$A$73),"")</f>
        <v/>
      </c>
      <c r="O20" s="539"/>
      <c r="P20" s="537" t="str">
        <f>IF(AND('Mapa final'!$K$61="Alta",'Mapa final'!$O$61="Menor"),CONCATENATE("R",'Mapa final'!$A$61),"")</f>
        <v/>
      </c>
      <c r="Q20" s="538"/>
      <c r="R20" s="538" t="str">
        <f>IF(AND('Mapa final'!$K$67="Alta",'Mapa final'!$O$67="Menor"),CONCATENATE("R",'Mapa final'!$A$67),"")</f>
        <v/>
      </c>
      <c r="S20" s="538"/>
      <c r="T20" s="538" t="str">
        <f>IF(AND('Mapa final'!$K$73="Alta",'Mapa final'!$O$73="Menor"),CONCATENATE("R",'Mapa final'!$A$73),"")</f>
        <v/>
      </c>
      <c r="U20" s="539"/>
      <c r="V20" s="521" t="str">
        <f>IF(AND('Mapa final'!$K$61="Alta",'Mapa final'!$O$61="Moderado"),CONCATENATE("R",'Mapa final'!$A$61),"")</f>
        <v/>
      </c>
      <c r="W20" s="517"/>
      <c r="X20" s="517" t="str">
        <f>IF(AND('Mapa final'!$K$67="Alta",'Mapa final'!$O$67="Moderado"),CONCATENATE("R",'Mapa final'!$A$67),"")</f>
        <v/>
      </c>
      <c r="Y20" s="517"/>
      <c r="Z20" s="517" t="str">
        <f>IF(AND('Mapa final'!$K$73="Alta",'Mapa final'!$O$73="Moderado"),CONCATENATE("R",'Mapa final'!$A$73),"")</f>
        <v/>
      </c>
      <c r="AA20" s="518"/>
      <c r="AB20" s="521" t="str">
        <f>IF(AND('Mapa final'!$K$61="Alta",'Mapa final'!$O$61="Mayor"),CONCATENATE("R",'Mapa final'!$A$61),"")</f>
        <v/>
      </c>
      <c r="AC20" s="517"/>
      <c r="AD20" s="517" t="str">
        <f>IF(AND('Mapa final'!$K$67="Alta",'Mapa final'!$O$67="Mayor"),CONCATENATE("R",'Mapa final'!$A$67),"")</f>
        <v/>
      </c>
      <c r="AE20" s="517"/>
      <c r="AF20" s="517" t="str">
        <f>IF(AND('Mapa final'!$K$73="Alta",'Mapa final'!$O$73="Mayor"),CONCATENATE("R",'Mapa final'!$A$73),"")</f>
        <v/>
      </c>
      <c r="AG20" s="518"/>
      <c r="AH20" s="528" t="str">
        <f>IF(AND('Mapa final'!$K$61="Alta",'Mapa final'!$O$61="Catastrófico"),CONCATENATE("R",'Mapa final'!$A$61),"")</f>
        <v/>
      </c>
      <c r="AI20" s="529"/>
      <c r="AJ20" s="529" t="str">
        <f>IF(AND('Mapa final'!$K$67="Alta",'Mapa final'!$O$67="Catastrófico"),CONCATENATE("R",'Mapa final'!$A$67),"")</f>
        <v/>
      </c>
      <c r="AK20" s="529"/>
      <c r="AL20" s="529" t="str">
        <f>IF(AND('Mapa final'!$K$73="Alta",'Mapa final'!$O$73="Catastrófico"),CONCATENATE("R",'Mapa final'!$A$73),"")</f>
        <v/>
      </c>
      <c r="AM20" s="530"/>
      <c r="AN20" s="67"/>
      <c r="AO20" s="484"/>
      <c r="AP20" s="485"/>
      <c r="AQ20" s="485"/>
      <c r="AR20" s="485"/>
      <c r="AS20" s="485"/>
      <c r="AT20" s="48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70"/>
      <c r="C21" s="470"/>
      <c r="D21" s="471"/>
      <c r="E21" s="514"/>
      <c r="F21" s="515"/>
      <c r="G21" s="515"/>
      <c r="H21" s="515"/>
      <c r="I21" s="515"/>
      <c r="J21" s="540"/>
      <c r="K21" s="541"/>
      <c r="L21" s="541"/>
      <c r="M21" s="541"/>
      <c r="N21" s="541"/>
      <c r="O21" s="542"/>
      <c r="P21" s="540"/>
      <c r="Q21" s="541"/>
      <c r="R21" s="541"/>
      <c r="S21" s="541"/>
      <c r="T21" s="541"/>
      <c r="U21" s="542"/>
      <c r="V21" s="525"/>
      <c r="W21" s="526"/>
      <c r="X21" s="526"/>
      <c r="Y21" s="526"/>
      <c r="Z21" s="526"/>
      <c r="AA21" s="527"/>
      <c r="AB21" s="525"/>
      <c r="AC21" s="526"/>
      <c r="AD21" s="526"/>
      <c r="AE21" s="526"/>
      <c r="AF21" s="526"/>
      <c r="AG21" s="527"/>
      <c r="AH21" s="531"/>
      <c r="AI21" s="532"/>
      <c r="AJ21" s="532"/>
      <c r="AK21" s="532"/>
      <c r="AL21" s="532"/>
      <c r="AM21" s="533"/>
      <c r="AN21" s="67"/>
      <c r="AO21" s="487"/>
      <c r="AP21" s="488"/>
      <c r="AQ21" s="488"/>
      <c r="AR21" s="488"/>
      <c r="AS21" s="488"/>
      <c r="AT21" s="48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70"/>
      <c r="C22" s="470"/>
      <c r="D22" s="471"/>
      <c r="E22" s="508" t="s">
        <v>112</v>
      </c>
      <c r="F22" s="509"/>
      <c r="G22" s="509"/>
      <c r="H22" s="509"/>
      <c r="I22" s="510"/>
      <c r="J22" s="543" t="str">
        <f>IF(AND('Mapa final'!$K$10="Media",'Mapa final'!$O$10="Leve"),CONCATENATE("R",'Mapa final'!$A$10),"")</f>
        <v/>
      </c>
      <c r="K22" s="544"/>
      <c r="L22" s="544" t="str">
        <f>IF(AND('Mapa final'!$K$13="Media",'Mapa final'!$O$13="Leve"),CONCATENATE("R",'Mapa final'!$A$13),"")</f>
        <v/>
      </c>
      <c r="M22" s="544"/>
      <c r="N22" s="544" t="str">
        <f>IF(AND('Mapa final'!$K$19="Media",'Mapa final'!$O$19="Leve"),CONCATENATE("R",'Mapa final'!$A$19),"")</f>
        <v/>
      </c>
      <c r="O22" s="545"/>
      <c r="P22" s="543" t="str">
        <f>IF(AND('Mapa final'!$K$10="Media",'Mapa final'!$O$10="Menor"),CONCATENATE("R",'Mapa final'!$A$10),"")</f>
        <v/>
      </c>
      <c r="Q22" s="544"/>
      <c r="R22" s="544" t="str">
        <f>IF(AND('Mapa final'!$K$13="Media",'Mapa final'!$O$13="Menor"),CONCATENATE("R",'Mapa final'!$A$13),"")</f>
        <v/>
      </c>
      <c r="S22" s="544"/>
      <c r="T22" s="544" t="str">
        <f>IF(AND('Mapa final'!$K$19="Media",'Mapa final'!$O$19="Menor"),CONCATENATE("R",'Mapa final'!$A$19),"")</f>
        <v/>
      </c>
      <c r="U22" s="545"/>
      <c r="V22" s="543" t="str">
        <f>IF(AND('Mapa final'!$K$10="Media",'Mapa final'!$O$10="Moderado"),CONCATENATE("R",'Mapa final'!$A$10),"")</f>
        <v/>
      </c>
      <c r="W22" s="544"/>
      <c r="X22" s="544" t="str">
        <f>IF(AND('Mapa final'!$K$13="Media",'Mapa final'!$O$13="Moderado"),CONCATENATE("R",'Mapa final'!$A$13),"")</f>
        <v/>
      </c>
      <c r="Y22" s="544"/>
      <c r="Z22" s="544" t="str">
        <f>IF(AND('Mapa final'!$K$19="Media",'Mapa final'!$O$19="Moderado"),CONCATENATE("R",'Mapa final'!$A$19),"")</f>
        <v/>
      </c>
      <c r="AA22" s="545"/>
      <c r="AB22" s="519" t="str">
        <f>IF(AND('Mapa final'!$K$10="Media",'Mapa final'!$O$10="Mayor"),CONCATENATE("R",'Mapa final'!$A$10),"")</f>
        <v/>
      </c>
      <c r="AC22" s="520"/>
      <c r="AD22" s="520" t="str">
        <f>IF(AND('Mapa final'!$K$13="Media",'Mapa final'!$O$13="Mayor"),CONCATENATE("R",'Mapa final'!$A$13),"")</f>
        <v/>
      </c>
      <c r="AE22" s="520"/>
      <c r="AF22" s="520" t="str">
        <f>IF(AND('Mapa final'!$K$19="Media",'Mapa final'!$O$19="Mayor"),CONCATENATE("R",'Mapa final'!$A$19),"")</f>
        <v/>
      </c>
      <c r="AG22" s="522"/>
      <c r="AH22" s="534" t="str">
        <f>IF(AND('Mapa final'!$K$10="Media",'Mapa final'!$O$10="Catastrófico"),CONCATENATE("R",'Mapa final'!$A$10),"")</f>
        <v/>
      </c>
      <c r="AI22" s="535"/>
      <c r="AJ22" s="535" t="str">
        <f>IF(AND('Mapa final'!$K$13="Media",'Mapa final'!$O$13="Catastrófico"),CONCATENATE("R",'Mapa final'!$A$13),"")</f>
        <v/>
      </c>
      <c r="AK22" s="535"/>
      <c r="AL22" s="535" t="str">
        <f>IF(AND('Mapa final'!$K$19="Media",'Mapa final'!$O$19="Catastrófico"),CONCATENATE("R",'Mapa final'!$A$19),"")</f>
        <v/>
      </c>
      <c r="AM22" s="536"/>
      <c r="AN22" s="67"/>
      <c r="AO22" s="490" t="s">
        <v>80</v>
      </c>
      <c r="AP22" s="491"/>
      <c r="AQ22" s="491"/>
      <c r="AR22" s="491"/>
      <c r="AS22" s="491"/>
      <c r="AT22" s="49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70"/>
      <c r="C23" s="470"/>
      <c r="D23" s="471"/>
      <c r="E23" s="511"/>
      <c r="F23" s="512"/>
      <c r="G23" s="512"/>
      <c r="H23" s="512"/>
      <c r="I23" s="513"/>
      <c r="J23" s="537"/>
      <c r="K23" s="538"/>
      <c r="L23" s="538"/>
      <c r="M23" s="538"/>
      <c r="N23" s="538"/>
      <c r="O23" s="539"/>
      <c r="P23" s="537"/>
      <c r="Q23" s="538"/>
      <c r="R23" s="538"/>
      <c r="S23" s="538"/>
      <c r="T23" s="538"/>
      <c r="U23" s="539"/>
      <c r="V23" s="537"/>
      <c r="W23" s="538"/>
      <c r="X23" s="538"/>
      <c r="Y23" s="538"/>
      <c r="Z23" s="538"/>
      <c r="AA23" s="539"/>
      <c r="AB23" s="521"/>
      <c r="AC23" s="517"/>
      <c r="AD23" s="517"/>
      <c r="AE23" s="517"/>
      <c r="AF23" s="517"/>
      <c r="AG23" s="518"/>
      <c r="AH23" s="528"/>
      <c r="AI23" s="529"/>
      <c r="AJ23" s="529"/>
      <c r="AK23" s="529"/>
      <c r="AL23" s="529"/>
      <c r="AM23" s="530"/>
      <c r="AN23" s="67"/>
      <c r="AO23" s="493"/>
      <c r="AP23" s="494"/>
      <c r="AQ23" s="494"/>
      <c r="AR23" s="494"/>
      <c r="AS23" s="494"/>
      <c r="AT23" s="49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70"/>
      <c r="C24" s="470"/>
      <c r="D24" s="471"/>
      <c r="E24" s="511"/>
      <c r="F24" s="512"/>
      <c r="G24" s="512"/>
      <c r="H24" s="512"/>
      <c r="I24" s="513"/>
      <c r="J24" s="537" t="str">
        <f>IF(AND('Mapa final'!$K$25="Media",'Mapa final'!$O$25="Leve"),CONCATENATE("R",'Mapa final'!$A$25),"")</f>
        <v/>
      </c>
      <c r="K24" s="538"/>
      <c r="L24" s="538" t="str">
        <f>IF(AND('Mapa final'!$K$31="Media",'Mapa final'!$O$31="Leve"),CONCATENATE("R",'Mapa final'!$A$31),"")</f>
        <v/>
      </c>
      <c r="M24" s="538"/>
      <c r="N24" s="538" t="str">
        <f>IF(AND('Mapa final'!$K$37="Media",'Mapa final'!$O$37="Leve"),CONCATENATE("R",'Mapa final'!$A$37),"")</f>
        <v/>
      </c>
      <c r="O24" s="539"/>
      <c r="P24" s="537" t="str">
        <f>IF(AND('Mapa final'!$K$25="Media",'Mapa final'!$O$25="Menor"),CONCATENATE("R",'Mapa final'!$A$25),"")</f>
        <v/>
      </c>
      <c r="Q24" s="538"/>
      <c r="R24" s="538" t="str">
        <f>IF(AND('Mapa final'!$K$31="Media",'Mapa final'!$O$31="Menor"),CONCATENATE("R",'Mapa final'!$A$31),"")</f>
        <v/>
      </c>
      <c r="S24" s="538"/>
      <c r="T24" s="538" t="str">
        <f>IF(AND('Mapa final'!$K$37="Media",'Mapa final'!$O$37="Menor"),CONCATENATE("R",'Mapa final'!$A$37),"")</f>
        <v/>
      </c>
      <c r="U24" s="539"/>
      <c r="V24" s="537" t="str">
        <f>IF(AND('Mapa final'!$K$25="Media",'Mapa final'!$O$25="Moderado"),CONCATENATE("R",'Mapa final'!$A$25),"")</f>
        <v/>
      </c>
      <c r="W24" s="538"/>
      <c r="X24" s="538" t="str">
        <f>IF(AND('Mapa final'!$K$31="Media",'Mapa final'!$O$31="Moderado"),CONCATENATE("R",'Mapa final'!$A$31),"")</f>
        <v/>
      </c>
      <c r="Y24" s="538"/>
      <c r="Z24" s="538" t="str">
        <f>IF(AND('Mapa final'!$K$37="Media",'Mapa final'!$O$37="Moderado"),CONCATENATE("R",'Mapa final'!$A$37),"")</f>
        <v/>
      </c>
      <c r="AA24" s="539"/>
      <c r="AB24" s="521" t="str">
        <f>IF(AND('Mapa final'!$K$25="Media",'Mapa final'!$O$25="Mayor"),CONCATENATE("R",'Mapa final'!$A$25),"")</f>
        <v/>
      </c>
      <c r="AC24" s="517"/>
      <c r="AD24" s="517" t="str">
        <f>IF(AND('Mapa final'!$K$31="Media",'Mapa final'!$O$31="Mayor"),CONCATENATE("R",'Mapa final'!$A$31),"")</f>
        <v/>
      </c>
      <c r="AE24" s="517"/>
      <c r="AF24" s="517" t="str">
        <f>IF(AND('Mapa final'!$K$37="Media",'Mapa final'!$O$37="Mayor"),CONCATENATE("R",'Mapa final'!$A$37),"")</f>
        <v/>
      </c>
      <c r="AG24" s="518"/>
      <c r="AH24" s="528" t="str">
        <f>IF(AND('Mapa final'!$K$25="Media",'Mapa final'!$O$25="Catastrófico"),CONCATENATE("R",'Mapa final'!$A$25),"")</f>
        <v/>
      </c>
      <c r="AI24" s="529"/>
      <c r="AJ24" s="529" t="str">
        <f>IF(AND('Mapa final'!$K$31="Media",'Mapa final'!$O$31="Catastrófico"),CONCATENATE("R",'Mapa final'!$A$31),"")</f>
        <v/>
      </c>
      <c r="AK24" s="529"/>
      <c r="AL24" s="529" t="str">
        <f>IF(AND('Mapa final'!$K$37="Media",'Mapa final'!$O$37="Catastrófico"),CONCATENATE("R",'Mapa final'!$A$37),"")</f>
        <v/>
      </c>
      <c r="AM24" s="530"/>
      <c r="AN24" s="67"/>
      <c r="AO24" s="493"/>
      <c r="AP24" s="494"/>
      <c r="AQ24" s="494"/>
      <c r="AR24" s="494"/>
      <c r="AS24" s="494"/>
      <c r="AT24" s="49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70"/>
      <c r="C25" s="470"/>
      <c r="D25" s="471"/>
      <c r="E25" s="511"/>
      <c r="F25" s="512"/>
      <c r="G25" s="512"/>
      <c r="H25" s="512"/>
      <c r="I25" s="513"/>
      <c r="J25" s="537"/>
      <c r="K25" s="538"/>
      <c r="L25" s="538"/>
      <c r="M25" s="538"/>
      <c r="N25" s="538"/>
      <c r="O25" s="539"/>
      <c r="P25" s="537"/>
      <c r="Q25" s="538"/>
      <c r="R25" s="538"/>
      <c r="S25" s="538"/>
      <c r="T25" s="538"/>
      <c r="U25" s="539"/>
      <c r="V25" s="537"/>
      <c r="W25" s="538"/>
      <c r="X25" s="538"/>
      <c r="Y25" s="538"/>
      <c r="Z25" s="538"/>
      <c r="AA25" s="539"/>
      <c r="AB25" s="521"/>
      <c r="AC25" s="517"/>
      <c r="AD25" s="517"/>
      <c r="AE25" s="517"/>
      <c r="AF25" s="517"/>
      <c r="AG25" s="518"/>
      <c r="AH25" s="528"/>
      <c r="AI25" s="529"/>
      <c r="AJ25" s="529"/>
      <c r="AK25" s="529"/>
      <c r="AL25" s="529"/>
      <c r="AM25" s="530"/>
      <c r="AN25" s="67"/>
      <c r="AO25" s="493"/>
      <c r="AP25" s="494"/>
      <c r="AQ25" s="494"/>
      <c r="AR25" s="494"/>
      <c r="AS25" s="494"/>
      <c r="AT25" s="49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70"/>
      <c r="C26" s="470"/>
      <c r="D26" s="471"/>
      <c r="E26" s="511"/>
      <c r="F26" s="512"/>
      <c r="G26" s="512"/>
      <c r="H26" s="512"/>
      <c r="I26" s="513"/>
      <c r="J26" s="537" t="str">
        <f>IF(AND('Mapa final'!$K$43="Media",'Mapa final'!$O$43="Leve"),CONCATENATE("R",'Mapa final'!$A$43),"")</f>
        <v/>
      </c>
      <c r="K26" s="538"/>
      <c r="L26" s="538" t="str">
        <f>IF(AND('Mapa final'!$K$49="Media",'Mapa final'!$O$49="Leve"),CONCATENATE("R",'Mapa final'!$A$49),"")</f>
        <v/>
      </c>
      <c r="M26" s="538"/>
      <c r="N26" s="538" t="str">
        <f>IF(AND('Mapa final'!$K$55="Media",'Mapa final'!$O$55="Leve"),CONCATENATE("R",'Mapa final'!$A$55),"")</f>
        <v/>
      </c>
      <c r="O26" s="539"/>
      <c r="P26" s="537" t="str">
        <f>IF(AND('Mapa final'!$K$43="Media",'Mapa final'!$O$43="Menor"),CONCATENATE("R",'Mapa final'!$A$43),"")</f>
        <v/>
      </c>
      <c r="Q26" s="538"/>
      <c r="R26" s="538" t="str">
        <f>IF(AND('Mapa final'!$K$49="Media",'Mapa final'!$O$49="Menor"),CONCATENATE("R",'Mapa final'!$A$49),"")</f>
        <v/>
      </c>
      <c r="S26" s="538"/>
      <c r="T26" s="538" t="str">
        <f>IF(AND('Mapa final'!$K$55="Media",'Mapa final'!$O$55="Menor"),CONCATENATE("R",'Mapa final'!$A$55),"")</f>
        <v/>
      </c>
      <c r="U26" s="539"/>
      <c r="V26" s="537" t="str">
        <f>IF(AND('Mapa final'!$K$43="Media",'Mapa final'!$O$43="Moderado"),CONCATENATE("R",'Mapa final'!$A$43),"")</f>
        <v/>
      </c>
      <c r="W26" s="538"/>
      <c r="X26" s="538" t="str">
        <f>IF(AND('Mapa final'!$K$49="Media",'Mapa final'!$O$49="Moderado"),CONCATENATE("R",'Mapa final'!$A$49),"")</f>
        <v/>
      </c>
      <c r="Y26" s="538"/>
      <c r="Z26" s="538" t="str">
        <f>IF(AND('Mapa final'!$K$55="Media",'Mapa final'!$O$55="Moderado"),CONCATENATE("R",'Mapa final'!$A$55),"")</f>
        <v/>
      </c>
      <c r="AA26" s="539"/>
      <c r="AB26" s="521" t="str">
        <f>IF(AND('Mapa final'!$K$43="Media",'Mapa final'!$O$43="Mayor"),CONCATENATE("R",'Mapa final'!$A$43),"")</f>
        <v/>
      </c>
      <c r="AC26" s="517"/>
      <c r="AD26" s="517" t="str">
        <f>IF(AND('Mapa final'!$K$49="Media",'Mapa final'!$O$49="Mayor"),CONCATENATE("R",'Mapa final'!$A$49),"")</f>
        <v/>
      </c>
      <c r="AE26" s="517"/>
      <c r="AF26" s="517" t="str">
        <f>IF(AND('Mapa final'!$K$55="Media",'Mapa final'!$O$55="Mayor"),CONCATENATE("R",'Mapa final'!$A$55),"")</f>
        <v/>
      </c>
      <c r="AG26" s="518"/>
      <c r="AH26" s="528" t="str">
        <f>IF(AND('Mapa final'!$K$43="Media",'Mapa final'!$O$43="Catastrófico"),CONCATENATE("R",'Mapa final'!$A$43),"")</f>
        <v/>
      </c>
      <c r="AI26" s="529"/>
      <c r="AJ26" s="529" t="str">
        <f>IF(AND('Mapa final'!$K$49="Media",'Mapa final'!$O$49="Catastrófico"),CONCATENATE("R",'Mapa final'!$A$49),"")</f>
        <v/>
      </c>
      <c r="AK26" s="529"/>
      <c r="AL26" s="529" t="str">
        <f>IF(AND('Mapa final'!$K$55="Media",'Mapa final'!$O$55="Catastrófico"),CONCATENATE("R",'Mapa final'!$A$55),"")</f>
        <v/>
      </c>
      <c r="AM26" s="530"/>
      <c r="AN26" s="67"/>
      <c r="AO26" s="493"/>
      <c r="AP26" s="494"/>
      <c r="AQ26" s="494"/>
      <c r="AR26" s="494"/>
      <c r="AS26" s="494"/>
      <c r="AT26" s="49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70"/>
      <c r="C27" s="470"/>
      <c r="D27" s="471"/>
      <c r="E27" s="511"/>
      <c r="F27" s="512"/>
      <c r="G27" s="512"/>
      <c r="H27" s="512"/>
      <c r="I27" s="513"/>
      <c r="J27" s="537"/>
      <c r="K27" s="538"/>
      <c r="L27" s="538"/>
      <c r="M27" s="538"/>
      <c r="N27" s="538"/>
      <c r="O27" s="539"/>
      <c r="P27" s="537"/>
      <c r="Q27" s="538"/>
      <c r="R27" s="538"/>
      <c r="S27" s="538"/>
      <c r="T27" s="538"/>
      <c r="U27" s="539"/>
      <c r="V27" s="537"/>
      <c r="W27" s="538"/>
      <c r="X27" s="538"/>
      <c r="Y27" s="538"/>
      <c r="Z27" s="538"/>
      <c r="AA27" s="539"/>
      <c r="AB27" s="521"/>
      <c r="AC27" s="517"/>
      <c r="AD27" s="517"/>
      <c r="AE27" s="517"/>
      <c r="AF27" s="517"/>
      <c r="AG27" s="518"/>
      <c r="AH27" s="528"/>
      <c r="AI27" s="529"/>
      <c r="AJ27" s="529"/>
      <c r="AK27" s="529"/>
      <c r="AL27" s="529"/>
      <c r="AM27" s="530"/>
      <c r="AN27" s="67"/>
      <c r="AO27" s="493"/>
      <c r="AP27" s="494"/>
      <c r="AQ27" s="494"/>
      <c r="AR27" s="494"/>
      <c r="AS27" s="494"/>
      <c r="AT27" s="49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70"/>
      <c r="C28" s="470"/>
      <c r="D28" s="471"/>
      <c r="E28" s="511"/>
      <c r="F28" s="512"/>
      <c r="G28" s="512"/>
      <c r="H28" s="512"/>
      <c r="I28" s="513"/>
      <c r="J28" s="537" t="str">
        <f>IF(AND('Mapa final'!$K$61="Media",'Mapa final'!$O$61="Leve"),CONCATENATE("R",'Mapa final'!$A$61),"")</f>
        <v/>
      </c>
      <c r="K28" s="538"/>
      <c r="L28" s="538" t="str">
        <f>IF(AND('Mapa final'!$K$67="Media",'Mapa final'!$O$67="Leve"),CONCATENATE("R",'Mapa final'!$A$67),"")</f>
        <v/>
      </c>
      <c r="M28" s="538"/>
      <c r="N28" s="538" t="str">
        <f>IF(AND('Mapa final'!$K$73="Media",'Mapa final'!$O$73="Leve"),CONCATENATE("R",'Mapa final'!$A$73),"")</f>
        <v/>
      </c>
      <c r="O28" s="539"/>
      <c r="P28" s="537" t="str">
        <f>IF(AND('Mapa final'!$K$61="Media",'Mapa final'!$O$61="Menor"),CONCATENATE("R",'Mapa final'!$A$61),"")</f>
        <v/>
      </c>
      <c r="Q28" s="538"/>
      <c r="R28" s="538" t="str">
        <f>IF(AND('Mapa final'!$K$67="Media",'Mapa final'!$O$67="Menor"),CONCATENATE("R",'Mapa final'!$A$67),"")</f>
        <v/>
      </c>
      <c r="S28" s="538"/>
      <c r="T28" s="538" t="str">
        <f>IF(AND('Mapa final'!$K$73="Media",'Mapa final'!$O$73="Menor"),CONCATENATE("R",'Mapa final'!$A$73),"")</f>
        <v/>
      </c>
      <c r="U28" s="539"/>
      <c r="V28" s="537" t="str">
        <f>IF(AND('Mapa final'!$K$61="Media",'Mapa final'!$O$61="Moderado"),CONCATENATE("R",'Mapa final'!$A$61),"")</f>
        <v/>
      </c>
      <c r="W28" s="538"/>
      <c r="X28" s="538" t="str">
        <f>IF(AND('Mapa final'!$K$67="Media",'Mapa final'!$O$67="Moderado"),CONCATENATE("R",'Mapa final'!$A$67),"")</f>
        <v/>
      </c>
      <c r="Y28" s="538"/>
      <c r="Z28" s="538" t="str">
        <f>IF(AND('Mapa final'!$K$73="Media",'Mapa final'!$O$73="Moderado"),CONCATENATE("R",'Mapa final'!$A$73),"")</f>
        <v/>
      </c>
      <c r="AA28" s="539"/>
      <c r="AB28" s="521" t="str">
        <f>IF(AND('Mapa final'!$K$61="Media",'Mapa final'!$O$61="Mayor"),CONCATENATE("R",'Mapa final'!$A$61),"")</f>
        <v/>
      </c>
      <c r="AC28" s="517"/>
      <c r="AD28" s="517" t="str">
        <f>IF(AND('Mapa final'!$K$67="Media",'Mapa final'!$O$67="Mayor"),CONCATENATE("R",'Mapa final'!$A$67),"")</f>
        <v/>
      </c>
      <c r="AE28" s="517"/>
      <c r="AF28" s="517" t="str">
        <f>IF(AND('Mapa final'!$K$73="Media",'Mapa final'!$O$73="Mayor"),CONCATENATE("R",'Mapa final'!$A$73),"")</f>
        <v/>
      </c>
      <c r="AG28" s="518"/>
      <c r="AH28" s="528" t="str">
        <f>IF(AND('Mapa final'!$K$61="Media",'Mapa final'!$O$61="Catastrófico"),CONCATENATE("R",'Mapa final'!$A$61),"")</f>
        <v/>
      </c>
      <c r="AI28" s="529"/>
      <c r="AJ28" s="529" t="str">
        <f>IF(AND('Mapa final'!$K$67="Media",'Mapa final'!$O$67="Catastrófico"),CONCATENATE("R",'Mapa final'!$A$67),"")</f>
        <v/>
      </c>
      <c r="AK28" s="529"/>
      <c r="AL28" s="529" t="str">
        <f>IF(AND('Mapa final'!$K$73="Media",'Mapa final'!$O$73="Catastrófico"),CONCATENATE("R",'Mapa final'!$A$73),"")</f>
        <v/>
      </c>
      <c r="AM28" s="530"/>
      <c r="AN28" s="67"/>
      <c r="AO28" s="493"/>
      <c r="AP28" s="494"/>
      <c r="AQ28" s="494"/>
      <c r="AR28" s="494"/>
      <c r="AS28" s="494"/>
      <c r="AT28" s="49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70"/>
      <c r="C29" s="470"/>
      <c r="D29" s="471"/>
      <c r="E29" s="514"/>
      <c r="F29" s="515"/>
      <c r="G29" s="515"/>
      <c r="H29" s="515"/>
      <c r="I29" s="516"/>
      <c r="J29" s="537"/>
      <c r="K29" s="538"/>
      <c r="L29" s="538"/>
      <c r="M29" s="538"/>
      <c r="N29" s="538"/>
      <c r="O29" s="539"/>
      <c r="P29" s="540"/>
      <c r="Q29" s="541"/>
      <c r="R29" s="541"/>
      <c r="S29" s="541"/>
      <c r="T29" s="541"/>
      <c r="U29" s="542"/>
      <c r="V29" s="540"/>
      <c r="W29" s="541"/>
      <c r="X29" s="541"/>
      <c r="Y29" s="541"/>
      <c r="Z29" s="541"/>
      <c r="AA29" s="542"/>
      <c r="AB29" s="525"/>
      <c r="AC29" s="526"/>
      <c r="AD29" s="526"/>
      <c r="AE29" s="526"/>
      <c r="AF29" s="526"/>
      <c r="AG29" s="527"/>
      <c r="AH29" s="531"/>
      <c r="AI29" s="532"/>
      <c r="AJ29" s="532"/>
      <c r="AK29" s="532"/>
      <c r="AL29" s="532"/>
      <c r="AM29" s="533"/>
      <c r="AN29" s="67"/>
      <c r="AO29" s="496"/>
      <c r="AP29" s="497"/>
      <c r="AQ29" s="497"/>
      <c r="AR29" s="497"/>
      <c r="AS29" s="497"/>
      <c r="AT29" s="49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70"/>
      <c r="C30" s="470"/>
      <c r="D30" s="471"/>
      <c r="E30" s="508" t="s">
        <v>109</v>
      </c>
      <c r="F30" s="509"/>
      <c r="G30" s="509"/>
      <c r="H30" s="509"/>
      <c r="I30" s="509"/>
      <c r="J30" s="552" t="str">
        <f>IF(AND('Mapa final'!$K$10="Baja",'Mapa final'!$O$10="Leve"),CONCATENATE("R",'Mapa final'!$A$10),"")</f>
        <v/>
      </c>
      <c r="K30" s="553"/>
      <c r="L30" s="553" t="str">
        <f>IF(AND('Mapa final'!$K$13="Baja",'Mapa final'!$O$13="Leve"),CONCATENATE("R",'Mapa final'!$A$13),"")</f>
        <v/>
      </c>
      <c r="M30" s="553"/>
      <c r="N30" s="553" t="str">
        <f>IF(AND('Mapa final'!$K$19="Baja",'Mapa final'!$O$19="Leve"),CONCATENATE("R",'Mapa final'!$A$19),"")</f>
        <v/>
      </c>
      <c r="O30" s="554"/>
      <c r="P30" s="544" t="str">
        <f>IF(AND('Mapa final'!$K$10="Baja",'Mapa final'!$O$10="Menor"),CONCATENATE("R",'Mapa final'!$A$10),"")</f>
        <v/>
      </c>
      <c r="Q30" s="544"/>
      <c r="R30" s="544" t="str">
        <f>IF(AND('Mapa final'!$K$13="Baja",'Mapa final'!$O$13="Menor"),CONCATENATE("R",'Mapa final'!$A$13),"")</f>
        <v/>
      </c>
      <c r="S30" s="544"/>
      <c r="T30" s="544" t="str">
        <f>IF(AND('Mapa final'!$K$19="Baja",'Mapa final'!$O$19="Menor"),CONCATENATE("R",'Mapa final'!$A$19),"")</f>
        <v/>
      </c>
      <c r="U30" s="545"/>
      <c r="V30" s="543" t="str">
        <f>IF(AND('Mapa final'!$K$10="Baja",'Mapa final'!$O$10="Moderado"),CONCATENATE("R",'Mapa final'!$A$10),"")</f>
        <v>R1</v>
      </c>
      <c r="W30" s="544"/>
      <c r="X30" s="544" t="str">
        <f>IF(AND('Mapa final'!$K$13="Baja",'Mapa final'!$O$13="Moderado"),CONCATENATE("R",'Mapa final'!$A$13),"")</f>
        <v/>
      </c>
      <c r="Y30" s="544"/>
      <c r="Z30" s="544" t="str">
        <f>IF(AND('Mapa final'!$K$19="Baja",'Mapa final'!$O$19="Moderado"),CONCATENATE("R",'Mapa final'!$A$19),"")</f>
        <v/>
      </c>
      <c r="AA30" s="545"/>
      <c r="AB30" s="519" t="str">
        <f>IF(AND('Mapa final'!$K$10="Baja",'Mapa final'!$O$10="Mayor"),CONCATENATE("R",'Mapa final'!$A$10),"")</f>
        <v/>
      </c>
      <c r="AC30" s="520"/>
      <c r="AD30" s="520" t="str">
        <f>IF(AND('Mapa final'!$K$13="Baja",'Mapa final'!$O$13="Mayor"),CONCATENATE("R",'Mapa final'!$A$13),"")</f>
        <v/>
      </c>
      <c r="AE30" s="520"/>
      <c r="AF30" s="520" t="str">
        <f>IF(AND('Mapa final'!$K$19="Baja",'Mapa final'!$O$19="Mayor"),CONCATENATE("R",'Mapa final'!$A$19),"")</f>
        <v/>
      </c>
      <c r="AG30" s="522"/>
      <c r="AH30" s="534" t="str">
        <f>IF(AND('Mapa final'!$K$10="Baja",'Mapa final'!$O$10="Catastrófico"),CONCATENATE("R",'Mapa final'!$A$10),"")</f>
        <v/>
      </c>
      <c r="AI30" s="535"/>
      <c r="AJ30" s="535" t="str">
        <f>IF(AND('Mapa final'!$K$13="Baja",'Mapa final'!$O$13="Catastrófico"),CONCATENATE("R",'Mapa final'!$A$13),"")</f>
        <v/>
      </c>
      <c r="AK30" s="535"/>
      <c r="AL30" s="535" t="str">
        <f>IF(AND('Mapa final'!$K$19="Baja",'Mapa final'!$O$19="Catastrófico"),CONCATENATE("R",'Mapa final'!$A$19),"")</f>
        <v/>
      </c>
      <c r="AM30" s="536"/>
      <c r="AN30" s="67"/>
      <c r="AO30" s="499" t="s">
        <v>81</v>
      </c>
      <c r="AP30" s="500"/>
      <c r="AQ30" s="500"/>
      <c r="AR30" s="500"/>
      <c r="AS30" s="500"/>
      <c r="AT30" s="50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70"/>
      <c r="C31" s="470"/>
      <c r="D31" s="471"/>
      <c r="E31" s="511"/>
      <c r="F31" s="512"/>
      <c r="G31" s="512"/>
      <c r="H31" s="512"/>
      <c r="I31" s="512"/>
      <c r="J31" s="548"/>
      <c r="K31" s="546"/>
      <c r="L31" s="546"/>
      <c r="M31" s="546"/>
      <c r="N31" s="546"/>
      <c r="O31" s="547"/>
      <c r="P31" s="538"/>
      <c r="Q31" s="538"/>
      <c r="R31" s="538"/>
      <c r="S31" s="538"/>
      <c r="T31" s="538"/>
      <c r="U31" s="539"/>
      <c r="V31" s="537"/>
      <c r="W31" s="538"/>
      <c r="X31" s="538"/>
      <c r="Y31" s="538"/>
      <c r="Z31" s="538"/>
      <c r="AA31" s="539"/>
      <c r="AB31" s="521"/>
      <c r="AC31" s="517"/>
      <c r="AD31" s="517"/>
      <c r="AE31" s="517"/>
      <c r="AF31" s="517"/>
      <c r="AG31" s="518"/>
      <c r="AH31" s="528"/>
      <c r="AI31" s="529"/>
      <c r="AJ31" s="529"/>
      <c r="AK31" s="529"/>
      <c r="AL31" s="529"/>
      <c r="AM31" s="530"/>
      <c r="AN31" s="67"/>
      <c r="AO31" s="502"/>
      <c r="AP31" s="503"/>
      <c r="AQ31" s="503"/>
      <c r="AR31" s="503"/>
      <c r="AS31" s="503"/>
      <c r="AT31" s="50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70"/>
      <c r="C32" s="470"/>
      <c r="D32" s="471"/>
      <c r="E32" s="511"/>
      <c r="F32" s="512"/>
      <c r="G32" s="512"/>
      <c r="H32" s="512"/>
      <c r="I32" s="512"/>
      <c r="J32" s="548" t="str">
        <f>IF(AND('Mapa final'!$K$25="Baja",'Mapa final'!$O$25="Leve"),CONCATENATE("R",'Mapa final'!$A$25),"")</f>
        <v/>
      </c>
      <c r="K32" s="546"/>
      <c r="L32" s="546" t="str">
        <f>IF(AND('Mapa final'!$K$31="Baja",'Mapa final'!$O$31="Leve"),CONCATENATE("R",'Mapa final'!$A$31),"")</f>
        <v/>
      </c>
      <c r="M32" s="546"/>
      <c r="N32" s="546" t="str">
        <f>IF(AND('Mapa final'!$K$37="Baja",'Mapa final'!$O$37="Leve"),CONCATENATE("R",'Mapa final'!$A$37),"")</f>
        <v/>
      </c>
      <c r="O32" s="547"/>
      <c r="P32" s="538" t="str">
        <f>IF(AND('Mapa final'!$K$25="Baja",'Mapa final'!$O$25="Menor"),CONCATENATE("R",'Mapa final'!$A$25),"")</f>
        <v/>
      </c>
      <c r="Q32" s="538"/>
      <c r="R32" s="538" t="str">
        <f>IF(AND('Mapa final'!$K$31="Baja",'Mapa final'!$O$31="Menor"),CONCATENATE("R",'Mapa final'!$A$31),"")</f>
        <v/>
      </c>
      <c r="S32" s="538"/>
      <c r="T32" s="538" t="str">
        <f>IF(AND('Mapa final'!$K$37="Baja",'Mapa final'!$O$37="Menor"),CONCATENATE("R",'Mapa final'!$A$37),"")</f>
        <v/>
      </c>
      <c r="U32" s="539"/>
      <c r="V32" s="537" t="str">
        <f>IF(AND('Mapa final'!$K$25="Baja",'Mapa final'!$O$25="Moderado"),CONCATENATE("R",'Mapa final'!$A$25),"")</f>
        <v/>
      </c>
      <c r="W32" s="538"/>
      <c r="X32" s="538" t="str">
        <f>IF(AND('Mapa final'!$K$31="Baja",'Mapa final'!$O$31="Moderado"),CONCATENATE("R",'Mapa final'!$A$31),"")</f>
        <v/>
      </c>
      <c r="Y32" s="538"/>
      <c r="Z32" s="538" t="str">
        <f>IF(AND('Mapa final'!$K$37="Baja",'Mapa final'!$O$37="Moderado"),CONCATENATE("R",'Mapa final'!$A$37),"")</f>
        <v/>
      </c>
      <c r="AA32" s="539"/>
      <c r="AB32" s="521" t="str">
        <f>IF(AND('Mapa final'!$K$25="Baja",'Mapa final'!$O$25="Mayor"),CONCATENATE("R",'Mapa final'!$A$25),"")</f>
        <v/>
      </c>
      <c r="AC32" s="517"/>
      <c r="AD32" s="517" t="str">
        <f>IF(AND('Mapa final'!$K$31="Baja",'Mapa final'!$O$31="Mayor"),CONCATENATE("R",'Mapa final'!$A$31),"")</f>
        <v/>
      </c>
      <c r="AE32" s="517"/>
      <c r="AF32" s="517" t="str">
        <f>IF(AND('Mapa final'!$K$37="Baja",'Mapa final'!$O$37="Mayor"),CONCATENATE("R",'Mapa final'!$A$37),"")</f>
        <v/>
      </c>
      <c r="AG32" s="518"/>
      <c r="AH32" s="528" t="str">
        <f>IF(AND('Mapa final'!$K$25="Baja",'Mapa final'!$O$25="Catastrófico"),CONCATENATE("R",'Mapa final'!$A$25),"")</f>
        <v/>
      </c>
      <c r="AI32" s="529"/>
      <c r="AJ32" s="529" t="str">
        <f>IF(AND('Mapa final'!$K$31="Baja",'Mapa final'!$O$31="Catastrófico"),CONCATENATE("R",'Mapa final'!$A$31),"")</f>
        <v/>
      </c>
      <c r="AK32" s="529"/>
      <c r="AL32" s="529" t="str">
        <f>IF(AND('Mapa final'!$K$37="Baja",'Mapa final'!$O$37="Catastrófico"),CONCATENATE("R",'Mapa final'!$A$37),"")</f>
        <v/>
      </c>
      <c r="AM32" s="530"/>
      <c r="AN32" s="67"/>
      <c r="AO32" s="502"/>
      <c r="AP32" s="503"/>
      <c r="AQ32" s="503"/>
      <c r="AR32" s="503"/>
      <c r="AS32" s="503"/>
      <c r="AT32" s="50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70"/>
      <c r="C33" s="470"/>
      <c r="D33" s="471"/>
      <c r="E33" s="511"/>
      <c r="F33" s="512"/>
      <c r="G33" s="512"/>
      <c r="H33" s="512"/>
      <c r="I33" s="512"/>
      <c r="J33" s="548"/>
      <c r="K33" s="546"/>
      <c r="L33" s="546"/>
      <c r="M33" s="546"/>
      <c r="N33" s="546"/>
      <c r="O33" s="547"/>
      <c r="P33" s="538"/>
      <c r="Q33" s="538"/>
      <c r="R33" s="538"/>
      <c r="S33" s="538"/>
      <c r="T33" s="538"/>
      <c r="U33" s="539"/>
      <c r="V33" s="537"/>
      <c r="W33" s="538"/>
      <c r="X33" s="538"/>
      <c r="Y33" s="538"/>
      <c r="Z33" s="538"/>
      <c r="AA33" s="539"/>
      <c r="AB33" s="521"/>
      <c r="AC33" s="517"/>
      <c r="AD33" s="517"/>
      <c r="AE33" s="517"/>
      <c r="AF33" s="517"/>
      <c r="AG33" s="518"/>
      <c r="AH33" s="528"/>
      <c r="AI33" s="529"/>
      <c r="AJ33" s="529"/>
      <c r="AK33" s="529"/>
      <c r="AL33" s="529"/>
      <c r="AM33" s="530"/>
      <c r="AN33" s="67"/>
      <c r="AO33" s="502"/>
      <c r="AP33" s="503"/>
      <c r="AQ33" s="503"/>
      <c r="AR33" s="503"/>
      <c r="AS33" s="503"/>
      <c r="AT33" s="50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70"/>
      <c r="C34" s="470"/>
      <c r="D34" s="471"/>
      <c r="E34" s="511"/>
      <c r="F34" s="512"/>
      <c r="G34" s="512"/>
      <c r="H34" s="512"/>
      <c r="I34" s="512"/>
      <c r="J34" s="548" t="str">
        <f>IF(AND('Mapa final'!$K$43="Baja",'Mapa final'!$O$43="Leve"),CONCATENATE("R",'Mapa final'!$A$43),"")</f>
        <v/>
      </c>
      <c r="K34" s="546"/>
      <c r="L34" s="546" t="str">
        <f>IF(AND('Mapa final'!$K$49="Baja",'Mapa final'!$O$49="Leve"),CONCATENATE("R",'Mapa final'!$A$49),"")</f>
        <v/>
      </c>
      <c r="M34" s="546"/>
      <c r="N34" s="546" t="str">
        <f>IF(AND('Mapa final'!$K$55="Baja",'Mapa final'!$O$55="Leve"),CONCATENATE("R",'Mapa final'!$A$55),"")</f>
        <v/>
      </c>
      <c r="O34" s="547"/>
      <c r="P34" s="538" t="str">
        <f>IF(AND('Mapa final'!$K$43="Baja",'Mapa final'!$O$43="Menor"),CONCATENATE("R",'Mapa final'!$A$43),"")</f>
        <v/>
      </c>
      <c r="Q34" s="538"/>
      <c r="R34" s="538" t="str">
        <f>IF(AND('Mapa final'!$K$49="Baja",'Mapa final'!$O$49="Menor"),CONCATENATE("R",'Mapa final'!$A$49),"")</f>
        <v/>
      </c>
      <c r="S34" s="538"/>
      <c r="T34" s="538" t="str">
        <f>IF(AND('Mapa final'!$K$55="Baja",'Mapa final'!$O$55="Menor"),CONCATENATE("R",'Mapa final'!$A$55),"")</f>
        <v/>
      </c>
      <c r="U34" s="539"/>
      <c r="V34" s="537" t="str">
        <f>IF(AND('Mapa final'!$K$43="Baja",'Mapa final'!$O$43="Moderado"),CONCATENATE("R",'Mapa final'!$A$43),"")</f>
        <v/>
      </c>
      <c r="W34" s="538"/>
      <c r="X34" s="538" t="str">
        <f>IF(AND('Mapa final'!$K$49="Baja",'Mapa final'!$O$49="Moderado"),CONCATENATE("R",'Mapa final'!$A$49),"")</f>
        <v/>
      </c>
      <c r="Y34" s="538"/>
      <c r="Z34" s="538" t="str">
        <f>IF(AND('Mapa final'!$K$55="Baja",'Mapa final'!$O$55="Moderado"),CONCATENATE("R",'Mapa final'!$A$55),"")</f>
        <v/>
      </c>
      <c r="AA34" s="539"/>
      <c r="AB34" s="521" t="str">
        <f>IF(AND('Mapa final'!$K$43="Baja",'Mapa final'!$O$43="Mayor"),CONCATENATE("R",'Mapa final'!$A$43),"")</f>
        <v/>
      </c>
      <c r="AC34" s="517"/>
      <c r="AD34" s="517" t="str">
        <f>IF(AND('Mapa final'!$K$49="Baja",'Mapa final'!$O$49="Mayor"),CONCATENATE("R",'Mapa final'!$A$49),"")</f>
        <v/>
      </c>
      <c r="AE34" s="517"/>
      <c r="AF34" s="517" t="str">
        <f>IF(AND('Mapa final'!$K$55="Baja",'Mapa final'!$O$55="Mayor"),CONCATENATE("R",'Mapa final'!$A$55),"")</f>
        <v/>
      </c>
      <c r="AG34" s="518"/>
      <c r="AH34" s="528" t="str">
        <f>IF(AND('Mapa final'!$K$43="Baja",'Mapa final'!$O$43="Catastrófico"),CONCATENATE("R",'Mapa final'!$A$43),"")</f>
        <v/>
      </c>
      <c r="AI34" s="529"/>
      <c r="AJ34" s="529" t="str">
        <f>IF(AND('Mapa final'!$K$49="Baja",'Mapa final'!$O$49="Catastrófico"),CONCATENATE("R",'Mapa final'!$A$49),"")</f>
        <v/>
      </c>
      <c r="AK34" s="529"/>
      <c r="AL34" s="529" t="str">
        <f>IF(AND('Mapa final'!$K$55="Baja",'Mapa final'!$O$55="Catastrófico"),CONCATENATE("R",'Mapa final'!$A$55),"")</f>
        <v/>
      </c>
      <c r="AM34" s="530"/>
      <c r="AN34" s="67"/>
      <c r="AO34" s="502"/>
      <c r="AP34" s="503"/>
      <c r="AQ34" s="503"/>
      <c r="AR34" s="503"/>
      <c r="AS34" s="503"/>
      <c r="AT34" s="50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70"/>
      <c r="C35" s="470"/>
      <c r="D35" s="471"/>
      <c r="E35" s="511"/>
      <c r="F35" s="512"/>
      <c r="G35" s="512"/>
      <c r="H35" s="512"/>
      <c r="I35" s="512"/>
      <c r="J35" s="548"/>
      <c r="K35" s="546"/>
      <c r="L35" s="546"/>
      <c r="M35" s="546"/>
      <c r="N35" s="546"/>
      <c r="O35" s="547"/>
      <c r="P35" s="538"/>
      <c r="Q35" s="538"/>
      <c r="R35" s="538"/>
      <c r="S35" s="538"/>
      <c r="T35" s="538"/>
      <c r="U35" s="539"/>
      <c r="V35" s="537"/>
      <c r="W35" s="538"/>
      <c r="X35" s="538"/>
      <c r="Y35" s="538"/>
      <c r="Z35" s="538"/>
      <c r="AA35" s="539"/>
      <c r="AB35" s="521"/>
      <c r="AC35" s="517"/>
      <c r="AD35" s="517"/>
      <c r="AE35" s="517"/>
      <c r="AF35" s="517"/>
      <c r="AG35" s="518"/>
      <c r="AH35" s="528"/>
      <c r="AI35" s="529"/>
      <c r="AJ35" s="529"/>
      <c r="AK35" s="529"/>
      <c r="AL35" s="529"/>
      <c r="AM35" s="530"/>
      <c r="AN35" s="67"/>
      <c r="AO35" s="502"/>
      <c r="AP35" s="503"/>
      <c r="AQ35" s="503"/>
      <c r="AR35" s="503"/>
      <c r="AS35" s="503"/>
      <c r="AT35" s="50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70"/>
      <c r="C36" s="470"/>
      <c r="D36" s="471"/>
      <c r="E36" s="511"/>
      <c r="F36" s="512"/>
      <c r="G36" s="512"/>
      <c r="H36" s="512"/>
      <c r="I36" s="512"/>
      <c r="J36" s="548" t="str">
        <f>IF(AND('Mapa final'!$K$61="Baja",'Mapa final'!$O$61="Leve"),CONCATENATE("R",'Mapa final'!$A$61),"")</f>
        <v/>
      </c>
      <c r="K36" s="546"/>
      <c r="L36" s="546" t="str">
        <f>IF(AND('Mapa final'!$K$67="Baja",'Mapa final'!$O$67="Leve"),CONCATENATE("R",'Mapa final'!$A$67),"")</f>
        <v/>
      </c>
      <c r="M36" s="546"/>
      <c r="N36" s="546" t="str">
        <f>IF(AND('Mapa final'!$K$73="Baja",'Mapa final'!$O$73="Leve"),CONCATENATE("R",'Mapa final'!$A$73),"")</f>
        <v/>
      </c>
      <c r="O36" s="547"/>
      <c r="P36" s="538" t="str">
        <f>IF(AND('Mapa final'!$K$61="Baja",'Mapa final'!$O$61="Menor"),CONCATENATE("R",'Mapa final'!$A$61),"")</f>
        <v/>
      </c>
      <c r="Q36" s="538"/>
      <c r="R36" s="538" t="str">
        <f>IF(AND('Mapa final'!$K$67="Baja",'Mapa final'!$O$67="Menor"),CONCATENATE("R",'Mapa final'!$A$67),"")</f>
        <v/>
      </c>
      <c r="S36" s="538"/>
      <c r="T36" s="538" t="str">
        <f>IF(AND('Mapa final'!$K$73="Baja",'Mapa final'!$O$73="Menor"),CONCATENATE("R",'Mapa final'!$A$73),"")</f>
        <v/>
      </c>
      <c r="U36" s="539"/>
      <c r="V36" s="537" t="str">
        <f>IF(AND('Mapa final'!$K$61="Baja",'Mapa final'!$O$61="Moderado"),CONCATENATE("R",'Mapa final'!$A$61),"")</f>
        <v/>
      </c>
      <c r="W36" s="538"/>
      <c r="X36" s="538" t="str">
        <f>IF(AND('Mapa final'!$K$67="Baja",'Mapa final'!$O$67="Moderado"),CONCATENATE("R",'Mapa final'!$A$67),"")</f>
        <v/>
      </c>
      <c r="Y36" s="538"/>
      <c r="Z36" s="538" t="str">
        <f>IF(AND('Mapa final'!$K$73="Baja",'Mapa final'!$O$73="Moderado"),CONCATENATE("R",'Mapa final'!$A$73),"")</f>
        <v/>
      </c>
      <c r="AA36" s="539"/>
      <c r="AB36" s="521" t="str">
        <f>IF(AND('Mapa final'!$K$61="Baja",'Mapa final'!$O$61="Mayor"),CONCATENATE("R",'Mapa final'!$A$61),"")</f>
        <v/>
      </c>
      <c r="AC36" s="517"/>
      <c r="AD36" s="517" t="str">
        <f>IF(AND('Mapa final'!$K$67="Baja",'Mapa final'!$O$67="Mayor"),CONCATENATE("R",'Mapa final'!$A$67),"")</f>
        <v/>
      </c>
      <c r="AE36" s="517"/>
      <c r="AF36" s="517" t="str">
        <f>IF(AND('Mapa final'!$K$73="Baja",'Mapa final'!$O$73="Mayor"),CONCATENATE("R",'Mapa final'!$A$73),"")</f>
        <v/>
      </c>
      <c r="AG36" s="518"/>
      <c r="AH36" s="528" t="str">
        <f>IF(AND('Mapa final'!$K$61="Baja",'Mapa final'!$O$61="Catastrófico"),CONCATENATE("R",'Mapa final'!$A$61),"")</f>
        <v/>
      </c>
      <c r="AI36" s="529"/>
      <c r="AJ36" s="529" t="str">
        <f>IF(AND('Mapa final'!$K$67="Baja",'Mapa final'!$O$67="Catastrófico"),CONCATENATE("R",'Mapa final'!$A$67),"")</f>
        <v/>
      </c>
      <c r="AK36" s="529"/>
      <c r="AL36" s="529" t="str">
        <f>IF(AND('Mapa final'!$K$73="Baja",'Mapa final'!$O$73="Catastrófico"),CONCATENATE("R",'Mapa final'!$A$73),"")</f>
        <v/>
      </c>
      <c r="AM36" s="530"/>
      <c r="AN36" s="67"/>
      <c r="AO36" s="502"/>
      <c r="AP36" s="503"/>
      <c r="AQ36" s="503"/>
      <c r="AR36" s="503"/>
      <c r="AS36" s="503"/>
      <c r="AT36" s="50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70"/>
      <c r="C37" s="470"/>
      <c r="D37" s="471"/>
      <c r="E37" s="514"/>
      <c r="F37" s="515"/>
      <c r="G37" s="515"/>
      <c r="H37" s="515"/>
      <c r="I37" s="515"/>
      <c r="J37" s="549"/>
      <c r="K37" s="550"/>
      <c r="L37" s="550"/>
      <c r="M37" s="550"/>
      <c r="N37" s="550"/>
      <c r="O37" s="551"/>
      <c r="P37" s="541"/>
      <c r="Q37" s="541"/>
      <c r="R37" s="541"/>
      <c r="S37" s="541"/>
      <c r="T37" s="541"/>
      <c r="U37" s="542"/>
      <c r="V37" s="540"/>
      <c r="W37" s="541"/>
      <c r="X37" s="541"/>
      <c r="Y37" s="541"/>
      <c r="Z37" s="541"/>
      <c r="AA37" s="542"/>
      <c r="AB37" s="525"/>
      <c r="AC37" s="526"/>
      <c r="AD37" s="526"/>
      <c r="AE37" s="526"/>
      <c r="AF37" s="526"/>
      <c r="AG37" s="527"/>
      <c r="AH37" s="531"/>
      <c r="AI37" s="532"/>
      <c r="AJ37" s="532"/>
      <c r="AK37" s="532"/>
      <c r="AL37" s="532"/>
      <c r="AM37" s="533"/>
      <c r="AN37" s="67"/>
      <c r="AO37" s="505"/>
      <c r="AP37" s="506"/>
      <c r="AQ37" s="506"/>
      <c r="AR37" s="506"/>
      <c r="AS37" s="506"/>
      <c r="AT37" s="50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70"/>
      <c r="C38" s="470"/>
      <c r="D38" s="471"/>
      <c r="E38" s="508" t="s">
        <v>108</v>
      </c>
      <c r="F38" s="509"/>
      <c r="G38" s="509"/>
      <c r="H38" s="509"/>
      <c r="I38" s="510"/>
      <c r="J38" s="552" t="str">
        <f>IF(AND('Mapa final'!$K$10="Muy Baja",'Mapa final'!$O$10="Leve"),CONCATENATE("R",'Mapa final'!$A$10),"")</f>
        <v/>
      </c>
      <c r="K38" s="553"/>
      <c r="L38" s="553" t="str">
        <f>IF(AND('Mapa final'!$K$13="Muy Baja",'Mapa final'!$O$13="Leve"),CONCATENATE("R",'Mapa final'!$A$13),"")</f>
        <v/>
      </c>
      <c r="M38" s="553"/>
      <c r="N38" s="553" t="str">
        <f>IF(AND('Mapa final'!$K$19="Muy Baja",'Mapa final'!$O$19="Leve"),CONCATENATE("R",'Mapa final'!$A$19),"")</f>
        <v/>
      </c>
      <c r="O38" s="554"/>
      <c r="P38" s="552" t="str">
        <f>IF(AND('Mapa final'!$K$10="Muy Baja",'Mapa final'!$O$10="Menor"),CONCATENATE("R",'Mapa final'!$A$10),"")</f>
        <v/>
      </c>
      <c r="Q38" s="553"/>
      <c r="R38" s="553" t="str">
        <f>IF(AND('Mapa final'!$K$13="Muy Baja",'Mapa final'!$O$13="Menor"),CONCATENATE("R",'Mapa final'!$A$13),"")</f>
        <v/>
      </c>
      <c r="S38" s="553"/>
      <c r="T38" s="553" t="str">
        <f>IF(AND('Mapa final'!$K$19="Muy Baja",'Mapa final'!$O$19="Menor"),CONCATENATE("R",'Mapa final'!$A$19),"")</f>
        <v/>
      </c>
      <c r="U38" s="554"/>
      <c r="V38" s="543" t="str">
        <f>IF(AND('Mapa final'!$K$10="Muy Baja",'Mapa final'!$O$10="Moderado"),CONCATENATE("R",'Mapa final'!$A$10),"")</f>
        <v/>
      </c>
      <c r="W38" s="544"/>
      <c r="X38" s="544" t="str">
        <f>IF(AND('Mapa final'!$K$13="Muy Baja",'Mapa final'!$O$13="Moderado"),CONCATENATE("R",'Mapa final'!$A$13),"")</f>
        <v/>
      </c>
      <c r="Y38" s="544"/>
      <c r="Z38" s="544" t="str">
        <f>IF(AND('Mapa final'!$K$19="Muy Baja",'Mapa final'!$O$19="Moderado"),CONCATENATE("R",'Mapa final'!$A$19),"")</f>
        <v/>
      </c>
      <c r="AA38" s="545"/>
      <c r="AB38" s="519" t="str">
        <f>IF(AND('Mapa final'!$K$10="Muy Baja",'Mapa final'!$O$10="Mayor"),CONCATENATE("R",'Mapa final'!$A$10),"")</f>
        <v/>
      </c>
      <c r="AC38" s="520"/>
      <c r="AD38" s="520" t="str">
        <f>IF(AND('Mapa final'!$K$13="Muy Baja",'Mapa final'!$O$13="Mayor"),CONCATENATE("R",'Mapa final'!$A$13),"")</f>
        <v/>
      </c>
      <c r="AE38" s="520"/>
      <c r="AF38" s="520" t="str">
        <f>IF(AND('Mapa final'!$K$19="Muy Baja",'Mapa final'!$O$19="Mayor"),CONCATENATE("R",'Mapa final'!$A$19),"")</f>
        <v/>
      </c>
      <c r="AG38" s="522"/>
      <c r="AH38" s="534" t="str">
        <f>IF(AND('Mapa final'!$K$10="Muy Baja",'Mapa final'!$O$10="Catastrófico"),CONCATENATE("R",'Mapa final'!$A$10),"")</f>
        <v/>
      </c>
      <c r="AI38" s="535"/>
      <c r="AJ38" s="535" t="str">
        <f>IF(AND('Mapa final'!$K$13="Muy Baja",'Mapa final'!$O$13="Catastrófico"),CONCATENATE("R",'Mapa final'!$A$13),"")</f>
        <v/>
      </c>
      <c r="AK38" s="535"/>
      <c r="AL38" s="535" t="str">
        <f>IF(AND('Mapa final'!$K$19="Muy Baja",'Mapa final'!$O$19="Catastrófico"),CONCATENATE("R",'Mapa final'!$A$19),"")</f>
        <v/>
      </c>
      <c r="AM38" s="53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70"/>
      <c r="C39" s="470"/>
      <c r="D39" s="471"/>
      <c r="E39" s="511"/>
      <c r="F39" s="512"/>
      <c r="G39" s="512"/>
      <c r="H39" s="512"/>
      <c r="I39" s="513"/>
      <c r="J39" s="548"/>
      <c r="K39" s="546"/>
      <c r="L39" s="546"/>
      <c r="M39" s="546"/>
      <c r="N39" s="546"/>
      <c r="O39" s="547"/>
      <c r="P39" s="548"/>
      <c r="Q39" s="546"/>
      <c r="R39" s="546"/>
      <c r="S39" s="546"/>
      <c r="T39" s="546"/>
      <c r="U39" s="547"/>
      <c r="V39" s="537"/>
      <c r="W39" s="538"/>
      <c r="X39" s="538"/>
      <c r="Y39" s="538"/>
      <c r="Z39" s="538"/>
      <c r="AA39" s="539"/>
      <c r="AB39" s="521"/>
      <c r="AC39" s="517"/>
      <c r="AD39" s="517"/>
      <c r="AE39" s="517"/>
      <c r="AF39" s="517"/>
      <c r="AG39" s="518"/>
      <c r="AH39" s="528"/>
      <c r="AI39" s="529"/>
      <c r="AJ39" s="529"/>
      <c r="AK39" s="529"/>
      <c r="AL39" s="529"/>
      <c r="AM39" s="53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70"/>
      <c r="C40" s="470"/>
      <c r="D40" s="471"/>
      <c r="E40" s="511"/>
      <c r="F40" s="512"/>
      <c r="G40" s="512"/>
      <c r="H40" s="512"/>
      <c r="I40" s="513"/>
      <c r="J40" s="548" t="str">
        <f>IF(AND('Mapa final'!$K$25="Muy Baja",'Mapa final'!$O$25="Leve"),CONCATENATE("R",'Mapa final'!$A$25),"")</f>
        <v/>
      </c>
      <c r="K40" s="546"/>
      <c r="L40" s="546" t="str">
        <f>IF(AND('Mapa final'!$K$31="Muy Baja",'Mapa final'!$O$31="Leve"),CONCATENATE("R",'Mapa final'!$A$31),"")</f>
        <v/>
      </c>
      <c r="M40" s="546"/>
      <c r="N40" s="546" t="str">
        <f>IF(AND('Mapa final'!$K$37="Muy Baja",'Mapa final'!$O$37="Leve"),CONCATENATE("R",'Mapa final'!$A$37),"")</f>
        <v/>
      </c>
      <c r="O40" s="547"/>
      <c r="P40" s="548" t="str">
        <f>IF(AND('Mapa final'!$K$25="Muy Baja",'Mapa final'!$O$25="Menor"),CONCATENATE("R",'Mapa final'!$A$25),"")</f>
        <v/>
      </c>
      <c r="Q40" s="546"/>
      <c r="R40" s="546" t="str">
        <f>IF(AND('Mapa final'!$K$31="Muy Baja",'Mapa final'!$O$31="Menor"),CONCATENATE("R",'Mapa final'!$A$31),"")</f>
        <v/>
      </c>
      <c r="S40" s="546"/>
      <c r="T40" s="546" t="str">
        <f>IF(AND('Mapa final'!$K$37="Muy Baja",'Mapa final'!$O$37="Menor"),CONCATENATE("R",'Mapa final'!$A$37),"")</f>
        <v/>
      </c>
      <c r="U40" s="547"/>
      <c r="V40" s="537" t="str">
        <f>IF(AND('Mapa final'!$K$25="Muy Baja",'Mapa final'!$O$25="Moderado"),CONCATENATE("R",'Mapa final'!$A$25),"")</f>
        <v/>
      </c>
      <c r="W40" s="538"/>
      <c r="X40" s="538" t="str">
        <f>IF(AND('Mapa final'!$K$31="Muy Baja",'Mapa final'!$O$31="Moderado"),CONCATENATE("R",'Mapa final'!$A$31),"")</f>
        <v/>
      </c>
      <c r="Y40" s="538"/>
      <c r="Z40" s="538" t="str">
        <f>IF(AND('Mapa final'!$K$37="Muy Baja",'Mapa final'!$O$37="Moderado"),CONCATENATE("R",'Mapa final'!$A$37),"")</f>
        <v/>
      </c>
      <c r="AA40" s="539"/>
      <c r="AB40" s="521" t="str">
        <f>IF(AND('Mapa final'!$K$25="Muy Baja",'Mapa final'!$O$25="Mayor"),CONCATENATE("R",'Mapa final'!$A$25),"")</f>
        <v/>
      </c>
      <c r="AC40" s="517"/>
      <c r="AD40" s="517" t="str">
        <f>IF(AND('Mapa final'!$K$31="Muy Baja",'Mapa final'!$O$31="Mayor"),CONCATENATE("R",'Mapa final'!$A$31),"")</f>
        <v/>
      </c>
      <c r="AE40" s="517"/>
      <c r="AF40" s="517" t="str">
        <f>IF(AND('Mapa final'!$K$37="Muy Baja",'Mapa final'!$O$37="Mayor"),CONCATENATE("R",'Mapa final'!$A$37),"")</f>
        <v/>
      </c>
      <c r="AG40" s="518"/>
      <c r="AH40" s="528" t="str">
        <f>IF(AND('Mapa final'!$K$25="Muy Baja",'Mapa final'!$O$25="Catastrófico"),CONCATENATE("R",'Mapa final'!$A$25),"")</f>
        <v/>
      </c>
      <c r="AI40" s="529"/>
      <c r="AJ40" s="529" t="str">
        <f>IF(AND('Mapa final'!$K$31="Muy Baja",'Mapa final'!$O$31="Catastrófico"),CONCATENATE("R",'Mapa final'!$A$31),"")</f>
        <v/>
      </c>
      <c r="AK40" s="529"/>
      <c r="AL40" s="529" t="str">
        <f>IF(AND('Mapa final'!$K$37="Muy Baja",'Mapa final'!$O$37="Catastrófico"),CONCATENATE("R",'Mapa final'!$A$37),"")</f>
        <v/>
      </c>
      <c r="AM40" s="53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70"/>
      <c r="C41" s="470"/>
      <c r="D41" s="471"/>
      <c r="E41" s="511"/>
      <c r="F41" s="512"/>
      <c r="G41" s="512"/>
      <c r="H41" s="512"/>
      <c r="I41" s="513"/>
      <c r="J41" s="548"/>
      <c r="K41" s="546"/>
      <c r="L41" s="546"/>
      <c r="M41" s="546"/>
      <c r="N41" s="546"/>
      <c r="O41" s="547"/>
      <c r="P41" s="548"/>
      <c r="Q41" s="546"/>
      <c r="R41" s="546"/>
      <c r="S41" s="546"/>
      <c r="T41" s="546"/>
      <c r="U41" s="547"/>
      <c r="V41" s="537"/>
      <c r="W41" s="538"/>
      <c r="X41" s="538"/>
      <c r="Y41" s="538"/>
      <c r="Z41" s="538"/>
      <c r="AA41" s="539"/>
      <c r="AB41" s="521"/>
      <c r="AC41" s="517"/>
      <c r="AD41" s="517"/>
      <c r="AE41" s="517"/>
      <c r="AF41" s="517"/>
      <c r="AG41" s="518"/>
      <c r="AH41" s="528"/>
      <c r="AI41" s="529"/>
      <c r="AJ41" s="529"/>
      <c r="AK41" s="529"/>
      <c r="AL41" s="529"/>
      <c r="AM41" s="53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70"/>
      <c r="C42" s="470"/>
      <c r="D42" s="471"/>
      <c r="E42" s="511"/>
      <c r="F42" s="512"/>
      <c r="G42" s="512"/>
      <c r="H42" s="512"/>
      <c r="I42" s="513"/>
      <c r="J42" s="548" t="str">
        <f>IF(AND('Mapa final'!$K$43="Muy Baja",'Mapa final'!$O$43="Leve"),CONCATENATE("R",'Mapa final'!$A$43),"")</f>
        <v/>
      </c>
      <c r="K42" s="546"/>
      <c r="L42" s="546" t="str">
        <f>IF(AND('Mapa final'!$K$49="Muy Baja",'Mapa final'!$O$49="Leve"),CONCATENATE("R",'Mapa final'!$A$49),"")</f>
        <v/>
      </c>
      <c r="M42" s="546"/>
      <c r="N42" s="546" t="str">
        <f>IF(AND('Mapa final'!$K$55="Muy Baja",'Mapa final'!$O$55="Leve"),CONCATENATE("R",'Mapa final'!$A$55),"")</f>
        <v/>
      </c>
      <c r="O42" s="547"/>
      <c r="P42" s="548" t="str">
        <f>IF(AND('Mapa final'!$K$43="Muy Baja",'Mapa final'!$O$43="Menor"),CONCATENATE("R",'Mapa final'!$A$43),"")</f>
        <v/>
      </c>
      <c r="Q42" s="546"/>
      <c r="R42" s="546" t="str">
        <f>IF(AND('Mapa final'!$K$49="Muy Baja",'Mapa final'!$O$49="Menor"),CONCATENATE("R",'Mapa final'!$A$49),"")</f>
        <v/>
      </c>
      <c r="S42" s="546"/>
      <c r="T42" s="546" t="str">
        <f>IF(AND('Mapa final'!$K$55="Muy Baja",'Mapa final'!$O$55="Menor"),CONCATENATE("R",'Mapa final'!$A$55),"")</f>
        <v/>
      </c>
      <c r="U42" s="547"/>
      <c r="V42" s="537" t="str">
        <f>IF(AND('Mapa final'!$K$43="Muy Baja",'Mapa final'!$O$43="Moderado"),CONCATENATE("R",'Mapa final'!$A$43),"")</f>
        <v/>
      </c>
      <c r="W42" s="538"/>
      <c r="X42" s="538" t="str">
        <f>IF(AND('Mapa final'!$K$49="Muy Baja",'Mapa final'!$O$49="Moderado"),CONCATENATE("R",'Mapa final'!$A$49),"")</f>
        <v/>
      </c>
      <c r="Y42" s="538"/>
      <c r="Z42" s="538" t="str">
        <f>IF(AND('Mapa final'!$K$55="Muy Baja",'Mapa final'!$O$55="Moderado"),CONCATENATE("R",'Mapa final'!$A$55),"")</f>
        <v/>
      </c>
      <c r="AA42" s="539"/>
      <c r="AB42" s="521" t="str">
        <f>IF(AND('Mapa final'!$K$43="Muy Baja",'Mapa final'!$O$43="Mayor"),CONCATENATE("R",'Mapa final'!$A$43),"")</f>
        <v/>
      </c>
      <c r="AC42" s="517"/>
      <c r="AD42" s="517" t="str">
        <f>IF(AND('Mapa final'!$K$49="Muy Baja",'Mapa final'!$O$49="Mayor"),CONCATENATE("R",'Mapa final'!$A$49),"")</f>
        <v/>
      </c>
      <c r="AE42" s="517"/>
      <c r="AF42" s="517" t="str">
        <f>IF(AND('Mapa final'!$K$55="Muy Baja",'Mapa final'!$O$55="Mayor"),CONCATENATE("R",'Mapa final'!$A$55),"")</f>
        <v/>
      </c>
      <c r="AG42" s="518"/>
      <c r="AH42" s="528" t="str">
        <f>IF(AND('Mapa final'!$K$43="Muy Baja",'Mapa final'!$O$43="Catastrófico"),CONCATENATE("R",'Mapa final'!$A$43),"")</f>
        <v/>
      </c>
      <c r="AI42" s="529"/>
      <c r="AJ42" s="529" t="str">
        <f>IF(AND('Mapa final'!$K$49="Muy Baja",'Mapa final'!$O$49="Catastrófico"),CONCATENATE("R",'Mapa final'!$A$49),"")</f>
        <v/>
      </c>
      <c r="AK42" s="529"/>
      <c r="AL42" s="529" t="str">
        <f>IF(AND('Mapa final'!$K$55="Muy Baja",'Mapa final'!$O$55="Catastrófico"),CONCATENATE("R",'Mapa final'!$A$55),"")</f>
        <v/>
      </c>
      <c r="AM42" s="53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70"/>
      <c r="C43" s="470"/>
      <c r="D43" s="471"/>
      <c r="E43" s="511"/>
      <c r="F43" s="512"/>
      <c r="G43" s="512"/>
      <c r="H43" s="512"/>
      <c r="I43" s="513"/>
      <c r="J43" s="548"/>
      <c r="K43" s="546"/>
      <c r="L43" s="546"/>
      <c r="M43" s="546"/>
      <c r="N43" s="546"/>
      <c r="O43" s="547"/>
      <c r="P43" s="548"/>
      <c r="Q43" s="546"/>
      <c r="R43" s="546"/>
      <c r="S43" s="546"/>
      <c r="T43" s="546"/>
      <c r="U43" s="547"/>
      <c r="V43" s="537"/>
      <c r="W43" s="538"/>
      <c r="X43" s="538"/>
      <c r="Y43" s="538"/>
      <c r="Z43" s="538"/>
      <c r="AA43" s="539"/>
      <c r="AB43" s="521"/>
      <c r="AC43" s="517"/>
      <c r="AD43" s="517"/>
      <c r="AE43" s="517"/>
      <c r="AF43" s="517"/>
      <c r="AG43" s="518"/>
      <c r="AH43" s="528"/>
      <c r="AI43" s="529"/>
      <c r="AJ43" s="529"/>
      <c r="AK43" s="529"/>
      <c r="AL43" s="529"/>
      <c r="AM43" s="53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70"/>
      <c r="C44" s="470"/>
      <c r="D44" s="471"/>
      <c r="E44" s="511"/>
      <c r="F44" s="512"/>
      <c r="G44" s="512"/>
      <c r="H44" s="512"/>
      <c r="I44" s="513"/>
      <c r="J44" s="548" t="str">
        <f>IF(AND('Mapa final'!$K$61="Muy Baja",'Mapa final'!$O$61="Leve"),CONCATENATE("R",'Mapa final'!$A$61),"")</f>
        <v/>
      </c>
      <c r="K44" s="546"/>
      <c r="L44" s="546" t="str">
        <f>IF(AND('Mapa final'!$K$67="Muy Baja",'Mapa final'!$O$67="Leve"),CONCATENATE("R",'Mapa final'!$A$67),"")</f>
        <v/>
      </c>
      <c r="M44" s="546"/>
      <c r="N44" s="546" t="str">
        <f>IF(AND('Mapa final'!$K$73="Muy Baja",'Mapa final'!$O$73="Leve"),CONCATENATE("R",'Mapa final'!$A$73),"")</f>
        <v/>
      </c>
      <c r="O44" s="547"/>
      <c r="P44" s="548" t="str">
        <f>IF(AND('Mapa final'!$K$61="Muy Baja",'Mapa final'!$O$61="Menor"),CONCATENATE("R",'Mapa final'!$A$61),"")</f>
        <v/>
      </c>
      <c r="Q44" s="546"/>
      <c r="R44" s="546" t="str">
        <f>IF(AND('Mapa final'!$K$67="Muy Baja",'Mapa final'!$O$67="Menor"),CONCATENATE("R",'Mapa final'!$A$67),"")</f>
        <v/>
      </c>
      <c r="S44" s="546"/>
      <c r="T44" s="546" t="str">
        <f>IF(AND('Mapa final'!$K$73="Muy Baja",'Mapa final'!$O$73="Menor"),CONCATENATE("R",'Mapa final'!$A$73),"")</f>
        <v/>
      </c>
      <c r="U44" s="547"/>
      <c r="V44" s="537" t="str">
        <f>IF(AND('Mapa final'!$K$61="Muy Baja",'Mapa final'!$O$61="Moderado"),CONCATENATE("R",'Mapa final'!$A$61),"")</f>
        <v/>
      </c>
      <c r="W44" s="538"/>
      <c r="X44" s="538" t="str">
        <f>IF(AND('Mapa final'!$K$67="Muy Baja",'Mapa final'!$O$67="Moderado"),CONCATENATE("R",'Mapa final'!$A$67),"")</f>
        <v/>
      </c>
      <c r="Y44" s="538"/>
      <c r="Z44" s="538" t="str">
        <f>IF(AND('Mapa final'!$K$73="Muy Baja",'Mapa final'!$O$73="Moderado"),CONCATENATE("R",'Mapa final'!$A$73),"")</f>
        <v/>
      </c>
      <c r="AA44" s="539"/>
      <c r="AB44" s="521" t="str">
        <f>IF(AND('Mapa final'!$K$61="Muy Baja",'Mapa final'!$O$61="Mayor"),CONCATENATE("R",'Mapa final'!$A$61),"")</f>
        <v/>
      </c>
      <c r="AC44" s="517"/>
      <c r="AD44" s="517" t="str">
        <f>IF(AND('Mapa final'!$K$67="Muy Baja",'Mapa final'!$O$67="Mayor"),CONCATENATE("R",'Mapa final'!$A$67),"")</f>
        <v/>
      </c>
      <c r="AE44" s="517"/>
      <c r="AF44" s="517" t="str">
        <f>IF(AND('Mapa final'!$K$73="Muy Baja",'Mapa final'!$O$73="Mayor"),CONCATENATE("R",'Mapa final'!$A$73),"")</f>
        <v/>
      </c>
      <c r="AG44" s="518"/>
      <c r="AH44" s="528" t="str">
        <f>IF(AND('Mapa final'!$K$61="Muy Baja",'Mapa final'!$O$61="Catastrófico"),CONCATENATE("R",'Mapa final'!$A$61),"")</f>
        <v/>
      </c>
      <c r="AI44" s="529"/>
      <c r="AJ44" s="529" t="str">
        <f>IF(AND('Mapa final'!$K$67="Muy Baja",'Mapa final'!$O$67="Catastrófico"),CONCATENATE("R",'Mapa final'!$A$67),"")</f>
        <v/>
      </c>
      <c r="AK44" s="529"/>
      <c r="AL44" s="529" t="str">
        <f>IF(AND('Mapa final'!$K$73="Muy Baja",'Mapa final'!$O$73="Catastrófico"),CONCATENATE("R",'Mapa final'!$A$73),"")</f>
        <v/>
      </c>
      <c r="AM44" s="53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70"/>
      <c r="C45" s="470"/>
      <c r="D45" s="471"/>
      <c r="E45" s="514"/>
      <c r="F45" s="515"/>
      <c r="G45" s="515"/>
      <c r="H45" s="515"/>
      <c r="I45" s="516"/>
      <c r="J45" s="549"/>
      <c r="K45" s="550"/>
      <c r="L45" s="550"/>
      <c r="M45" s="550"/>
      <c r="N45" s="550"/>
      <c r="O45" s="551"/>
      <c r="P45" s="549"/>
      <c r="Q45" s="550"/>
      <c r="R45" s="550"/>
      <c r="S45" s="550"/>
      <c r="T45" s="550"/>
      <c r="U45" s="551"/>
      <c r="V45" s="540"/>
      <c r="W45" s="541"/>
      <c r="X45" s="541"/>
      <c r="Y45" s="541"/>
      <c r="Z45" s="541"/>
      <c r="AA45" s="542"/>
      <c r="AB45" s="525"/>
      <c r="AC45" s="526"/>
      <c r="AD45" s="526"/>
      <c r="AE45" s="526"/>
      <c r="AF45" s="526"/>
      <c r="AG45" s="527"/>
      <c r="AH45" s="531"/>
      <c r="AI45" s="532"/>
      <c r="AJ45" s="532"/>
      <c r="AK45" s="532"/>
      <c r="AL45" s="532"/>
      <c r="AM45" s="53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08" t="s">
        <v>107</v>
      </c>
      <c r="K46" s="509"/>
      <c r="L46" s="509"/>
      <c r="M46" s="509"/>
      <c r="N46" s="509"/>
      <c r="O46" s="510"/>
      <c r="P46" s="508" t="s">
        <v>106</v>
      </c>
      <c r="Q46" s="509"/>
      <c r="R46" s="509"/>
      <c r="S46" s="509"/>
      <c r="T46" s="509"/>
      <c r="U46" s="510"/>
      <c r="V46" s="508" t="s">
        <v>105</v>
      </c>
      <c r="W46" s="509"/>
      <c r="X46" s="509"/>
      <c r="Y46" s="509"/>
      <c r="Z46" s="509"/>
      <c r="AA46" s="510"/>
      <c r="AB46" s="508" t="s">
        <v>104</v>
      </c>
      <c r="AC46" s="524"/>
      <c r="AD46" s="509"/>
      <c r="AE46" s="509"/>
      <c r="AF46" s="509"/>
      <c r="AG46" s="510"/>
      <c r="AH46" s="508" t="s">
        <v>103</v>
      </c>
      <c r="AI46" s="509"/>
      <c r="AJ46" s="509"/>
      <c r="AK46" s="509"/>
      <c r="AL46" s="509"/>
      <c r="AM46" s="510"/>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11"/>
      <c r="K47" s="512"/>
      <c r="L47" s="512"/>
      <c r="M47" s="512"/>
      <c r="N47" s="512"/>
      <c r="O47" s="513"/>
      <c r="P47" s="511"/>
      <c r="Q47" s="512"/>
      <c r="R47" s="512"/>
      <c r="S47" s="512"/>
      <c r="T47" s="512"/>
      <c r="U47" s="513"/>
      <c r="V47" s="511"/>
      <c r="W47" s="512"/>
      <c r="X47" s="512"/>
      <c r="Y47" s="512"/>
      <c r="Z47" s="512"/>
      <c r="AA47" s="513"/>
      <c r="AB47" s="511"/>
      <c r="AC47" s="512"/>
      <c r="AD47" s="512"/>
      <c r="AE47" s="512"/>
      <c r="AF47" s="512"/>
      <c r="AG47" s="513"/>
      <c r="AH47" s="511"/>
      <c r="AI47" s="512"/>
      <c r="AJ47" s="512"/>
      <c r="AK47" s="512"/>
      <c r="AL47" s="512"/>
      <c r="AM47" s="513"/>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11"/>
      <c r="K48" s="512"/>
      <c r="L48" s="512"/>
      <c r="M48" s="512"/>
      <c r="N48" s="512"/>
      <c r="O48" s="513"/>
      <c r="P48" s="511"/>
      <c r="Q48" s="512"/>
      <c r="R48" s="512"/>
      <c r="S48" s="512"/>
      <c r="T48" s="512"/>
      <c r="U48" s="513"/>
      <c r="V48" s="511"/>
      <c r="W48" s="512"/>
      <c r="X48" s="512"/>
      <c r="Y48" s="512"/>
      <c r="Z48" s="512"/>
      <c r="AA48" s="513"/>
      <c r="AB48" s="511"/>
      <c r="AC48" s="512"/>
      <c r="AD48" s="512"/>
      <c r="AE48" s="512"/>
      <c r="AF48" s="512"/>
      <c r="AG48" s="513"/>
      <c r="AH48" s="511"/>
      <c r="AI48" s="512"/>
      <c r="AJ48" s="512"/>
      <c r="AK48" s="512"/>
      <c r="AL48" s="512"/>
      <c r="AM48" s="513"/>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11"/>
      <c r="K49" s="512"/>
      <c r="L49" s="512"/>
      <c r="M49" s="512"/>
      <c r="N49" s="512"/>
      <c r="O49" s="513"/>
      <c r="P49" s="511"/>
      <c r="Q49" s="512"/>
      <c r="R49" s="512"/>
      <c r="S49" s="512"/>
      <c r="T49" s="512"/>
      <c r="U49" s="513"/>
      <c r="V49" s="511"/>
      <c r="W49" s="512"/>
      <c r="X49" s="512"/>
      <c r="Y49" s="512"/>
      <c r="Z49" s="512"/>
      <c r="AA49" s="513"/>
      <c r="AB49" s="511"/>
      <c r="AC49" s="512"/>
      <c r="AD49" s="512"/>
      <c r="AE49" s="512"/>
      <c r="AF49" s="512"/>
      <c r="AG49" s="513"/>
      <c r="AH49" s="511"/>
      <c r="AI49" s="512"/>
      <c r="AJ49" s="512"/>
      <c r="AK49" s="512"/>
      <c r="AL49" s="512"/>
      <c r="AM49" s="513"/>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11"/>
      <c r="K50" s="512"/>
      <c r="L50" s="512"/>
      <c r="M50" s="512"/>
      <c r="N50" s="512"/>
      <c r="O50" s="513"/>
      <c r="P50" s="511"/>
      <c r="Q50" s="512"/>
      <c r="R50" s="512"/>
      <c r="S50" s="512"/>
      <c r="T50" s="512"/>
      <c r="U50" s="513"/>
      <c r="V50" s="511"/>
      <c r="W50" s="512"/>
      <c r="X50" s="512"/>
      <c r="Y50" s="512"/>
      <c r="Z50" s="512"/>
      <c r="AA50" s="513"/>
      <c r="AB50" s="511"/>
      <c r="AC50" s="512"/>
      <c r="AD50" s="512"/>
      <c r="AE50" s="512"/>
      <c r="AF50" s="512"/>
      <c r="AG50" s="513"/>
      <c r="AH50" s="511"/>
      <c r="AI50" s="512"/>
      <c r="AJ50" s="512"/>
      <c r="AK50" s="512"/>
      <c r="AL50" s="512"/>
      <c r="AM50" s="513"/>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14"/>
      <c r="K51" s="515"/>
      <c r="L51" s="515"/>
      <c r="M51" s="515"/>
      <c r="N51" s="515"/>
      <c r="O51" s="516"/>
      <c r="P51" s="514"/>
      <c r="Q51" s="515"/>
      <c r="R51" s="515"/>
      <c r="S51" s="515"/>
      <c r="T51" s="515"/>
      <c r="U51" s="516"/>
      <c r="V51" s="514"/>
      <c r="W51" s="515"/>
      <c r="X51" s="515"/>
      <c r="Y51" s="515"/>
      <c r="Z51" s="515"/>
      <c r="AA51" s="516"/>
      <c r="AB51" s="514"/>
      <c r="AC51" s="515"/>
      <c r="AD51" s="515"/>
      <c r="AE51" s="515"/>
      <c r="AF51" s="515"/>
      <c r="AG51" s="516"/>
      <c r="AH51" s="514"/>
      <c r="AI51" s="515"/>
      <c r="AJ51" s="515"/>
      <c r="AK51" s="515"/>
      <c r="AL51" s="515"/>
      <c r="AM51" s="516"/>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34" zoomScale="70" zoomScaleNormal="70" workbookViewId="0">
      <selection activeCell="AU52" sqref="AU52"/>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581" t="s">
        <v>149</v>
      </c>
      <c r="C2" s="582"/>
      <c r="D2" s="582"/>
      <c r="E2" s="582"/>
      <c r="F2" s="582"/>
      <c r="G2" s="582"/>
      <c r="H2" s="582"/>
      <c r="I2" s="582"/>
      <c r="J2" s="523" t="s">
        <v>2</v>
      </c>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582"/>
      <c r="C3" s="582"/>
      <c r="D3" s="582"/>
      <c r="E3" s="582"/>
      <c r="F3" s="582"/>
      <c r="G3" s="582"/>
      <c r="H3" s="582"/>
      <c r="I3" s="582"/>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582"/>
      <c r="C4" s="582"/>
      <c r="D4" s="582"/>
      <c r="E4" s="582"/>
      <c r="F4" s="582"/>
      <c r="G4" s="582"/>
      <c r="H4" s="582"/>
      <c r="I4" s="582"/>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70" t="s">
        <v>4</v>
      </c>
      <c r="C6" s="470"/>
      <c r="D6" s="471"/>
      <c r="E6" s="565" t="s">
        <v>111</v>
      </c>
      <c r="F6" s="566"/>
      <c r="G6" s="566"/>
      <c r="H6" s="566"/>
      <c r="I6" s="583"/>
      <c r="J6" s="30" t="str">
        <f>IF(AND('Mapa final'!$AB$10="Muy Alta",'Mapa final'!$AD$10="Leve"),CONCATENATE("R1C",'Mapa final'!$R$10),"")</f>
        <v/>
      </c>
      <c r="K6" s="31" t="e">
        <f>IF(AND('Mapa final'!#REF!="Muy Alta",'Mapa final'!#REF!="Leve"),CONCATENATE("R1C",'Mapa final'!#REF!),"")</f>
        <v>#REF!</v>
      </c>
      <c r="L6" s="31" t="e">
        <f>IF(AND('Mapa final'!#REF!="Muy Alta",'Mapa final'!#REF!="Leve"),CONCATENATE("R1C",'Mapa final'!#REF!),"")</f>
        <v>#REF!</v>
      </c>
      <c r="M6" s="31" t="str">
        <f>IF(AND('Mapa final'!$AB$11="Muy Alta",'Mapa final'!$AD$11="Leve"),CONCATENATE("R1C",'Mapa final'!$R$11),"")</f>
        <v/>
      </c>
      <c r="N6" s="31" t="e">
        <f>IF(AND('Mapa final'!#REF!="Muy Alta",'Mapa final'!#REF!="Leve"),CONCATENATE("R1C",'Mapa final'!#REF!),"")</f>
        <v>#REF!</v>
      </c>
      <c r="O6" s="32" t="str">
        <f>IF(AND('Mapa final'!$AB$12="Muy Alta",'Mapa final'!$AD$12="Leve"),CONCATENATE("R1C",'Mapa final'!$R$12),"")</f>
        <v/>
      </c>
      <c r="P6" s="30" t="str">
        <f>IF(AND('Mapa final'!$AB$10="Muy Alta",'Mapa final'!$AD$10="Menor"),CONCATENATE("R1C",'Mapa final'!$R$10),"")</f>
        <v/>
      </c>
      <c r="Q6" s="31" t="e">
        <f>IF(AND('Mapa final'!#REF!="Muy Alta",'Mapa final'!#REF!="Menor"),CONCATENATE("R1C",'Mapa final'!#REF!),"")</f>
        <v>#REF!</v>
      </c>
      <c r="R6" s="31" t="e">
        <f>IF(AND('Mapa final'!#REF!="Muy Alta",'Mapa final'!#REF!="Menor"),CONCATENATE("R1C",'Mapa final'!#REF!),"")</f>
        <v>#REF!</v>
      </c>
      <c r="S6" s="31" t="str">
        <f>IF(AND('Mapa final'!$AB$11="Muy Alta",'Mapa final'!$AD$11="Menor"),CONCATENATE("R1C",'Mapa final'!$R$11),"")</f>
        <v/>
      </c>
      <c r="T6" s="31" t="e">
        <f>IF(AND('Mapa final'!#REF!="Muy Alta",'Mapa final'!#REF!="Menor"),CONCATENATE("R1C",'Mapa final'!#REF!),"")</f>
        <v>#REF!</v>
      </c>
      <c r="U6" s="32" t="str">
        <f>IF(AND('Mapa final'!$AB$12="Muy Alta",'Mapa final'!$AD$12="Menor"),CONCATENATE("R1C",'Mapa final'!$R$12),"")</f>
        <v/>
      </c>
      <c r="V6" s="30" t="str">
        <f>IF(AND('Mapa final'!$AB$10="Muy Alta",'Mapa final'!$AD$10="Moderado"),CONCATENATE("R1C",'Mapa final'!$R$10),"")</f>
        <v/>
      </c>
      <c r="W6" s="31" t="e">
        <f>IF(AND('Mapa final'!#REF!="Muy Alta",'Mapa final'!#REF!="Moderado"),CONCATENATE("R1C",'Mapa final'!#REF!),"")</f>
        <v>#REF!</v>
      </c>
      <c r="X6" s="31" t="e">
        <f>IF(AND('Mapa final'!#REF!="Muy Alta",'Mapa final'!#REF!="Moderado"),CONCATENATE("R1C",'Mapa final'!#REF!),"")</f>
        <v>#REF!</v>
      </c>
      <c r="Y6" s="31" t="str">
        <f>IF(AND('Mapa final'!$AB$11="Muy Alta",'Mapa final'!$AD$11="Moderado"),CONCATENATE("R1C",'Mapa final'!$R$11),"")</f>
        <v/>
      </c>
      <c r="Z6" s="31" t="e">
        <f>IF(AND('Mapa final'!#REF!="Muy Alta",'Mapa final'!#REF!="Moderado"),CONCATENATE("R1C",'Mapa final'!#REF!),"")</f>
        <v>#REF!</v>
      </c>
      <c r="AA6" s="32" t="str">
        <f>IF(AND('Mapa final'!$AB$12="Muy Alta",'Mapa final'!$AD$12="Moderado"),CONCATENATE("R1C",'Mapa final'!$R$12),"")</f>
        <v/>
      </c>
      <c r="AB6" s="30" t="str">
        <f>IF(AND('Mapa final'!$AB$10="Muy Alta",'Mapa final'!$AD$10="Mayor"),CONCATENATE("R1C",'Mapa final'!$R$10),"")</f>
        <v/>
      </c>
      <c r="AC6" s="31" t="e">
        <f>IF(AND('Mapa final'!#REF!="Muy Alta",'Mapa final'!#REF!="Mayor"),CONCATENATE("R1C",'Mapa final'!#REF!),"")</f>
        <v>#REF!</v>
      </c>
      <c r="AD6" s="31" t="e">
        <f>IF(AND('Mapa final'!#REF!="Muy Alta",'Mapa final'!#REF!="Mayor"),CONCATENATE("R1C",'Mapa final'!#REF!),"")</f>
        <v>#REF!</v>
      </c>
      <c r="AE6" s="31" t="str">
        <f>IF(AND('Mapa final'!$AB$11="Muy Alta",'Mapa final'!$AD$11="Mayor"),CONCATENATE("R1C",'Mapa final'!$R$11),"")</f>
        <v/>
      </c>
      <c r="AF6" s="31" t="e">
        <f>IF(AND('Mapa final'!#REF!="Muy Alta",'Mapa final'!#REF!="Mayor"),CONCATENATE("R1C",'Mapa final'!#REF!),"")</f>
        <v>#REF!</v>
      </c>
      <c r="AG6" s="32" t="str">
        <f>IF(AND('Mapa final'!$AB$12="Muy Alta",'Mapa final'!$AD$12="Mayor"),CONCATENATE("R1C",'Mapa final'!$R$12),"")</f>
        <v/>
      </c>
      <c r="AH6" s="33" t="str">
        <f>IF(AND('Mapa final'!$AB$10="Muy Alta",'Mapa final'!$AD$10="Catastrófico"),CONCATENATE("R1C",'Mapa final'!$R$10),"")</f>
        <v/>
      </c>
      <c r="AI6" s="34" t="e">
        <f>IF(AND('Mapa final'!#REF!="Muy Alta",'Mapa final'!#REF!="Catastrófico"),CONCATENATE("R1C",'Mapa final'!#REF!),"")</f>
        <v>#REF!</v>
      </c>
      <c r="AJ6" s="34" t="e">
        <f>IF(AND('Mapa final'!#REF!="Muy Alta",'Mapa final'!#REF!="Catastrófico"),CONCATENATE("R1C",'Mapa final'!#REF!),"")</f>
        <v>#REF!</v>
      </c>
      <c r="AK6" s="34" t="str">
        <f>IF(AND('Mapa final'!$AB$11="Muy Alta",'Mapa final'!$AD$11="Catastrófico"),CONCATENATE("R1C",'Mapa final'!$R$11),"")</f>
        <v/>
      </c>
      <c r="AL6" s="34" t="e">
        <f>IF(AND('Mapa final'!#REF!="Muy Alta",'Mapa final'!#REF!="Catastrófico"),CONCATENATE("R1C",'Mapa final'!#REF!),"")</f>
        <v>#REF!</v>
      </c>
      <c r="AM6" s="35" t="str">
        <f>IF(AND('Mapa final'!$AB$12="Muy Alta",'Mapa final'!$AD$12="Catastrófico"),CONCATENATE("R1C",'Mapa final'!$R$12),"")</f>
        <v/>
      </c>
      <c r="AN6" s="67"/>
      <c r="AO6" s="572" t="s">
        <v>78</v>
      </c>
      <c r="AP6" s="573"/>
      <c r="AQ6" s="573"/>
      <c r="AR6" s="573"/>
      <c r="AS6" s="573"/>
      <c r="AT6" s="57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70"/>
      <c r="C7" s="470"/>
      <c r="D7" s="471"/>
      <c r="E7" s="569"/>
      <c r="F7" s="568"/>
      <c r="G7" s="568"/>
      <c r="H7" s="568"/>
      <c r="I7" s="584"/>
      <c r="J7" s="36" t="str">
        <f>IF(AND('Mapa final'!$AB$13="Muy Alta",'Mapa final'!$AD$13="Leve"),CONCATENATE("R2C",'Mapa final'!$R$13),"")</f>
        <v/>
      </c>
      <c r="K7" s="37" t="str">
        <f>IF(AND('Mapa final'!$AB$14="Muy Alta",'Mapa final'!$AD$14="Leve"),CONCATENATE("R2C",'Mapa final'!$R$14),"")</f>
        <v/>
      </c>
      <c r="L7" s="37" t="str">
        <f>IF(AND('Mapa final'!$AB$15="Muy Alta",'Mapa final'!$AD$15="Leve"),CONCATENATE("R2C",'Mapa final'!$R$15),"")</f>
        <v/>
      </c>
      <c r="M7" s="37" t="str">
        <f>IF(AND('Mapa final'!$AB$16="Muy Alta",'Mapa final'!$AD$16="Leve"),CONCATENATE("R2C",'Mapa final'!$R$16),"")</f>
        <v/>
      </c>
      <c r="N7" s="37" t="str">
        <f>IF(AND('Mapa final'!$AB$17="Muy Alta",'Mapa final'!$AD$17="Leve"),CONCATENATE("R2C",'Mapa final'!$R$17),"")</f>
        <v/>
      </c>
      <c r="O7" s="38" t="str">
        <f>IF(AND('Mapa final'!$AB$18="Muy Alta",'Mapa final'!$AD$18="Leve"),CONCATENATE("R2C",'Mapa final'!$R$18),"")</f>
        <v/>
      </c>
      <c r="P7" s="36" t="str">
        <f>IF(AND('Mapa final'!$AB$13="Muy Alta",'Mapa final'!$AD$13="Menor"),CONCATENATE("R2C",'Mapa final'!$R$13),"")</f>
        <v/>
      </c>
      <c r="Q7" s="37" t="str">
        <f>IF(AND('Mapa final'!$AB$14="Muy Alta",'Mapa final'!$AD$14="Menor"),CONCATENATE("R2C",'Mapa final'!$R$14),"")</f>
        <v/>
      </c>
      <c r="R7" s="37" t="str">
        <f>IF(AND('Mapa final'!$AB$15="Muy Alta",'Mapa final'!$AD$15="Menor"),CONCATENATE("R2C",'Mapa final'!$R$15),"")</f>
        <v/>
      </c>
      <c r="S7" s="37" t="str">
        <f>IF(AND('Mapa final'!$AB$16="Muy Alta",'Mapa final'!$AD$16="Menor"),CONCATENATE("R2C",'Mapa final'!$R$16),"")</f>
        <v/>
      </c>
      <c r="T7" s="37" t="str">
        <f>IF(AND('Mapa final'!$AB$17="Muy Alta",'Mapa final'!$AD$17="Menor"),CONCATENATE("R2C",'Mapa final'!$R$17),"")</f>
        <v/>
      </c>
      <c r="U7" s="38" t="str">
        <f>IF(AND('Mapa final'!$AB$18="Muy Alta",'Mapa final'!$AD$18="Menor"),CONCATENATE("R2C",'Mapa final'!$R$18),"")</f>
        <v/>
      </c>
      <c r="V7" s="36" t="str">
        <f>IF(AND('Mapa final'!$AB$13="Muy Alta",'Mapa final'!$AD$13="Moderado"),CONCATENATE("R2C",'Mapa final'!$R$13),"")</f>
        <v/>
      </c>
      <c r="W7" s="37" t="str">
        <f>IF(AND('Mapa final'!$AB$14="Muy Alta",'Mapa final'!$AD$14="Moderado"),CONCATENATE("R2C",'Mapa final'!$R$14),"")</f>
        <v/>
      </c>
      <c r="X7" s="37" t="str">
        <f>IF(AND('Mapa final'!$AB$15="Muy Alta",'Mapa final'!$AD$15="Moderado"),CONCATENATE("R2C",'Mapa final'!$R$15),"")</f>
        <v/>
      </c>
      <c r="Y7" s="37" t="str">
        <f>IF(AND('Mapa final'!$AB$16="Muy Alta",'Mapa final'!$AD$16="Moderado"),CONCATENATE("R2C",'Mapa final'!$R$16),"")</f>
        <v/>
      </c>
      <c r="Z7" s="37" t="str">
        <f>IF(AND('Mapa final'!$AB$17="Muy Alta",'Mapa final'!$AD$17="Moderado"),CONCATENATE("R2C",'Mapa final'!$R$17),"")</f>
        <v/>
      </c>
      <c r="AA7" s="38" t="str">
        <f>IF(AND('Mapa final'!$AB$18="Muy Alta",'Mapa final'!$AD$18="Moderado"),CONCATENATE("R2C",'Mapa final'!$R$18),"")</f>
        <v/>
      </c>
      <c r="AB7" s="36" t="str">
        <f>IF(AND('Mapa final'!$AB$13="Muy Alta",'Mapa final'!$AD$13="Mayor"),CONCATENATE("R2C",'Mapa final'!$R$13),"")</f>
        <v/>
      </c>
      <c r="AC7" s="37" t="str">
        <f>IF(AND('Mapa final'!$AB$14="Muy Alta",'Mapa final'!$AD$14="Mayor"),CONCATENATE("R2C",'Mapa final'!$R$14),"")</f>
        <v/>
      </c>
      <c r="AD7" s="37" t="str">
        <f>IF(AND('Mapa final'!$AB$15="Muy Alta",'Mapa final'!$AD$15="Mayor"),CONCATENATE("R2C",'Mapa final'!$R$15),"")</f>
        <v/>
      </c>
      <c r="AE7" s="37" t="str">
        <f>IF(AND('Mapa final'!$AB$16="Muy Alta",'Mapa final'!$AD$16="Mayor"),CONCATENATE("R2C",'Mapa final'!$R$16),"")</f>
        <v/>
      </c>
      <c r="AF7" s="37" t="str">
        <f>IF(AND('Mapa final'!$AB$17="Muy Alta",'Mapa final'!$AD$17="Mayor"),CONCATENATE("R2C",'Mapa final'!$R$17),"")</f>
        <v/>
      </c>
      <c r="AG7" s="38" t="str">
        <f>IF(AND('Mapa final'!$AB$18="Muy Alta",'Mapa final'!$AD$18="Mayor"),CONCATENATE("R2C",'Mapa final'!$R$18),"")</f>
        <v/>
      </c>
      <c r="AH7" s="39" t="str">
        <f>IF(AND('Mapa final'!$AB$13="Muy Alta",'Mapa final'!$AD$13="Catastrófico"),CONCATENATE("R2C",'Mapa final'!$R$13),"")</f>
        <v/>
      </c>
      <c r="AI7" s="40" t="str">
        <f>IF(AND('Mapa final'!$AB$14="Muy Alta",'Mapa final'!$AD$14="Catastrófico"),CONCATENATE("R2C",'Mapa final'!$R$14),"")</f>
        <v/>
      </c>
      <c r="AJ7" s="40" t="str">
        <f>IF(AND('Mapa final'!$AB$15="Muy Alta",'Mapa final'!$AD$15="Catastrófico"),CONCATENATE("R2C",'Mapa final'!$R$15),"")</f>
        <v/>
      </c>
      <c r="AK7" s="40" t="str">
        <f>IF(AND('Mapa final'!$AB$16="Muy Alta",'Mapa final'!$AD$16="Catastrófico"),CONCATENATE("R2C",'Mapa final'!$R$16),"")</f>
        <v/>
      </c>
      <c r="AL7" s="40" t="str">
        <f>IF(AND('Mapa final'!$AB$17="Muy Alta",'Mapa final'!$AD$17="Catastrófico"),CONCATENATE("R2C",'Mapa final'!$R$17),"")</f>
        <v/>
      </c>
      <c r="AM7" s="41" t="str">
        <f>IF(AND('Mapa final'!$AB$18="Muy Alta",'Mapa final'!$AD$18="Catastrófico"),CONCATENATE("R2C",'Mapa final'!$R$18),"")</f>
        <v/>
      </c>
      <c r="AN7" s="67"/>
      <c r="AO7" s="575"/>
      <c r="AP7" s="576"/>
      <c r="AQ7" s="576"/>
      <c r="AR7" s="576"/>
      <c r="AS7" s="576"/>
      <c r="AT7" s="57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70"/>
      <c r="C8" s="470"/>
      <c r="D8" s="471"/>
      <c r="E8" s="569"/>
      <c r="F8" s="568"/>
      <c r="G8" s="568"/>
      <c r="H8" s="568"/>
      <c r="I8" s="584"/>
      <c r="J8" s="36" t="str">
        <f>IF(AND('Mapa final'!$AB$19="Muy Alta",'Mapa final'!$AD$19="Leve"),CONCATENATE("R3C",'Mapa final'!$R$19),"")</f>
        <v/>
      </c>
      <c r="K8" s="37" t="str">
        <f>IF(AND('Mapa final'!$AB$20="Muy Alta",'Mapa final'!$AD$20="Leve"),CONCATENATE("R3C",'Mapa final'!$R$20),"")</f>
        <v/>
      </c>
      <c r="L8" s="37" t="str">
        <f>IF(AND('Mapa final'!$AB$21="Muy Alta",'Mapa final'!$AD$21="Leve"),CONCATENATE("R3C",'Mapa final'!$R$21),"")</f>
        <v/>
      </c>
      <c r="M8" s="37" t="str">
        <f>IF(AND('Mapa final'!$AB$22="Muy Alta",'Mapa final'!$AD$22="Leve"),CONCATENATE("R3C",'Mapa final'!$R$22),"")</f>
        <v/>
      </c>
      <c r="N8" s="37" t="str">
        <f>IF(AND('Mapa final'!$AB$23="Muy Alta",'Mapa final'!$AD$23="Leve"),CONCATENATE("R3C",'Mapa final'!$R$23),"")</f>
        <v/>
      </c>
      <c r="O8" s="38" t="str">
        <f>IF(AND('Mapa final'!$AB$24="Muy Alta",'Mapa final'!$AD$24="Leve"),CONCATENATE("R3C",'Mapa final'!$R$24),"")</f>
        <v/>
      </c>
      <c r="P8" s="36" t="str">
        <f>IF(AND('Mapa final'!$AB$19="Muy Alta",'Mapa final'!$AD$19="Menor"),CONCATENATE("R3C",'Mapa final'!$R$19),"")</f>
        <v/>
      </c>
      <c r="Q8" s="37" t="str">
        <f>IF(AND('Mapa final'!$AB$20="Muy Alta",'Mapa final'!$AD$20="Menor"),CONCATENATE("R3C",'Mapa final'!$R$20),"")</f>
        <v/>
      </c>
      <c r="R8" s="37" t="str">
        <f>IF(AND('Mapa final'!$AB$21="Muy Alta",'Mapa final'!$AD$21="Menor"),CONCATENATE("R3C",'Mapa final'!$R$21),"")</f>
        <v/>
      </c>
      <c r="S8" s="37" t="str">
        <f>IF(AND('Mapa final'!$AB$22="Muy Alta",'Mapa final'!$AD$22="Menor"),CONCATENATE("R3C",'Mapa final'!$R$22),"")</f>
        <v/>
      </c>
      <c r="T8" s="37" t="str">
        <f>IF(AND('Mapa final'!$AB$23="Muy Alta",'Mapa final'!$AD$23="Menor"),CONCATENATE("R3C",'Mapa final'!$R$23),"")</f>
        <v/>
      </c>
      <c r="U8" s="38" t="str">
        <f>IF(AND('Mapa final'!$AB$24="Muy Alta",'Mapa final'!$AD$24="Menor"),CONCATENATE("R3C",'Mapa final'!$R$24),"")</f>
        <v/>
      </c>
      <c r="V8" s="36" t="str">
        <f>IF(AND('Mapa final'!$AB$19="Muy Alta",'Mapa final'!$AD$19="Moderado"),CONCATENATE("R3C",'Mapa final'!$R$19),"")</f>
        <v/>
      </c>
      <c r="W8" s="37" t="str">
        <f>IF(AND('Mapa final'!$AB$20="Muy Alta",'Mapa final'!$AD$20="Moderado"),CONCATENATE("R3C",'Mapa final'!$R$20),"")</f>
        <v/>
      </c>
      <c r="X8" s="37" t="str">
        <f>IF(AND('Mapa final'!$AB$21="Muy Alta",'Mapa final'!$AD$21="Moderado"),CONCATENATE("R3C",'Mapa final'!$R$21),"")</f>
        <v/>
      </c>
      <c r="Y8" s="37" t="str">
        <f>IF(AND('Mapa final'!$AB$22="Muy Alta",'Mapa final'!$AD$22="Moderado"),CONCATENATE("R3C",'Mapa final'!$R$22),"")</f>
        <v/>
      </c>
      <c r="Z8" s="37" t="str">
        <f>IF(AND('Mapa final'!$AB$23="Muy Alta",'Mapa final'!$AD$23="Moderado"),CONCATENATE("R3C",'Mapa final'!$R$23),"")</f>
        <v/>
      </c>
      <c r="AA8" s="38" t="str">
        <f>IF(AND('Mapa final'!$AB$24="Muy Alta",'Mapa final'!$AD$24="Moderado"),CONCATENATE("R3C",'Mapa final'!$R$24),"")</f>
        <v/>
      </c>
      <c r="AB8" s="36" t="str">
        <f>IF(AND('Mapa final'!$AB$19="Muy Alta",'Mapa final'!$AD$19="Mayor"),CONCATENATE("R3C",'Mapa final'!$R$19),"")</f>
        <v/>
      </c>
      <c r="AC8" s="37" t="str">
        <f>IF(AND('Mapa final'!$AB$20="Muy Alta",'Mapa final'!$AD$20="Mayor"),CONCATENATE("R3C",'Mapa final'!$R$20),"")</f>
        <v/>
      </c>
      <c r="AD8" s="37" t="str">
        <f>IF(AND('Mapa final'!$AB$21="Muy Alta",'Mapa final'!$AD$21="Mayor"),CONCATENATE("R3C",'Mapa final'!$R$21),"")</f>
        <v/>
      </c>
      <c r="AE8" s="37" t="str">
        <f>IF(AND('Mapa final'!$AB$22="Muy Alta",'Mapa final'!$AD$22="Mayor"),CONCATENATE("R3C",'Mapa final'!$R$22),"")</f>
        <v/>
      </c>
      <c r="AF8" s="37" t="str">
        <f>IF(AND('Mapa final'!$AB$23="Muy Alta",'Mapa final'!$AD$23="Mayor"),CONCATENATE("R3C",'Mapa final'!$R$23),"")</f>
        <v/>
      </c>
      <c r="AG8" s="38" t="str">
        <f>IF(AND('Mapa final'!$AB$24="Muy Alta",'Mapa final'!$AD$24="Mayor"),CONCATENATE("R3C",'Mapa final'!$R$24),"")</f>
        <v/>
      </c>
      <c r="AH8" s="39" t="str">
        <f>IF(AND('Mapa final'!$AB$19="Muy Alta",'Mapa final'!$AD$19="Catastrófico"),CONCATENATE("R3C",'Mapa final'!$R$19),"")</f>
        <v/>
      </c>
      <c r="AI8" s="40" t="str">
        <f>IF(AND('Mapa final'!$AB$20="Muy Alta",'Mapa final'!$AD$20="Catastrófico"),CONCATENATE("R3C",'Mapa final'!$R$20),"")</f>
        <v/>
      </c>
      <c r="AJ8" s="40" t="str">
        <f>IF(AND('Mapa final'!$AB$21="Muy Alta",'Mapa final'!$AD$21="Catastrófico"),CONCATENATE("R3C",'Mapa final'!$R$21),"")</f>
        <v/>
      </c>
      <c r="AK8" s="40" t="str">
        <f>IF(AND('Mapa final'!$AB$22="Muy Alta",'Mapa final'!$AD$22="Catastrófico"),CONCATENATE("R3C",'Mapa final'!$R$22),"")</f>
        <v/>
      </c>
      <c r="AL8" s="40" t="str">
        <f>IF(AND('Mapa final'!$AB$23="Muy Alta",'Mapa final'!$AD$23="Catastrófico"),CONCATENATE("R3C",'Mapa final'!$R$23),"")</f>
        <v/>
      </c>
      <c r="AM8" s="41" t="str">
        <f>IF(AND('Mapa final'!$AB$24="Muy Alta",'Mapa final'!$AD$24="Catastrófico"),CONCATENATE("R3C",'Mapa final'!$R$24),"")</f>
        <v/>
      </c>
      <c r="AN8" s="67"/>
      <c r="AO8" s="575"/>
      <c r="AP8" s="576"/>
      <c r="AQ8" s="576"/>
      <c r="AR8" s="576"/>
      <c r="AS8" s="576"/>
      <c r="AT8" s="57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70"/>
      <c r="C9" s="470"/>
      <c r="D9" s="471"/>
      <c r="E9" s="569"/>
      <c r="F9" s="568"/>
      <c r="G9" s="568"/>
      <c r="H9" s="568"/>
      <c r="I9" s="584"/>
      <c r="J9" s="36" t="str">
        <f>IF(AND('Mapa final'!$AB$25="Muy Alta",'Mapa final'!$AD$25="Leve"),CONCATENATE("R4C",'Mapa final'!$R$25),"")</f>
        <v/>
      </c>
      <c r="K9" s="37" t="str">
        <f>IF(AND('Mapa final'!$AB$26="Muy Alta",'Mapa final'!$AD$26="Leve"),CONCATENATE("R4C",'Mapa final'!$R$26),"")</f>
        <v/>
      </c>
      <c r="L9" s="37" t="str">
        <f>IF(AND('Mapa final'!$AB$27="Muy Alta",'Mapa final'!$AD$27="Leve"),CONCATENATE("R4C",'Mapa final'!$R$27),"")</f>
        <v/>
      </c>
      <c r="M9" s="37" t="str">
        <f>IF(AND('Mapa final'!$AB$28="Muy Alta",'Mapa final'!$AD$28="Leve"),CONCATENATE("R4C",'Mapa final'!$R$28),"")</f>
        <v/>
      </c>
      <c r="N9" s="37" t="str">
        <f>IF(AND('Mapa final'!$AB$29="Muy Alta",'Mapa final'!$AD$29="Leve"),CONCATENATE("R4C",'Mapa final'!$R$29),"")</f>
        <v/>
      </c>
      <c r="O9" s="38" t="str">
        <f>IF(AND('Mapa final'!$AB$30="Muy Alta",'Mapa final'!$AD$30="Leve"),CONCATENATE("R4C",'Mapa final'!$R$30),"")</f>
        <v/>
      </c>
      <c r="P9" s="36" t="str">
        <f>IF(AND('Mapa final'!$AB$25="Muy Alta",'Mapa final'!$AD$25="Menor"),CONCATENATE("R4C",'Mapa final'!$R$25),"")</f>
        <v/>
      </c>
      <c r="Q9" s="37" t="str">
        <f>IF(AND('Mapa final'!$AB$26="Muy Alta",'Mapa final'!$AD$26="Menor"),CONCATENATE("R4C",'Mapa final'!$R$26),"")</f>
        <v/>
      </c>
      <c r="R9" s="37" t="str">
        <f>IF(AND('Mapa final'!$AB$27="Muy Alta",'Mapa final'!$AD$27="Menor"),CONCATENATE("R4C",'Mapa final'!$R$27),"")</f>
        <v/>
      </c>
      <c r="S9" s="37" t="str">
        <f>IF(AND('Mapa final'!$AB$28="Muy Alta",'Mapa final'!$AD$28="Menor"),CONCATENATE("R4C",'Mapa final'!$R$28),"")</f>
        <v/>
      </c>
      <c r="T9" s="37" t="str">
        <f>IF(AND('Mapa final'!$AB$29="Muy Alta",'Mapa final'!$AD$29="Menor"),CONCATENATE("R4C",'Mapa final'!$R$29),"")</f>
        <v/>
      </c>
      <c r="U9" s="38" t="str">
        <f>IF(AND('Mapa final'!$AB$30="Muy Alta",'Mapa final'!$AD$30="Menor"),CONCATENATE("R4C",'Mapa final'!$R$30),"")</f>
        <v/>
      </c>
      <c r="V9" s="36" t="str">
        <f>IF(AND('Mapa final'!$AB$25="Muy Alta",'Mapa final'!$AD$25="Moderado"),CONCATENATE("R4C",'Mapa final'!$R$25),"")</f>
        <v/>
      </c>
      <c r="W9" s="37" t="str">
        <f>IF(AND('Mapa final'!$AB$26="Muy Alta",'Mapa final'!$AD$26="Moderado"),CONCATENATE("R4C",'Mapa final'!$R$26),"")</f>
        <v/>
      </c>
      <c r="X9" s="37" t="str">
        <f>IF(AND('Mapa final'!$AB$27="Muy Alta",'Mapa final'!$AD$27="Moderado"),CONCATENATE("R4C",'Mapa final'!$R$27),"")</f>
        <v/>
      </c>
      <c r="Y9" s="37" t="str">
        <f>IF(AND('Mapa final'!$AB$28="Muy Alta",'Mapa final'!$AD$28="Moderado"),CONCATENATE("R4C",'Mapa final'!$R$28),"")</f>
        <v/>
      </c>
      <c r="Z9" s="37" t="str">
        <f>IF(AND('Mapa final'!$AB$29="Muy Alta",'Mapa final'!$AD$29="Moderado"),CONCATENATE("R4C",'Mapa final'!$R$29),"")</f>
        <v/>
      </c>
      <c r="AA9" s="38" t="str">
        <f>IF(AND('Mapa final'!$AB$30="Muy Alta",'Mapa final'!$AD$30="Moderado"),CONCATENATE("R4C",'Mapa final'!$R$30),"")</f>
        <v/>
      </c>
      <c r="AB9" s="36" t="str">
        <f>IF(AND('Mapa final'!$AB$25="Muy Alta",'Mapa final'!$AD$25="Mayor"),CONCATENATE("R4C",'Mapa final'!$R$25),"")</f>
        <v/>
      </c>
      <c r="AC9" s="37" t="str">
        <f>IF(AND('Mapa final'!$AB$26="Muy Alta",'Mapa final'!$AD$26="Mayor"),CONCATENATE("R4C",'Mapa final'!$R$26),"")</f>
        <v/>
      </c>
      <c r="AD9" s="37" t="str">
        <f>IF(AND('Mapa final'!$AB$27="Muy Alta",'Mapa final'!$AD$27="Mayor"),CONCATENATE("R4C",'Mapa final'!$R$27),"")</f>
        <v/>
      </c>
      <c r="AE9" s="37" t="str">
        <f>IF(AND('Mapa final'!$AB$28="Muy Alta",'Mapa final'!$AD$28="Mayor"),CONCATENATE("R4C",'Mapa final'!$R$28),"")</f>
        <v/>
      </c>
      <c r="AF9" s="37" t="str">
        <f>IF(AND('Mapa final'!$AB$29="Muy Alta",'Mapa final'!$AD$29="Mayor"),CONCATENATE("R4C",'Mapa final'!$R$29),"")</f>
        <v/>
      </c>
      <c r="AG9" s="38" t="str">
        <f>IF(AND('Mapa final'!$AB$30="Muy Alta",'Mapa final'!$AD$30="Mayor"),CONCATENATE("R4C",'Mapa final'!$R$30),"")</f>
        <v/>
      </c>
      <c r="AH9" s="39" t="str">
        <f>IF(AND('Mapa final'!$AB$25="Muy Alta",'Mapa final'!$AD$25="Catastrófico"),CONCATENATE("R4C",'Mapa final'!$R$25),"")</f>
        <v/>
      </c>
      <c r="AI9" s="40" t="str">
        <f>IF(AND('Mapa final'!$AB$26="Muy Alta",'Mapa final'!$AD$26="Catastrófico"),CONCATENATE("R4C",'Mapa final'!$R$26),"")</f>
        <v/>
      </c>
      <c r="AJ9" s="40" t="str">
        <f>IF(AND('Mapa final'!$AB$27="Muy Alta",'Mapa final'!$AD$27="Catastrófico"),CONCATENATE("R4C",'Mapa final'!$R$27),"")</f>
        <v/>
      </c>
      <c r="AK9" s="40" t="str">
        <f>IF(AND('Mapa final'!$AB$28="Muy Alta",'Mapa final'!$AD$28="Catastrófico"),CONCATENATE("R4C",'Mapa final'!$R$28),"")</f>
        <v/>
      </c>
      <c r="AL9" s="40" t="str">
        <f>IF(AND('Mapa final'!$AB$29="Muy Alta",'Mapa final'!$AD$29="Catastrófico"),CONCATENATE("R4C",'Mapa final'!$R$29),"")</f>
        <v/>
      </c>
      <c r="AM9" s="41" t="str">
        <f>IF(AND('Mapa final'!$AB$30="Muy Alta",'Mapa final'!$AD$30="Catastrófico"),CONCATENATE("R4C",'Mapa final'!$R$30),"")</f>
        <v/>
      </c>
      <c r="AN9" s="67"/>
      <c r="AO9" s="575"/>
      <c r="AP9" s="576"/>
      <c r="AQ9" s="576"/>
      <c r="AR9" s="576"/>
      <c r="AS9" s="576"/>
      <c r="AT9" s="57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70"/>
      <c r="C10" s="470"/>
      <c r="D10" s="471"/>
      <c r="E10" s="569"/>
      <c r="F10" s="568"/>
      <c r="G10" s="568"/>
      <c r="H10" s="568"/>
      <c r="I10" s="584"/>
      <c r="J10" s="36" t="str">
        <f>IF(AND('Mapa final'!$AB$31="Muy Alta",'Mapa final'!$AD$31="Leve"),CONCATENATE("R5C",'Mapa final'!$R$31),"")</f>
        <v/>
      </c>
      <c r="K10" s="37" t="str">
        <f>IF(AND('Mapa final'!$AB$32="Muy Alta",'Mapa final'!$AD$32="Leve"),CONCATENATE("R5C",'Mapa final'!$R$32),"")</f>
        <v/>
      </c>
      <c r="L10" s="37" t="str">
        <f>IF(AND('Mapa final'!$AB$33="Muy Alta",'Mapa final'!$AD$33="Leve"),CONCATENATE("R5C",'Mapa final'!$R$33),"")</f>
        <v/>
      </c>
      <c r="M10" s="37" t="str">
        <f>IF(AND('Mapa final'!$AB$34="Muy Alta",'Mapa final'!$AD$34="Leve"),CONCATENATE("R5C",'Mapa final'!$R$34),"")</f>
        <v/>
      </c>
      <c r="N10" s="37" t="str">
        <f>IF(AND('Mapa final'!$AB$35="Muy Alta",'Mapa final'!$AD$35="Leve"),CONCATENATE("R5C",'Mapa final'!$R$35),"")</f>
        <v/>
      </c>
      <c r="O10" s="38" t="str">
        <f>IF(AND('Mapa final'!$AB$36="Muy Alta",'Mapa final'!$AD$36="Leve"),CONCATENATE("R5C",'Mapa final'!$R$36),"")</f>
        <v/>
      </c>
      <c r="P10" s="36" t="str">
        <f>IF(AND('Mapa final'!$AB$31="Muy Alta",'Mapa final'!$AD$31="Menor"),CONCATENATE("R5C",'Mapa final'!$R$31),"")</f>
        <v/>
      </c>
      <c r="Q10" s="37" t="str">
        <f>IF(AND('Mapa final'!$AB$32="Muy Alta",'Mapa final'!$AD$32="Menor"),CONCATENATE("R5C",'Mapa final'!$R$32),"")</f>
        <v/>
      </c>
      <c r="R10" s="37" t="str">
        <f>IF(AND('Mapa final'!$AB$33="Muy Alta",'Mapa final'!$AD$33="Menor"),CONCATENATE("R5C",'Mapa final'!$R$33),"")</f>
        <v/>
      </c>
      <c r="S10" s="37" t="str">
        <f>IF(AND('Mapa final'!$AB$34="Muy Alta",'Mapa final'!$AD$34="Menor"),CONCATENATE("R5C",'Mapa final'!$R$34),"")</f>
        <v/>
      </c>
      <c r="T10" s="37" t="str">
        <f>IF(AND('Mapa final'!$AB$35="Muy Alta",'Mapa final'!$AD$35="Menor"),CONCATENATE("R5C",'Mapa final'!$R$35),"")</f>
        <v/>
      </c>
      <c r="U10" s="38" t="str">
        <f>IF(AND('Mapa final'!$AB$36="Muy Alta",'Mapa final'!$AD$36="Menor"),CONCATENATE("R5C",'Mapa final'!$R$36),"")</f>
        <v/>
      </c>
      <c r="V10" s="36" t="str">
        <f>IF(AND('Mapa final'!$AB$31="Muy Alta",'Mapa final'!$AD$31="Moderado"),CONCATENATE("R5C",'Mapa final'!$R$31),"")</f>
        <v/>
      </c>
      <c r="W10" s="37" t="str">
        <f>IF(AND('Mapa final'!$AB$32="Muy Alta",'Mapa final'!$AD$32="Moderado"),CONCATENATE("R5C",'Mapa final'!$R$32),"")</f>
        <v/>
      </c>
      <c r="X10" s="37" t="str">
        <f>IF(AND('Mapa final'!$AB$33="Muy Alta",'Mapa final'!$AD$33="Moderado"),CONCATENATE("R5C",'Mapa final'!$R$33),"")</f>
        <v/>
      </c>
      <c r="Y10" s="37" t="str">
        <f>IF(AND('Mapa final'!$AB$34="Muy Alta",'Mapa final'!$AD$34="Moderado"),CONCATENATE("R5C",'Mapa final'!$R$34),"")</f>
        <v/>
      </c>
      <c r="Z10" s="37" t="str">
        <f>IF(AND('Mapa final'!$AB$35="Muy Alta",'Mapa final'!$AD$35="Moderado"),CONCATENATE("R5C",'Mapa final'!$R$35),"")</f>
        <v/>
      </c>
      <c r="AA10" s="38" t="str">
        <f>IF(AND('Mapa final'!$AB$36="Muy Alta",'Mapa final'!$AD$36="Moderado"),CONCATENATE("R5C",'Mapa final'!$R$36),"")</f>
        <v/>
      </c>
      <c r="AB10" s="36" t="str">
        <f>IF(AND('Mapa final'!$AB$31="Muy Alta",'Mapa final'!$AD$31="Mayor"),CONCATENATE("R5C",'Mapa final'!$R$31),"")</f>
        <v/>
      </c>
      <c r="AC10" s="37" t="str">
        <f>IF(AND('Mapa final'!$AB$32="Muy Alta",'Mapa final'!$AD$32="Mayor"),CONCATENATE("R5C",'Mapa final'!$R$32),"")</f>
        <v/>
      </c>
      <c r="AD10" s="37" t="str">
        <f>IF(AND('Mapa final'!$AB$33="Muy Alta",'Mapa final'!$AD$33="Mayor"),CONCATENATE("R5C",'Mapa final'!$R$33),"")</f>
        <v/>
      </c>
      <c r="AE10" s="37" t="str">
        <f>IF(AND('Mapa final'!$AB$34="Muy Alta",'Mapa final'!$AD$34="Mayor"),CONCATENATE("R5C",'Mapa final'!$R$34),"")</f>
        <v/>
      </c>
      <c r="AF10" s="37" t="str">
        <f>IF(AND('Mapa final'!$AB$35="Muy Alta",'Mapa final'!$AD$35="Mayor"),CONCATENATE("R5C",'Mapa final'!$R$35),"")</f>
        <v/>
      </c>
      <c r="AG10" s="38" t="str">
        <f>IF(AND('Mapa final'!$AB$36="Muy Alta",'Mapa final'!$AD$36="Mayor"),CONCATENATE("R5C",'Mapa final'!$R$36),"")</f>
        <v/>
      </c>
      <c r="AH10" s="39" t="str">
        <f>IF(AND('Mapa final'!$AB$31="Muy Alta",'Mapa final'!$AD$31="Catastrófico"),CONCATENATE("R5C",'Mapa final'!$R$31),"")</f>
        <v/>
      </c>
      <c r="AI10" s="40" t="str">
        <f>IF(AND('Mapa final'!$AB$32="Muy Alta",'Mapa final'!$AD$32="Catastrófico"),CONCATENATE("R5C",'Mapa final'!$R$32),"")</f>
        <v/>
      </c>
      <c r="AJ10" s="40" t="str">
        <f>IF(AND('Mapa final'!$AB$33="Muy Alta",'Mapa final'!$AD$33="Catastrófico"),CONCATENATE("R5C",'Mapa final'!$R$33),"")</f>
        <v/>
      </c>
      <c r="AK10" s="40" t="str">
        <f>IF(AND('Mapa final'!$AB$34="Muy Alta",'Mapa final'!$AD$34="Catastrófico"),CONCATENATE("R5C",'Mapa final'!$R$34),"")</f>
        <v/>
      </c>
      <c r="AL10" s="40" t="str">
        <f>IF(AND('Mapa final'!$AB$35="Muy Alta",'Mapa final'!$AD$35="Catastrófico"),CONCATENATE("R5C",'Mapa final'!$R$35),"")</f>
        <v/>
      </c>
      <c r="AM10" s="41" t="str">
        <f>IF(AND('Mapa final'!$AB$36="Muy Alta",'Mapa final'!$AD$36="Catastrófico"),CONCATENATE("R5C",'Mapa final'!$R$36),"")</f>
        <v/>
      </c>
      <c r="AN10" s="67"/>
      <c r="AO10" s="575"/>
      <c r="AP10" s="576"/>
      <c r="AQ10" s="576"/>
      <c r="AR10" s="576"/>
      <c r="AS10" s="576"/>
      <c r="AT10" s="57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70"/>
      <c r="C11" s="470"/>
      <c r="D11" s="471"/>
      <c r="E11" s="569"/>
      <c r="F11" s="568"/>
      <c r="G11" s="568"/>
      <c r="H11" s="568"/>
      <c r="I11" s="584"/>
      <c r="J11" s="36" t="str">
        <f>IF(AND('Mapa final'!$AB$37="Muy Alta",'Mapa final'!$AD$37="Leve"),CONCATENATE("R6C",'Mapa final'!$R$37),"")</f>
        <v/>
      </c>
      <c r="K11" s="37" t="str">
        <f>IF(AND('Mapa final'!$AB$38="Muy Alta",'Mapa final'!$AD$38="Leve"),CONCATENATE("R6C",'Mapa final'!$R$38),"")</f>
        <v/>
      </c>
      <c r="L11" s="37" t="str">
        <f>IF(AND('Mapa final'!$AB$39="Muy Alta",'Mapa final'!$AD$39="Leve"),CONCATENATE("R6C",'Mapa final'!$R$39),"")</f>
        <v/>
      </c>
      <c r="M11" s="37" t="str">
        <f>IF(AND('Mapa final'!$AB$40="Muy Alta",'Mapa final'!$AD$40="Leve"),CONCATENATE("R6C",'Mapa final'!$R$40),"")</f>
        <v/>
      </c>
      <c r="N11" s="37" t="str">
        <f>IF(AND('Mapa final'!$AB$41="Muy Alta",'Mapa final'!$AD$41="Leve"),CONCATENATE("R6C",'Mapa final'!$R$41),"")</f>
        <v/>
      </c>
      <c r="O11" s="38" t="str">
        <f>IF(AND('Mapa final'!$AB$42="Muy Alta",'Mapa final'!$AD$42="Leve"),CONCATENATE("R6C",'Mapa final'!$R$42),"")</f>
        <v/>
      </c>
      <c r="P11" s="36" t="str">
        <f>IF(AND('Mapa final'!$AB$37="Muy Alta",'Mapa final'!$AD$37="Menor"),CONCATENATE("R6C",'Mapa final'!$R$37),"")</f>
        <v/>
      </c>
      <c r="Q11" s="37" t="str">
        <f>IF(AND('Mapa final'!$AB$38="Muy Alta",'Mapa final'!$AD$38="Menor"),CONCATENATE("R6C",'Mapa final'!$R$38),"")</f>
        <v/>
      </c>
      <c r="R11" s="37" t="str">
        <f>IF(AND('Mapa final'!$AB$39="Muy Alta",'Mapa final'!$AD$39="Menor"),CONCATENATE("R6C",'Mapa final'!$R$39),"")</f>
        <v/>
      </c>
      <c r="S11" s="37" t="str">
        <f>IF(AND('Mapa final'!$AB$40="Muy Alta",'Mapa final'!$AD$40="Menor"),CONCATENATE("R6C",'Mapa final'!$R$40),"")</f>
        <v/>
      </c>
      <c r="T11" s="37" t="str">
        <f>IF(AND('Mapa final'!$AB$41="Muy Alta",'Mapa final'!$AD$41="Menor"),CONCATENATE("R6C",'Mapa final'!$R$41),"")</f>
        <v/>
      </c>
      <c r="U11" s="38" t="str">
        <f>IF(AND('Mapa final'!$AB$42="Muy Alta",'Mapa final'!$AD$42="Menor"),CONCATENATE("R6C",'Mapa final'!$R$42),"")</f>
        <v/>
      </c>
      <c r="V11" s="36" t="str">
        <f>IF(AND('Mapa final'!$AB$37="Muy Alta",'Mapa final'!$AD$37="Moderado"),CONCATENATE("R6C",'Mapa final'!$R$37),"")</f>
        <v/>
      </c>
      <c r="W11" s="37" t="str">
        <f>IF(AND('Mapa final'!$AB$38="Muy Alta",'Mapa final'!$AD$38="Moderado"),CONCATENATE("R6C",'Mapa final'!$R$38),"")</f>
        <v/>
      </c>
      <c r="X11" s="37" t="str">
        <f>IF(AND('Mapa final'!$AB$39="Muy Alta",'Mapa final'!$AD$39="Moderado"),CONCATENATE("R6C",'Mapa final'!$R$39),"")</f>
        <v/>
      </c>
      <c r="Y11" s="37" t="str">
        <f>IF(AND('Mapa final'!$AB$40="Muy Alta",'Mapa final'!$AD$40="Moderado"),CONCATENATE("R6C",'Mapa final'!$R$40),"")</f>
        <v/>
      </c>
      <c r="Z11" s="37" t="str">
        <f>IF(AND('Mapa final'!$AB$41="Muy Alta",'Mapa final'!$AD$41="Moderado"),CONCATENATE("R6C",'Mapa final'!$R$41),"")</f>
        <v/>
      </c>
      <c r="AA11" s="38" t="str">
        <f>IF(AND('Mapa final'!$AB$42="Muy Alta",'Mapa final'!$AD$42="Moderado"),CONCATENATE("R6C",'Mapa final'!$R$42),"")</f>
        <v/>
      </c>
      <c r="AB11" s="36" t="str">
        <f>IF(AND('Mapa final'!$AB$37="Muy Alta",'Mapa final'!$AD$37="Mayor"),CONCATENATE("R6C",'Mapa final'!$R$37),"")</f>
        <v/>
      </c>
      <c r="AC11" s="37" t="str">
        <f>IF(AND('Mapa final'!$AB$38="Muy Alta",'Mapa final'!$AD$38="Mayor"),CONCATENATE("R6C",'Mapa final'!$R$38),"")</f>
        <v/>
      </c>
      <c r="AD11" s="37" t="str">
        <f>IF(AND('Mapa final'!$AB$39="Muy Alta",'Mapa final'!$AD$39="Mayor"),CONCATENATE("R6C",'Mapa final'!$R$39),"")</f>
        <v/>
      </c>
      <c r="AE11" s="37" t="str">
        <f>IF(AND('Mapa final'!$AB$40="Muy Alta",'Mapa final'!$AD$40="Mayor"),CONCATENATE("R6C",'Mapa final'!$R$40),"")</f>
        <v/>
      </c>
      <c r="AF11" s="37" t="str">
        <f>IF(AND('Mapa final'!$AB$41="Muy Alta",'Mapa final'!$AD$41="Mayor"),CONCATENATE("R6C",'Mapa final'!$R$41),"")</f>
        <v/>
      </c>
      <c r="AG11" s="38" t="str">
        <f>IF(AND('Mapa final'!$AB$42="Muy Alta",'Mapa final'!$AD$42="Mayor"),CONCATENATE("R6C",'Mapa final'!$R$42),"")</f>
        <v/>
      </c>
      <c r="AH11" s="39" t="str">
        <f>IF(AND('Mapa final'!$AB$37="Muy Alta",'Mapa final'!$AD$37="Catastrófico"),CONCATENATE("R6C",'Mapa final'!$R$37),"")</f>
        <v/>
      </c>
      <c r="AI11" s="40" t="str">
        <f>IF(AND('Mapa final'!$AB$38="Muy Alta",'Mapa final'!$AD$38="Catastrófico"),CONCATENATE("R6C",'Mapa final'!$R$38),"")</f>
        <v/>
      </c>
      <c r="AJ11" s="40" t="str">
        <f>IF(AND('Mapa final'!$AB$39="Muy Alta",'Mapa final'!$AD$39="Catastrófico"),CONCATENATE("R6C",'Mapa final'!$R$39),"")</f>
        <v/>
      </c>
      <c r="AK11" s="40" t="str">
        <f>IF(AND('Mapa final'!$AB$40="Muy Alta",'Mapa final'!$AD$40="Catastrófico"),CONCATENATE("R6C",'Mapa final'!$R$40),"")</f>
        <v/>
      </c>
      <c r="AL11" s="40" t="str">
        <f>IF(AND('Mapa final'!$AB$41="Muy Alta",'Mapa final'!$AD$41="Catastrófico"),CONCATENATE("R6C",'Mapa final'!$R$41),"")</f>
        <v/>
      </c>
      <c r="AM11" s="41" t="str">
        <f>IF(AND('Mapa final'!$AB$42="Muy Alta",'Mapa final'!$AD$42="Catastrófico"),CONCATENATE("R6C",'Mapa final'!$R$42),"")</f>
        <v/>
      </c>
      <c r="AN11" s="67"/>
      <c r="AO11" s="575"/>
      <c r="AP11" s="576"/>
      <c r="AQ11" s="576"/>
      <c r="AR11" s="576"/>
      <c r="AS11" s="576"/>
      <c r="AT11" s="57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70"/>
      <c r="C12" s="470"/>
      <c r="D12" s="471"/>
      <c r="E12" s="569"/>
      <c r="F12" s="568"/>
      <c r="G12" s="568"/>
      <c r="H12" s="568"/>
      <c r="I12" s="584"/>
      <c r="J12" s="36" t="str">
        <f>IF(AND('Mapa final'!$AB$43="Muy Alta",'Mapa final'!$AD$43="Leve"),CONCATENATE("R7C",'Mapa final'!$R$43),"")</f>
        <v/>
      </c>
      <c r="K12" s="37" t="str">
        <f>IF(AND('Mapa final'!$AB$44="Muy Alta",'Mapa final'!$AD$44="Leve"),CONCATENATE("R7C",'Mapa final'!$R$44),"")</f>
        <v/>
      </c>
      <c r="L12" s="37" t="str">
        <f>IF(AND('Mapa final'!$AB$45="Muy Alta",'Mapa final'!$AD$45="Leve"),CONCATENATE("R7C",'Mapa final'!$R$45),"")</f>
        <v/>
      </c>
      <c r="M12" s="37" t="str">
        <f>IF(AND('Mapa final'!$AB$46="Muy Alta",'Mapa final'!$AD$46="Leve"),CONCATENATE("R7C",'Mapa final'!$R$46),"")</f>
        <v/>
      </c>
      <c r="N12" s="37" t="str">
        <f>IF(AND('Mapa final'!$AB$47="Muy Alta",'Mapa final'!$AD$47="Leve"),CONCATENATE("R7C",'Mapa final'!$R$47),"")</f>
        <v/>
      </c>
      <c r="O12" s="38" t="str">
        <f>IF(AND('Mapa final'!$AB$48="Muy Alta",'Mapa final'!$AD$48="Leve"),CONCATENATE("R7C",'Mapa final'!$R$48),"")</f>
        <v/>
      </c>
      <c r="P12" s="36" t="str">
        <f>IF(AND('Mapa final'!$AB$43="Muy Alta",'Mapa final'!$AD$43="Menor"),CONCATENATE("R7C",'Mapa final'!$R$43),"")</f>
        <v/>
      </c>
      <c r="Q12" s="37" t="str">
        <f>IF(AND('Mapa final'!$AB$44="Muy Alta",'Mapa final'!$AD$44="Menor"),CONCATENATE("R7C",'Mapa final'!$R$44),"")</f>
        <v/>
      </c>
      <c r="R12" s="37" t="str">
        <f>IF(AND('Mapa final'!$AB$45="Muy Alta",'Mapa final'!$AD$45="Menor"),CONCATENATE("R7C",'Mapa final'!$R$45),"")</f>
        <v/>
      </c>
      <c r="S12" s="37" t="str">
        <f>IF(AND('Mapa final'!$AB$46="Muy Alta",'Mapa final'!$AD$46="Menor"),CONCATENATE("R7C",'Mapa final'!$R$46),"")</f>
        <v/>
      </c>
      <c r="T12" s="37" t="str">
        <f>IF(AND('Mapa final'!$AB$47="Muy Alta",'Mapa final'!$AD$47="Menor"),CONCATENATE("R7C",'Mapa final'!$R$47),"")</f>
        <v/>
      </c>
      <c r="U12" s="38" t="str">
        <f>IF(AND('Mapa final'!$AB$48="Muy Alta",'Mapa final'!$AD$48="Menor"),CONCATENATE("R7C",'Mapa final'!$R$48),"")</f>
        <v/>
      </c>
      <c r="V12" s="36" t="str">
        <f>IF(AND('Mapa final'!$AB$43="Muy Alta",'Mapa final'!$AD$43="Moderado"),CONCATENATE("R7C",'Mapa final'!$R$43),"")</f>
        <v/>
      </c>
      <c r="W12" s="37" t="str">
        <f>IF(AND('Mapa final'!$AB$44="Muy Alta",'Mapa final'!$AD$44="Moderado"),CONCATENATE("R7C",'Mapa final'!$R$44),"")</f>
        <v/>
      </c>
      <c r="X12" s="37" t="str">
        <f>IF(AND('Mapa final'!$AB$45="Muy Alta",'Mapa final'!$AD$45="Moderado"),CONCATENATE("R7C",'Mapa final'!$R$45),"")</f>
        <v/>
      </c>
      <c r="Y12" s="37" t="str">
        <f>IF(AND('Mapa final'!$AB$46="Muy Alta",'Mapa final'!$AD$46="Moderado"),CONCATENATE("R7C",'Mapa final'!$R$46),"")</f>
        <v/>
      </c>
      <c r="Z12" s="37" t="str">
        <f>IF(AND('Mapa final'!$AB$47="Muy Alta",'Mapa final'!$AD$47="Moderado"),CONCATENATE("R7C",'Mapa final'!$R$47),"")</f>
        <v/>
      </c>
      <c r="AA12" s="38" t="str">
        <f>IF(AND('Mapa final'!$AB$48="Muy Alta",'Mapa final'!$AD$48="Moderado"),CONCATENATE("R7C",'Mapa final'!$R$48),"")</f>
        <v/>
      </c>
      <c r="AB12" s="36" t="str">
        <f>IF(AND('Mapa final'!$AB$43="Muy Alta",'Mapa final'!$AD$43="Mayor"),CONCATENATE("R7C",'Mapa final'!$R$43),"")</f>
        <v/>
      </c>
      <c r="AC12" s="37" t="str">
        <f>IF(AND('Mapa final'!$AB$44="Muy Alta",'Mapa final'!$AD$44="Mayor"),CONCATENATE("R7C",'Mapa final'!$R$44),"")</f>
        <v/>
      </c>
      <c r="AD12" s="37" t="str">
        <f>IF(AND('Mapa final'!$AB$45="Muy Alta",'Mapa final'!$AD$45="Mayor"),CONCATENATE("R7C",'Mapa final'!$R$45),"")</f>
        <v/>
      </c>
      <c r="AE12" s="37" t="str">
        <f>IF(AND('Mapa final'!$AB$46="Muy Alta",'Mapa final'!$AD$46="Mayor"),CONCATENATE("R7C",'Mapa final'!$R$46),"")</f>
        <v/>
      </c>
      <c r="AF12" s="37" t="str">
        <f>IF(AND('Mapa final'!$AB$47="Muy Alta",'Mapa final'!$AD$47="Mayor"),CONCATENATE("R7C",'Mapa final'!$R$47),"")</f>
        <v/>
      </c>
      <c r="AG12" s="38" t="str">
        <f>IF(AND('Mapa final'!$AB$48="Muy Alta",'Mapa final'!$AD$48="Mayor"),CONCATENATE("R7C",'Mapa final'!$R$48),"")</f>
        <v/>
      </c>
      <c r="AH12" s="39" t="str">
        <f>IF(AND('Mapa final'!$AB$43="Muy Alta",'Mapa final'!$AD$43="Catastrófico"),CONCATENATE("R7C",'Mapa final'!$R$43),"")</f>
        <v/>
      </c>
      <c r="AI12" s="40" t="str">
        <f>IF(AND('Mapa final'!$AB$44="Muy Alta",'Mapa final'!$AD$44="Catastrófico"),CONCATENATE("R7C",'Mapa final'!$R$44),"")</f>
        <v/>
      </c>
      <c r="AJ12" s="40" t="str">
        <f>IF(AND('Mapa final'!$AB$45="Muy Alta",'Mapa final'!$AD$45="Catastrófico"),CONCATENATE("R7C",'Mapa final'!$R$45),"")</f>
        <v/>
      </c>
      <c r="AK12" s="40" t="str">
        <f>IF(AND('Mapa final'!$AB$46="Muy Alta",'Mapa final'!$AD$46="Catastrófico"),CONCATENATE("R7C",'Mapa final'!$R$46),"")</f>
        <v/>
      </c>
      <c r="AL12" s="40" t="str">
        <f>IF(AND('Mapa final'!$AB$47="Muy Alta",'Mapa final'!$AD$47="Catastrófico"),CONCATENATE("R7C",'Mapa final'!$R$47),"")</f>
        <v/>
      </c>
      <c r="AM12" s="41" t="str">
        <f>IF(AND('Mapa final'!$AB$48="Muy Alta",'Mapa final'!$AD$48="Catastrófico"),CONCATENATE("R7C",'Mapa final'!$R$48),"")</f>
        <v/>
      </c>
      <c r="AN12" s="67"/>
      <c r="AO12" s="575"/>
      <c r="AP12" s="576"/>
      <c r="AQ12" s="576"/>
      <c r="AR12" s="576"/>
      <c r="AS12" s="576"/>
      <c r="AT12" s="57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70"/>
      <c r="C13" s="470"/>
      <c r="D13" s="471"/>
      <c r="E13" s="569"/>
      <c r="F13" s="568"/>
      <c r="G13" s="568"/>
      <c r="H13" s="568"/>
      <c r="I13" s="584"/>
      <c r="J13" s="36" t="str">
        <f>IF(AND('Mapa final'!$AB$49="Muy Alta",'Mapa final'!$AD$49="Leve"),CONCATENATE("R8C",'Mapa final'!$R$49),"")</f>
        <v/>
      </c>
      <c r="K13" s="37" t="str">
        <f>IF(AND('Mapa final'!$AB$50="Muy Alta",'Mapa final'!$AD$50="Leve"),CONCATENATE("R8C",'Mapa final'!$R$50),"")</f>
        <v/>
      </c>
      <c r="L13" s="37" t="str">
        <f>IF(AND('Mapa final'!$AB$51="Muy Alta",'Mapa final'!$AD$51="Leve"),CONCATENATE("R8C",'Mapa final'!$R$51),"")</f>
        <v/>
      </c>
      <c r="M13" s="37" t="str">
        <f>IF(AND('Mapa final'!$AB$52="Muy Alta",'Mapa final'!$AD$52="Leve"),CONCATENATE("R8C",'Mapa final'!$R$52),"")</f>
        <v/>
      </c>
      <c r="N13" s="37" t="str">
        <f>IF(AND('Mapa final'!$AB$53="Muy Alta",'Mapa final'!$AD$53="Leve"),CONCATENATE("R8C",'Mapa final'!$R$53),"")</f>
        <v/>
      </c>
      <c r="O13" s="38" t="str">
        <f>IF(AND('Mapa final'!$AB$54="Muy Alta",'Mapa final'!$AD$54="Leve"),CONCATENATE("R8C",'Mapa final'!$R$54),"")</f>
        <v/>
      </c>
      <c r="P13" s="36" t="str">
        <f>IF(AND('Mapa final'!$AB$49="Muy Alta",'Mapa final'!$AD$49="Menor"),CONCATENATE("R8C",'Mapa final'!$R$49),"")</f>
        <v/>
      </c>
      <c r="Q13" s="37" t="str">
        <f>IF(AND('Mapa final'!$AB$50="Muy Alta",'Mapa final'!$AD$50="Menor"),CONCATENATE("R8C",'Mapa final'!$R$50),"")</f>
        <v/>
      </c>
      <c r="R13" s="37" t="str">
        <f>IF(AND('Mapa final'!$AB$51="Muy Alta",'Mapa final'!$AD$51="Menor"),CONCATENATE("R8C",'Mapa final'!$R$51),"")</f>
        <v/>
      </c>
      <c r="S13" s="37" t="str">
        <f>IF(AND('Mapa final'!$AB$52="Muy Alta",'Mapa final'!$AD$52="Menor"),CONCATENATE("R8C",'Mapa final'!$R$52),"")</f>
        <v/>
      </c>
      <c r="T13" s="37" t="str">
        <f>IF(AND('Mapa final'!$AB$53="Muy Alta",'Mapa final'!$AD$53="Menor"),CONCATENATE("R8C",'Mapa final'!$R$53),"")</f>
        <v/>
      </c>
      <c r="U13" s="38" t="str">
        <f>IF(AND('Mapa final'!$AB$54="Muy Alta",'Mapa final'!$AD$54="Menor"),CONCATENATE("R8C",'Mapa final'!$R$54),"")</f>
        <v/>
      </c>
      <c r="V13" s="36" t="str">
        <f>IF(AND('Mapa final'!$AB$49="Muy Alta",'Mapa final'!$AD$49="Moderado"),CONCATENATE("R8C",'Mapa final'!$R$49),"")</f>
        <v/>
      </c>
      <c r="W13" s="37" t="str">
        <f>IF(AND('Mapa final'!$AB$50="Muy Alta",'Mapa final'!$AD$50="Moderado"),CONCATENATE("R8C",'Mapa final'!$R$50),"")</f>
        <v/>
      </c>
      <c r="X13" s="37" t="str">
        <f>IF(AND('Mapa final'!$AB$51="Muy Alta",'Mapa final'!$AD$51="Moderado"),CONCATENATE("R8C",'Mapa final'!$R$51),"")</f>
        <v/>
      </c>
      <c r="Y13" s="37" t="str">
        <f>IF(AND('Mapa final'!$AB$52="Muy Alta",'Mapa final'!$AD$52="Moderado"),CONCATENATE("R8C",'Mapa final'!$R$52),"")</f>
        <v/>
      </c>
      <c r="Z13" s="37" t="str">
        <f>IF(AND('Mapa final'!$AB$53="Muy Alta",'Mapa final'!$AD$53="Moderado"),CONCATENATE("R8C",'Mapa final'!$R$53),"")</f>
        <v/>
      </c>
      <c r="AA13" s="38" t="str">
        <f>IF(AND('Mapa final'!$AB$54="Muy Alta",'Mapa final'!$AD$54="Moderado"),CONCATENATE("R8C",'Mapa final'!$R$54),"")</f>
        <v/>
      </c>
      <c r="AB13" s="36" t="str">
        <f>IF(AND('Mapa final'!$AB$49="Muy Alta",'Mapa final'!$AD$49="Mayor"),CONCATENATE("R8C",'Mapa final'!$R$49),"")</f>
        <v/>
      </c>
      <c r="AC13" s="37" t="str">
        <f>IF(AND('Mapa final'!$AB$50="Muy Alta",'Mapa final'!$AD$50="Mayor"),CONCATENATE("R8C",'Mapa final'!$R$50),"")</f>
        <v/>
      </c>
      <c r="AD13" s="37" t="str">
        <f>IF(AND('Mapa final'!$AB$51="Muy Alta",'Mapa final'!$AD$51="Mayor"),CONCATENATE("R8C",'Mapa final'!$R$51),"")</f>
        <v/>
      </c>
      <c r="AE13" s="37" t="str">
        <f>IF(AND('Mapa final'!$AB$52="Muy Alta",'Mapa final'!$AD$52="Mayor"),CONCATENATE("R8C",'Mapa final'!$R$52),"")</f>
        <v/>
      </c>
      <c r="AF13" s="37" t="str">
        <f>IF(AND('Mapa final'!$AB$53="Muy Alta",'Mapa final'!$AD$53="Mayor"),CONCATENATE("R8C",'Mapa final'!$R$53),"")</f>
        <v/>
      </c>
      <c r="AG13" s="38" t="str">
        <f>IF(AND('Mapa final'!$AB$54="Muy Alta",'Mapa final'!$AD$54="Mayor"),CONCATENATE("R8C",'Mapa final'!$R$54),"")</f>
        <v/>
      </c>
      <c r="AH13" s="39" t="str">
        <f>IF(AND('Mapa final'!$AB$49="Muy Alta",'Mapa final'!$AD$49="Catastrófico"),CONCATENATE("R8C",'Mapa final'!$R$49),"")</f>
        <v/>
      </c>
      <c r="AI13" s="40" t="str">
        <f>IF(AND('Mapa final'!$AB$50="Muy Alta",'Mapa final'!$AD$50="Catastrófico"),CONCATENATE("R8C",'Mapa final'!$R$50),"")</f>
        <v/>
      </c>
      <c r="AJ13" s="40" t="str">
        <f>IF(AND('Mapa final'!$AB$51="Muy Alta",'Mapa final'!$AD$51="Catastrófico"),CONCATENATE("R8C",'Mapa final'!$R$51),"")</f>
        <v/>
      </c>
      <c r="AK13" s="40" t="str">
        <f>IF(AND('Mapa final'!$AB$52="Muy Alta",'Mapa final'!$AD$52="Catastrófico"),CONCATENATE("R8C",'Mapa final'!$R$52),"")</f>
        <v/>
      </c>
      <c r="AL13" s="40" t="str">
        <f>IF(AND('Mapa final'!$AB$53="Muy Alta",'Mapa final'!$AD$53="Catastrófico"),CONCATENATE("R8C",'Mapa final'!$R$53),"")</f>
        <v/>
      </c>
      <c r="AM13" s="41" t="str">
        <f>IF(AND('Mapa final'!$AB$54="Muy Alta",'Mapa final'!$AD$54="Catastrófico"),CONCATENATE("R8C",'Mapa final'!$R$54),"")</f>
        <v/>
      </c>
      <c r="AN13" s="67"/>
      <c r="AO13" s="575"/>
      <c r="AP13" s="576"/>
      <c r="AQ13" s="576"/>
      <c r="AR13" s="576"/>
      <c r="AS13" s="576"/>
      <c r="AT13" s="57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70"/>
      <c r="C14" s="470"/>
      <c r="D14" s="471"/>
      <c r="E14" s="569"/>
      <c r="F14" s="568"/>
      <c r="G14" s="568"/>
      <c r="H14" s="568"/>
      <c r="I14" s="584"/>
      <c r="J14" s="36" t="str">
        <f>IF(AND('Mapa final'!$AB$55="Muy Alta",'Mapa final'!$AD$55="Leve"),CONCATENATE("R9C",'Mapa final'!$R$55),"")</f>
        <v/>
      </c>
      <c r="K14" s="37" t="str">
        <f>IF(AND('Mapa final'!$AB$56="Muy Alta",'Mapa final'!$AD$56="Leve"),CONCATENATE("R9C",'Mapa final'!$R$56),"")</f>
        <v/>
      </c>
      <c r="L14" s="37" t="str">
        <f>IF(AND('Mapa final'!$AB$57="Muy Alta",'Mapa final'!$AD$57="Leve"),CONCATENATE("R9C",'Mapa final'!$R$57),"")</f>
        <v/>
      </c>
      <c r="M14" s="37" t="str">
        <f>IF(AND('Mapa final'!$AB$58="Muy Alta",'Mapa final'!$AD$58="Leve"),CONCATENATE("R9C",'Mapa final'!$R$58),"")</f>
        <v/>
      </c>
      <c r="N14" s="37" t="str">
        <f>IF(AND('Mapa final'!$AB$59="Muy Alta",'Mapa final'!$AD$59="Leve"),CONCATENATE("R9C",'Mapa final'!$R$59),"")</f>
        <v/>
      </c>
      <c r="O14" s="38" t="str">
        <f>IF(AND('Mapa final'!$AB$60="Muy Alta",'Mapa final'!$AD$60="Leve"),CONCATENATE("R9C",'Mapa final'!$R$60),"")</f>
        <v/>
      </c>
      <c r="P14" s="36" t="str">
        <f>IF(AND('Mapa final'!$AB$55="Muy Alta",'Mapa final'!$AD$55="Menor"),CONCATENATE("R9C",'Mapa final'!$R$55),"")</f>
        <v/>
      </c>
      <c r="Q14" s="37" t="str">
        <f>IF(AND('Mapa final'!$AB$56="Muy Alta",'Mapa final'!$AD$56="Menor"),CONCATENATE("R9C",'Mapa final'!$R$56),"")</f>
        <v/>
      </c>
      <c r="R14" s="37" t="str">
        <f>IF(AND('Mapa final'!$AB$57="Muy Alta",'Mapa final'!$AD$57="Menor"),CONCATENATE("R9C",'Mapa final'!$R$57),"")</f>
        <v/>
      </c>
      <c r="S14" s="37" t="str">
        <f>IF(AND('Mapa final'!$AB$58="Muy Alta",'Mapa final'!$AD$58="Menor"),CONCATENATE("R9C",'Mapa final'!$R$58),"")</f>
        <v/>
      </c>
      <c r="T14" s="37" t="str">
        <f>IF(AND('Mapa final'!$AB$59="Muy Alta",'Mapa final'!$AD$59="Menor"),CONCATENATE("R9C",'Mapa final'!$R$59),"")</f>
        <v/>
      </c>
      <c r="U14" s="38" t="str">
        <f>IF(AND('Mapa final'!$AB$60="Muy Alta",'Mapa final'!$AD$60="Menor"),CONCATENATE("R9C",'Mapa final'!$R$60),"")</f>
        <v/>
      </c>
      <c r="V14" s="36" t="str">
        <f>IF(AND('Mapa final'!$AB$55="Muy Alta",'Mapa final'!$AD$55="Moderado"),CONCATENATE("R9C",'Mapa final'!$R$55),"")</f>
        <v/>
      </c>
      <c r="W14" s="37" t="str">
        <f>IF(AND('Mapa final'!$AB$56="Muy Alta",'Mapa final'!$AD$56="Moderado"),CONCATENATE("R9C",'Mapa final'!$R$56),"")</f>
        <v/>
      </c>
      <c r="X14" s="37" t="str">
        <f>IF(AND('Mapa final'!$AB$57="Muy Alta",'Mapa final'!$AD$57="Moderado"),CONCATENATE("R9C",'Mapa final'!$R$57),"")</f>
        <v/>
      </c>
      <c r="Y14" s="37" t="str">
        <f>IF(AND('Mapa final'!$AB$58="Muy Alta",'Mapa final'!$AD$58="Moderado"),CONCATENATE("R9C",'Mapa final'!$R$58),"")</f>
        <v/>
      </c>
      <c r="Z14" s="37" t="str">
        <f>IF(AND('Mapa final'!$AB$59="Muy Alta",'Mapa final'!$AD$59="Moderado"),CONCATENATE("R9C",'Mapa final'!$R$59),"")</f>
        <v/>
      </c>
      <c r="AA14" s="38" t="str">
        <f>IF(AND('Mapa final'!$AB$60="Muy Alta",'Mapa final'!$AD$60="Moderado"),CONCATENATE("R9C",'Mapa final'!$R$60),"")</f>
        <v/>
      </c>
      <c r="AB14" s="36" t="str">
        <f>IF(AND('Mapa final'!$AB$55="Muy Alta",'Mapa final'!$AD$55="Mayor"),CONCATENATE("R9C",'Mapa final'!$R$55),"")</f>
        <v/>
      </c>
      <c r="AC14" s="37" t="str">
        <f>IF(AND('Mapa final'!$AB$56="Muy Alta",'Mapa final'!$AD$56="Mayor"),CONCATENATE("R9C",'Mapa final'!$R$56),"")</f>
        <v/>
      </c>
      <c r="AD14" s="37" t="str">
        <f>IF(AND('Mapa final'!$AB$57="Muy Alta",'Mapa final'!$AD$57="Mayor"),CONCATENATE("R9C",'Mapa final'!$R$57),"")</f>
        <v/>
      </c>
      <c r="AE14" s="37" t="str">
        <f>IF(AND('Mapa final'!$AB$58="Muy Alta",'Mapa final'!$AD$58="Mayor"),CONCATENATE("R9C",'Mapa final'!$R$58),"")</f>
        <v/>
      </c>
      <c r="AF14" s="37" t="str">
        <f>IF(AND('Mapa final'!$AB$59="Muy Alta",'Mapa final'!$AD$59="Mayor"),CONCATENATE("R9C",'Mapa final'!$R$59),"")</f>
        <v/>
      </c>
      <c r="AG14" s="38" t="str">
        <f>IF(AND('Mapa final'!$AB$60="Muy Alta",'Mapa final'!$AD$60="Mayor"),CONCATENATE("R9C",'Mapa final'!$R$60),"")</f>
        <v/>
      </c>
      <c r="AH14" s="39" t="str">
        <f>IF(AND('Mapa final'!$AB$55="Muy Alta",'Mapa final'!$AD$55="Catastrófico"),CONCATENATE("R9C",'Mapa final'!$R$55),"")</f>
        <v/>
      </c>
      <c r="AI14" s="40" t="str">
        <f>IF(AND('Mapa final'!$AB$56="Muy Alta",'Mapa final'!$AD$56="Catastrófico"),CONCATENATE("R9C",'Mapa final'!$R$56),"")</f>
        <v/>
      </c>
      <c r="AJ14" s="40" t="str">
        <f>IF(AND('Mapa final'!$AB$57="Muy Alta",'Mapa final'!$AD$57="Catastrófico"),CONCATENATE("R9C",'Mapa final'!$R$57),"")</f>
        <v/>
      </c>
      <c r="AK14" s="40" t="str">
        <f>IF(AND('Mapa final'!$AB$58="Muy Alta",'Mapa final'!$AD$58="Catastrófico"),CONCATENATE("R9C",'Mapa final'!$R$58),"")</f>
        <v/>
      </c>
      <c r="AL14" s="40" t="str">
        <f>IF(AND('Mapa final'!$AB$59="Muy Alta",'Mapa final'!$AD$59="Catastrófico"),CONCATENATE("R9C",'Mapa final'!$R$59),"")</f>
        <v/>
      </c>
      <c r="AM14" s="41" t="str">
        <f>IF(AND('Mapa final'!$AB$60="Muy Alta",'Mapa final'!$AD$60="Catastrófico"),CONCATENATE("R9C",'Mapa final'!$R$60),"")</f>
        <v/>
      </c>
      <c r="AN14" s="67"/>
      <c r="AO14" s="575"/>
      <c r="AP14" s="576"/>
      <c r="AQ14" s="576"/>
      <c r="AR14" s="576"/>
      <c r="AS14" s="576"/>
      <c r="AT14" s="57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70"/>
      <c r="C15" s="470"/>
      <c r="D15" s="471"/>
      <c r="E15" s="570"/>
      <c r="F15" s="571"/>
      <c r="G15" s="571"/>
      <c r="H15" s="571"/>
      <c r="I15" s="585"/>
      <c r="J15" s="42" t="str">
        <f>IF(AND('Mapa final'!$AB$61="Muy Alta",'Mapa final'!$AD$61="Leve"),CONCATENATE("R10C",'Mapa final'!$R$61),"")</f>
        <v/>
      </c>
      <c r="K15" s="43" t="str">
        <f>IF(AND('Mapa final'!$AB$62="Muy Alta",'Mapa final'!$AD$62="Leve"),CONCATENATE("R10C",'Mapa final'!$R$62),"")</f>
        <v/>
      </c>
      <c r="L15" s="43" t="str">
        <f>IF(AND('Mapa final'!$AB$63="Muy Alta",'Mapa final'!$AD$63="Leve"),CONCATENATE("R10C",'Mapa final'!$R$63),"")</f>
        <v/>
      </c>
      <c r="M15" s="43" t="str">
        <f>IF(AND('Mapa final'!$AB$64="Muy Alta",'Mapa final'!$AD$64="Leve"),CONCATENATE("R10C",'Mapa final'!$R$64),"")</f>
        <v/>
      </c>
      <c r="N15" s="43" t="str">
        <f>IF(AND('Mapa final'!$AB$65="Muy Alta",'Mapa final'!$AD$65="Leve"),CONCATENATE("R10C",'Mapa final'!$R$65),"")</f>
        <v/>
      </c>
      <c r="O15" s="44" t="str">
        <f>IF(AND('Mapa final'!$AB$66="Muy Alta",'Mapa final'!$AD$66="Leve"),CONCATENATE("R10C",'Mapa final'!$R$66),"")</f>
        <v/>
      </c>
      <c r="P15" s="36" t="str">
        <f>IF(AND('Mapa final'!$AB$61="Muy Alta",'Mapa final'!$AD$61="Menor"),CONCATENATE("R10C",'Mapa final'!$R$61),"")</f>
        <v/>
      </c>
      <c r="Q15" s="37" t="str">
        <f>IF(AND('Mapa final'!$AB$62="Muy Alta",'Mapa final'!$AD$62="Menor"),CONCATENATE("R10C",'Mapa final'!$R$62),"")</f>
        <v/>
      </c>
      <c r="R15" s="37" t="str">
        <f>IF(AND('Mapa final'!$AB$63="Muy Alta",'Mapa final'!$AD$63="Menor"),CONCATENATE("R10C",'Mapa final'!$R$63),"")</f>
        <v/>
      </c>
      <c r="S15" s="37" t="str">
        <f>IF(AND('Mapa final'!$AB$64="Muy Alta",'Mapa final'!$AD$64="Menor"),CONCATENATE("R10C",'Mapa final'!$R$64),"")</f>
        <v/>
      </c>
      <c r="T15" s="37" t="str">
        <f>IF(AND('Mapa final'!$AB$65="Muy Alta",'Mapa final'!$AD$65="Menor"),CONCATENATE("R10C",'Mapa final'!$R$65),"")</f>
        <v/>
      </c>
      <c r="U15" s="38" t="str">
        <f>IF(AND('Mapa final'!$AB$66="Muy Alta",'Mapa final'!$AD$66="Menor"),CONCATENATE("R10C",'Mapa final'!$R$66),"")</f>
        <v/>
      </c>
      <c r="V15" s="42" t="str">
        <f>IF(AND('Mapa final'!$AB$61="Muy Alta",'Mapa final'!$AD$61="Moderado"),CONCATENATE("R10C",'Mapa final'!$R$61),"")</f>
        <v/>
      </c>
      <c r="W15" s="43" t="str">
        <f>IF(AND('Mapa final'!$AB$62="Muy Alta",'Mapa final'!$AD$62="Moderado"),CONCATENATE("R10C",'Mapa final'!$R$62),"")</f>
        <v/>
      </c>
      <c r="X15" s="43" t="str">
        <f>IF(AND('Mapa final'!$AB$63="Muy Alta",'Mapa final'!$AD$63="Moderado"),CONCATENATE("R10C",'Mapa final'!$R$63),"")</f>
        <v/>
      </c>
      <c r="Y15" s="43" t="str">
        <f>IF(AND('Mapa final'!$AB$64="Muy Alta",'Mapa final'!$AD$64="Moderado"),CONCATENATE("R10C",'Mapa final'!$R$64),"")</f>
        <v/>
      </c>
      <c r="Z15" s="43" t="str">
        <f>IF(AND('Mapa final'!$AB$65="Muy Alta",'Mapa final'!$AD$65="Moderado"),CONCATENATE("R10C",'Mapa final'!$R$65),"")</f>
        <v/>
      </c>
      <c r="AA15" s="44" t="str">
        <f>IF(AND('Mapa final'!$AB$66="Muy Alta",'Mapa final'!$AD$66="Moderado"),CONCATENATE("R10C",'Mapa final'!$R$66),"")</f>
        <v/>
      </c>
      <c r="AB15" s="36" t="str">
        <f>IF(AND('Mapa final'!$AB$61="Muy Alta",'Mapa final'!$AD$61="Mayor"),CONCATENATE("R10C",'Mapa final'!$R$61),"")</f>
        <v/>
      </c>
      <c r="AC15" s="37" t="str">
        <f>IF(AND('Mapa final'!$AB$62="Muy Alta",'Mapa final'!$AD$62="Mayor"),CONCATENATE("R10C",'Mapa final'!$R$62),"")</f>
        <v/>
      </c>
      <c r="AD15" s="37" t="str">
        <f>IF(AND('Mapa final'!$AB$63="Muy Alta",'Mapa final'!$AD$63="Mayor"),CONCATENATE("R10C",'Mapa final'!$R$63),"")</f>
        <v/>
      </c>
      <c r="AE15" s="37" t="str">
        <f>IF(AND('Mapa final'!$AB$64="Muy Alta",'Mapa final'!$AD$64="Mayor"),CONCATENATE("R10C",'Mapa final'!$R$64),"")</f>
        <v/>
      </c>
      <c r="AF15" s="37" t="str">
        <f>IF(AND('Mapa final'!$AB$65="Muy Alta",'Mapa final'!$AD$65="Mayor"),CONCATENATE("R10C",'Mapa final'!$R$65),"")</f>
        <v/>
      </c>
      <c r="AG15" s="38" t="str">
        <f>IF(AND('Mapa final'!$AB$66="Muy Alta",'Mapa final'!$AD$66="Mayor"),CONCATENATE("R10C",'Mapa final'!$R$66),"")</f>
        <v/>
      </c>
      <c r="AH15" s="45" t="str">
        <f>IF(AND('Mapa final'!$AB$61="Muy Alta",'Mapa final'!$AD$61="Catastrófico"),CONCATENATE("R10C",'Mapa final'!$R$61),"")</f>
        <v/>
      </c>
      <c r="AI15" s="46" t="str">
        <f>IF(AND('Mapa final'!$AB$62="Muy Alta",'Mapa final'!$AD$62="Catastrófico"),CONCATENATE("R10C",'Mapa final'!$R$62),"")</f>
        <v/>
      </c>
      <c r="AJ15" s="46" t="str">
        <f>IF(AND('Mapa final'!$AB$63="Muy Alta",'Mapa final'!$AD$63="Catastrófico"),CONCATENATE("R10C",'Mapa final'!$R$63),"")</f>
        <v/>
      </c>
      <c r="AK15" s="46" t="str">
        <f>IF(AND('Mapa final'!$AB$64="Muy Alta",'Mapa final'!$AD$64="Catastrófico"),CONCATENATE("R10C",'Mapa final'!$R$64),"")</f>
        <v/>
      </c>
      <c r="AL15" s="46" t="str">
        <f>IF(AND('Mapa final'!$AB$65="Muy Alta",'Mapa final'!$AD$65="Catastrófico"),CONCATENATE("R10C",'Mapa final'!$R$65),"")</f>
        <v/>
      </c>
      <c r="AM15" s="47" t="str">
        <f>IF(AND('Mapa final'!$AB$66="Muy Alta",'Mapa final'!$AD$66="Catastrófico"),CONCATENATE("R10C",'Mapa final'!$R$66),"")</f>
        <v/>
      </c>
      <c r="AN15" s="67"/>
      <c r="AO15" s="578"/>
      <c r="AP15" s="579"/>
      <c r="AQ15" s="579"/>
      <c r="AR15" s="579"/>
      <c r="AS15" s="579"/>
      <c r="AT15" s="58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70"/>
      <c r="C16" s="470"/>
      <c r="D16" s="471"/>
      <c r="E16" s="565" t="s">
        <v>110</v>
      </c>
      <c r="F16" s="566"/>
      <c r="G16" s="566"/>
      <c r="H16" s="566"/>
      <c r="I16" s="566"/>
      <c r="J16" s="48" t="str">
        <f>IF(AND('Mapa final'!$AB$10="Alta",'Mapa final'!$AD$10="Leve"),CONCATENATE("R1C",'Mapa final'!$R$10),"")</f>
        <v/>
      </c>
      <c r="K16" s="49" t="e">
        <f>IF(AND('Mapa final'!#REF!="Alta",'Mapa final'!#REF!="Leve"),CONCATENATE("R1C",'Mapa final'!#REF!),"")</f>
        <v>#REF!</v>
      </c>
      <c r="L16" s="49" t="e">
        <f>IF(AND('Mapa final'!#REF!="Alta",'Mapa final'!#REF!="Leve"),CONCATENATE("R1C",'Mapa final'!#REF!),"")</f>
        <v>#REF!</v>
      </c>
      <c r="M16" s="49" t="str">
        <f>IF(AND('Mapa final'!$AB$11="Alta",'Mapa final'!$AD$11="Leve"),CONCATENATE("R1C",'Mapa final'!$R$11),"")</f>
        <v/>
      </c>
      <c r="N16" s="49" t="e">
        <f>IF(AND('Mapa final'!#REF!="Alta",'Mapa final'!#REF!="Leve"),CONCATENATE("R1C",'Mapa final'!#REF!),"")</f>
        <v>#REF!</v>
      </c>
      <c r="O16" s="50" t="str">
        <f>IF(AND('Mapa final'!$AB$12="Alta",'Mapa final'!$AD$12="Leve"),CONCATENATE("R1C",'Mapa final'!$R$12),"")</f>
        <v/>
      </c>
      <c r="P16" s="48" t="str">
        <f>IF(AND('Mapa final'!$AB$10="Alta",'Mapa final'!$AD$10="Menor"),CONCATENATE("R1C",'Mapa final'!$R$10),"")</f>
        <v/>
      </c>
      <c r="Q16" s="49" t="e">
        <f>IF(AND('Mapa final'!#REF!="Alta",'Mapa final'!#REF!="Menor"),CONCATENATE("R1C",'Mapa final'!#REF!),"")</f>
        <v>#REF!</v>
      </c>
      <c r="R16" s="49" t="e">
        <f>IF(AND('Mapa final'!#REF!="Alta",'Mapa final'!#REF!="Menor"),CONCATENATE("R1C",'Mapa final'!#REF!),"")</f>
        <v>#REF!</v>
      </c>
      <c r="S16" s="49" t="str">
        <f>IF(AND('Mapa final'!$AB$11="Alta",'Mapa final'!$AD$11="Menor"),CONCATENATE("R1C",'Mapa final'!$R$11),"")</f>
        <v/>
      </c>
      <c r="T16" s="49" t="e">
        <f>IF(AND('Mapa final'!#REF!="Alta",'Mapa final'!#REF!="Menor"),CONCATENATE("R1C",'Mapa final'!#REF!),"")</f>
        <v>#REF!</v>
      </c>
      <c r="U16" s="50" t="str">
        <f>IF(AND('Mapa final'!$AB$12="Alta",'Mapa final'!$AD$12="Menor"),CONCATENATE("R1C",'Mapa final'!$R$12),"")</f>
        <v/>
      </c>
      <c r="V16" s="30" t="str">
        <f>IF(AND('Mapa final'!$AB$10="Alta",'Mapa final'!$AD$10="Moderado"),CONCATENATE("R1C",'Mapa final'!$R$10),"")</f>
        <v/>
      </c>
      <c r="W16" s="31" t="e">
        <f>IF(AND('Mapa final'!#REF!="Alta",'Mapa final'!#REF!="Moderado"),CONCATENATE("R1C",'Mapa final'!#REF!),"")</f>
        <v>#REF!</v>
      </c>
      <c r="X16" s="31" t="e">
        <f>IF(AND('Mapa final'!#REF!="Alta",'Mapa final'!#REF!="Moderado"),CONCATENATE("R1C",'Mapa final'!#REF!),"")</f>
        <v>#REF!</v>
      </c>
      <c r="Y16" s="31" t="str">
        <f>IF(AND('Mapa final'!$AB$11="Alta",'Mapa final'!$AD$11="Moderado"),CONCATENATE("R1C",'Mapa final'!$R$11),"")</f>
        <v/>
      </c>
      <c r="Z16" s="31" t="e">
        <f>IF(AND('Mapa final'!#REF!="Alta",'Mapa final'!#REF!="Moderado"),CONCATENATE("R1C",'Mapa final'!#REF!),"")</f>
        <v>#REF!</v>
      </c>
      <c r="AA16" s="32" t="str">
        <f>IF(AND('Mapa final'!$AB$12="Alta",'Mapa final'!$AD$12="Moderado"),CONCATENATE("R1C",'Mapa final'!$R$12),"")</f>
        <v/>
      </c>
      <c r="AB16" s="30" t="str">
        <f>IF(AND('Mapa final'!$AB$10="Alta",'Mapa final'!$AD$10="Mayor"),CONCATENATE("R1C",'Mapa final'!$R$10),"")</f>
        <v/>
      </c>
      <c r="AC16" s="31" t="e">
        <f>IF(AND('Mapa final'!#REF!="Alta",'Mapa final'!#REF!="Mayor"),CONCATENATE("R1C",'Mapa final'!#REF!),"")</f>
        <v>#REF!</v>
      </c>
      <c r="AD16" s="31" t="e">
        <f>IF(AND('Mapa final'!#REF!="Alta",'Mapa final'!#REF!="Mayor"),CONCATENATE("R1C",'Mapa final'!#REF!),"")</f>
        <v>#REF!</v>
      </c>
      <c r="AE16" s="31" t="str">
        <f>IF(AND('Mapa final'!$AB$11="Alta",'Mapa final'!$AD$11="Mayor"),CONCATENATE("R1C",'Mapa final'!$R$11),"")</f>
        <v/>
      </c>
      <c r="AF16" s="31" t="e">
        <f>IF(AND('Mapa final'!#REF!="Alta",'Mapa final'!#REF!="Mayor"),CONCATENATE("R1C",'Mapa final'!#REF!),"")</f>
        <v>#REF!</v>
      </c>
      <c r="AG16" s="32" t="str">
        <f>IF(AND('Mapa final'!$AB$12="Alta",'Mapa final'!$AD$12="Mayor"),CONCATENATE("R1C",'Mapa final'!$R$12),"")</f>
        <v/>
      </c>
      <c r="AH16" s="33" t="str">
        <f>IF(AND('Mapa final'!$AB$10="Alta",'Mapa final'!$AD$10="Catastrófico"),CONCATENATE("R1C",'Mapa final'!$R$10),"")</f>
        <v/>
      </c>
      <c r="AI16" s="34" t="e">
        <f>IF(AND('Mapa final'!#REF!="Alta",'Mapa final'!#REF!="Catastrófico"),CONCATENATE("R1C",'Mapa final'!#REF!),"")</f>
        <v>#REF!</v>
      </c>
      <c r="AJ16" s="34" t="e">
        <f>IF(AND('Mapa final'!#REF!="Alta",'Mapa final'!#REF!="Catastrófico"),CONCATENATE("R1C",'Mapa final'!#REF!),"")</f>
        <v>#REF!</v>
      </c>
      <c r="AK16" s="34" t="str">
        <f>IF(AND('Mapa final'!$AB$11="Alta",'Mapa final'!$AD$11="Catastrófico"),CONCATENATE("R1C",'Mapa final'!$R$11),"")</f>
        <v/>
      </c>
      <c r="AL16" s="34" t="e">
        <f>IF(AND('Mapa final'!#REF!="Alta",'Mapa final'!#REF!="Catastrófico"),CONCATENATE("R1C",'Mapa final'!#REF!),"")</f>
        <v>#REF!</v>
      </c>
      <c r="AM16" s="35" t="str">
        <f>IF(AND('Mapa final'!$AB$12="Alta",'Mapa final'!$AD$12="Catastrófico"),CONCATENATE("R1C",'Mapa final'!$R$12),"")</f>
        <v/>
      </c>
      <c r="AN16" s="67"/>
      <c r="AO16" s="556" t="s">
        <v>79</v>
      </c>
      <c r="AP16" s="557"/>
      <c r="AQ16" s="557"/>
      <c r="AR16" s="557"/>
      <c r="AS16" s="557"/>
      <c r="AT16" s="55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70"/>
      <c r="C17" s="470"/>
      <c r="D17" s="471"/>
      <c r="E17" s="567"/>
      <c r="F17" s="568"/>
      <c r="G17" s="568"/>
      <c r="H17" s="568"/>
      <c r="I17" s="568"/>
      <c r="J17" s="51" t="str">
        <f>IF(AND('Mapa final'!$AB$13="Alta",'Mapa final'!$AD$13="Leve"),CONCATENATE("R2C",'Mapa final'!$R$13),"")</f>
        <v/>
      </c>
      <c r="K17" s="52" t="str">
        <f>IF(AND('Mapa final'!$AB$14="Alta",'Mapa final'!$AD$14="Leve"),CONCATENATE("R2C",'Mapa final'!$R$14),"")</f>
        <v/>
      </c>
      <c r="L17" s="52" t="str">
        <f>IF(AND('Mapa final'!$AB$15="Alta",'Mapa final'!$AD$15="Leve"),CONCATENATE("R2C",'Mapa final'!$R$15),"")</f>
        <v/>
      </c>
      <c r="M17" s="52" t="str">
        <f>IF(AND('Mapa final'!$AB$16="Alta",'Mapa final'!$AD$16="Leve"),CONCATENATE("R2C",'Mapa final'!$R$16),"")</f>
        <v/>
      </c>
      <c r="N17" s="52" t="str">
        <f>IF(AND('Mapa final'!$AB$17="Alta",'Mapa final'!$AD$17="Leve"),CONCATENATE("R2C",'Mapa final'!$R$17),"")</f>
        <v/>
      </c>
      <c r="O17" s="53" t="str">
        <f>IF(AND('Mapa final'!$AB$18="Alta",'Mapa final'!$AD$18="Leve"),CONCATENATE("R2C",'Mapa final'!$R$18),"")</f>
        <v/>
      </c>
      <c r="P17" s="51" t="str">
        <f>IF(AND('Mapa final'!$AB$13="Alta",'Mapa final'!$AD$13="Menor"),CONCATENATE("R2C",'Mapa final'!$R$13),"")</f>
        <v/>
      </c>
      <c r="Q17" s="52" t="str">
        <f>IF(AND('Mapa final'!$AB$14="Alta",'Mapa final'!$AD$14="Menor"),CONCATENATE("R2C",'Mapa final'!$R$14),"")</f>
        <v/>
      </c>
      <c r="R17" s="52" t="str">
        <f>IF(AND('Mapa final'!$AB$15="Alta",'Mapa final'!$AD$15="Menor"),CONCATENATE("R2C",'Mapa final'!$R$15),"")</f>
        <v/>
      </c>
      <c r="S17" s="52" t="str">
        <f>IF(AND('Mapa final'!$AB$16="Alta",'Mapa final'!$AD$16="Menor"),CONCATENATE("R2C",'Mapa final'!$R$16),"")</f>
        <v/>
      </c>
      <c r="T17" s="52" t="str">
        <f>IF(AND('Mapa final'!$AB$17="Alta",'Mapa final'!$AD$17="Menor"),CONCATENATE("R2C",'Mapa final'!$R$17),"")</f>
        <v/>
      </c>
      <c r="U17" s="53" t="str">
        <f>IF(AND('Mapa final'!$AB$18="Alta",'Mapa final'!$AD$18="Menor"),CONCATENATE("R2C",'Mapa final'!$R$18),"")</f>
        <v/>
      </c>
      <c r="V17" s="36" t="str">
        <f>IF(AND('Mapa final'!$AB$13="Alta",'Mapa final'!$AD$13="Moderado"),CONCATENATE("R2C",'Mapa final'!$R$13),"")</f>
        <v/>
      </c>
      <c r="W17" s="37" t="str">
        <f>IF(AND('Mapa final'!$AB$14="Alta",'Mapa final'!$AD$14="Moderado"),CONCATENATE("R2C",'Mapa final'!$R$14),"")</f>
        <v/>
      </c>
      <c r="X17" s="37" t="str">
        <f>IF(AND('Mapa final'!$AB$15="Alta",'Mapa final'!$AD$15="Moderado"),CONCATENATE("R2C",'Mapa final'!$R$15),"")</f>
        <v/>
      </c>
      <c r="Y17" s="37" t="str">
        <f>IF(AND('Mapa final'!$AB$16="Alta",'Mapa final'!$AD$16="Moderado"),CONCATENATE("R2C",'Mapa final'!$R$16),"")</f>
        <v/>
      </c>
      <c r="Z17" s="37" t="str">
        <f>IF(AND('Mapa final'!$AB$17="Alta",'Mapa final'!$AD$17="Moderado"),CONCATENATE("R2C",'Mapa final'!$R$17),"")</f>
        <v/>
      </c>
      <c r="AA17" s="38" t="str">
        <f>IF(AND('Mapa final'!$AB$18="Alta",'Mapa final'!$AD$18="Moderado"),CONCATENATE("R2C",'Mapa final'!$R$18),"")</f>
        <v/>
      </c>
      <c r="AB17" s="36" t="str">
        <f>IF(AND('Mapa final'!$AB$13="Alta",'Mapa final'!$AD$13="Mayor"),CONCATENATE("R2C",'Mapa final'!$R$13),"")</f>
        <v/>
      </c>
      <c r="AC17" s="37" t="str">
        <f>IF(AND('Mapa final'!$AB$14="Alta",'Mapa final'!$AD$14="Mayor"),CONCATENATE("R2C",'Mapa final'!$R$14),"")</f>
        <v/>
      </c>
      <c r="AD17" s="37" t="str">
        <f>IF(AND('Mapa final'!$AB$15="Alta",'Mapa final'!$AD$15="Mayor"),CONCATENATE("R2C",'Mapa final'!$R$15),"")</f>
        <v/>
      </c>
      <c r="AE17" s="37" t="str">
        <f>IF(AND('Mapa final'!$AB$16="Alta",'Mapa final'!$AD$16="Mayor"),CONCATENATE("R2C",'Mapa final'!$R$16),"")</f>
        <v/>
      </c>
      <c r="AF17" s="37" t="str">
        <f>IF(AND('Mapa final'!$AB$17="Alta",'Mapa final'!$AD$17="Mayor"),CONCATENATE("R2C",'Mapa final'!$R$17),"")</f>
        <v/>
      </c>
      <c r="AG17" s="38" t="str">
        <f>IF(AND('Mapa final'!$AB$18="Alta",'Mapa final'!$AD$18="Mayor"),CONCATENATE("R2C",'Mapa final'!$R$18),"")</f>
        <v/>
      </c>
      <c r="AH17" s="39" t="str">
        <f>IF(AND('Mapa final'!$AB$13="Alta",'Mapa final'!$AD$13="Catastrófico"),CONCATENATE("R2C",'Mapa final'!$R$13),"")</f>
        <v/>
      </c>
      <c r="AI17" s="40" t="str">
        <f>IF(AND('Mapa final'!$AB$14="Alta",'Mapa final'!$AD$14="Catastrófico"),CONCATENATE("R2C",'Mapa final'!$R$14),"")</f>
        <v/>
      </c>
      <c r="AJ17" s="40" t="str">
        <f>IF(AND('Mapa final'!$AB$15="Alta",'Mapa final'!$AD$15="Catastrófico"),CONCATENATE("R2C",'Mapa final'!$R$15),"")</f>
        <v/>
      </c>
      <c r="AK17" s="40" t="str">
        <f>IF(AND('Mapa final'!$AB$16="Alta",'Mapa final'!$AD$16="Catastrófico"),CONCATENATE("R2C",'Mapa final'!$R$16),"")</f>
        <v/>
      </c>
      <c r="AL17" s="40" t="str">
        <f>IF(AND('Mapa final'!$AB$17="Alta",'Mapa final'!$AD$17="Catastrófico"),CONCATENATE("R2C",'Mapa final'!$R$17),"")</f>
        <v/>
      </c>
      <c r="AM17" s="41" t="str">
        <f>IF(AND('Mapa final'!$AB$18="Alta",'Mapa final'!$AD$18="Catastrófico"),CONCATENATE("R2C",'Mapa final'!$R$18),"")</f>
        <v/>
      </c>
      <c r="AN17" s="67"/>
      <c r="AO17" s="559"/>
      <c r="AP17" s="560"/>
      <c r="AQ17" s="560"/>
      <c r="AR17" s="560"/>
      <c r="AS17" s="560"/>
      <c r="AT17" s="56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70"/>
      <c r="C18" s="470"/>
      <c r="D18" s="471"/>
      <c r="E18" s="569"/>
      <c r="F18" s="568"/>
      <c r="G18" s="568"/>
      <c r="H18" s="568"/>
      <c r="I18" s="568"/>
      <c r="J18" s="51" t="str">
        <f>IF(AND('Mapa final'!$AB$19="Alta",'Mapa final'!$AD$19="Leve"),CONCATENATE("R3C",'Mapa final'!$R$19),"")</f>
        <v/>
      </c>
      <c r="K18" s="52" t="str">
        <f>IF(AND('Mapa final'!$AB$20="Alta",'Mapa final'!$AD$20="Leve"),CONCATENATE("R3C",'Mapa final'!$R$20),"")</f>
        <v/>
      </c>
      <c r="L18" s="52" t="str">
        <f>IF(AND('Mapa final'!$AB$21="Alta",'Mapa final'!$AD$21="Leve"),CONCATENATE("R3C",'Mapa final'!$R$21),"")</f>
        <v/>
      </c>
      <c r="M18" s="52" t="str">
        <f>IF(AND('Mapa final'!$AB$22="Alta",'Mapa final'!$AD$22="Leve"),CONCATENATE("R3C",'Mapa final'!$R$22),"")</f>
        <v/>
      </c>
      <c r="N18" s="52" t="str">
        <f>IF(AND('Mapa final'!$AB$23="Alta",'Mapa final'!$AD$23="Leve"),CONCATENATE("R3C",'Mapa final'!$R$23),"")</f>
        <v/>
      </c>
      <c r="O18" s="53" t="str">
        <f>IF(AND('Mapa final'!$AB$24="Alta",'Mapa final'!$AD$24="Leve"),CONCATENATE("R3C",'Mapa final'!$R$24),"")</f>
        <v/>
      </c>
      <c r="P18" s="51" t="str">
        <f>IF(AND('Mapa final'!$AB$19="Alta",'Mapa final'!$AD$19="Menor"),CONCATENATE("R3C",'Mapa final'!$R$19),"")</f>
        <v/>
      </c>
      <c r="Q18" s="52" t="str">
        <f>IF(AND('Mapa final'!$AB$20="Alta",'Mapa final'!$AD$20="Menor"),CONCATENATE("R3C",'Mapa final'!$R$20),"")</f>
        <v/>
      </c>
      <c r="R18" s="52" t="str">
        <f>IF(AND('Mapa final'!$AB$21="Alta",'Mapa final'!$AD$21="Menor"),CONCATENATE("R3C",'Mapa final'!$R$21),"")</f>
        <v/>
      </c>
      <c r="S18" s="52" t="str">
        <f>IF(AND('Mapa final'!$AB$22="Alta",'Mapa final'!$AD$22="Menor"),CONCATENATE("R3C",'Mapa final'!$R$22),"")</f>
        <v/>
      </c>
      <c r="T18" s="52" t="str">
        <f>IF(AND('Mapa final'!$AB$23="Alta",'Mapa final'!$AD$23="Menor"),CONCATENATE("R3C",'Mapa final'!$R$23),"")</f>
        <v/>
      </c>
      <c r="U18" s="53" t="str">
        <f>IF(AND('Mapa final'!$AB$24="Alta",'Mapa final'!$AD$24="Menor"),CONCATENATE("R3C",'Mapa final'!$R$24),"")</f>
        <v/>
      </c>
      <c r="V18" s="36" t="str">
        <f>IF(AND('Mapa final'!$AB$19="Alta",'Mapa final'!$AD$19="Moderado"),CONCATENATE("R3C",'Mapa final'!$R$19),"")</f>
        <v/>
      </c>
      <c r="W18" s="37" t="str">
        <f>IF(AND('Mapa final'!$AB$20="Alta",'Mapa final'!$AD$20="Moderado"),CONCATENATE("R3C",'Mapa final'!$R$20),"")</f>
        <v/>
      </c>
      <c r="X18" s="37" t="str">
        <f>IF(AND('Mapa final'!$AB$21="Alta",'Mapa final'!$AD$21="Moderado"),CONCATENATE("R3C",'Mapa final'!$R$21),"")</f>
        <v/>
      </c>
      <c r="Y18" s="37" t="str">
        <f>IF(AND('Mapa final'!$AB$22="Alta",'Mapa final'!$AD$22="Moderado"),CONCATENATE("R3C",'Mapa final'!$R$22),"")</f>
        <v/>
      </c>
      <c r="Z18" s="37" t="str">
        <f>IF(AND('Mapa final'!$AB$23="Alta",'Mapa final'!$AD$23="Moderado"),CONCATENATE("R3C",'Mapa final'!$R$23),"")</f>
        <v/>
      </c>
      <c r="AA18" s="38" t="str">
        <f>IF(AND('Mapa final'!$AB$24="Alta",'Mapa final'!$AD$24="Moderado"),CONCATENATE("R3C",'Mapa final'!$R$24),"")</f>
        <v/>
      </c>
      <c r="AB18" s="36" t="str">
        <f>IF(AND('Mapa final'!$AB$19="Alta",'Mapa final'!$AD$19="Mayor"),CONCATENATE("R3C",'Mapa final'!$R$19),"")</f>
        <v/>
      </c>
      <c r="AC18" s="37" t="str">
        <f>IF(AND('Mapa final'!$AB$20="Alta",'Mapa final'!$AD$20="Mayor"),CONCATENATE("R3C",'Mapa final'!$R$20),"")</f>
        <v/>
      </c>
      <c r="AD18" s="37" t="str">
        <f>IF(AND('Mapa final'!$AB$21="Alta",'Mapa final'!$AD$21="Mayor"),CONCATENATE("R3C",'Mapa final'!$R$21),"")</f>
        <v/>
      </c>
      <c r="AE18" s="37" t="str">
        <f>IF(AND('Mapa final'!$AB$22="Alta",'Mapa final'!$AD$22="Mayor"),CONCATENATE("R3C",'Mapa final'!$R$22),"")</f>
        <v/>
      </c>
      <c r="AF18" s="37" t="str">
        <f>IF(AND('Mapa final'!$AB$23="Alta",'Mapa final'!$AD$23="Mayor"),CONCATENATE("R3C",'Mapa final'!$R$23),"")</f>
        <v/>
      </c>
      <c r="AG18" s="38" t="str">
        <f>IF(AND('Mapa final'!$AB$24="Alta",'Mapa final'!$AD$24="Mayor"),CONCATENATE("R3C",'Mapa final'!$R$24),"")</f>
        <v/>
      </c>
      <c r="AH18" s="39" t="str">
        <f>IF(AND('Mapa final'!$AB$19="Alta",'Mapa final'!$AD$19="Catastrófico"),CONCATENATE("R3C",'Mapa final'!$R$19),"")</f>
        <v/>
      </c>
      <c r="AI18" s="40" t="str">
        <f>IF(AND('Mapa final'!$AB$20="Alta",'Mapa final'!$AD$20="Catastrófico"),CONCATENATE("R3C",'Mapa final'!$R$20),"")</f>
        <v/>
      </c>
      <c r="AJ18" s="40" t="str">
        <f>IF(AND('Mapa final'!$AB$21="Alta",'Mapa final'!$AD$21="Catastrófico"),CONCATENATE("R3C",'Mapa final'!$R$21),"")</f>
        <v/>
      </c>
      <c r="AK18" s="40" t="str">
        <f>IF(AND('Mapa final'!$AB$22="Alta",'Mapa final'!$AD$22="Catastrófico"),CONCATENATE("R3C",'Mapa final'!$R$22),"")</f>
        <v/>
      </c>
      <c r="AL18" s="40" t="str">
        <f>IF(AND('Mapa final'!$AB$23="Alta",'Mapa final'!$AD$23="Catastrófico"),CONCATENATE("R3C",'Mapa final'!$R$23),"")</f>
        <v/>
      </c>
      <c r="AM18" s="41" t="str">
        <f>IF(AND('Mapa final'!$AB$24="Alta",'Mapa final'!$AD$24="Catastrófico"),CONCATENATE("R3C",'Mapa final'!$R$24),"")</f>
        <v/>
      </c>
      <c r="AN18" s="67"/>
      <c r="AO18" s="559"/>
      <c r="AP18" s="560"/>
      <c r="AQ18" s="560"/>
      <c r="AR18" s="560"/>
      <c r="AS18" s="560"/>
      <c r="AT18" s="56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70"/>
      <c r="C19" s="470"/>
      <c r="D19" s="471"/>
      <c r="E19" s="569"/>
      <c r="F19" s="568"/>
      <c r="G19" s="568"/>
      <c r="H19" s="568"/>
      <c r="I19" s="568"/>
      <c r="J19" s="51" t="str">
        <f>IF(AND('Mapa final'!$AB$25="Alta",'Mapa final'!$AD$25="Leve"),CONCATENATE("R4C",'Mapa final'!$R$25),"")</f>
        <v/>
      </c>
      <c r="K19" s="52" t="str">
        <f>IF(AND('Mapa final'!$AB$26="Alta",'Mapa final'!$AD$26="Leve"),CONCATENATE("R4C",'Mapa final'!$R$26),"")</f>
        <v/>
      </c>
      <c r="L19" s="52" t="str">
        <f>IF(AND('Mapa final'!$AB$27="Alta",'Mapa final'!$AD$27="Leve"),CONCATENATE("R4C",'Mapa final'!$R$27),"")</f>
        <v/>
      </c>
      <c r="M19" s="52" t="str">
        <f>IF(AND('Mapa final'!$AB$28="Alta",'Mapa final'!$AD$28="Leve"),CONCATENATE("R4C",'Mapa final'!$R$28),"")</f>
        <v/>
      </c>
      <c r="N19" s="52" t="str">
        <f>IF(AND('Mapa final'!$AB$29="Alta",'Mapa final'!$AD$29="Leve"),CONCATENATE("R4C",'Mapa final'!$R$29),"")</f>
        <v/>
      </c>
      <c r="O19" s="53" t="str">
        <f>IF(AND('Mapa final'!$AB$30="Alta",'Mapa final'!$AD$30="Leve"),CONCATENATE("R4C",'Mapa final'!$R$30),"")</f>
        <v/>
      </c>
      <c r="P19" s="51" t="str">
        <f>IF(AND('Mapa final'!$AB$25="Alta",'Mapa final'!$AD$25="Menor"),CONCATENATE("R4C",'Mapa final'!$R$25),"")</f>
        <v/>
      </c>
      <c r="Q19" s="52" t="str">
        <f>IF(AND('Mapa final'!$AB$26="Alta",'Mapa final'!$AD$26="Menor"),CONCATENATE("R4C",'Mapa final'!$R$26),"")</f>
        <v/>
      </c>
      <c r="R19" s="52" t="str">
        <f>IF(AND('Mapa final'!$AB$27="Alta",'Mapa final'!$AD$27="Menor"),CONCATENATE("R4C",'Mapa final'!$R$27),"")</f>
        <v/>
      </c>
      <c r="S19" s="52" t="str">
        <f>IF(AND('Mapa final'!$AB$28="Alta",'Mapa final'!$AD$28="Menor"),CONCATENATE("R4C",'Mapa final'!$R$28),"")</f>
        <v/>
      </c>
      <c r="T19" s="52" t="str">
        <f>IF(AND('Mapa final'!$AB$29="Alta",'Mapa final'!$AD$29="Menor"),CONCATENATE("R4C",'Mapa final'!$R$29),"")</f>
        <v/>
      </c>
      <c r="U19" s="53" t="str">
        <f>IF(AND('Mapa final'!$AB$30="Alta",'Mapa final'!$AD$30="Menor"),CONCATENATE("R4C",'Mapa final'!$R$30),"")</f>
        <v/>
      </c>
      <c r="V19" s="36" t="str">
        <f>IF(AND('Mapa final'!$AB$25="Alta",'Mapa final'!$AD$25="Moderado"),CONCATENATE("R4C",'Mapa final'!$R$25),"")</f>
        <v/>
      </c>
      <c r="W19" s="37" t="str">
        <f>IF(AND('Mapa final'!$AB$26="Alta",'Mapa final'!$AD$26="Moderado"),CONCATENATE("R4C",'Mapa final'!$R$26),"")</f>
        <v/>
      </c>
      <c r="X19" s="37" t="str">
        <f>IF(AND('Mapa final'!$AB$27="Alta",'Mapa final'!$AD$27="Moderado"),CONCATENATE("R4C",'Mapa final'!$R$27),"")</f>
        <v/>
      </c>
      <c r="Y19" s="37" t="str">
        <f>IF(AND('Mapa final'!$AB$28="Alta",'Mapa final'!$AD$28="Moderado"),CONCATENATE("R4C",'Mapa final'!$R$28),"")</f>
        <v/>
      </c>
      <c r="Z19" s="37" t="str">
        <f>IF(AND('Mapa final'!$AB$29="Alta",'Mapa final'!$AD$29="Moderado"),CONCATENATE("R4C",'Mapa final'!$R$29),"")</f>
        <v/>
      </c>
      <c r="AA19" s="38" t="str">
        <f>IF(AND('Mapa final'!$AB$30="Alta",'Mapa final'!$AD$30="Moderado"),CONCATENATE("R4C",'Mapa final'!$R$30),"")</f>
        <v/>
      </c>
      <c r="AB19" s="36" t="str">
        <f>IF(AND('Mapa final'!$AB$25="Alta",'Mapa final'!$AD$25="Mayor"),CONCATENATE("R4C",'Mapa final'!$R$25),"")</f>
        <v/>
      </c>
      <c r="AC19" s="37" t="str">
        <f>IF(AND('Mapa final'!$AB$26="Alta",'Mapa final'!$AD$26="Mayor"),CONCATENATE("R4C",'Mapa final'!$R$26),"")</f>
        <v/>
      </c>
      <c r="AD19" s="37" t="str">
        <f>IF(AND('Mapa final'!$AB$27="Alta",'Mapa final'!$AD$27="Mayor"),CONCATENATE("R4C",'Mapa final'!$R$27),"")</f>
        <v/>
      </c>
      <c r="AE19" s="37" t="str">
        <f>IF(AND('Mapa final'!$AB$28="Alta",'Mapa final'!$AD$28="Mayor"),CONCATENATE("R4C",'Mapa final'!$R$28),"")</f>
        <v/>
      </c>
      <c r="AF19" s="37" t="str">
        <f>IF(AND('Mapa final'!$AB$29="Alta",'Mapa final'!$AD$29="Mayor"),CONCATENATE("R4C",'Mapa final'!$R$29),"")</f>
        <v/>
      </c>
      <c r="AG19" s="38" t="str">
        <f>IF(AND('Mapa final'!$AB$30="Alta",'Mapa final'!$AD$30="Mayor"),CONCATENATE("R4C",'Mapa final'!$R$30),"")</f>
        <v/>
      </c>
      <c r="AH19" s="39" t="str">
        <f>IF(AND('Mapa final'!$AB$25="Alta",'Mapa final'!$AD$25="Catastrófico"),CONCATENATE("R4C",'Mapa final'!$R$25),"")</f>
        <v/>
      </c>
      <c r="AI19" s="40" t="str">
        <f>IF(AND('Mapa final'!$AB$26="Alta",'Mapa final'!$AD$26="Catastrófico"),CONCATENATE("R4C",'Mapa final'!$R$26),"")</f>
        <v/>
      </c>
      <c r="AJ19" s="40" t="str">
        <f>IF(AND('Mapa final'!$AB$27="Alta",'Mapa final'!$AD$27="Catastrófico"),CONCATENATE("R4C",'Mapa final'!$R$27),"")</f>
        <v/>
      </c>
      <c r="AK19" s="40" t="str">
        <f>IF(AND('Mapa final'!$AB$28="Alta",'Mapa final'!$AD$28="Catastrófico"),CONCATENATE("R4C",'Mapa final'!$R$28),"")</f>
        <v/>
      </c>
      <c r="AL19" s="40" t="str">
        <f>IF(AND('Mapa final'!$AB$29="Alta",'Mapa final'!$AD$29="Catastrófico"),CONCATENATE("R4C",'Mapa final'!$R$29),"")</f>
        <v/>
      </c>
      <c r="AM19" s="41" t="str">
        <f>IF(AND('Mapa final'!$AB$30="Alta",'Mapa final'!$AD$30="Catastrófico"),CONCATENATE("R4C",'Mapa final'!$R$30),"")</f>
        <v/>
      </c>
      <c r="AN19" s="67"/>
      <c r="AO19" s="559"/>
      <c r="AP19" s="560"/>
      <c r="AQ19" s="560"/>
      <c r="AR19" s="560"/>
      <c r="AS19" s="560"/>
      <c r="AT19" s="56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70"/>
      <c r="C20" s="470"/>
      <c r="D20" s="471"/>
      <c r="E20" s="569"/>
      <c r="F20" s="568"/>
      <c r="G20" s="568"/>
      <c r="H20" s="568"/>
      <c r="I20" s="568"/>
      <c r="J20" s="51" t="str">
        <f>IF(AND('Mapa final'!$AB$31="Alta",'Mapa final'!$AD$31="Leve"),CONCATENATE("R5C",'Mapa final'!$R$31),"")</f>
        <v/>
      </c>
      <c r="K20" s="52" t="str">
        <f>IF(AND('Mapa final'!$AB$32="Alta",'Mapa final'!$AD$32="Leve"),CONCATENATE("R5C",'Mapa final'!$R$32),"")</f>
        <v/>
      </c>
      <c r="L20" s="52" t="str">
        <f>IF(AND('Mapa final'!$AB$33="Alta",'Mapa final'!$AD$33="Leve"),CONCATENATE("R5C",'Mapa final'!$R$33),"")</f>
        <v/>
      </c>
      <c r="M20" s="52" t="str">
        <f>IF(AND('Mapa final'!$AB$34="Alta",'Mapa final'!$AD$34="Leve"),CONCATENATE("R5C",'Mapa final'!$R$34),"")</f>
        <v/>
      </c>
      <c r="N20" s="52" t="str">
        <f>IF(AND('Mapa final'!$AB$35="Alta",'Mapa final'!$AD$35="Leve"),CONCATENATE("R5C",'Mapa final'!$R$35),"")</f>
        <v/>
      </c>
      <c r="O20" s="53" t="str">
        <f>IF(AND('Mapa final'!$AB$36="Alta",'Mapa final'!$AD$36="Leve"),CONCATENATE("R5C",'Mapa final'!$R$36),"")</f>
        <v/>
      </c>
      <c r="P20" s="51" t="str">
        <f>IF(AND('Mapa final'!$AB$31="Alta",'Mapa final'!$AD$31="Menor"),CONCATENATE("R5C",'Mapa final'!$R$31),"")</f>
        <v/>
      </c>
      <c r="Q20" s="52" t="str">
        <f>IF(AND('Mapa final'!$AB$32="Alta",'Mapa final'!$AD$32="Menor"),CONCATENATE("R5C",'Mapa final'!$R$32),"")</f>
        <v/>
      </c>
      <c r="R20" s="52" t="str">
        <f>IF(AND('Mapa final'!$AB$33="Alta",'Mapa final'!$AD$33="Menor"),CONCATENATE("R5C",'Mapa final'!$R$33),"")</f>
        <v/>
      </c>
      <c r="S20" s="52" t="str">
        <f>IF(AND('Mapa final'!$AB$34="Alta",'Mapa final'!$AD$34="Menor"),CONCATENATE("R5C",'Mapa final'!$R$34),"")</f>
        <v/>
      </c>
      <c r="T20" s="52" t="str">
        <f>IF(AND('Mapa final'!$AB$35="Alta",'Mapa final'!$AD$35="Menor"),CONCATENATE("R5C",'Mapa final'!$R$35),"")</f>
        <v/>
      </c>
      <c r="U20" s="53" t="str">
        <f>IF(AND('Mapa final'!$AB$36="Alta",'Mapa final'!$AD$36="Menor"),CONCATENATE("R5C",'Mapa final'!$R$36),"")</f>
        <v/>
      </c>
      <c r="V20" s="36" t="str">
        <f>IF(AND('Mapa final'!$AB$31="Alta",'Mapa final'!$AD$31="Moderado"),CONCATENATE("R5C",'Mapa final'!$R$31),"")</f>
        <v/>
      </c>
      <c r="W20" s="37" t="str">
        <f>IF(AND('Mapa final'!$AB$32="Alta",'Mapa final'!$AD$32="Moderado"),CONCATENATE("R5C",'Mapa final'!$R$32),"")</f>
        <v/>
      </c>
      <c r="X20" s="37" t="str">
        <f>IF(AND('Mapa final'!$AB$33="Alta",'Mapa final'!$AD$33="Moderado"),CONCATENATE("R5C",'Mapa final'!$R$33),"")</f>
        <v/>
      </c>
      <c r="Y20" s="37" t="str">
        <f>IF(AND('Mapa final'!$AB$34="Alta",'Mapa final'!$AD$34="Moderado"),CONCATENATE("R5C",'Mapa final'!$R$34),"")</f>
        <v/>
      </c>
      <c r="Z20" s="37" t="str">
        <f>IF(AND('Mapa final'!$AB$35="Alta",'Mapa final'!$AD$35="Moderado"),CONCATENATE("R5C",'Mapa final'!$R$35),"")</f>
        <v/>
      </c>
      <c r="AA20" s="38" t="str">
        <f>IF(AND('Mapa final'!$AB$36="Alta",'Mapa final'!$AD$36="Moderado"),CONCATENATE("R5C",'Mapa final'!$R$36),"")</f>
        <v/>
      </c>
      <c r="AB20" s="36" t="str">
        <f>IF(AND('Mapa final'!$AB$31="Alta",'Mapa final'!$AD$31="Mayor"),CONCATENATE("R5C",'Mapa final'!$R$31),"")</f>
        <v/>
      </c>
      <c r="AC20" s="37" t="str">
        <f>IF(AND('Mapa final'!$AB$32="Alta",'Mapa final'!$AD$32="Mayor"),CONCATENATE("R5C",'Mapa final'!$R$32),"")</f>
        <v/>
      </c>
      <c r="AD20" s="37" t="str">
        <f>IF(AND('Mapa final'!$AB$33="Alta",'Mapa final'!$AD$33="Mayor"),CONCATENATE("R5C",'Mapa final'!$R$33),"")</f>
        <v/>
      </c>
      <c r="AE20" s="37" t="str">
        <f>IF(AND('Mapa final'!$AB$34="Alta",'Mapa final'!$AD$34="Mayor"),CONCATENATE("R5C",'Mapa final'!$R$34),"")</f>
        <v/>
      </c>
      <c r="AF20" s="37" t="str">
        <f>IF(AND('Mapa final'!$AB$35="Alta",'Mapa final'!$AD$35="Mayor"),CONCATENATE("R5C",'Mapa final'!$R$35),"")</f>
        <v/>
      </c>
      <c r="AG20" s="38" t="str">
        <f>IF(AND('Mapa final'!$AB$36="Alta",'Mapa final'!$AD$36="Mayor"),CONCATENATE("R5C",'Mapa final'!$R$36),"")</f>
        <v/>
      </c>
      <c r="AH20" s="39" t="str">
        <f>IF(AND('Mapa final'!$AB$31="Alta",'Mapa final'!$AD$31="Catastrófico"),CONCATENATE("R5C",'Mapa final'!$R$31),"")</f>
        <v/>
      </c>
      <c r="AI20" s="40" t="str">
        <f>IF(AND('Mapa final'!$AB$32="Alta",'Mapa final'!$AD$32="Catastrófico"),CONCATENATE("R5C",'Mapa final'!$R$32),"")</f>
        <v/>
      </c>
      <c r="AJ20" s="40" t="str">
        <f>IF(AND('Mapa final'!$AB$33="Alta",'Mapa final'!$AD$33="Catastrófico"),CONCATENATE("R5C",'Mapa final'!$R$33),"")</f>
        <v/>
      </c>
      <c r="AK20" s="40" t="str">
        <f>IF(AND('Mapa final'!$AB$34="Alta",'Mapa final'!$AD$34="Catastrófico"),CONCATENATE("R5C",'Mapa final'!$R$34),"")</f>
        <v/>
      </c>
      <c r="AL20" s="40" t="str">
        <f>IF(AND('Mapa final'!$AB$35="Alta",'Mapa final'!$AD$35="Catastrófico"),CONCATENATE("R5C",'Mapa final'!$R$35),"")</f>
        <v/>
      </c>
      <c r="AM20" s="41" t="str">
        <f>IF(AND('Mapa final'!$AB$36="Alta",'Mapa final'!$AD$36="Catastrófico"),CONCATENATE("R5C",'Mapa final'!$R$36),"")</f>
        <v/>
      </c>
      <c r="AN20" s="67"/>
      <c r="AO20" s="559"/>
      <c r="AP20" s="560"/>
      <c r="AQ20" s="560"/>
      <c r="AR20" s="560"/>
      <c r="AS20" s="560"/>
      <c r="AT20" s="56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70"/>
      <c r="C21" s="470"/>
      <c r="D21" s="471"/>
      <c r="E21" s="569"/>
      <c r="F21" s="568"/>
      <c r="G21" s="568"/>
      <c r="H21" s="568"/>
      <c r="I21" s="568"/>
      <c r="J21" s="51" t="str">
        <f>IF(AND('Mapa final'!$AB$37="Alta",'Mapa final'!$AD$37="Leve"),CONCATENATE("R6C",'Mapa final'!$R$37),"")</f>
        <v/>
      </c>
      <c r="K21" s="52" t="str">
        <f>IF(AND('Mapa final'!$AB$38="Alta",'Mapa final'!$AD$38="Leve"),CONCATENATE("R6C",'Mapa final'!$R$38),"")</f>
        <v/>
      </c>
      <c r="L21" s="52" t="str">
        <f>IF(AND('Mapa final'!$AB$39="Alta",'Mapa final'!$AD$39="Leve"),CONCATENATE("R6C",'Mapa final'!$R$39),"")</f>
        <v/>
      </c>
      <c r="M21" s="52" t="str">
        <f>IF(AND('Mapa final'!$AB$40="Alta",'Mapa final'!$AD$40="Leve"),CONCATENATE("R6C",'Mapa final'!$R$40),"")</f>
        <v/>
      </c>
      <c r="N21" s="52" t="str">
        <f>IF(AND('Mapa final'!$AB$41="Alta",'Mapa final'!$AD$41="Leve"),CONCATENATE("R6C",'Mapa final'!$R$41),"")</f>
        <v/>
      </c>
      <c r="O21" s="53" t="str">
        <f>IF(AND('Mapa final'!$AB$42="Alta",'Mapa final'!$AD$42="Leve"),CONCATENATE("R6C",'Mapa final'!$R$42),"")</f>
        <v/>
      </c>
      <c r="P21" s="51" t="str">
        <f>IF(AND('Mapa final'!$AB$37="Alta",'Mapa final'!$AD$37="Menor"),CONCATENATE("R6C",'Mapa final'!$R$37),"")</f>
        <v/>
      </c>
      <c r="Q21" s="52" t="str">
        <f>IF(AND('Mapa final'!$AB$38="Alta",'Mapa final'!$AD$38="Menor"),CONCATENATE("R6C",'Mapa final'!$R$38),"")</f>
        <v/>
      </c>
      <c r="R21" s="52" t="str">
        <f>IF(AND('Mapa final'!$AB$39="Alta",'Mapa final'!$AD$39="Menor"),CONCATENATE("R6C",'Mapa final'!$R$39),"")</f>
        <v/>
      </c>
      <c r="S21" s="52" t="str">
        <f>IF(AND('Mapa final'!$AB$40="Alta",'Mapa final'!$AD$40="Menor"),CONCATENATE("R6C",'Mapa final'!$R$40),"")</f>
        <v/>
      </c>
      <c r="T21" s="52" t="str">
        <f>IF(AND('Mapa final'!$AB$41="Alta",'Mapa final'!$AD$41="Menor"),CONCATENATE("R6C",'Mapa final'!$R$41),"")</f>
        <v/>
      </c>
      <c r="U21" s="53" t="str">
        <f>IF(AND('Mapa final'!$AB$42="Alta",'Mapa final'!$AD$42="Menor"),CONCATENATE("R6C",'Mapa final'!$R$42),"")</f>
        <v/>
      </c>
      <c r="V21" s="36" t="str">
        <f>IF(AND('Mapa final'!$AB$37="Alta",'Mapa final'!$AD$37="Moderado"),CONCATENATE("R6C",'Mapa final'!$R$37),"")</f>
        <v/>
      </c>
      <c r="W21" s="37" t="str">
        <f>IF(AND('Mapa final'!$AB$38="Alta",'Mapa final'!$AD$38="Moderado"),CONCATENATE("R6C",'Mapa final'!$R$38),"")</f>
        <v/>
      </c>
      <c r="X21" s="37" t="str">
        <f>IF(AND('Mapa final'!$AB$39="Alta",'Mapa final'!$AD$39="Moderado"),CONCATENATE("R6C",'Mapa final'!$R$39),"")</f>
        <v/>
      </c>
      <c r="Y21" s="37" t="str">
        <f>IF(AND('Mapa final'!$AB$40="Alta",'Mapa final'!$AD$40="Moderado"),CONCATENATE("R6C",'Mapa final'!$R$40),"")</f>
        <v/>
      </c>
      <c r="Z21" s="37" t="str">
        <f>IF(AND('Mapa final'!$AB$41="Alta",'Mapa final'!$AD$41="Moderado"),CONCATENATE("R6C",'Mapa final'!$R$41),"")</f>
        <v/>
      </c>
      <c r="AA21" s="38" t="str">
        <f>IF(AND('Mapa final'!$AB$42="Alta",'Mapa final'!$AD$42="Moderado"),CONCATENATE("R6C",'Mapa final'!$R$42),"")</f>
        <v/>
      </c>
      <c r="AB21" s="36" t="str">
        <f>IF(AND('Mapa final'!$AB$37="Alta",'Mapa final'!$AD$37="Mayor"),CONCATENATE("R6C",'Mapa final'!$R$37),"")</f>
        <v/>
      </c>
      <c r="AC21" s="37" t="str">
        <f>IF(AND('Mapa final'!$AB$38="Alta",'Mapa final'!$AD$38="Mayor"),CONCATENATE("R6C",'Mapa final'!$R$38),"")</f>
        <v/>
      </c>
      <c r="AD21" s="37" t="str">
        <f>IF(AND('Mapa final'!$AB$39="Alta",'Mapa final'!$AD$39="Mayor"),CONCATENATE("R6C",'Mapa final'!$R$39),"")</f>
        <v/>
      </c>
      <c r="AE21" s="37" t="str">
        <f>IF(AND('Mapa final'!$AB$40="Alta",'Mapa final'!$AD$40="Mayor"),CONCATENATE("R6C",'Mapa final'!$R$40),"")</f>
        <v/>
      </c>
      <c r="AF21" s="37" t="str">
        <f>IF(AND('Mapa final'!$AB$41="Alta",'Mapa final'!$AD$41="Mayor"),CONCATENATE("R6C",'Mapa final'!$R$41),"")</f>
        <v/>
      </c>
      <c r="AG21" s="38" t="str">
        <f>IF(AND('Mapa final'!$AB$42="Alta",'Mapa final'!$AD$42="Mayor"),CONCATENATE("R6C",'Mapa final'!$R$42),"")</f>
        <v/>
      </c>
      <c r="AH21" s="39" t="str">
        <f>IF(AND('Mapa final'!$AB$37="Alta",'Mapa final'!$AD$37="Catastrófico"),CONCATENATE("R6C",'Mapa final'!$R$37),"")</f>
        <v/>
      </c>
      <c r="AI21" s="40" t="str">
        <f>IF(AND('Mapa final'!$AB$38="Alta",'Mapa final'!$AD$38="Catastrófico"),CONCATENATE("R6C",'Mapa final'!$R$38),"")</f>
        <v/>
      </c>
      <c r="AJ21" s="40" t="str">
        <f>IF(AND('Mapa final'!$AB$39="Alta",'Mapa final'!$AD$39="Catastrófico"),CONCATENATE("R6C",'Mapa final'!$R$39),"")</f>
        <v/>
      </c>
      <c r="AK21" s="40" t="str">
        <f>IF(AND('Mapa final'!$AB$40="Alta",'Mapa final'!$AD$40="Catastrófico"),CONCATENATE("R6C",'Mapa final'!$R$40),"")</f>
        <v/>
      </c>
      <c r="AL21" s="40" t="str">
        <f>IF(AND('Mapa final'!$AB$41="Alta",'Mapa final'!$AD$41="Catastrófico"),CONCATENATE("R6C",'Mapa final'!$R$41),"")</f>
        <v/>
      </c>
      <c r="AM21" s="41" t="str">
        <f>IF(AND('Mapa final'!$AB$42="Alta",'Mapa final'!$AD$42="Catastrófico"),CONCATENATE("R6C",'Mapa final'!$R$42),"")</f>
        <v/>
      </c>
      <c r="AN21" s="67"/>
      <c r="AO21" s="559"/>
      <c r="AP21" s="560"/>
      <c r="AQ21" s="560"/>
      <c r="AR21" s="560"/>
      <c r="AS21" s="560"/>
      <c r="AT21" s="56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70"/>
      <c r="C22" s="470"/>
      <c r="D22" s="471"/>
      <c r="E22" s="569"/>
      <c r="F22" s="568"/>
      <c r="G22" s="568"/>
      <c r="H22" s="568"/>
      <c r="I22" s="568"/>
      <c r="J22" s="51" t="str">
        <f>IF(AND('Mapa final'!$AB$43="Alta",'Mapa final'!$AD$43="Leve"),CONCATENATE("R7C",'Mapa final'!$R$43),"")</f>
        <v/>
      </c>
      <c r="K22" s="52" t="str">
        <f>IF(AND('Mapa final'!$AB$44="Alta",'Mapa final'!$AD$44="Leve"),CONCATENATE("R7C",'Mapa final'!$R$44),"")</f>
        <v/>
      </c>
      <c r="L22" s="52" t="str">
        <f>IF(AND('Mapa final'!$AB$45="Alta",'Mapa final'!$AD$45="Leve"),CONCATENATE("R7C",'Mapa final'!$R$45),"")</f>
        <v/>
      </c>
      <c r="M22" s="52" t="str">
        <f>IF(AND('Mapa final'!$AB$46="Alta",'Mapa final'!$AD$46="Leve"),CONCATENATE("R7C",'Mapa final'!$R$46),"")</f>
        <v/>
      </c>
      <c r="N22" s="52" t="str">
        <f>IF(AND('Mapa final'!$AB$47="Alta",'Mapa final'!$AD$47="Leve"),CONCATENATE("R7C",'Mapa final'!$R$47),"")</f>
        <v/>
      </c>
      <c r="O22" s="53" t="str">
        <f>IF(AND('Mapa final'!$AB$48="Alta",'Mapa final'!$AD$48="Leve"),CONCATENATE("R7C",'Mapa final'!$R$48),"")</f>
        <v/>
      </c>
      <c r="P22" s="51" t="str">
        <f>IF(AND('Mapa final'!$AB$43="Alta",'Mapa final'!$AD$43="Menor"),CONCATENATE("R7C",'Mapa final'!$R$43),"")</f>
        <v/>
      </c>
      <c r="Q22" s="52" t="str">
        <f>IF(AND('Mapa final'!$AB$44="Alta",'Mapa final'!$AD$44="Menor"),CONCATENATE("R7C",'Mapa final'!$R$44),"")</f>
        <v/>
      </c>
      <c r="R22" s="52" t="str">
        <f>IF(AND('Mapa final'!$AB$45="Alta",'Mapa final'!$AD$45="Menor"),CONCATENATE("R7C",'Mapa final'!$R$45),"")</f>
        <v/>
      </c>
      <c r="S22" s="52" t="str">
        <f>IF(AND('Mapa final'!$AB$46="Alta",'Mapa final'!$AD$46="Menor"),CONCATENATE("R7C",'Mapa final'!$R$46),"")</f>
        <v/>
      </c>
      <c r="T22" s="52" t="str">
        <f>IF(AND('Mapa final'!$AB$47="Alta",'Mapa final'!$AD$47="Menor"),CONCATENATE("R7C",'Mapa final'!$R$47),"")</f>
        <v/>
      </c>
      <c r="U22" s="53" t="str">
        <f>IF(AND('Mapa final'!$AB$48="Alta",'Mapa final'!$AD$48="Menor"),CONCATENATE("R7C",'Mapa final'!$R$48),"")</f>
        <v/>
      </c>
      <c r="V22" s="36" t="str">
        <f>IF(AND('Mapa final'!$AB$43="Alta",'Mapa final'!$AD$43="Moderado"),CONCATENATE("R7C",'Mapa final'!$R$43),"")</f>
        <v/>
      </c>
      <c r="W22" s="37" t="str">
        <f>IF(AND('Mapa final'!$AB$44="Alta",'Mapa final'!$AD$44="Moderado"),CONCATENATE("R7C",'Mapa final'!$R$44),"")</f>
        <v/>
      </c>
      <c r="X22" s="37" t="str">
        <f>IF(AND('Mapa final'!$AB$45="Alta",'Mapa final'!$AD$45="Moderado"),CONCATENATE("R7C",'Mapa final'!$R$45),"")</f>
        <v/>
      </c>
      <c r="Y22" s="37" t="str">
        <f>IF(AND('Mapa final'!$AB$46="Alta",'Mapa final'!$AD$46="Moderado"),CONCATENATE("R7C",'Mapa final'!$R$46),"")</f>
        <v/>
      </c>
      <c r="Z22" s="37" t="str">
        <f>IF(AND('Mapa final'!$AB$47="Alta",'Mapa final'!$AD$47="Moderado"),CONCATENATE("R7C",'Mapa final'!$R$47),"")</f>
        <v/>
      </c>
      <c r="AA22" s="38" t="str">
        <f>IF(AND('Mapa final'!$AB$48="Alta",'Mapa final'!$AD$48="Moderado"),CONCATENATE("R7C",'Mapa final'!$R$48),"")</f>
        <v/>
      </c>
      <c r="AB22" s="36" t="str">
        <f>IF(AND('Mapa final'!$AB$43="Alta",'Mapa final'!$AD$43="Mayor"),CONCATENATE("R7C",'Mapa final'!$R$43),"")</f>
        <v/>
      </c>
      <c r="AC22" s="37" t="str">
        <f>IF(AND('Mapa final'!$AB$44="Alta",'Mapa final'!$AD$44="Mayor"),CONCATENATE("R7C",'Mapa final'!$R$44),"")</f>
        <v/>
      </c>
      <c r="AD22" s="37" t="str">
        <f>IF(AND('Mapa final'!$AB$45="Alta",'Mapa final'!$AD$45="Mayor"),CONCATENATE("R7C",'Mapa final'!$R$45),"")</f>
        <v/>
      </c>
      <c r="AE22" s="37" t="str">
        <f>IF(AND('Mapa final'!$AB$46="Alta",'Mapa final'!$AD$46="Mayor"),CONCATENATE("R7C",'Mapa final'!$R$46),"")</f>
        <v/>
      </c>
      <c r="AF22" s="37" t="str">
        <f>IF(AND('Mapa final'!$AB$47="Alta",'Mapa final'!$AD$47="Mayor"),CONCATENATE("R7C",'Mapa final'!$R$47),"")</f>
        <v/>
      </c>
      <c r="AG22" s="38" t="str">
        <f>IF(AND('Mapa final'!$AB$48="Alta",'Mapa final'!$AD$48="Mayor"),CONCATENATE("R7C",'Mapa final'!$R$48),"")</f>
        <v/>
      </c>
      <c r="AH22" s="39" t="str">
        <f>IF(AND('Mapa final'!$AB$43="Alta",'Mapa final'!$AD$43="Catastrófico"),CONCATENATE("R7C",'Mapa final'!$R$43),"")</f>
        <v/>
      </c>
      <c r="AI22" s="40" t="str">
        <f>IF(AND('Mapa final'!$AB$44="Alta",'Mapa final'!$AD$44="Catastrófico"),CONCATENATE("R7C",'Mapa final'!$R$44),"")</f>
        <v/>
      </c>
      <c r="AJ22" s="40" t="str">
        <f>IF(AND('Mapa final'!$AB$45="Alta",'Mapa final'!$AD$45="Catastrófico"),CONCATENATE("R7C",'Mapa final'!$R$45),"")</f>
        <v/>
      </c>
      <c r="AK22" s="40" t="str">
        <f>IF(AND('Mapa final'!$AB$46="Alta",'Mapa final'!$AD$46="Catastrófico"),CONCATENATE("R7C",'Mapa final'!$R$46),"")</f>
        <v/>
      </c>
      <c r="AL22" s="40" t="str">
        <f>IF(AND('Mapa final'!$AB$47="Alta",'Mapa final'!$AD$47="Catastrófico"),CONCATENATE("R7C",'Mapa final'!$R$47),"")</f>
        <v/>
      </c>
      <c r="AM22" s="41" t="str">
        <f>IF(AND('Mapa final'!$AB$48="Alta",'Mapa final'!$AD$48="Catastrófico"),CONCATENATE("R7C",'Mapa final'!$R$48),"")</f>
        <v/>
      </c>
      <c r="AN22" s="67"/>
      <c r="AO22" s="559"/>
      <c r="AP22" s="560"/>
      <c r="AQ22" s="560"/>
      <c r="AR22" s="560"/>
      <c r="AS22" s="560"/>
      <c r="AT22" s="56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70"/>
      <c r="C23" s="470"/>
      <c r="D23" s="471"/>
      <c r="E23" s="569"/>
      <c r="F23" s="568"/>
      <c r="G23" s="568"/>
      <c r="H23" s="568"/>
      <c r="I23" s="568"/>
      <c r="J23" s="51" t="str">
        <f>IF(AND('Mapa final'!$AB$49="Alta",'Mapa final'!$AD$49="Leve"),CONCATENATE("R8C",'Mapa final'!$R$49),"")</f>
        <v/>
      </c>
      <c r="K23" s="52" t="str">
        <f>IF(AND('Mapa final'!$AB$50="Alta",'Mapa final'!$AD$50="Leve"),CONCATENATE("R8C",'Mapa final'!$R$50),"")</f>
        <v/>
      </c>
      <c r="L23" s="52" t="str">
        <f>IF(AND('Mapa final'!$AB$51="Alta",'Mapa final'!$AD$51="Leve"),CONCATENATE("R8C",'Mapa final'!$R$51),"")</f>
        <v/>
      </c>
      <c r="M23" s="52" t="str">
        <f>IF(AND('Mapa final'!$AB$52="Alta",'Mapa final'!$AD$52="Leve"),CONCATENATE("R8C",'Mapa final'!$R$52),"")</f>
        <v/>
      </c>
      <c r="N23" s="52" t="str">
        <f>IF(AND('Mapa final'!$AB$53="Alta",'Mapa final'!$AD$53="Leve"),CONCATENATE("R8C",'Mapa final'!$R$53),"")</f>
        <v/>
      </c>
      <c r="O23" s="53" t="str">
        <f>IF(AND('Mapa final'!$AB$54="Alta",'Mapa final'!$AD$54="Leve"),CONCATENATE("R8C",'Mapa final'!$R$54),"")</f>
        <v/>
      </c>
      <c r="P23" s="51" t="str">
        <f>IF(AND('Mapa final'!$AB$49="Alta",'Mapa final'!$AD$49="Menor"),CONCATENATE("R8C",'Mapa final'!$R$49),"")</f>
        <v/>
      </c>
      <c r="Q23" s="52" t="str">
        <f>IF(AND('Mapa final'!$AB$50="Alta",'Mapa final'!$AD$50="Menor"),CONCATENATE("R8C",'Mapa final'!$R$50),"")</f>
        <v/>
      </c>
      <c r="R23" s="52" t="str">
        <f>IF(AND('Mapa final'!$AB$51="Alta",'Mapa final'!$AD$51="Menor"),CONCATENATE("R8C",'Mapa final'!$R$51),"")</f>
        <v/>
      </c>
      <c r="S23" s="52" t="str">
        <f>IF(AND('Mapa final'!$AB$52="Alta",'Mapa final'!$AD$52="Menor"),CONCATENATE("R8C",'Mapa final'!$R$52),"")</f>
        <v/>
      </c>
      <c r="T23" s="52" t="str">
        <f>IF(AND('Mapa final'!$AB$53="Alta",'Mapa final'!$AD$53="Menor"),CONCATENATE("R8C",'Mapa final'!$R$53),"")</f>
        <v/>
      </c>
      <c r="U23" s="53" t="str">
        <f>IF(AND('Mapa final'!$AB$54="Alta",'Mapa final'!$AD$54="Menor"),CONCATENATE("R8C",'Mapa final'!$R$54),"")</f>
        <v/>
      </c>
      <c r="V23" s="36" t="str">
        <f>IF(AND('Mapa final'!$AB$49="Alta",'Mapa final'!$AD$49="Moderado"),CONCATENATE("R8C",'Mapa final'!$R$49),"")</f>
        <v/>
      </c>
      <c r="W23" s="37" t="str">
        <f>IF(AND('Mapa final'!$AB$50="Alta",'Mapa final'!$AD$50="Moderado"),CONCATENATE("R8C",'Mapa final'!$R$50),"")</f>
        <v/>
      </c>
      <c r="X23" s="37" t="str">
        <f>IF(AND('Mapa final'!$AB$51="Alta",'Mapa final'!$AD$51="Moderado"),CONCATENATE("R8C",'Mapa final'!$R$51),"")</f>
        <v/>
      </c>
      <c r="Y23" s="37" t="str">
        <f>IF(AND('Mapa final'!$AB$52="Alta",'Mapa final'!$AD$52="Moderado"),CONCATENATE("R8C",'Mapa final'!$R$52),"")</f>
        <v/>
      </c>
      <c r="Z23" s="37" t="str">
        <f>IF(AND('Mapa final'!$AB$53="Alta",'Mapa final'!$AD$53="Moderado"),CONCATENATE("R8C",'Mapa final'!$R$53),"")</f>
        <v/>
      </c>
      <c r="AA23" s="38" t="str">
        <f>IF(AND('Mapa final'!$AB$54="Alta",'Mapa final'!$AD$54="Moderado"),CONCATENATE("R8C",'Mapa final'!$R$54),"")</f>
        <v/>
      </c>
      <c r="AB23" s="36" t="str">
        <f>IF(AND('Mapa final'!$AB$49="Alta",'Mapa final'!$AD$49="Mayor"),CONCATENATE("R8C",'Mapa final'!$R$49),"")</f>
        <v/>
      </c>
      <c r="AC23" s="37" t="str">
        <f>IF(AND('Mapa final'!$AB$50="Alta",'Mapa final'!$AD$50="Mayor"),CONCATENATE("R8C",'Mapa final'!$R$50),"")</f>
        <v/>
      </c>
      <c r="AD23" s="37" t="str">
        <f>IF(AND('Mapa final'!$AB$51="Alta",'Mapa final'!$AD$51="Mayor"),CONCATENATE("R8C",'Mapa final'!$R$51),"")</f>
        <v/>
      </c>
      <c r="AE23" s="37" t="str">
        <f>IF(AND('Mapa final'!$AB$52="Alta",'Mapa final'!$AD$52="Mayor"),CONCATENATE("R8C",'Mapa final'!$R$52),"")</f>
        <v/>
      </c>
      <c r="AF23" s="37" t="str">
        <f>IF(AND('Mapa final'!$AB$53="Alta",'Mapa final'!$AD$53="Mayor"),CONCATENATE("R8C",'Mapa final'!$R$53),"")</f>
        <v/>
      </c>
      <c r="AG23" s="38" t="str">
        <f>IF(AND('Mapa final'!$AB$54="Alta",'Mapa final'!$AD$54="Mayor"),CONCATENATE("R8C",'Mapa final'!$R$54),"")</f>
        <v/>
      </c>
      <c r="AH23" s="39" t="str">
        <f>IF(AND('Mapa final'!$AB$49="Alta",'Mapa final'!$AD$49="Catastrófico"),CONCATENATE("R8C",'Mapa final'!$R$49),"")</f>
        <v/>
      </c>
      <c r="AI23" s="40" t="str">
        <f>IF(AND('Mapa final'!$AB$50="Alta",'Mapa final'!$AD$50="Catastrófico"),CONCATENATE("R8C",'Mapa final'!$R$50),"")</f>
        <v/>
      </c>
      <c r="AJ23" s="40" t="str">
        <f>IF(AND('Mapa final'!$AB$51="Alta",'Mapa final'!$AD$51="Catastrófico"),CONCATENATE("R8C",'Mapa final'!$R$51),"")</f>
        <v/>
      </c>
      <c r="AK23" s="40" t="str">
        <f>IF(AND('Mapa final'!$AB$52="Alta",'Mapa final'!$AD$52="Catastrófico"),CONCATENATE("R8C",'Mapa final'!$R$52),"")</f>
        <v/>
      </c>
      <c r="AL23" s="40" t="str">
        <f>IF(AND('Mapa final'!$AB$53="Alta",'Mapa final'!$AD$53="Catastrófico"),CONCATENATE("R8C",'Mapa final'!$R$53),"")</f>
        <v/>
      </c>
      <c r="AM23" s="41" t="str">
        <f>IF(AND('Mapa final'!$AB$54="Alta",'Mapa final'!$AD$54="Catastrófico"),CONCATENATE("R8C",'Mapa final'!$R$54),"")</f>
        <v/>
      </c>
      <c r="AN23" s="67"/>
      <c r="AO23" s="559"/>
      <c r="AP23" s="560"/>
      <c r="AQ23" s="560"/>
      <c r="AR23" s="560"/>
      <c r="AS23" s="560"/>
      <c r="AT23" s="56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70"/>
      <c r="C24" s="470"/>
      <c r="D24" s="471"/>
      <c r="E24" s="569"/>
      <c r="F24" s="568"/>
      <c r="G24" s="568"/>
      <c r="H24" s="568"/>
      <c r="I24" s="568"/>
      <c r="J24" s="51" t="str">
        <f>IF(AND('Mapa final'!$AB$55="Alta",'Mapa final'!$AD$55="Leve"),CONCATENATE("R9C",'Mapa final'!$R$55),"")</f>
        <v/>
      </c>
      <c r="K24" s="52" t="str">
        <f>IF(AND('Mapa final'!$AB$56="Alta",'Mapa final'!$AD$56="Leve"),CONCATENATE("R9C",'Mapa final'!$R$56),"")</f>
        <v/>
      </c>
      <c r="L24" s="52" t="str">
        <f>IF(AND('Mapa final'!$AB$57="Alta",'Mapa final'!$AD$57="Leve"),CONCATENATE("R9C",'Mapa final'!$R$57),"")</f>
        <v/>
      </c>
      <c r="M24" s="52" t="str">
        <f>IF(AND('Mapa final'!$AB$58="Alta",'Mapa final'!$AD$58="Leve"),CONCATENATE("R9C",'Mapa final'!$R$58),"")</f>
        <v/>
      </c>
      <c r="N24" s="52" t="str">
        <f>IF(AND('Mapa final'!$AB$59="Alta",'Mapa final'!$AD$59="Leve"),CONCATENATE("R9C",'Mapa final'!$R$59),"")</f>
        <v/>
      </c>
      <c r="O24" s="53" t="str">
        <f>IF(AND('Mapa final'!$AB$60="Alta",'Mapa final'!$AD$60="Leve"),CONCATENATE("R9C",'Mapa final'!$R$60),"")</f>
        <v/>
      </c>
      <c r="P24" s="51" t="str">
        <f>IF(AND('Mapa final'!$AB$55="Alta",'Mapa final'!$AD$55="Menor"),CONCATENATE("R9C",'Mapa final'!$R$55),"")</f>
        <v/>
      </c>
      <c r="Q24" s="52" t="str">
        <f>IF(AND('Mapa final'!$AB$56="Alta",'Mapa final'!$AD$56="Menor"),CONCATENATE("R9C",'Mapa final'!$R$56),"")</f>
        <v/>
      </c>
      <c r="R24" s="52" t="str">
        <f>IF(AND('Mapa final'!$AB$57="Alta",'Mapa final'!$AD$57="Menor"),CONCATENATE("R9C",'Mapa final'!$R$57),"")</f>
        <v/>
      </c>
      <c r="S24" s="52" t="str">
        <f>IF(AND('Mapa final'!$AB$58="Alta",'Mapa final'!$AD$58="Menor"),CONCATENATE("R9C",'Mapa final'!$R$58),"")</f>
        <v/>
      </c>
      <c r="T24" s="52" t="str">
        <f>IF(AND('Mapa final'!$AB$59="Alta",'Mapa final'!$AD$59="Menor"),CONCATENATE("R9C",'Mapa final'!$R$59),"")</f>
        <v/>
      </c>
      <c r="U24" s="53" t="str">
        <f>IF(AND('Mapa final'!$AB$60="Alta",'Mapa final'!$AD$60="Menor"),CONCATENATE("R9C",'Mapa final'!$R$60),"")</f>
        <v/>
      </c>
      <c r="V24" s="36" t="str">
        <f>IF(AND('Mapa final'!$AB$55="Alta",'Mapa final'!$AD$55="Moderado"),CONCATENATE("R9C",'Mapa final'!$R$55),"")</f>
        <v/>
      </c>
      <c r="W24" s="37" t="str">
        <f>IF(AND('Mapa final'!$AB$56="Alta",'Mapa final'!$AD$56="Moderado"),CONCATENATE("R9C",'Mapa final'!$R$56),"")</f>
        <v/>
      </c>
      <c r="X24" s="37" t="str">
        <f>IF(AND('Mapa final'!$AB$57="Alta",'Mapa final'!$AD$57="Moderado"),CONCATENATE("R9C",'Mapa final'!$R$57),"")</f>
        <v/>
      </c>
      <c r="Y24" s="37" t="str">
        <f>IF(AND('Mapa final'!$AB$58="Alta",'Mapa final'!$AD$58="Moderado"),CONCATENATE("R9C",'Mapa final'!$R$58),"")</f>
        <v/>
      </c>
      <c r="Z24" s="37" t="str">
        <f>IF(AND('Mapa final'!$AB$59="Alta",'Mapa final'!$AD$59="Moderado"),CONCATENATE("R9C",'Mapa final'!$R$59),"")</f>
        <v/>
      </c>
      <c r="AA24" s="38" t="str">
        <f>IF(AND('Mapa final'!$AB$60="Alta",'Mapa final'!$AD$60="Moderado"),CONCATENATE("R9C",'Mapa final'!$R$60),"")</f>
        <v/>
      </c>
      <c r="AB24" s="36" t="str">
        <f>IF(AND('Mapa final'!$AB$55="Alta",'Mapa final'!$AD$55="Mayor"),CONCATENATE("R9C",'Mapa final'!$R$55),"")</f>
        <v/>
      </c>
      <c r="AC24" s="37" t="str">
        <f>IF(AND('Mapa final'!$AB$56="Alta",'Mapa final'!$AD$56="Mayor"),CONCATENATE("R9C",'Mapa final'!$R$56),"")</f>
        <v/>
      </c>
      <c r="AD24" s="37" t="str">
        <f>IF(AND('Mapa final'!$AB$57="Alta",'Mapa final'!$AD$57="Mayor"),CONCATENATE("R9C",'Mapa final'!$R$57),"")</f>
        <v/>
      </c>
      <c r="AE24" s="37" t="str">
        <f>IF(AND('Mapa final'!$AB$58="Alta",'Mapa final'!$AD$58="Mayor"),CONCATENATE("R9C",'Mapa final'!$R$58),"")</f>
        <v/>
      </c>
      <c r="AF24" s="37" t="str">
        <f>IF(AND('Mapa final'!$AB$59="Alta",'Mapa final'!$AD$59="Mayor"),CONCATENATE("R9C",'Mapa final'!$R$59),"")</f>
        <v/>
      </c>
      <c r="AG24" s="38" t="str">
        <f>IF(AND('Mapa final'!$AB$60="Alta",'Mapa final'!$AD$60="Mayor"),CONCATENATE("R9C",'Mapa final'!$R$60),"")</f>
        <v/>
      </c>
      <c r="AH24" s="39" t="str">
        <f>IF(AND('Mapa final'!$AB$55="Alta",'Mapa final'!$AD$55="Catastrófico"),CONCATENATE("R9C",'Mapa final'!$R$55),"")</f>
        <v/>
      </c>
      <c r="AI24" s="40" t="str">
        <f>IF(AND('Mapa final'!$AB$56="Alta",'Mapa final'!$AD$56="Catastrófico"),CONCATENATE("R9C",'Mapa final'!$R$56),"")</f>
        <v/>
      </c>
      <c r="AJ24" s="40" t="str">
        <f>IF(AND('Mapa final'!$AB$57="Alta",'Mapa final'!$AD$57="Catastrófico"),CONCATENATE("R9C",'Mapa final'!$R$57),"")</f>
        <v/>
      </c>
      <c r="AK24" s="40" t="str">
        <f>IF(AND('Mapa final'!$AB$58="Alta",'Mapa final'!$AD$58="Catastrófico"),CONCATENATE("R9C",'Mapa final'!$R$58),"")</f>
        <v/>
      </c>
      <c r="AL24" s="40" t="str">
        <f>IF(AND('Mapa final'!$AB$59="Alta",'Mapa final'!$AD$59="Catastrófico"),CONCATENATE("R9C",'Mapa final'!$R$59),"")</f>
        <v/>
      </c>
      <c r="AM24" s="41" t="str">
        <f>IF(AND('Mapa final'!$AB$60="Alta",'Mapa final'!$AD$60="Catastrófico"),CONCATENATE("R9C",'Mapa final'!$R$60),"")</f>
        <v/>
      </c>
      <c r="AN24" s="67"/>
      <c r="AO24" s="559"/>
      <c r="AP24" s="560"/>
      <c r="AQ24" s="560"/>
      <c r="AR24" s="560"/>
      <c r="AS24" s="560"/>
      <c r="AT24" s="56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70"/>
      <c r="C25" s="470"/>
      <c r="D25" s="471"/>
      <c r="E25" s="570"/>
      <c r="F25" s="571"/>
      <c r="G25" s="571"/>
      <c r="H25" s="571"/>
      <c r="I25" s="571"/>
      <c r="J25" s="54" t="str">
        <f>IF(AND('Mapa final'!$AB$61="Alta",'Mapa final'!$AD$61="Leve"),CONCATENATE("R10C",'Mapa final'!$R$61),"")</f>
        <v/>
      </c>
      <c r="K25" s="55" t="str">
        <f>IF(AND('Mapa final'!$AB$62="Alta",'Mapa final'!$AD$62="Leve"),CONCATENATE("R10C",'Mapa final'!$R$62),"")</f>
        <v/>
      </c>
      <c r="L25" s="55" t="str">
        <f>IF(AND('Mapa final'!$AB$63="Alta",'Mapa final'!$AD$63="Leve"),CONCATENATE("R10C",'Mapa final'!$R$63),"")</f>
        <v/>
      </c>
      <c r="M25" s="55" t="str">
        <f>IF(AND('Mapa final'!$AB$64="Alta",'Mapa final'!$AD$64="Leve"),CONCATENATE("R10C",'Mapa final'!$R$64),"")</f>
        <v/>
      </c>
      <c r="N25" s="55" t="str">
        <f>IF(AND('Mapa final'!$AB$65="Alta",'Mapa final'!$AD$65="Leve"),CONCATENATE("R10C",'Mapa final'!$R$65),"")</f>
        <v/>
      </c>
      <c r="O25" s="56" t="str">
        <f>IF(AND('Mapa final'!$AB$66="Alta",'Mapa final'!$AD$66="Leve"),CONCATENATE("R10C",'Mapa final'!$R$66),"")</f>
        <v/>
      </c>
      <c r="P25" s="54" t="str">
        <f>IF(AND('Mapa final'!$AB$61="Alta",'Mapa final'!$AD$61="Menor"),CONCATENATE("R10C",'Mapa final'!$R$61),"")</f>
        <v/>
      </c>
      <c r="Q25" s="55" t="str">
        <f>IF(AND('Mapa final'!$AB$62="Alta",'Mapa final'!$AD$62="Menor"),CONCATENATE("R10C",'Mapa final'!$R$62),"")</f>
        <v/>
      </c>
      <c r="R25" s="55" t="str">
        <f>IF(AND('Mapa final'!$AB$63="Alta",'Mapa final'!$AD$63="Menor"),CONCATENATE("R10C",'Mapa final'!$R$63),"")</f>
        <v/>
      </c>
      <c r="S25" s="55" t="str">
        <f>IF(AND('Mapa final'!$AB$64="Alta",'Mapa final'!$AD$64="Menor"),CONCATENATE("R10C",'Mapa final'!$R$64),"")</f>
        <v/>
      </c>
      <c r="T25" s="55" t="str">
        <f>IF(AND('Mapa final'!$AB$65="Alta",'Mapa final'!$AD$65="Menor"),CONCATENATE("R10C",'Mapa final'!$R$65),"")</f>
        <v/>
      </c>
      <c r="U25" s="56" t="str">
        <f>IF(AND('Mapa final'!$AB$66="Alta",'Mapa final'!$AD$66="Menor"),CONCATENATE("R10C",'Mapa final'!$R$66),"")</f>
        <v/>
      </c>
      <c r="V25" s="42" t="str">
        <f>IF(AND('Mapa final'!$AB$61="Alta",'Mapa final'!$AD$61="Moderado"),CONCATENATE("R10C",'Mapa final'!$R$61),"")</f>
        <v/>
      </c>
      <c r="W25" s="43" t="str">
        <f>IF(AND('Mapa final'!$AB$62="Alta",'Mapa final'!$AD$62="Moderado"),CONCATENATE("R10C",'Mapa final'!$R$62),"")</f>
        <v/>
      </c>
      <c r="X25" s="43" t="str">
        <f>IF(AND('Mapa final'!$AB$63="Alta",'Mapa final'!$AD$63="Moderado"),CONCATENATE("R10C",'Mapa final'!$R$63),"")</f>
        <v/>
      </c>
      <c r="Y25" s="43" t="str">
        <f>IF(AND('Mapa final'!$AB$64="Alta",'Mapa final'!$AD$64="Moderado"),CONCATENATE("R10C",'Mapa final'!$R$64),"")</f>
        <v/>
      </c>
      <c r="Z25" s="43" t="str">
        <f>IF(AND('Mapa final'!$AB$65="Alta",'Mapa final'!$AD$65="Moderado"),CONCATENATE("R10C",'Mapa final'!$R$65),"")</f>
        <v/>
      </c>
      <c r="AA25" s="44" t="str">
        <f>IF(AND('Mapa final'!$AB$66="Alta",'Mapa final'!$AD$66="Moderado"),CONCATENATE("R10C",'Mapa final'!$R$66),"")</f>
        <v/>
      </c>
      <c r="AB25" s="42" t="str">
        <f>IF(AND('Mapa final'!$AB$61="Alta",'Mapa final'!$AD$61="Mayor"),CONCATENATE("R10C",'Mapa final'!$R$61),"")</f>
        <v/>
      </c>
      <c r="AC25" s="43" t="str">
        <f>IF(AND('Mapa final'!$AB$62="Alta",'Mapa final'!$AD$62="Mayor"),CONCATENATE("R10C",'Mapa final'!$R$62),"")</f>
        <v/>
      </c>
      <c r="AD25" s="43" t="str">
        <f>IF(AND('Mapa final'!$AB$63="Alta",'Mapa final'!$AD$63="Mayor"),CONCATENATE("R10C",'Mapa final'!$R$63),"")</f>
        <v/>
      </c>
      <c r="AE25" s="43" t="str">
        <f>IF(AND('Mapa final'!$AB$64="Alta",'Mapa final'!$AD$64="Mayor"),CONCATENATE("R10C",'Mapa final'!$R$64),"")</f>
        <v/>
      </c>
      <c r="AF25" s="43" t="str">
        <f>IF(AND('Mapa final'!$AB$65="Alta",'Mapa final'!$AD$65="Mayor"),CONCATENATE("R10C",'Mapa final'!$R$65),"")</f>
        <v/>
      </c>
      <c r="AG25" s="44" t="str">
        <f>IF(AND('Mapa final'!$AB$66="Alta",'Mapa final'!$AD$66="Mayor"),CONCATENATE("R10C",'Mapa final'!$R$66),"")</f>
        <v/>
      </c>
      <c r="AH25" s="45" t="str">
        <f>IF(AND('Mapa final'!$AB$61="Alta",'Mapa final'!$AD$61="Catastrófico"),CONCATENATE("R10C",'Mapa final'!$R$61),"")</f>
        <v/>
      </c>
      <c r="AI25" s="46" t="str">
        <f>IF(AND('Mapa final'!$AB$62="Alta",'Mapa final'!$AD$62="Catastrófico"),CONCATENATE("R10C",'Mapa final'!$R$62),"")</f>
        <v/>
      </c>
      <c r="AJ25" s="46" t="str">
        <f>IF(AND('Mapa final'!$AB$63="Alta",'Mapa final'!$AD$63="Catastrófico"),CONCATENATE("R10C",'Mapa final'!$R$63),"")</f>
        <v/>
      </c>
      <c r="AK25" s="46" t="str">
        <f>IF(AND('Mapa final'!$AB$64="Alta",'Mapa final'!$AD$64="Catastrófico"),CONCATENATE("R10C",'Mapa final'!$R$64),"")</f>
        <v/>
      </c>
      <c r="AL25" s="46" t="str">
        <f>IF(AND('Mapa final'!$AB$65="Alta",'Mapa final'!$AD$65="Catastrófico"),CONCATENATE("R10C",'Mapa final'!$R$65),"")</f>
        <v/>
      </c>
      <c r="AM25" s="47" t="str">
        <f>IF(AND('Mapa final'!$AB$66="Alta",'Mapa final'!$AD$66="Catastrófico"),CONCATENATE("R10C",'Mapa final'!$R$66),"")</f>
        <v/>
      </c>
      <c r="AN25" s="67"/>
      <c r="AO25" s="562"/>
      <c r="AP25" s="563"/>
      <c r="AQ25" s="563"/>
      <c r="AR25" s="563"/>
      <c r="AS25" s="563"/>
      <c r="AT25" s="56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70"/>
      <c r="C26" s="470"/>
      <c r="D26" s="471"/>
      <c r="E26" s="565" t="s">
        <v>112</v>
      </c>
      <c r="F26" s="566"/>
      <c r="G26" s="566"/>
      <c r="H26" s="566"/>
      <c r="I26" s="583"/>
      <c r="J26" s="48" t="str">
        <f>IF(AND('Mapa final'!$AB$10="Media",'Mapa final'!$AD$10="Leve"),CONCATENATE("R1C",'Mapa final'!$R$10),"")</f>
        <v/>
      </c>
      <c r="K26" s="49" t="e">
        <f>IF(AND('Mapa final'!#REF!="Media",'Mapa final'!#REF!="Leve"),CONCATENATE("R1C",'Mapa final'!#REF!),"")</f>
        <v>#REF!</v>
      </c>
      <c r="L26" s="49" t="e">
        <f>IF(AND('Mapa final'!#REF!="Media",'Mapa final'!#REF!="Leve"),CONCATENATE("R1C",'Mapa final'!#REF!),"")</f>
        <v>#REF!</v>
      </c>
      <c r="M26" s="49" t="str">
        <f>IF(AND('Mapa final'!$AB$11="Media",'Mapa final'!$AD$11="Leve"),CONCATENATE("R1C",'Mapa final'!$R$11),"")</f>
        <v/>
      </c>
      <c r="N26" s="49" t="e">
        <f>IF(AND('Mapa final'!#REF!="Media",'Mapa final'!#REF!="Leve"),CONCATENATE("R1C",'Mapa final'!#REF!),"")</f>
        <v>#REF!</v>
      </c>
      <c r="O26" s="50" t="str">
        <f>IF(AND('Mapa final'!$AB$12="Media",'Mapa final'!$AD$12="Leve"),CONCATENATE("R1C",'Mapa final'!$R$12),"")</f>
        <v/>
      </c>
      <c r="P26" s="48" t="str">
        <f>IF(AND('Mapa final'!$AB$10="Media",'Mapa final'!$AD$10="Menor"),CONCATENATE("R1C",'Mapa final'!$R$10),"")</f>
        <v/>
      </c>
      <c r="Q26" s="49" t="e">
        <f>IF(AND('Mapa final'!#REF!="Media",'Mapa final'!#REF!="Menor"),CONCATENATE("R1C",'Mapa final'!#REF!),"")</f>
        <v>#REF!</v>
      </c>
      <c r="R26" s="49" t="e">
        <f>IF(AND('Mapa final'!#REF!="Media",'Mapa final'!#REF!="Menor"),CONCATENATE("R1C",'Mapa final'!#REF!),"")</f>
        <v>#REF!</v>
      </c>
      <c r="S26" s="49" t="str">
        <f>IF(AND('Mapa final'!$AB$11="Media",'Mapa final'!$AD$11="Menor"),CONCATENATE("R1C",'Mapa final'!$R$11),"")</f>
        <v/>
      </c>
      <c r="T26" s="49" t="e">
        <f>IF(AND('Mapa final'!#REF!="Media",'Mapa final'!#REF!="Menor"),CONCATENATE("R1C",'Mapa final'!#REF!),"")</f>
        <v>#REF!</v>
      </c>
      <c r="U26" s="50" t="str">
        <f>IF(AND('Mapa final'!$AB$12="Media",'Mapa final'!$AD$12="Menor"),CONCATENATE("R1C",'Mapa final'!$R$12),"")</f>
        <v/>
      </c>
      <c r="V26" s="48" t="str">
        <f>IF(AND('Mapa final'!$AB$10="Media",'Mapa final'!$AD$10="Moderado"),CONCATENATE("R1C",'Mapa final'!$R$10),"")</f>
        <v/>
      </c>
      <c r="W26" s="49" t="e">
        <f>IF(AND('Mapa final'!#REF!="Media",'Mapa final'!#REF!="Moderado"),CONCATENATE("R1C",'Mapa final'!#REF!),"")</f>
        <v>#REF!</v>
      </c>
      <c r="X26" s="49" t="e">
        <f>IF(AND('Mapa final'!#REF!="Media",'Mapa final'!#REF!="Moderado"),CONCATENATE("R1C",'Mapa final'!#REF!),"")</f>
        <v>#REF!</v>
      </c>
      <c r="Y26" s="49" t="str">
        <f>IF(AND('Mapa final'!$AB$11="Media",'Mapa final'!$AD$11="Moderado"),CONCATENATE("R1C",'Mapa final'!$R$11),"")</f>
        <v/>
      </c>
      <c r="Z26" s="49" t="e">
        <f>IF(AND('Mapa final'!#REF!="Media",'Mapa final'!#REF!="Moderado"),CONCATENATE("R1C",'Mapa final'!#REF!),"")</f>
        <v>#REF!</v>
      </c>
      <c r="AA26" s="50" t="str">
        <f>IF(AND('Mapa final'!$AB$12="Media",'Mapa final'!$AD$12="Moderado"),CONCATENATE("R1C",'Mapa final'!$R$12),"")</f>
        <v/>
      </c>
      <c r="AB26" s="30" t="str">
        <f>IF(AND('Mapa final'!$AB$10="Media",'Mapa final'!$AD$10="Mayor"),CONCATENATE("R1C",'Mapa final'!$R$10),"")</f>
        <v/>
      </c>
      <c r="AC26" s="31" t="e">
        <f>IF(AND('Mapa final'!#REF!="Media",'Mapa final'!#REF!="Mayor"),CONCATENATE("R1C",'Mapa final'!#REF!),"")</f>
        <v>#REF!</v>
      </c>
      <c r="AD26" s="31" t="e">
        <f>IF(AND('Mapa final'!#REF!="Media",'Mapa final'!#REF!="Mayor"),CONCATENATE("R1C",'Mapa final'!#REF!),"")</f>
        <v>#REF!</v>
      </c>
      <c r="AE26" s="31" t="str">
        <f>IF(AND('Mapa final'!$AB$11="Media",'Mapa final'!$AD$11="Mayor"),CONCATENATE("R1C",'Mapa final'!$R$11),"")</f>
        <v/>
      </c>
      <c r="AF26" s="31" t="e">
        <f>IF(AND('Mapa final'!#REF!="Media",'Mapa final'!#REF!="Mayor"),CONCATENATE("R1C",'Mapa final'!#REF!),"")</f>
        <v>#REF!</v>
      </c>
      <c r="AG26" s="32" t="str">
        <f>IF(AND('Mapa final'!$AB$12="Media",'Mapa final'!$AD$12="Mayor"),CONCATENATE("R1C",'Mapa final'!$R$12),"")</f>
        <v/>
      </c>
      <c r="AH26" s="33" t="str">
        <f>IF(AND('Mapa final'!$AB$10="Media",'Mapa final'!$AD$10="Catastrófico"),CONCATENATE("R1C",'Mapa final'!$R$10),"")</f>
        <v/>
      </c>
      <c r="AI26" s="34" t="e">
        <f>IF(AND('Mapa final'!#REF!="Media",'Mapa final'!#REF!="Catastrófico"),CONCATENATE("R1C",'Mapa final'!#REF!),"")</f>
        <v>#REF!</v>
      </c>
      <c r="AJ26" s="34" t="e">
        <f>IF(AND('Mapa final'!#REF!="Media",'Mapa final'!#REF!="Catastrófico"),CONCATENATE("R1C",'Mapa final'!#REF!),"")</f>
        <v>#REF!</v>
      </c>
      <c r="AK26" s="34" t="str">
        <f>IF(AND('Mapa final'!$AB$11="Media",'Mapa final'!$AD$11="Catastrófico"),CONCATENATE("R1C",'Mapa final'!$R$11),"")</f>
        <v/>
      </c>
      <c r="AL26" s="34" t="e">
        <f>IF(AND('Mapa final'!#REF!="Media",'Mapa final'!#REF!="Catastrófico"),CONCATENATE("R1C",'Mapa final'!#REF!),"")</f>
        <v>#REF!</v>
      </c>
      <c r="AM26" s="35" t="str">
        <f>IF(AND('Mapa final'!$AB$12="Media",'Mapa final'!$AD$12="Catastrófico"),CONCATENATE("R1C",'Mapa final'!$R$12),"")</f>
        <v/>
      </c>
      <c r="AN26" s="67"/>
      <c r="AO26" s="595" t="s">
        <v>80</v>
      </c>
      <c r="AP26" s="596"/>
      <c r="AQ26" s="596"/>
      <c r="AR26" s="596"/>
      <c r="AS26" s="596"/>
      <c r="AT26" s="59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70"/>
      <c r="C27" s="470"/>
      <c r="D27" s="471"/>
      <c r="E27" s="567"/>
      <c r="F27" s="568"/>
      <c r="G27" s="568"/>
      <c r="H27" s="568"/>
      <c r="I27" s="584"/>
      <c r="J27" s="51" t="str">
        <f>IF(AND('Mapa final'!$AB$13="Media",'Mapa final'!$AD$13="Leve"),CONCATENATE("R2C",'Mapa final'!$R$13),"")</f>
        <v/>
      </c>
      <c r="K27" s="52" t="str">
        <f>IF(AND('Mapa final'!$AB$14="Media",'Mapa final'!$AD$14="Leve"),CONCATENATE("R2C",'Mapa final'!$R$14),"")</f>
        <v/>
      </c>
      <c r="L27" s="52" t="str">
        <f>IF(AND('Mapa final'!$AB$15="Media",'Mapa final'!$AD$15="Leve"),CONCATENATE("R2C",'Mapa final'!$R$15),"")</f>
        <v/>
      </c>
      <c r="M27" s="52" t="str">
        <f>IF(AND('Mapa final'!$AB$16="Media",'Mapa final'!$AD$16="Leve"),CONCATENATE("R2C",'Mapa final'!$R$16),"")</f>
        <v/>
      </c>
      <c r="N27" s="52" t="str">
        <f>IF(AND('Mapa final'!$AB$17="Media",'Mapa final'!$AD$17="Leve"),CONCATENATE("R2C",'Mapa final'!$R$17),"")</f>
        <v/>
      </c>
      <c r="O27" s="53" t="str">
        <f>IF(AND('Mapa final'!$AB$18="Media",'Mapa final'!$AD$18="Leve"),CONCATENATE("R2C",'Mapa final'!$R$18),"")</f>
        <v/>
      </c>
      <c r="P27" s="51" t="str">
        <f>IF(AND('Mapa final'!$AB$13="Media",'Mapa final'!$AD$13="Menor"),CONCATENATE("R2C",'Mapa final'!$R$13),"")</f>
        <v/>
      </c>
      <c r="Q27" s="52" t="str">
        <f>IF(AND('Mapa final'!$AB$14="Media",'Mapa final'!$AD$14="Menor"),CONCATENATE("R2C",'Mapa final'!$R$14),"")</f>
        <v/>
      </c>
      <c r="R27" s="52" t="str">
        <f>IF(AND('Mapa final'!$AB$15="Media",'Mapa final'!$AD$15="Menor"),CONCATENATE("R2C",'Mapa final'!$R$15),"")</f>
        <v/>
      </c>
      <c r="S27" s="52" t="str">
        <f>IF(AND('Mapa final'!$AB$16="Media",'Mapa final'!$AD$16="Menor"),CONCATENATE("R2C",'Mapa final'!$R$16),"")</f>
        <v/>
      </c>
      <c r="T27" s="52" t="str">
        <f>IF(AND('Mapa final'!$AB$17="Media",'Mapa final'!$AD$17="Menor"),CONCATENATE("R2C",'Mapa final'!$R$17),"")</f>
        <v/>
      </c>
      <c r="U27" s="53" t="str">
        <f>IF(AND('Mapa final'!$AB$18="Media",'Mapa final'!$AD$18="Menor"),CONCATENATE("R2C",'Mapa final'!$R$18),"")</f>
        <v/>
      </c>
      <c r="V27" s="51" t="str">
        <f>IF(AND('Mapa final'!$AB$13="Media",'Mapa final'!$AD$13="Moderado"),CONCATENATE("R2C",'Mapa final'!$R$13),"")</f>
        <v/>
      </c>
      <c r="W27" s="52" t="str">
        <f>IF(AND('Mapa final'!$AB$14="Media",'Mapa final'!$AD$14="Moderado"),CONCATENATE("R2C",'Mapa final'!$R$14),"")</f>
        <v/>
      </c>
      <c r="X27" s="52" t="str">
        <f>IF(AND('Mapa final'!$AB$15="Media",'Mapa final'!$AD$15="Moderado"),CONCATENATE("R2C",'Mapa final'!$R$15),"")</f>
        <v/>
      </c>
      <c r="Y27" s="52" t="str">
        <f>IF(AND('Mapa final'!$AB$16="Media",'Mapa final'!$AD$16="Moderado"),CONCATENATE("R2C",'Mapa final'!$R$16),"")</f>
        <v/>
      </c>
      <c r="Z27" s="52" t="str">
        <f>IF(AND('Mapa final'!$AB$17="Media",'Mapa final'!$AD$17="Moderado"),CONCATENATE("R2C",'Mapa final'!$R$17),"")</f>
        <v/>
      </c>
      <c r="AA27" s="53" t="str">
        <f>IF(AND('Mapa final'!$AB$18="Media",'Mapa final'!$AD$18="Moderado"),CONCATENATE("R2C",'Mapa final'!$R$18),"")</f>
        <v/>
      </c>
      <c r="AB27" s="36" t="str">
        <f>IF(AND('Mapa final'!$AB$13="Media",'Mapa final'!$AD$13="Mayor"),CONCATENATE("R2C",'Mapa final'!$R$13),"")</f>
        <v/>
      </c>
      <c r="AC27" s="37" t="str">
        <f>IF(AND('Mapa final'!$AB$14="Media",'Mapa final'!$AD$14="Mayor"),CONCATENATE("R2C",'Mapa final'!$R$14),"")</f>
        <v/>
      </c>
      <c r="AD27" s="37" t="str">
        <f>IF(AND('Mapa final'!$AB$15="Media",'Mapa final'!$AD$15="Mayor"),CONCATENATE("R2C",'Mapa final'!$R$15),"")</f>
        <v/>
      </c>
      <c r="AE27" s="37" t="str">
        <f>IF(AND('Mapa final'!$AB$16="Media",'Mapa final'!$AD$16="Mayor"),CONCATENATE("R2C",'Mapa final'!$R$16),"")</f>
        <v/>
      </c>
      <c r="AF27" s="37" t="str">
        <f>IF(AND('Mapa final'!$AB$17="Media",'Mapa final'!$AD$17="Mayor"),CONCATENATE("R2C",'Mapa final'!$R$17),"")</f>
        <v/>
      </c>
      <c r="AG27" s="38" t="str">
        <f>IF(AND('Mapa final'!$AB$18="Media",'Mapa final'!$AD$18="Mayor"),CONCATENATE("R2C",'Mapa final'!$R$18),"")</f>
        <v/>
      </c>
      <c r="AH27" s="39" t="str">
        <f>IF(AND('Mapa final'!$AB$13="Media",'Mapa final'!$AD$13="Catastrófico"),CONCATENATE("R2C",'Mapa final'!$R$13),"")</f>
        <v/>
      </c>
      <c r="AI27" s="40" t="str">
        <f>IF(AND('Mapa final'!$AB$14="Media",'Mapa final'!$AD$14="Catastrófico"),CONCATENATE("R2C",'Mapa final'!$R$14),"")</f>
        <v/>
      </c>
      <c r="AJ27" s="40" t="str">
        <f>IF(AND('Mapa final'!$AB$15="Media",'Mapa final'!$AD$15="Catastrófico"),CONCATENATE("R2C",'Mapa final'!$R$15),"")</f>
        <v/>
      </c>
      <c r="AK27" s="40" t="str">
        <f>IF(AND('Mapa final'!$AB$16="Media",'Mapa final'!$AD$16="Catastrófico"),CONCATENATE("R2C",'Mapa final'!$R$16),"")</f>
        <v/>
      </c>
      <c r="AL27" s="40" t="str">
        <f>IF(AND('Mapa final'!$AB$17="Media",'Mapa final'!$AD$17="Catastrófico"),CONCATENATE("R2C",'Mapa final'!$R$17),"")</f>
        <v/>
      </c>
      <c r="AM27" s="41" t="str">
        <f>IF(AND('Mapa final'!$AB$18="Media",'Mapa final'!$AD$18="Catastrófico"),CONCATENATE("R2C",'Mapa final'!$R$18),"")</f>
        <v/>
      </c>
      <c r="AN27" s="67"/>
      <c r="AO27" s="598"/>
      <c r="AP27" s="599"/>
      <c r="AQ27" s="599"/>
      <c r="AR27" s="599"/>
      <c r="AS27" s="599"/>
      <c r="AT27" s="60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70"/>
      <c r="C28" s="470"/>
      <c r="D28" s="471"/>
      <c r="E28" s="569"/>
      <c r="F28" s="568"/>
      <c r="G28" s="568"/>
      <c r="H28" s="568"/>
      <c r="I28" s="584"/>
      <c r="J28" s="51" t="str">
        <f>IF(AND('Mapa final'!$AB$19="Media",'Mapa final'!$AD$19="Leve"),CONCATENATE("R3C",'Mapa final'!$R$19),"")</f>
        <v/>
      </c>
      <c r="K28" s="52" t="str">
        <f>IF(AND('Mapa final'!$AB$20="Media",'Mapa final'!$AD$20="Leve"),CONCATENATE("R3C",'Mapa final'!$R$20),"")</f>
        <v/>
      </c>
      <c r="L28" s="52" t="str">
        <f>IF(AND('Mapa final'!$AB$21="Media",'Mapa final'!$AD$21="Leve"),CONCATENATE("R3C",'Mapa final'!$R$21),"")</f>
        <v/>
      </c>
      <c r="M28" s="52" t="str">
        <f>IF(AND('Mapa final'!$AB$22="Media",'Mapa final'!$AD$22="Leve"),CONCATENATE("R3C",'Mapa final'!$R$22),"")</f>
        <v/>
      </c>
      <c r="N28" s="52" t="str">
        <f>IF(AND('Mapa final'!$AB$23="Media",'Mapa final'!$AD$23="Leve"),CONCATENATE("R3C",'Mapa final'!$R$23),"")</f>
        <v/>
      </c>
      <c r="O28" s="53" t="str">
        <f>IF(AND('Mapa final'!$AB$24="Media",'Mapa final'!$AD$24="Leve"),CONCATENATE("R3C",'Mapa final'!$R$24),"")</f>
        <v/>
      </c>
      <c r="P28" s="51" t="str">
        <f>IF(AND('Mapa final'!$AB$19="Media",'Mapa final'!$AD$19="Menor"),CONCATENATE("R3C",'Mapa final'!$R$19),"")</f>
        <v/>
      </c>
      <c r="Q28" s="52" t="str">
        <f>IF(AND('Mapa final'!$AB$20="Media",'Mapa final'!$AD$20="Menor"),CONCATENATE("R3C",'Mapa final'!$R$20),"")</f>
        <v/>
      </c>
      <c r="R28" s="52" t="str">
        <f>IF(AND('Mapa final'!$AB$21="Media",'Mapa final'!$AD$21="Menor"),CONCATENATE("R3C",'Mapa final'!$R$21),"")</f>
        <v/>
      </c>
      <c r="S28" s="52" t="str">
        <f>IF(AND('Mapa final'!$AB$22="Media",'Mapa final'!$AD$22="Menor"),CONCATENATE("R3C",'Mapa final'!$R$22),"")</f>
        <v/>
      </c>
      <c r="T28" s="52" t="str">
        <f>IF(AND('Mapa final'!$AB$23="Media",'Mapa final'!$AD$23="Menor"),CONCATENATE("R3C",'Mapa final'!$R$23),"")</f>
        <v/>
      </c>
      <c r="U28" s="53" t="str">
        <f>IF(AND('Mapa final'!$AB$24="Media",'Mapa final'!$AD$24="Menor"),CONCATENATE("R3C",'Mapa final'!$R$24),"")</f>
        <v/>
      </c>
      <c r="V28" s="51" t="str">
        <f>IF(AND('Mapa final'!$AB$19="Media",'Mapa final'!$AD$19="Moderado"),CONCATENATE("R3C",'Mapa final'!$R$19),"")</f>
        <v/>
      </c>
      <c r="W28" s="52" t="str">
        <f>IF(AND('Mapa final'!$AB$20="Media",'Mapa final'!$AD$20="Moderado"),CONCATENATE("R3C",'Mapa final'!$R$20),"")</f>
        <v/>
      </c>
      <c r="X28" s="52" t="str">
        <f>IF(AND('Mapa final'!$AB$21="Media",'Mapa final'!$AD$21="Moderado"),CONCATENATE("R3C",'Mapa final'!$R$21),"")</f>
        <v/>
      </c>
      <c r="Y28" s="52" t="str">
        <f>IF(AND('Mapa final'!$AB$22="Media",'Mapa final'!$AD$22="Moderado"),CONCATENATE("R3C",'Mapa final'!$R$22),"")</f>
        <v/>
      </c>
      <c r="Z28" s="52" t="str">
        <f>IF(AND('Mapa final'!$AB$23="Media",'Mapa final'!$AD$23="Moderado"),CONCATENATE("R3C",'Mapa final'!$R$23),"")</f>
        <v/>
      </c>
      <c r="AA28" s="53" t="str">
        <f>IF(AND('Mapa final'!$AB$24="Media",'Mapa final'!$AD$24="Moderado"),CONCATENATE("R3C",'Mapa final'!$R$24),"")</f>
        <v/>
      </c>
      <c r="AB28" s="36" t="str">
        <f>IF(AND('Mapa final'!$AB$19="Media",'Mapa final'!$AD$19="Mayor"),CONCATENATE("R3C",'Mapa final'!$R$19),"")</f>
        <v/>
      </c>
      <c r="AC28" s="37" t="str">
        <f>IF(AND('Mapa final'!$AB$20="Media",'Mapa final'!$AD$20="Mayor"),CONCATENATE("R3C",'Mapa final'!$R$20),"")</f>
        <v/>
      </c>
      <c r="AD28" s="37" t="str">
        <f>IF(AND('Mapa final'!$AB$21="Media",'Mapa final'!$AD$21="Mayor"),CONCATENATE("R3C",'Mapa final'!$R$21),"")</f>
        <v/>
      </c>
      <c r="AE28" s="37" t="str">
        <f>IF(AND('Mapa final'!$AB$22="Media",'Mapa final'!$AD$22="Mayor"),CONCATENATE("R3C",'Mapa final'!$R$22),"")</f>
        <v/>
      </c>
      <c r="AF28" s="37" t="str">
        <f>IF(AND('Mapa final'!$AB$23="Media",'Mapa final'!$AD$23="Mayor"),CONCATENATE("R3C",'Mapa final'!$R$23),"")</f>
        <v/>
      </c>
      <c r="AG28" s="38" t="str">
        <f>IF(AND('Mapa final'!$AB$24="Media",'Mapa final'!$AD$24="Mayor"),CONCATENATE("R3C",'Mapa final'!$R$24),"")</f>
        <v/>
      </c>
      <c r="AH28" s="39" t="str">
        <f>IF(AND('Mapa final'!$AB$19="Media",'Mapa final'!$AD$19="Catastrófico"),CONCATENATE("R3C",'Mapa final'!$R$19),"")</f>
        <v/>
      </c>
      <c r="AI28" s="40" t="str">
        <f>IF(AND('Mapa final'!$AB$20="Media",'Mapa final'!$AD$20="Catastrófico"),CONCATENATE("R3C",'Mapa final'!$R$20),"")</f>
        <v/>
      </c>
      <c r="AJ28" s="40" t="str">
        <f>IF(AND('Mapa final'!$AB$21="Media",'Mapa final'!$AD$21="Catastrófico"),CONCATENATE("R3C",'Mapa final'!$R$21),"")</f>
        <v/>
      </c>
      <c r="AK28" s="40" t="str">
        <f>IF(AND('Mapa final'!$AB$22="Media",'Mapa final'!$AD$22="Catastrófico"),CONCATENATE("R3C",'Mapa final'!$R$22),"")</f>
        <v/>
      </c>
      <c r="AL28" s="40" t="str">
        <f>IF(AND('Mapa final'!$AB$23="Media",'Mapa final'!$AD$23="Catastrófico"),CONCATENATE("R3C",'Mapa final'!$R$23),"")</f>
        <v/>
      </c>
      <c r="AM28" s="41" t="str">
        <f>IF(AND('Mapa final'!$AB$24="Media",'Mapa final'!$AD$24="Catastrófico"),CONCATENATE("R3C",'Mapa final'!$R$24),"")</f>
        <v/>
      </c>
      <c r="AN28" s="67"/>
      <c r="AO28" s="598"/>
      <c r="AP28" s="599"/>
      <c r="AQ28" s="599"/>
      <c r="AR28" s="599"/>
      <c r="AS28" s="599"/>
      <c r="AT28" s="60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70"/>
      <c r="C29" s="470"/>
      <c r="D29" s="471"/>
      <c r="E29" s="569"/>
      <c r="F29" s="568"/>
      <c r="G29" s="568"/>
      <c r="H29" s="568"/>
      <c r="I29" s="584"/>
      <c r="J29" s="51" t="str">
        <f>IF(AND('Mapa final'!$AB$25="Media",'Mapa final'!$AD$25="Leve"),CONCATENATE("R4C",'Mapa final'!$R$25),"")</f>
        <v/>
      </c>
      <c r="K29" s="52" t="str">
        <f>IF(AND('Mapa final'!$AB$26="Media",'Mapa final'!$AD$26="Leve"),CONCATENATE("R4C",'Mapa final'!$R$26),"")</f>
        <v/>
      </c>
      <c r="L29" s="52" t="str">
        <f>IF(AND('Mapa final'!$AB$27="Media",'Mapa final'!$AD$27="Leve"),CONCATENATE("R4C",'Mapa final'!$R$27),"")</f>
        <v/>
      </c>
      <c r="M29" s="52" t="str">
        <f>IF(AND('Mapa final'!$AB$28="Media",'Mapa final'!$AD$28="Leve"),CONCATENATE("R4C",'Mapa final'!$R$28),"")</f>
        <v/>
      </c>
      <c r="N29" s="52" t="str">
        <f>IF(AND('Mapa final'!$AB$29="Media",'Mapa final'!$AD$29="Leve"),CONCATENATE("R4C",'Mapa final'!$R$29),"")</f>
        <v/>
      </c>
      <c r="O29" s="53" t="str">
        <f>IF(AND('Mapa final'!$AB$30="Media",'Mapa final'!$AD$30="Leve"),CONCATENATE("R4C",'Mapa final'!$R$30),"")</f>
        <v/>
      </c>
      <c r="P29" s="51" t="str">
        <f>IF(AND('Mapa final'!$AB$25="Media",'Mapa final'!$AD$25="Menor"),CONCATENATE("R4C",'Mapa final'!$R$25),"")</f>
        <v/>
      </c>
      <c r="Q29" s="52" t="str">
        <f>IF(AND('Mapa final'!$AB$26="Media",'Mapa final'!$AD$26="Menor"),CONCATENATE("R4C",'Mapa final'!$R$26),"")</f>
        <v/>
      </c>
      <c r="R29" s="52" t="str">
        <f>IF(AND('Mapa final'!$AB$27="Media",'Mapa final'!$AD$27="Menor"),CONCATENATE("R4C",'Mapa final'!$R$27),"")</f>
        <v/>
      </c>
      <c r="S29" s="52" t="str">
        <f>IF(AND('Mapa final'!$AB$28="Media",'Mapa final'!$AD$28="Menor"),CONCATENATE("R4C",'Mapa final'!$R$28),"")</f>
        <v/>
      </c>
      <c r="T29" s="52" t="str">
        <f>IF(AND('Mapa final'!$AB$29="Media",'Mapa final'!$AD$29="Menor"),CONCATENATE("R4C",'Mapa final'!$R$29),"")</f>
        <v/>
      </c>
      <c r="U29" s="53" t="str">
        <f>IF(AND('Mapa final'!$AB$30="Media",'Mapa final'!$AD$30="Menor"),CONCATENATE("R4C",'Mapa final'!$R$30),"")</f>
        <v/>
      </c>
      <c r="V29" s="51" t="str">
        <f>IF(AND('Mapa final'!$AB$25="Media",'Mapa final'!$AD$25="Moderado"),CONCATENATE("R4C",'Mapa final'!$R$25),"")</f>
        <v/>
      </c>
      <c r="W29" s="52" t="str">
        <f>IF(AND('Mapa final'!$AB$26="Media",'Mapa final'!$AD$26="Moderado"),CONCATENATE("R4C",'Mapa final'!$R$26),"")</f>
        <v/>
      </c>
      <c r="X29" s="52" t="str">
        <f>IF(AND('Mapa final'!$AB$27="Media",'Mapa final'!$AD$27="Moderado"),CONCATENATE("R4C",'Mapa final'!$R$27),"")</f>
        <v/>
      </c>
      <c r="Y29" s="52" t="str">
        <f>IF(AND('Mapa final'!$AB$28="Media",'Mapa final'!$AD$28="Moderado"),CONCATENATE("R4C",'Mapa final'!$R$28),"")</f>
        <v/>
      </c>
      <c r="Z29" s="52" t="str">
        <f>IF(AND('Mapa final'!$AB$29="Media",'Mapa final'!$AD$29="Moderado"),CONCATENATE("R4C",'Mapa final'!$R$29),"")</f>
        <v/>
      </c>
      <c r="AA29" s="53" t="str">
        <f>IF(AND('Mapa final'!$AB$30="Media",'Mapa final'!$AD$30="Moderado"),CONCATENATE("R4C",'Mapa final'!$R$30),"")</f>
        <v/>
      </c>
      <c r="AB29" s="36" t="str">
        <f>IF(AND('Mapa final'!$AB$25="Media",'Mapa final'!$AD$25="Mayor"),CONCATENATE("R4C",'Mapa final'!$R$25),"")</f>
        <v/>
      </c>
      <c r="AC29" s="37" t="str">
        <f>IF(AND('Mapa final'!$AB$26="Media",'Mapa final'!$AD$26="Mayor"),CONCATENATE("R4C",'Mapa final'!$R$26),"")</f>
        <v/>
      </c>
      <c r="AD29" s="37" t="str">
        <f>IF(AND('Mapa final'!$AB$27="Media",'Mapa final'!$AD$27="Mayor"),CONCATENATE("R4C",'Mapa final'!$R$27),"")</f>
        <v/>
      </c>
      <c r="AE29" s="37" t="str">
        <f>IF(AND('Mapa final'!$AB$28="Media",'Mapa final'!$AD$28="Mayor"),CONCATENATE("R4C",'Mapa final'!$R$28),"")</f>
        <v/>
      </c>
      <c r="AF29" s="37" t="str">
        <f>IF(AND('Mapa final'!$AB$29="Media",'Mapa final'!$AD$29="Mayor"),CONCATENATE("R4C",'Mapa final'!$R$29),"")</f>
        <v/>
      </c>
      <c r="AG29" s="38" t="str">
        <f>IF(AND('Mapa final'!$AB$30="Media",'Mapa final'!$AD$30="Mayor"),CONCATENATE("R4C",'Mapa final'!$R$30),"")</f>
        <v/>
      </c>
      <c r="AH29" s="39" t="str">
        <f>IF(AND('Mapa final'!$AB$25="Media",'Mapa final'!$AD$25="Catastrófico"),CONCATENATE("R4C",'Mapa final'!$R$25),"")</f>
        <v/>
      </c>
      <c r="AI29" s="40" t="str">
        <f>IF(AND('Mapa final'!$AB$26="Media",'Mapa final'!$AD$26="Catastrófico"),CONCATENATE("R4C",'Mapa final'!$R$26),"")</f>
        <v/>
      </c>
      <c r="AJ29" s="40" t="str">
        <f>IF(AND('Mapa final'!$AB$27="Media",'Mapa final'!$AD$27="Catastrófico"),CONCATENATE("R4C",'Mapa final'!$R$27),"")</f>
        <v/>
      </c>
      <c r="AK29" s="40" t="str">
        <f>IF(AND('Mapa final'!$AB$28="Media",'Mapa final'!$AD$28="Catastrófico"),CONCATENATE("R4C",'Mapa final'!$R$28),"")</f>
        <v/>
      </c>
      <c r="AL29" s="40" t="str">
        <f>IF(AND('Mapa final'!$AB$29="Media",'Mapa final'!$AD$29="Catastrófico"),CONCATENATE("R4C",'Mapa final'!$R$29),"")</f>
        <v/>
      </c>
      <c r="AM29" s="41" t="str">
        <f>IF(AND('Mapa final'!$AB$30="Media",'Mapa final'!$AD$30="Catastrófico"),CONCATENATE("R4C",'Mapa final'!$R$30),"")</f>
        <v/>
      </c>
      <c r="AN29" s="67"/>
      <c r="AO29" s="598"/>
      <c r="AP29" s="599"/>
      <c r="AQ29" s="599"/>
      <c r="AR29" s="599"/>
      <c r="AS29" s="599"/>
      <c r="AT29" s="60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70"/>
      <c r="C30" s="470"/>
      <c r="D30" s="471"/>
      <c r="E30" s="569"/>
      <c r="F30" s="568"/>
      <c r="G30" s="568"/>
      <c r="H30" s="568"/>
      <c r="I30" s="584"/>
      <c r="J30" s="51" t="str">
        <f>IF(AND('Mapa final'!$AB$31="Media",'Mapa final'!$AD$31="Leve"),CONCATENATE("R5C",'Mapa final'!$R$31),"")</f>
        <v/>
      </c>
      <c r="K30" s="52" t="str">
        <f>IF(AND('Mapa final'!$AB$32="Media",'Mapa final'!$AD$32="Leve"),CONCATENATE("R5C",'Mapa final'!$R$32),"")</f>
        <v/>
      </c>
      <c r="L30" s="52" t="str">
        <f>IF(AND('Mapa final'!$AB$33="Media",'Mapa final'!$AD$33="Leve"),CONCATENATE("R5C",'Mapa final'!$R$33),"")</f>
        <v/>
      </c>
      <c r="M30" s="52" t="str">
        <f>IF(AND('Mapa final'!$AB$34="Media",'Mapa final'!$AD$34="Leve"),CONCATENATE("R5C",'Mapa final'!$R$34),"")</f>
        <v/>
      </c>
      <c r="N30" s="52" t="str">
        <f>IF(AND('Mapa final'!$AB$35="Media",'Mapa final'!$AD$35="Leve"),CONCATENATE("R5C",'Mapa final'!$R$35),"")</f>
        <v/>
      </c>
      <c r="O30" s="53" t="str">
        <f>IF(AND('Mapa final'!$AB$36="Media",'Mapa final'!$AD$36="Leve"),CONCATENATE("R5C",'Mapa final'!$R$36),"")</f>
        <v/>
      </c>
      <c r="P30" s="51" t="str">
        <f>IF(AND('Mapa final'!$AB$31="Media",'Mapa final'!$AD$31="Menor"),CONCATENATE("R5C",'Mapa final'!$R$31),"")</f>
        <v/>
      </c>
      <c r="Q30" s="52" t="str">
        <f>IF(AND('Mapa final'!$AB$32="Media",'Mapa final'!$AD$32="Menor"),CONCATENATE("R5C",'Mapa final'!$R$32),"")</f>
        <v/>
      </c>
      <c r="R30" s="52" t="str">
        <f>IF(AND('Mapa final'!$AB$33="Media",'Mapa final'!$AD$33="Menor"),CONCATENATE("R5C",'Mapa final'!$R$33),"")</f>
        <v/>
      </c>
      <c r="S30" s="52" t="str">
        <f>IF(AND('Mapa final'!$AB$34="Media",'Mapa final'!$AD$34="Menor"),CONCATENATE("R5C",'Mapa final'!$R$34),"")</f>
        <v/>
      </c>
      <c r="T30" s="52" t="str">
        <f>IF(AND('Mapa final'!$AB$35="Media",'Mapa final'!$AD$35="Menor"),CONCATENATE("R5C",'Mapa final'!$R$35),"")</f>
        <v/>
      </c>
      <c r="U30" s="53" t="str">
        <f>IF(AND('Mapa final'!$AB$36="Media",'Mapa final'!$AD$36="Menor"),CONCATENATE("R5C",'Mapa final'!$R$36),"")</f>
        <v/>
      </c>
      <c r="V30" s="51" t="str">
        <f>IF(AND('Mapa final'!$AB$31="Media",'Mapa final'!$AD$31="Moderado"),CONCATENATE("R5C",'Mapa final'!$R$31),"")</f>
        <v/>
      </c>
      <c r="W30" s="52" t="str">
        <f>IF(AND('Mapa final'!$AB$32="Media",'Mapa final'!$AD$32="Moderado"),CONCATENATE("R5C",'Mapa final'!$R$32),"")</f>
        <v/>
      </c>
      <c r="X30" s="52" t="str">
        <f>IF(AND('Mapa final'!$AB$33="Media",'Mapa final'!$AD$33="Moderado"),CONCATENATE("R5C",'Mapa final'!$R$33),"")</f>
        <v/>
      </c>
      <c r="Y30" s="52" t="str">
        <f>IF(AND('Mapa final'!$AB$34="Media",'Mapa final'!$AD$34="Moderado"),CONCATENATE("R5C",'Mapa final'!$R$34),"")</f>
        <v/>
      </c>
      <c r="Z30" s="52" t="str">
        <f>IF(AND('Mapa final'!$AB$35="Media",'Mapa final'!$AD$35="Moderado"),CONCATENATE("R5C",'Mapa final'!$R$35),"")</f>
        <v/>
      </c>
      <c r="AA30" s="53" t="str">
        <f>IF(AND('Mapa final'!$AB$36="Media",'Mapa final'!$AD$36="Moderado"),CONCATENATE("R5C",'Mapa final'!$R$36),"")</f>
        <v/>
      </c>
      <c r="AB30" s="36" t="str">
        <f>IF(AND('Mapa final'!$AB$31="Media",'Mapa final'!$AD$31="Mayor"),CONCATENATE("R5C",'Mapa final'!$R$31),"")</f>
        <v/>
      </c>
      <c r="AC30" s="37" t="str">
        <f>IF(AND('Mapa final'!$AB$32="Media",'Mapa final'!$AD$32="Mayor"),CONCATENATE("R5C",'Mapa final'!$R$32),"")</f>
        <v/>
      </c>
      <c r="AD30" s="37" t="str">
        <f>IF(AND('Mapa final'!$AB$33="Media",'Mapa final'!$AD$33="Mayor"),CONCATENATE("R5C",'Mapa final'!$R$33),"")</f>
        <v/>
      </c>
      <c r="AE30" s="37" t="str">
        <f>IF(AND('Mapa final'!$AB$34="Media",'Mapa final'!$AD$34="Mayor"),CONCATENATE("R5C",'Mapa final'!$R$34),"")</f>
        <v/>
      </c>
      <c r="AF30" s="37" t="str">
        <f>IF(AND('Mapa final'!$AB$35="Media",'Mapa final'!$AD$35="Mayor"),CONCATENATE("R5C",'Mapa final'!$R$35),"")</f>
        <v/>
      </c>
      <c r="AG30" s="38" t="str">
        <f>IF(AND('Mapa final'!$AB$36="Media",'Mapa final'!$AD$36="Mayor"),CONCATENATE("R5C",'Mapa final'!$R$36),"")</f>
        <v/>
      </c>
      <c r="AH30" s="39" t="str">
        <f>IF(AND('Mapa final'!$AB$31="Media",'Mapa final'!$AD$31="Catastrófico"),CONCATENATE("R5C",'Mapa final'!$R$31),"")</f>
        <v/>
      </c>
      <c r="AI30" s="40" t="str">
        <f>IF(AND('Mapa final'!$AB$32="Media",'Mapa final'!$AD$32="Catastrófico"),CONCATENATE("R5C",'Mapa final'!$R$32),"")</f>
        <v/>
      </c>
      <c r="AJ30" s="40" t="str">
        <f>IF(AND('Mapa final'!$AB$33="Media",'Mapa final'!$AD$33="Catastrófico"),CONCATENATE("R5C",'Mapa final'!$R$33),"")</f>
        <v/>
      </c>
      <c r="AK30" s="40" t="str">
        <f>IF(AND('Mapa final'!$AB$34="Media",'Mapa final'!$AD$34="Catastrófico"),CONCATENATE("R5C",'Mapa final'!$R$34),"")</f>
        <v/>
      </c>
      <c r="AL30" s="40" t="str">
        <f>IF(AND('Mapa final'!$AB$35="Media",'Mapa final'!$AD$35="Catastrófico"),CONCATENATE("R5C",'Mapa final'!$R$35),"")</f>
        <v/>
      </c>
      <c r="AM30" s="41" t="str">
        <f>IF(AND('Mapa final'!$AB$36="Media",'Mapa final'!$AD$36="Catastrófico"),CONCATENATE("R5C",'Mapa final'!$R$36),"")</f>
        <v/>
      </c>
      <c r="AN30" s="67"/>
      <c r="AO30" s="598"/>
      <c r="AP30" s="599"/>
      <c r="AQ30" s="599"/>
      <c r="AR30" s="599"/>
      <c r="AS30" s="599"/>
      <c r="AT30" s="60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70"/>
      <c r="C31" s="470"/>
      <c r="D31" s="471"/>
      <c r="E31" s="569"/>
      <c r="F31" s="568"/>
      <c r="G31" s="568"/>
      <c r="H31" s="568"/>
      <c r="I31" s="584"/>
      <c r="J31" s="51" t="str">
        <f>IF(AND('Mapa final'!$AB$37="Media",'Mapa final'!$AD$37="Leve"),CONCATENATE("R6C",'Mapa final'!$R$37),"")</f>
        <v/>
      </c>
      <c r="K31" s="52" t="str">
        <f>IF(AND('Mapa final'!$AB$38="Media",'Mapa final'!$AD$38="Leve"),CONCATENATE("R6C",'Mapa final'!$R$38),"")</f>
        <v/>
      </c>
      <c r="L31" s="52" t="str">
        <f>IF(AND('Mapa final'!$AB$39="Media",'Mapa final'!$AD$39="Leve"),CONCATENATE("R6C",'Mapa final'!$R$39),"")</f>
        <v/>
      </c>
      <c r="M31" s="52" t="str">
        <f>IF(AND('Mapa final'!$AB$40="Media",'Mapa final'!$AD$40="Leve"),CONCATENATE("R6C",'Mapa final'!$R$40),"")</f>
        <v/>
      </c>
      <c r="N31" s="52" t="str">
        <f>IF(AND('Mapa final'!$AB$41="Media",'Mapa final'!$AD$41="Leve"),CONCATENATE("R6C",'Mapa final'!$R$41),"")</f>
        <v/>
      </c>
      <c r="O31" s="53" t="str">
        <f>IF(AND('Mapa final'!$AB$42="Media",'Mapa final'!$AD$42="Leve"),CONCATENATE("R6C",'Mapa final'!$R$42),"")</f>
        <v/>
      </c>
      <c r="P31" s="51" t="str">
        <f>IF(AND('Mapa final'!$AB$37="Media",'Mapa final'!$AD$37="Menor"),CONCATENATE("R6C",'Mapa final'!$R$37),"")</f>
        <v/>
      </c>
      <c r="Q31" s="52" t="str">
        <f>IF(AND('Mapa final'!$AB$38="Media",'Mapa final'!$AD$38="Menor"),CONCATENATE("R6C",'Mapa final'!$R$38),"")</f>
        <v/>
      </c>
      <c r="R31" s="52" t="str">
        <f>IF(AND('Mapa final'!$AB$39="Media",'Mapa final'!$AD$39="Menor"),CONCATENATE("R6C",'Mapa final'!$R$39),"")</f>
        <v/>
      </c>
      <c r="S31" s="52" t="str">
        <f>IF(AND('Mapa final'!$AB$40="Media",'Mapa final'!$AD$40="Menor"),CONCATENATE("R6C",'Mapa final'!$R$40),"")</f>
        <v/>
      </c>
      <c r="T31" s="52" t="str">
        <f>IF(AND('Mapa final'!$AB$41="Media",'Mapa final'!$AD$41="Menor"),CONCATENATE("R6C",'Mapa final'!$R$41),"")</f>
        <v/>
      </c>
      <c r="U31" s="53" t="str">
        <f>IF(AND('Mapa final'!$AB$42="Media",'Mapa final'!$AD$42="Menor"),CONCATENATE("R6C",'Mapa final'!$R$42),"")</f>
        <v/>
      </c>
      <c r="V31" s="51" t="str">
        <f>IF(AND('Mapa final'!$AB$37="Media",'Mapa final'!$AD$37="Moderado"),CONCATENATE("R6C",'Mapa final'!$R$37),"")</f>
        <v/>
      </c>
      <c r="W31" s="52" t="str">
        <f>IF(AND('Mapa final'!$AB$38="Media",'Mapa final'!$AD$38="Moderado"),CONCATENATE("R6C",'Mapa final'!$R$38),"")</f>
        <v/>
      </c>
      <c r="X31" s="52" t="str">
        <f>IF(AND('Mapa final'!$AB$39="Media",'Mapa final'!$AD$39="Moderado"),CONCATENATE("R6C",'Mapa final'!$R$39),"")</f>
        <v/>
      </c>
      <c r="Y31" s="52" t="str">
        <f>IF(AND('Mapa final'!$AB$40="Media",'Mapa final'!$AD$40="Moderado"),CONCATENATE("R6C",'Mapa final'!$R$40),"")</f>
        <v/>
      </c>
      <c r="Z31" s="52" t="str">
        <f>IF(AND('Mapa final'!$AB$41="Media",'Mapa final'!$AD$41="Moderado"),CONCATENATE("R6C",'Mapa final'!$R$41),"")</f>
        <v/>
      </c>
      <c r="AA31" s="53" t="str">
        <f>IF(AND('Mapa final'!$AB$42="Media",'Mapa final'!$AD$42="Moderado"),CONCATENATE("R6C",'Mapa final'!$R$42),"")</f>
        <v/>
      </c>
      <c r="AB31" s="36" t="str">
        <f>IF(AND('Mapa final'!$AB$37="Media",'Mapa final'!$AD$37="Mayor"),CONCATENATE("R6C",'Mapa final'!$R$37),"")</f>
        <v/>
      </c>
      <c r="AC31" s="37" t="str">
        <f>IF(AND('Mapa final'!$AB$38="Media",'Mapa final'!$AD$38="Mayor"),CONCATENATE("R6C",'Mapa final'!$R$38),"")</f>
        <v/>
      </c>
      <c r="AD31" s="37" t="str">
        <f>IF(AND('Mapa final'!$AB$39="Media",'Mapa final'!$AD$39="Mayor"),CONCATENATE("R6C",'Mapa final'!$R$39),"")</f>
        <v/>
      </c>
      <c r="AE31" s="37" t="str">
        <f>IF(AND('Mapa final'!$AB$40="Media",'Mapa final'!$AD$40="Mayor"),CONCATENATE("R6C",'Mapa final'!$R$40),"")</f>
        <v/>
      </c>
      <c r="AF31" s="37" t="str">
        <f>IF(AND('Mapa final'!$AB$41="Media",'Mapa final'!$AD$41="Mayor"),CONCATENATE("R6C",'Mapa final'!$R$41),"")</f>
        <v/>
      </c>
      <c r="AG31" s="38" t="str">
        <f>IF(AND('Mapa final'!$AB$42="Media",'Mapa final'!$AD$42="Mayor"),CONCATENATE("R6C",'Mapa final'!$R$42),"")</f>
        <v/>
      </c>
      <c r="AH31" s="39" t="str">
        <f>IF(AND('Mapa final'!$AB$37="Media",'Mapa final'!$AD$37="Catastrófico"),CONCATENATE("R6C",'Mapa final'!$R$37),"")</f>
        <v/>
      </c>
      <c r="AI31" s="40" t="str">
        <f>IF(AND('Mapa final'!$AB$38="Media",'Mapa final'!$AD$38="Catastrófico"),CONCATENATE("R6C",'Mapa final'!$R$38),"")</f>
        <v/>
      </c>
      <c r="AJ31" s="40" t="str">
        <f>IF(AND('Mapa final'!$AB$39="Media",'Mapa final'!$AD$39="Catastrófico"),CONCATENATE("R6C",'Mapa final'!$R$39),"")</f>
        <v/>
      </c>
      <c r="AK31" s="40" t="str">
        <f>IF(AND('Mapa final'!$AB$40="Media",'Mapa final'!$AD$40="Catastrófico"),CONCATENATE("R6C",'Mapa final'!$R$40),"")</f>
        <v/>
      </c>
      <c r="AL31" s="40" t="str">
        <f>IF(AND('Mapa final'!$AB$41="Media",'Mapa final'!$AD$41="Catastrófico"),CONCATENATE("R6C",'Mapa final'!$R$41),"")</f>
        <v/>
      </c>
      <c r="AM31" s="41" t="str">
        <f>IF(AND('Mapa final'!$AB$42="Media",'Mapa final'!$AD$42="Catastrófico"),CONCATENATE("R6C",'Mapa final'!$R$42),"")</f>
        <v/>
      </c>
      <c r="AN31" s="67"/>
      <c r="AO31" s="598"/>
      <c r="AP31" s="599"/>
      <c r="AQ31" s="599"/>
      <c r="AR31" s="599"/>
      <c r="AS31" s="599"/>
      <c r="AT31" s="60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70"/>
      <c r="C32" s="470"/>
      <c r="D32" s="471"/>
      <c r="E32" s="569"/>
      <c r="F32" s="568"/>
      <c r="G32" s="568"/>
      <c r="H32" s="568"/>
      <c r="I32" s="584"/>
      <c r="J32" s="51" t="str">
        <f>IF(AND('Mapa final'!$AB$43="Media",'Mapa final'!$AD$43="Leve"),CONCATENATE("R7C",'Mapa final'!$R$43),"")</f>
        <v/>
      </c>
      <c r="K32" s="52" t="str">
        <f>IF(AND('Mapa final'!$AB$44="Media",'Mapa final'!$AD$44="Leve"),CONCATENATE("R7C",'Mapa final'!$R$44),"")</f>
        <v/>
      </c>
      <c r="L32" s="52" t="str">
        <f>IF(AND('Mapa final'!$AB$45="Media",'Mapa final'!$AD$45="Leve"),CONCATENATE("R7C",'Mapa final'!$R$45),"")</f>
        <v/>
      </c>
      <c r="M32" s="52" t="str">
        <f>IF(AND('Mapa final'!$AB$46="Media",'Mapa final'!$AD$46="Leve"),CONCATENATE("R7C",'Mapa final'!$R$46),"")</f>
        <v/>
      </c>
      <c r="N32" s="52" t="str">
        <f>IF(AND('Mapa final'!$AB$47="Media",'Mapa final'!$AD$47="Leve"),CONCATENATE("R7C",'Mapa final'!$R$47),"")</f>
        <v/>
      </c>
      <c r="O32" s="53" t="str">
        <f>IF(AND('Mapa final'!$AB$48="Media",'Mapa final'!$AD$48="Leve"),CONCATENATE("R7C",'Mapa final'!$R$48),"")</f>
        <v/>
      </c>
      <c r="P32" s="51" t="str">
        <f>IF(AND('Mapa final'!$AB$43="Media",'Mapa final'!$AD$43="Menor"),CONCATENATE("R7C",'Mapa final'!$R$43),"")</f>
        <v/>
      </c>
      <c r="Q32" s="52" t="str">
        <f>IF(AND('Mapa final'!$AB$44="Media",'Mapa final'!$AD$44="Menor"),CONCATENATE("R7C",'Mapa final'!$R$44),"")</f>
        <v/>
      </c>
      <c r="R32" s="52" t="str">
        <f>IF(AND('Mapa final'!$AB$45="Media",'Mapa final'!$AD$45="Menor"),CONCATENATE("R7C",'Mapa final'!$R$45),"")</f>
        <v/>
      </c>
      <c r="S32" s="52" t="str">
        <f>IF(AND('Mapa final'!$AB$46="Media",'Mapa final'!$AD$46="Menor"),CONCATENATE("R7C",'Mapa final'!$R$46),"")</f>
        <v/>
      </c>
      <c r="T32" s="52" t="str">
        <f>IF(AND('Mapa final'!$AB$47="Media",'Mapa final'!$AD$47="Menor"),CONCATENATE("R7C",'Mapa final'!$R$47),"")</f>
        <v/>
      </c>
      <c r="U32" s="53" t="str">
        <f>IF(AND('Mapa final'!$AB$48="Media",'Mapa final'!$AD$48="Menor"),CONCATENATE("R7C",'Mapa final'!$R$48),"")</f>
        <v/>
      </c>
      <c r="V32" s="51" t="str">
        <f>IF(AND('Mapa final'!$AB$43="Media",'Mapa final'!$AD$43="Moderado"),CONCATENATE("R7C",'Mapa final'!$R$43),"")</f>
        <v/>
      </c>
      <c r="W32" s="52" t="str">
        <f>IF(AND('Mapa final'!$AB$44="Media",'Mapa final'!$AD$44="Moderado"),CONCATENATE("R7C",'Mapa final'!$R$44),"")</f>
        <v/>
      </c>
      <c r="X32" s="52" t="str">
        <f>IF(AND('Mapa final'!$AB$45="Media",'Mapa final'!$AD$45="Moderado"),CONCATENATE("R7C",'Mapa final'!$R$45),"")</f>
        <v/>
      </c>
      <c r="Y32" s="52" t="str">
        <f>IF(AND('Mapa final'!$AB$46="Media",'Mapa final'!$AD$46="Moderado"),CONCATENATE("R7C",'Mapa final'!$R$46),"")</f>
        <v/>
      </c>
      <c r="Z32" s="52" t="str">
        <f>IF(AND('Mapa final'!$AB$47="Media",'Mapa final'!$AD$47="Moderado"),CONCATENATE("R7C",'Mapa final'!$R$47),"")</f>
        <v/>
      </c>
      <c r="AA32" s="53" t="str">
        <f>IF(AND('Mapa final'!$AB$48="Media",'Mapa final'!$AD$48="Moderado"),CONCATENATE("R7C",'Mapa final'!$R$48),"")</f>
        <v/>
      </c>
      <c r="AB32" s="36" t="str">
        <f>IF(AND('Mapa final'!$AB$43="Media",'Mapa final'!$AD$43="Mayor"),CONCATENATE("R7C",'Mapa final'!$R$43),"")</f>
        <v/>
      </c>
      <c r="AC32" s="37" t="str">
        <f>IF(AND('Mapa final'!$AB$44="Media",'Mapa final'!$AD$44="Mayor"),CONCATENATE("R7C",'Mapa final'!$R$44),"")</f>
        <v/>
      </c>
      <c r="AD32" s="37" t="str">
        <f>IF(AND('Mapa final'!$AB$45="Media",'Mapa final'!$AD$45="Mayor"),CONCATENATE("R7C",'Mapa final'!$R$45),"")</f>
        <v/>
      </c>
      <c r="AE32" s="37" t="str">
        <f>IF(AND('Mapa final'!$AB$46="Media",'Mapa final'!$AD$46="Mayor"),CONCATENATE("R7C",'Mapa final'!$R$46),"")</f>
        <v/>
      </c>
      <c r="AF32" s="37" t="str">
        <f>IF(AND('Mapa final'!$AB$47="Media",'Mapa final'!$AD$47="Mayor"),CONCATENATE("R7C",'Mapa final'!$R$47),"")</f>
        <v/>
      </c>
      <c r="AG32" s="38" t="str">
        <f>IF(AND('Mapa final'!$AB$48="Media",'Mapa final'!$AD$48="Mayor"),CONCATENATE("R7C",'Mapa final'!$R$48),"")</f>
        <v/>
      </c>
      <c r="AH32" s="39" t="str">
        <f>IF(AND('Mapa final'!$AB$43="Media",'Mapa final'!$AD$43="Catastrófico"),CONCATENATE("R7C",'Mapa final'!$R$43),"")</f>
        <v/>
      </c>
      <c r="AI32" s="40" t="str">
        <f>IF(AND('Mapa final'!$AB$44="Media",'Mapa final'!$AD$44="Catastrófico"),CONCATENATE("R7C",'Mapa final'!$R$44),"")</f>
        <v/>
      </c>
      <c r="AJ32" s="40" t="str">
        <f>IF(AND('Mapa final'!$AB$45="Media",'Mapa final'!$AD$45="Catastrófico"),CONCATENATE("R7C",'Mapa final'!$R$45),"")</f>
        <v/>
      </c>
      <c r="AK32" s="40" t="str">
        <f>IF(AND('Mapa final'!$AB$46="Media",'Mapa final'!$AD$46="Catastrófico"),CONCATENATE("R7C",'Mapa final'!$R$46),"")</f>
        <v/>
      </c>
      <c r="AL32" s="40" t="str">
        <f>IF(AND('Mapa final'!$AB$47="Media",'Mapa final'!$AD$47="Catastrófico"),CONCATENATE("R7C",'Mapa final'!$R$47),"")</f>
        <v/>
      </c>
      <c r="AM32" s="41" t="str">
        <f>IF(AND('Mapa final'!$AB$48="Media",'Mapa final'!$AD$48="Catastrófico"),CONCATENATE("R7C",'Mapa final'!$R$48),"")</f>
        <v/>
      </c>
      <c r="AN32" s="67"/>
      <c r="AO32" s="598"/>
      <c r="AP32" s="599"/>
      <c r="AQ32" s="599"/>
      <c r="AR32" s="599"/>
      <c r="AS32" s="599"/>
      <c r="AT32" s="60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70"/>
      <c r="C33" s="470"/>
      <c r="D33" s="471"/>
      <c r="E33" s="569"/>
      <c r="F33" s="568"/>
      <c r="G33" s="568"/>
      <c r="H33" s="568"/>
      <c r="I33" s="584"/>
      <c r="J33" s="51" t="str">
        <f>IF(AND('Mapa final'!$AB$49="Media",'Mapa final'!$AD$49="Leve"),CONCATENATE("R8C",'Mapa final'!$R$49),"")</f>
        <v/>
      </c>
      <c r="K33" s="52" t="str">
        <f>IF(AND('Mapa final'!$AB$50="Media",'Mapa final'!$AD$50="Leve"),CONCATENATE("R8C",'Mapa final'!$R$50),"")</f>
        <v/>
      </c>
      <c r="L33" s="52" t="str">
        <f>IF(AND('Mapa final'!$AB$51="Media",'Mapa final'!$AD$51="Leve"),CONCATENATE("R8C",'Mapa final'!$R$51),"")</f>
        <v/>
      </c>
      <c r="M33" s="52" t="str">
        <f>IF(AND('Mapa final'!$AB$52="Media",'Mapa final'!$AD$52="Leve"),CONCATENATE("R8C",'Mapa final'!$R$52),"")</f>
        <v/>
      </c>
      <c r="N33" s="52" t="str">
        <f>IF(AND('Mapa final'!$AB$53="Media",'Mapa final'!$AD$53="Leve"),CONCATENATE("R8C",'Mapa final'!$R$53),"")</f>
        <v/>
      </c>
      <c r="O33" s="53" t="str">
        <f>IF(AND('Mapa final'!$AB$54="Media",'Mapa final'!$AD$54="Leve"),CONCATENATE("R8C",'Mapa final'!$R$54),"")</f>
        <v/>
      </c>
      <c r="P33" s="51" t="str">
        <f>IF(AND('Mapa final'!$AB$49="Media",'Mapa final'!$AD$49="Menor"),CONCATENATE("R8C",'Mapa final'!$R$49),"")</f>
        <v/>
      </c>
      <c r="Q33" s="52" t="str">
        <f>IF(AND('Mapa final'!$AB$50="Media",'Mapa final'!$AD$50="Menor"),CONCATENATE("R8C",'Mapa final'!$R$50),"")</f>
        <v/>
      </c>
      <c r="R33" s="52" t="str">
        <f>IF(AND('Mapa final'!$AB$51="Media",'Mapa final'!$AD$51="Menor"),CONCATENATE("R8C",'Mapa final'!$R$51),"")</f>
        <v/>
      </c>
      <c r="S33" s="52" t="str">
        <f>IF(AND('Mapa final'!$AB$52="Media",'Mapa final'!$AD$52="Menor"),CONCATENATE("R8C",'Mapa final'!$R$52),"")</f>
        <v/>
      </c>
      <c r="T33" s="52" t="str">
        <f>IF(AND('Mapa final'!$AB$53="Media",'Mapa final'!$AD$53="Menor"),CONCATENATE("R8C",'Mapa final'!$R$53),"")</f>
        <v/>
      </c>
      <c r="U33" s="53" t="str">
        <f>IF(AND('Mapa final'!$AB$54="Media",'Mapa final'!$AD$54="Menor"),CONCATENATE("R8C",'Mapa final'!$R$54),"")</f>
        <v/>
      </c>
      <c r="V33" s="51" t="str">
        <f>IF(AND('Mapa final'!$AB$49="Media",'Mapa final'!$AD$49="Moderado"),CONCATENATE("R8C",'Mapa final'!$R$49),"")</f>
        <v/>
      </c>
      <c r="W33" s="52" t="str">
        <f>IF(AND('Mapa final'!$AB$50="Media",'Mapa final'!$AD$50="Moderado"),CONCATENATE("R8C",'Mapa final'!$R$50),"")</f>
        <v/>
      </c>
      <c r="X33" s="52" t="str">
        <f>IF(AND('Mapa final'!$AB$51="Media",'Mapa final'!$AD$51="Moderado"),CONCATENATE("R8C",'Mapa final'!$R$51),"")</f>
        <v/>
      </c>
      <c r="Y33" s="52" t="str">
        <f>IF(AND('Mapa final'!$AB$52="Media",'Mapa final'!$AD$52="Moderado"),CONCATENATE("R8C",'Mapa final'!$R$52),"")</f>
        <v/>
      </c>
      <c r="Z33" s="52" t="str">
        <f>IF(AND('Mapa final'!$AB$53="Media",'Mapa final'!$AD$53="Moderado"),CONCATENATE("R8C",'Mapa final'!$R$53),"")</f>
        <v/>
      </c>
      <c r="AA33" s="53" t="str">
        <f>IF(AND('Mapa final'!$AB$54="Media",'Mapa final'!$AD$54="Moderado"),CONCATENATE("R8C",'Mapa final'!$R$54),"")</f>
        <v/>
      </c>
      <c r="AB33" s="36" t="str">
        <f>IF(AND('Mapa final'!$AB$49="Media",'Mapa final'!$AD$49="Mayor"),CONCATENATE("R8C",'Mapa final'!$R$49),"")</f>
        <v/>
      </c>
      <c r="AC33" s="37" t="str">
        <f>IF(AND('Mapa final'!$AB$50="Media",'Mapa final'!$AD$50="Mayor"),CONCATENATE("R8C",'Mapa final'!$R$50),"")</f>
        <v/>
      </c>
      <c r="AD33" s="37" t="str">
        <f>IF(AND('Mapa final'!$AB$51="Media",'Mapa final'!$AD$51="Mayor"),CONCATENATE("R8C",'Mapa final'!$R$51),"")</f>
        <v/>
      </c>
      <c r="AE33" s="37" t="str">
        <f>IF(AND('Mapa final'!$AB$52="Media",'Mapa final'!$AD$52="Mayor"),CONCATENATE("R8C",'Mapa final'!$R$52),"")</f>
        <v/>
      </c>
      <c r="AF33" s="37" t="str">
        <f>IF(AND('Mapa final'!$AB$53="Media",'Mapa final'!$AD$53="Mayor"),CONCATENATE("R8C",'Mapa final'!$R$53),"")</f>
        <v/>
      </c>
      <c r="AG33" s="38" t="str">
        <f>IF(AND('Mapa final'!$AB$54="Media",'Mapa final'!$AD$54="Mayor"),CONCATENATE("R8C",'Mapa final'!$R$54),"")</f>
        <v/>
      </c>
      <c r="AH33" s="39" t="str">
        <f>IF(AND('Mapa final'!$AB$49="Media",'Mapa final'!$AD$49="Catastrófico"),CONCATENATE("R8C",'Mapa final'!$R$49),"")</f>
        <v/>
      </c>
      <c r="AI33" s="40" t="str">
        <f>IF(AND('Mapa final'!$AB$50="Media",'Mapa final'!$AD$50="Catastrófico"),CONCATENATE("R8C",'Mapa final'!$R$50),"")</f>
        <v/>
      </c>
      <c r="AJ33" s="40" t="str">
        <f>IF(AND('Mapa final'!$AB$51="Media",'Mapa final'!$AD$51="Catastrófico"),CONCATENATE("R8C",'Mapa final'!$R$51),"")</f>
        <v/>
      </c>
      <c r="AK33" s="40" t="str">
        <f>IF(AND('Mapa final'!$AB$52="Media",'Mapa final'!$AD$52="Catastrófico"),CONCATENATE("R8C",'Mapa final'!$R$52),"")</f>
        <v/>
      </c>
      <c r="AL33" s="40" t="str">
        <f>IF(AND('Mapa final'!$AB$53="Media",'Mapa final'!$AD$53="Catastrófico"),CONCATENATE("R8C",'Mapa final'!$R$53),"")</f>
        <v/>
      </c>
      <c r="AM33" s="41" t="str">
        <f>IF(AND('Mapa final'!$AB$54="Media",'Mapa final'!$AD$54="Catastrófico"),CONCATENATE("R8C",'Mapa final'!$R$54),"")</f>
        <v/>
      </c>
      <c r="AN33" s="67"/>
      <c r="AO33" s="598"/>
      <c r="AP33" s="599"/>
      <c r="AQ33" s="599"/>
      <c r="AR33" s="599"/>
      <c r="AS33" s="599"/>
      <c r="AT33" s="60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70"/>
      <c r="C34" s="470"/>
      <c r="D34" s="471"/>
      <c r="E34" s="569"/>
      <c r="F34" s="568"/>
      <c r="G34" s="568"/>
      <c r="H34" s="568"/>
      <c r="I34" s="584"/>
      <c r="J34" s="51" t="str">
        <f>IF(AND('Mapa final'!$AB$55="Media",'Mapa final'!$AD$55="Leve"),CONCATENATE("R9C",'Mapa final'!$R$55),"")</f>
        <v/>
      </c>
      <c r="K34" s="52" t="str">
        <f>IF(AND('Mapa final'!$AB$56="Media",'Mapa final'!$AD$56="Leve"),CONCATENATE("R9C",'Mapa final'!$R$56),"")</f>
        <v/>
      </c>
      <c r="L34" s="52" t="str">
        <f>IF(AND('Mapa final'!$AB$57="Media",'Mapa final'!$AD$57="Leve"),CONCATENATE("R9C",'Mapa final'!$R$57),"")</f>
        <v/>
      </c>
      <c r="M34" s="52" t="str">
        <f>IF(AND('Mapa final'!$AB$58="Media",'Mapa final'!$AD$58="Leve"),CONCATENATE("R9C",'Mapa final'!$R$58),"")</f>
        <v/>
      </c>
      <c r="N34" s="52" t="str">
        <f>IF(AND('Mapa final'!$AB$59="Media",'Mapa final'!$AD$59="Leve"),CONCATENATE("R9C",'Mapa final'!$R$59),"")</f>
        <v/>
      </c>
      <c r="O34" s="53" t="str">
        <f>IF(AND('Mapa final'!$AB$60="Media",'Mapa final'!$AD$60="Leve"),CONCATENATE("R9C",'Mapa final'!$R$60),"")</f>
        <v/>
      </c>
      <c r="P34" s="51" t="str">
        <f>IF(AND('Mapa final'!$AB$55="Media",'Mapa final'!$AD$55="Menor"),CONCATENATE("R9C",'Mapa final'!$R$55),"")</f>
        <v/>
      </c>
      <c r="Q34" s="52" t="str">
        <f>IF(AND('Mapa final'!$AB$56="Media",'Mapa final'!$AD$56="Menor"),CONCATENATE("R9C",'Mapa final'!$R$56),"")</f>
        <v/>
      </c>
      <c r="R34" s="52" t="str">
        <f>IF(AND('Mapa final'!$AB$57="Media",'Mapa final'!$AD$57="Menor"),CONCATENATE("R9C",'Mapa final'!$R$57),"")</f>
        <v/>
      </c>
      <c r="S34" s="52" t="str">
        <f>IF(AND('Mapa final'!$AB$58="Media",'Mapa final'!$AD$58="Menor"),CONCATENATE("R9C",'Mapa final'!$R$58),"")</f>
        <v/>
      </c>
      <c r="T34" s="52" t="str">
        <f>IF(AND('Mapa final'!$AB$59="Media",'Mapa final'!$AD$59="Menor"),CONCATENATE("R9C",'Mapa final'!$R$59),"")</f>
        <v/>
      </c>
      <c r="U34" s="53" t="str">
        <f>IF(AND('Mapa final'!$AB$60="Media",'Mapa final'!$AD$60="Menor"),CONCATENATE("R9C",'Mapa final'!$R$60),"")</f>
        <v/>
      </c>
      <c r="V34" s="51" t="str">
        <f>IF(AND('Mapa final'!$AB$55="Media",'Mapa final'!$AD$55="Moderado"),CONCATENATE("R9C",'Mapa final'!$R$55),"")</f>
        <v/>
      </c>
      <c r="W34" s="52" t="str">
        <f>IF(AND('Mapa final'!$AB$56="Media",'Mapa final'!$AD$56="Moderado"),CONCATENATE("R9C",'Mapa final'!$R$56),"")</f>
        <v/>
      </c>
      <c r="X34" s="52" t="str">
        <f>IF(AND('Mapa final'!$AB$57="Media",'Mapa final'!$AD$57="Moderado"),CONCATENATE("R9C",'Mapa final'!$R$57),"")</f>
        <v/>
      </c>
      <c r="Y34" s="52" t="str">
        <f>IF(AND('Mapa final'!$AB$58="Media",'Mapa final'!$AD$58="Moderado"),CONCATENATE("R9C",'Mapa final'!$R$58),"")</f>
        <v/>
      </c>
      <c r="Z34" s="52" t="str">
        <f>IF(AND('Mapa final'!$AB$59="Media",'Mapa final'!$AD$59="Moderado"),CONCATENATE("R9C",'Mapa final'!$R$59),"")</f>
        <v/>
      </c>
      <c r="AA34" s="53" t="str">
        <f>IF(AND('Mapa final'!$AB$60="Media",'Mapa final'!$AD$60="Moderado"),CONCATENATE("R9C",'Mapa final'!$R$60),"")</f>
        <v/>
      </c>
      <c r="AB34" s="36" t="str">
        <f>IF(AND('Mapa final'!$AB$55="Media",'Mapa final'!$AD$55="Mayor"),CONCATENATE("R9C",'Mapa final'!$R$55),"")</f>
        <v/>
      </c>
      <c r="AC34" s="37" t="str">
        <f>IF(AND('Mapa final'!$AB$56="Media",'Mapa final'!$AD$56="Mayor"),CONCATENATE("R9C",'Mapa final'!$R$56),"")</f>
        <v/>
      </c>
      <c r="AD34" s="37" t="str">
        <f>IF(AND('Mapa final'!$AB$57="Media",'Mapa final'!$AD$57="Mayor"),CONCATENATE("R9C",'Mapa final'!$R$57),"")</f>
        <v/>
      </c>
      <c r="AE34" s="37" t="str">
        <f>IF(AND('Mapa final'!$AB$58="Media",'Mapa final'!$AD$58="Mayor"),CONCATENATE("R9C",'Mapa final'!$R$58),"")</f>
        <v/>
      </c>
      <c r="AF34" s="37" t="str">
        <f>IF(AND('Mapa final'!$AB$59="Media",'Mapa final'!$AD$59="Mayor"),CONCATENATE("R9C",'Mapa final'!$R$59),"")</f>
        <v/>
      </c>
      <c r="AG34" s="38" t="str">
        <f>IF(AND('Mapa final'!$AB$60="Media",'Mapa final'!$AD$60="Mayor"),CONCATENATE("R9C",'Mapa final'!$R$60),"")</f>
        <v/>
      </c>
      <c r="AH34" s="39" t="str">
        <f>IF(AND('Mapa final'!$AB$55="Media",'Mapa final'!$AD$55="Catastrófico"),CONCATENATE("R9C",'Mapa final'!$R$55),"")</f>
        <v/>
      </c>
      <c r="AI34" s="40" t="str">
        <f>IF(AND('Mapa final'!$AB$56="Media",'Mapa final'!$AD$56="Catastrófico"),CONCATENATE("R9C",'Mapa final'!$R$56),"")</f>
        <v/>
      </c>
      <c r="AJ34" s="40" t="str">
        <f>IF(AND('Mapa final'!$AB$57="Media",'Mapa final'!$AD$57="Catastrófico"),CONCATENATE("R9C",'Mapa final'!$R$57),"")</f>
        <v/>
      </c>
      <c r="AK34" s="40" t="str">
        <f>IF(AND('Mapa final'!$AB$58="Media",'Mapa final'!$AD$58="Catastrófico"),CONCATENATE("R9C",'Mapa final'!$R$58),"")</f>
        <v/>
      </c>
      <c r="AL34" s="40" t="str">
        <f>IF(AND('Mapa final'!$AB$59="Media",'Mapa final'!$AD$59="Catastrófico"),CONCATENATE("R9C",'Mapa final'!$R$59),"")</f>
        <v/>
      </c>
      <c r="AM34" s="41" t="str">
        <f>IF(AND('Mapa final'!$AB$60="Media",'Mapa final'!$AD$60="Catastrófico"),CONCATENATE("R9C",'Mapa final'!$R$60),"")</f>
        <v/>
      </c>
      <c r="AN34" s="67"/>
      <c r="AO34" s="598"/>
      <c r="AP34" s="599"/>
      <c r="AQ34" s="599"/>
      <c r="AR34" s="599"/>
      <c r="AS34" s="599"/>
      <c r="AT34" s="60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70"/>
      <c r="C35" s="470"/>
      <c r="D35" s="471"/>
      <c r="E35" s="570"/>
      <c r="F35" s="571"/>
      <c r="G35" s="571"/>
      <c r="H35" s="571"/>
      <c r="I35" s="585"/>
      <c r="J35" s="51" t="str">
        <f>IF(AND('Mapa final'!$AB$61="Media",'Mapa final'!$AD$61="Leve"),CONCATENATE("R10C",'Mapa final'!$R$61),"")</f>
        <v/>
      </c>
      <c r="K35" s="52" t="str">
        <f>IF(AND('Mapa final'!$AB$62="Media",'Mapa final'!$AD$62="Leve"),CONCATENATE("R10C",'Mapa final'!$R$62),"")</f>
        <v/>
      </c>
      <c r="L35" s="52" t="str">
        <f>IF(AND('Mapa final'!$AB$63="Media",'Mapa final'!$AD$63="Leve"),CONCATENATE("R10C",'Mapa final'!$R$63),"")</f>
        <v/>
      </c>
      <c r="M35" s="52" t="str">
        <f>IF(AND('Mapa final'!$AB$64="Media",'Mapa final'!$AD$64="Leve"),CONCATENATE("R10C",'Mapa final'!$R$64),"")</f>
        <v/>
      </c>
      <c r="N35" s="52" t="str">
        <f>IF(AND('Mapa final'!$AB$65="Media",'Mapa final'!$AD$65="Leve"),CONCATENATE("R10C",'Mapa final'!$R$65),"")</f>
        <v/>
      </c>
      <c r="O35" s="53" t="str">
        <f>IF(AND('Mapa final'!$AB$66="Media",'Mapa final'!$AD$66="Leve"),CONCATENATE("R10C",'Mapa final'!$R$66),"")</f>
        <v/>
      </c>
      <c r="P35" s="51" t="str">
        <f>IF(AND('Mapa final'!$AB$61="Media",'Mapa final'!$AD$61="Menor"),CONCATENATE("R10C",'Mapa final'!$R$61),"")</f>
        <v/>
      </c>
      <c r="Q35" s="52" t="str">
        <f>IF(AND('Mapa final'!$AB$62="Media",'Mapa final'!$AD$62="Menor"),CONCATENATE("R10C",'Mapa final'!$R$62),"")</f>
        <v/>
      </c>
      <c r="R35" s="52" t="str">
        <f>IF(AND('Mapa final'!$AB$63="Media",'Mapa final'!$AD$63="Menor"),CONCATENATE("R10C",'Mapa final'!$R$63),"")</f>
        <v/>
      </c>
      <c r="S35" s="52" t="str">
        <f>IF(AND('Mapa final'!$AB$64="Media",'Mapa final'!$AD$64="Menor"),CONCATENATE("R10C",'Mapa final'!$R$64),"")</f>
        <v/>
      </c>
      <c r="T35" s="52" t="str">
        <f>IF(AND('Mapa final'!$AB$65="Media",'Mapa final'!$AD$65="Menor"),CONCATENATE("R10C",'Mapa final'!$R$65),"")</f>
        <v/>
      </c>
      <c r="U35" s="53" t="str">
        <f>IF(AND('Mapa final'!$AB$66="Media",'Mapa final'!$AD$66="Menor"),CONCATENATE("R10C",'Mapa final'!$R$66),"")</f>
        <v/>
      </c>
      <c r="V35" s="51" t="str">
        <f>IF(AND('Mapa final'!$AB$61="Media",'Mapa final'!$AD$61="Moderado"),CONCATENATE("R10C",'Mapa final'!$R$61),"")</f>
        <v/>
      </c>
      <c r="W35" s="52" t="str">
        <f>IF(AND('Mapa final'!$AB$62="Media",'Mapa final'!$AD$62="Moderado"),CONCATENATE("R10C",'Mapa final'!$R$62),"")</f>
        <v/>
      </c>
      <c r="X35" s="52" t="str">
        <f>IF(AND('Mapa final'!$AB$63="Media",'Mapa final'!$AD$63="Moderado"),CONCATENATE("R10C",'Mapa final'!$R$63),"")</f>
        <v/>
      </c>
      <c r="Y35" s="52" t="str">
        <f>IF(AND('Mapa final'!$AB$64="Media",'Mapa final'!$AD$64="Moderado"),CONCATENATE("R10C",'Mapa final'!$R$64),"")</f>
        <v/>
      </c>
      <c r="Z35" s="52" t="str">
        <f>IF(AND('Mapa final'!$AB$65="Media",'Mapa final'!$AD$65="Moderado"),CONCATENATE("R10C",'Mapa final'!$R$65),"")</f>
        <v/>
      </c>
      <c r="AA35" s="53" t="str">
        <f>IF(AND('Mapa final'!$AB$66="Media",'Mapa final'!$AD$66="Moderado"),CONCATENATE("R10C",'Mapa final'!$R$66),"")</f>
        <v/>
      </c>
      <c r="AB35" s="42" t="str">
        <f>IF(AND('Mapa final'!$AB$61="Media",'Mapa final'!$AD$61="Mayor"),CONCATENATE("R10C",'Mapa final'!$R$61),"")</f>
        <v/>
      </c>
      <c r="AC35" s="43" t="str">
        <f>IF(AND('Mapa final'!$AB$62="Media",'Mapa final'!$AD$62="Mayor"),CONCATENATE("R10C",'Mapa final'!$R$62),"")</f>
        <v/>
      </c>
      <c r="AD35" s="43" t="str">
        <f>IF(AND('Mapa final'!$AB$63="Media",'Mapa final'!$AD$63="Mayor"),CONCATENATE("R10C",'Mapa final'!$R$63),"")</f>
        <v/>
      </c>
      <c r="AE35" s="43" t="str">
        <f>IF(AND('Mapa final'!$AB$64="Media",'Mapa final'!$AD$64="Mayor"),CONCATENATE("R10C",'Mapa final'!$R$64),"")</f>
        <v/>
      </c>
      <c r="AF35" s="43" t="str">
        <f>IF(AND('Mapa final'!$AB$65="Media",'Mapa final'!$AD$65="Mayor"),CONCATENATE("R10C",'Mapa final'!$R$65),"")</f>
        <v/>
      </c>
      <c r="AG35" s="44" t="str">
        <f>IF(AND('Mapa final'!$AB$66="Media",'Mapa final'!$AD$66="Mayor"),CONCATENATE("R10C",'Mapa final'!$R$66),"")</f>
        <v/>
      </c>
      <c r="AH35" s="45" t="str">
        <f>IF(AND('Mapa final'!$AB$61="Media",'Mapa final'!$AD$61="Catastrófico"),CONCATENATE("R10C",'Mapa final'!$R$61),"")</f>
        <v/>
      </c>
      <c r="AI35" s="46" t="str">
        <f>IF(AND('Mapa final'!$AB$62="Media",'Mapa final'!$AD$62="Catastrófico"),CONCATENATE("R10C",'Mapa final'!$R$62),"")</f>
        <v/>
      </c>
      <c r="AJ35" s="46" t="str">
        <f>IF(AND('Mapa final'!$AB$63="Media",'Mapa final'!$AD$63="Catastrófico"),CONCATENATE("R10C",'Mapa final'!$R$63),"")</f>
        <v/>
      </c>
      <c r="AK35" s="46" t="str">
        <f>IF(AND('Mapa final'!$AB$64="Media",'Mapa final'!$AD$64="Catastrófico"),CONCATENATE("R10C",'Mapa final'!$R$64),"")</f>
        <v/>
      </c>
      <c r="AL35" s="46" t="str">
        <f>IF(AND('Mapa final'!$AB$65="Media",'Mapa final'!$AD$65="Catastrófico"),CONCATENATE("R10C",'Mapa final'!$R$65),"")</f>
        <v/>
      </c>
      <c r="AM35" s="47" t="str">
        <f>IF(AND('Mapa final'!$AB$66="Media",'Mapa final'!$AD$66="Catastrófico"),CONCATENATE("R10C",'Mapa final'!$R$66),"")</f>
        <v/>
      </c>
      <c r="AN35" s="67"/>
      <c r="AO35" s="601"/>
      <c r="AP35" s="602"/>
      <c r="AQ35" s="602"/>
      <c r="AR35" s="602"/>
      <c r="AS35" s="602"/>
      <c r="AT35" s="60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70"/>
      <c r="C36" s="470"/>
      <c r="D36" s="471"/>
      <c r="E36" s="565" t="s">
        <v>109</v>
      </c>
      <c r="F36" s="566"/>
      <c r="G36" s="566"/>
      <c r="H36" s="566"/>
      <c r="I36" s="566"/>
      <c r="J36" s="57" t="str">
        <f>IF(AND('Mapa final'!$AB$10="Baja",'Mapa final'!$AD$10="Leve"),CONCATENATE("R1C",'Mapa final'!$R$10),"")</f>
        <v/>
      </c>
      <c r="K36" s="58" t="e">
        <f>IF(AND('Mapa final'!#REF!="Baja",'Mapa final'!#REF!="Leve"),CONCATENATE("R1C",'Mapa final'!#REF!),"")</f>
        <v>#REF!</v>
      </c>
      <c r="L36" s="58" t="e">
        <f>IF(AND('Mapa final'!#REF!="Baja",'Mapa final'!#REF!="Leve"),CONCATENATE("R1C",'Mapa final'!#REF!),"")</f>
        <v>#REF!</v>
      </c>
      <c r="M36" s="58" t="str">
        <f>IF(AND('Mapa final'!$AB$11="Baja",'Mapa final'!$AD$11="Leve"),CONCATENATE("R1C",'Mapa final'!$R$11),"")</f>
        <v/>
      </c>
      <c r="N36" s="58" t="e">
        <f>IF(AND('Mapa final'!#REF!="Baja",'Mapa final'!#REF!="Leve"),CONCATENATE("R1C",'Mapa final'!#REF!),"")</f>
        <v>#REF!</v>
      </c>
      <c r="O36" s="59" t="str">
        <f>IF(AND('Mapa final'!$AB$12="Baja",'Mapa final'!$AD$12="Leve"),CONCATENATE("R1C",'Mapa final'!$R$12),"")</f>
        <v/>
      </c>
      <c r="P36" s="48" t="str">
        <f>IF(AND('Mapa final'!$AB$10="Baja",'Mapa final'!$AD$10="Menor"),CONCATENATE("R1C",'Mapa final'!$R$10),"")</f>
        <v/>
      </c>
      <c r="Q36" s="49" t="e">
        <f>IF(AND('Mapa final'!#REF!="Baja",'Mapa final'!#REF!="Menor"),CONCATENATE("R1C",'Mapa final'!#REF!),"")</f>
        <v>#REF!</v>
      </c>
      <c r="R36" s="49" t="e">
        <f>IF(AND('Mapa final'!#REF!="Baja",'Mapa final'!#REF!="Menor"),CONCATENATE("R1C",'Mapa final'!#REF!),"")</f>
        <v>#REF!</v>
      </c>
      <c r="S36" s="49" t="str">
        <f>IF(AND('Mapa final'!$AB$11="Baja",'Mapa final'!$AD$11="Menor"),CONCATENATE("R1C",'Mapa final'!$R$11),"")</f>
        <v/>
      </c>
      <c r="T36" s="49" t="e">
        <f>IF(AND('Mapa final'!#REF!="Baja",'Mapa final'!#REF!="Menor"),CONCATENATE("R1C",'Mapa final'!#REF!),"")</f>
        <v>#REF!</v>
      </c>
      <c r="U36" s="50" t="str">
        <f>IF(AND('Mapa final'!$AB$12="Baja",'Mapa final'!$AD$12="Menor"),CONCATENATE("R1C",'Mapa final'!$R$12),"")</f>
        <v/>
      </c>
      <c r="V36" s="48" t="str">
        <f>IF(AND('Mapa final'!$AB$10="Baja",'Mapa final'!$AD$10="Moderado"),CONCATENATE("R1C",'Mapa final'!$R$10),"")</f>
        <v>R1C1</v>
      </c>
      <c r="W36" s="49" t="e">
        <f>IF(AND('Mapa final'!#REF!="Baja",'Mapa final'!#REF!="Moderado"),CONCATENATE("R1C",'Mapa final'!#REF!),"")</f>
        <v>#REF!</v>
      </c>
      <c r="X36" s="49" t="e">
        <f>IF(AND('Mapa final'!#REF!="Baja",'Mapa final'!#REF!="Moderado"),CONCATENATE("R1C",'Mapa final'!#REF!),"")</f>
        <v>#REF!</v>
      </c>
      <c r="Y36" s="49" t="str">
        <f>IF(AND('Mapa final'!$AB$11="Baja",'Mapa final'!$AD$11="Moderado"),CONCATENATE("R1C",'Mapa final'!$R$11),"")</f>
        <v/>
      </c>
      <c r="Z36" s="49" t="e">
        <f>IF(AND('Mapa final'!#REF!="Baja",'Mapa final'!#REF!="Moderado"),CONCATENATE("R1C",'Mapa final'!#REF!),"")</f>
        <v>#REF!</v>
      </c>
      <c r="AA36" s="50" t="str">
        <f>IF(AND('Mapa final'!$AB$12="Baja",'Mapa final'!$AD$12="Moderado"),CONCATENATE("R1C",'Mapa final'!$R$12),"")</f>
        <v/>
      </c>
      <c r="AB36" s="30" t="str">
        <f>IF(AND('Mapa final'!$AB$10="Baja",'Mapa final'!$AD$10="Mayor"),CONCATENATE("R1C",'Mapa final'!$R$10),"")</f>
        <v/>
      </c>
      <c r="AC36" s="31" t="e">
        <f>IF(AND('Mapa final'!#REF!="Baja",'Mapa final'!#REF!="Mayor"),CONCATENATE("R1C",'Mapa final'!#REF!),"")</f>
        <v>#REF!</v>
      </c>
      <c r="AD36" s="31" t="e">
        <f>IF(AND('Mapa final'!#REF!="Baja",'Mapa final'!#REF!="Mayor"),CONCATENATE("R1C",'Mapa final'!#REF!),"")</f>
        <v>#REF!</v>
      </c>
      <c r="AE36" s="31" t="str">
        <f>IF(AND('Mapa final'!$AB$11="Baja",'Mapa final'!$AD$11="Mayor"),CONCATENATE("R1C",'Mapa final'!$R$11),"")</f>
        <v/>
      </c>
      <c r="AF36" s="31" t="e">
        <f>IF(AND('Mapa final'!#REF!="Baja",'Mapa final'!#REF!="Mayor"),CONCATENATE("R1C",'Mapa final'!#REF!),"")</f>
        <v>#REF!</v>
      </c>
      <c r="AG36" s="32" t="str">
        <f>IF(AND('Mapa final'!$AB$12="Baja",'Mapa final'!$AD$12="Mayor"),CONCATENATE("R1C",'Mapa final'!$R$12),"")</f>
        <v/>
      </c>
      <c r="AH36" s="33" t="str">
        <f>IF(AND('Mapa final'!$AB$10="Baja",'Mapa final'!$AD$10="Catastrófico"),CONCATENATE("R1C",'Mapa final'!$R$10),"")</f>
        <v/>
      </c>
      <c r="AI36" s="34" t="e">
        <f>IF(AND('Mapa final'!#REF!="Baja",'Mapa final'!#REF!="Catastrófico"),CONCATENATE("R1C",'Mapa final'!#REF!),"")</f>
        <v>#REF!</v>
      </c>
      <c r="AJ36" s="34" t="e">
        <f>IF(AND('Mapa final'!#REF!="Baja",'Mapa final'!#REF!="Catastrófico"),CONCATENATE("R1C",'Mapa final'!#REF!),"")</f>
        <v>#REF!</v>
      </c>
      <c r="AK36" s="34" t="str">
        <f>IF(AND('Mapa final'!$AB$11="Baja",'Mapa final'!$AD$11="Catastrófico"),CONCATENATE("R1C",'Mapa final'!$R$11),"")</f>
        <v/>
      </c>
      <c r="AL36" s="34" t="e">
        <f>IF(AND('Mapa final'!#REF!="Baja",'Mapa final'!#REF!="Catastrófico"),CONCATENATE("R1C",'Mapa final'!#REF!),"")</f>
        <v>#REF!</v>
      </c>
      <c r="AM36" s="35" t="str">
        <f>IF(AND('Mapa final'!$AB$12="Baja",'Mapa final'!$AD$12="Catastrófico"),CONCATENATE("R1C",'Mapa final'!$R$12),"")</f>
        <v/>
      </c>
      <c r="AN36" s="67"/>
      <c r="AO36" s="586" t="s">
        <v>81</v>
      </c>
      <c r="AP36" s="587"/>
      <c r="AQ36" s="587"/>
      <c r="AR36" s="587"/>
      <c r="AS36" s="587"/>
      <c r="AT36" s="58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70"/>
      <c r="C37" s="470"/>
      <c r="D37" s="471"/>
      <c r="E37" s="567"/>
      <c r="F37" s="568"/>
      <c r="G37" s="568"/>
      <c r="H37" s="568"/>
      <c r="I37" s="568"/>
      <c r="J37" s="60" t="str">
        <f>IF(AND('Mapa final'!$AB$13="Baja",'Mapa final'!$AD$13="Leve"),CONCATENATE("R2C",'Mapa final'!$R$13),"")</f>
        <v/>
      </c>
      <c r="K37" s="61" t="str">
        <f>IF(AND('Mapa final'!$AB$14="Baja",'Mapa final'!$AD$14="Leve"),CONCATENATE("R2C",'Mapa final'!$R$14),"")</f>
        <v/>
      </c>
      <c r="L37" s="61" t="str">
        <f>IF(AND('Mapa final'!$AB$15="Baja",'Mapa final'!$AD$15="Leve"),CONCATENATE("R2C",'Mapa final'!$R$15),"")</f>
        <v/>
      </c>
      <c r="M37" s="61" t="str">
        <f>IF(AND('Mapa final'!$AB$16="Baja",'Mapa final'!$AD$16="Leve"),CONCATENATE("R2C",'Mapa final'!$R$16),"")</f>
        <v/>
      </c>
      <c r="N37" s="61" t="str">
        <f>IF(AND('Mapa final'!$AB$17="Baja",'Mapa final'!$AD$17="Leve"),CONCATENATE("R2C",'Mapa final'!$R$17),"")</f>
        <v/>
      </c>
      <c r="O37" s="62" t="str">
        <f>IF(AND('Mapa final'!$AB$18="Baja",'Mapa final'!$AD$18="Leve"),CONCATENATE("R2C",'Mapa final'!$R$18),"")</f>
        <v/>
      </c>
      <c r="P37" s="51" t="str">
        <f>IF(AND('Mapa final'!$AB$13="Baja",'Mapa final'!$AD$13="Menor"),CONCATENATE("R2C",'Mapa final'!$R$13),"")</f>
        <v/>
      </c>
      <c r="Q37" s="52" t="str">
        <f>IF(AND('Mapa final'!$AB$14="Baja",'Mapa final'!$AD$14="Menor"),CONCATENATE("R2C",'Mapa final'!$R$14),"")</f>
        <v/>
      </c>
      <c r="R37" s="52" t="str">
        <f>IF(AND('Mapa final'!$AB$15="Baja",'Mapa final'!$AD$15="Menor"),CONCATENATE("R2C",'Mapa final'!$R$15),"")</f>
        <v/>
      </c>
      <c r="S37" s="52" t="str">
        <f>IF(AND('Mapa final'!$AB$16="Baja",'Mapa final'!$AD$16="Menor"),CONCATENATE("R2C",'Mapa final'!$R$16),"")</f>
        <v/>
      </c>
      <c r="T37" s="52" t="str">
        <f>IF(AND('Mapa final'!$AB$17="Baja",'Mapa final'!$AD$17="Menor"),CONCATENATE("R2C",'Mapa final'!$R$17),"")</f>
        <v/>
      </c>
      <c r="U37" s="53" t="str">
        <f>IF(AND('Mapa final'!$AB$18="Baja",'Mapa final'!$AD$18="Menor"),CONCATENATE("R2C",'Mapa final'!$R$18),"")</f>
        <v/>
      </c>
      <c r="V37" s="51" t="str">
        <f>IF(AND('Mapa final'!$AB$13="Baja",'Mapa final'!$AD$13="Moderado"),CONCATENATE("R2C",'Mapa final'!$R$13),"")</f>
        <v/>
      </c>
      <c r="W37" s="52" t="str">
        <f>IF(AND('Mapa final'!$AB$14="Baja",'Mapa final'!$AD$14="Moderado"),CONCATENATE("R2C",'Mapa final'!$R$14),"")</f>
        <v/>
      </c>
      <c r="X37" s="52" t="str">
        <f>IF(AND('Mapa final'!$AB$15="Baja",'Mapa final'!$AD$15="Moderado"),CONCATENATE("R2C",'Mapa final'!$R$15),"")</f>
        <v/>
      </c>
      <c r="Y37" s="52" t="str">
        <f>IF(AND('Mapa final'!$AB$16="Baja",'Mapa final'!$AD$16="Moderado"),CONCATENATE("R2C",'Mapa final'!$R$16),"")</f>
        <v/>
      </c>
      <c r="Z37" s="52" t="str">
        <f>IF(AND('Mapa final'!$AB$17="Baja",'Mapa final'!$AD$17="Moderado"),CONCATENATE("R2C",'Mapa final'!$R$17),"")</f>
        <v/>
      </c>
      <c r="AA37" s="53" t="str">
        <f>IF(AND('Mapa final'!$AB$18="Baja",'Mapa final'!$AD$18="Moderado"),CONCATENATE("R2C",'Mapa final'!$R$18),"")</f>
        <v/>
      </c>
      <c r="AB37" s="36" t="str">
        <f>IF(AND('Mapa final'!$AB$13="Baja",'Mapa final'!$AD$13="Mayor"),CONCATENATE("R2C",'Mapa final'!$R$13),"")</f>
        <v/>
      </c>
      <c r="AC37" s="37" t="str">
        <f>IF(AND('Mapa final'!$AB$14="Baja",'Mapa final'!$AD$14="Mayor"),CONCATENATE("R2C",'Mapa final'!$R$14),"")</f>
        <v/>
      </c>
      <c r="AD37" s="37" t="str">
        <f>IF(AND('Mapa final'!$AB$15="Baja",'Mapa final'!$AD$15="Mayor"),CONCATENATE("R2C",'Mapa final'!$R$15),"")</f>
        <v/>
      </c>
      <c r="AE37" s="37" t="str">
        <f>IF(AND('Mapa final'!$AB$16="Baja",'Mapa final'!$AD$16="Mayor"),CONCATENATE("R2C",'Mapa final'!$R$16),"")</f>
        <v/>
      </c>
      <c r="AF37" s="37" t="str">
        <f>IF(AND('Mapa final'!$AB$17="Baja",'Mapa final'!$AD$17="Mayor"),CONCATENATE("R2C",'Mapa final'!$R$17),"")</f>
        <v/>
      </c>
      <c r="AG37" s="38" t="str">
        <f>IF(AND('Mapa final'!$AB$18="Baja",'Mapa final'!$AD$18="Mayor"),CONCATENATE("R2C",'Mapa final'!$R$18),"")</f>
        <v/>
      </c>
      <c r="AH37" s="39" t="str">
        <f>IF(AND('Mapa final'!$AB$13="Baja",'Mapa final'!$AD$13="Catastrófico"),CONCATENATE("R2C",'Mapa final'!$R$13),"")</f>
        <v/>
      </c>
      <c r="AI37" s="40" t="str">
        <f>IF(AND('Mapa final'!$AB$14="Baja",'Mapa final'!$AD$14="Catastrófico"),CONCATENATE("R2C",'Mapa final'!$R$14),"")</f>
        <v/>
      </c>
      <c r="AJ37" s="40" t="str">
        <f>IF(AND('Mapa final'!$AB$15="Baja",'Mapa final'!$AD$15="Catastrófico"),CONCATENATE("R2C",'Mapa final'!$R$15),"")</f>
        <v/>
      </c>
      <c r="AK37" s="40" t="str">
        <f>IF(AND('Mapa final'!$AB$16="Baja",'Mapa final'!$AD$16="Catastrófico"),CONCATENATE("R2C",'Mapa final'!$R$16),"")</f>
        <v/>
      </c>
      <c r="AL37" s="40" t="str">
        <f>IF(AND('Mapa final'!$AB$17="Baja",'Mapa final'!$AD$17="Catastrófico"),CONCATENATE("R2C",'Mapa final'!$R$17),"")</f>
        <v/>
      </c>
      <c r="AM37" s="41" t="str">
        <f>IF(AND('Mapa final'!$AB$18="Baja",'Mapa final'!$AD$18="Catastrófico"),CONCATENATE("R2C",'Mapa final'!$R$18),"")</f>
        <v/>
      </c>
      <c r="AN37" s="67"/>
      <c r="AO37" s="589"/>
      <c r="AP37" s="590"/>
      <c r="AQ37" s="590"/>
      <c r="AR37" s="590"/>
      <c r="AS37" s="590"/>
      <c r="AT37" s="59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70"/>
      <c r="C38" s="470"/>
      <c r="D38" s="471"/>
      <c r="E38" s="569"/>
      <c r="F38" s="568"/>
      <c r="G38" s="568"/>
      <c r="H38" s="568"/>
      <c r="I38" s="568"/>
      <c r="J38" s="60" t="str">
        <f>IF(AND('Mapa final'!$AB$19="Baja",'Mapa final'!$AD$19="Leve"),CONCATENATE("R3C",'Mapa final'!$R$19),"")</f>
        <v/>
      </c>
      <c r="K38" s="61" t="str">
        <f>IF(AND('Mapa final'!$AB$20="Baja",'Mapa final'!$AD$20="Leve"),CONCATENATE("R3C",'Mapa final'!$R$20),"")</f>
        <v/>
      </c>
      <c r="L38" s="61" t="str">
        <f>IF(AND('Mapa final'!$AB$21="Baja",'Mapa final'!$AD$21="Leve"),CONCATENATE("R3C",'Mapa final'!$R$21),"")</f>
        <v/>
      </c>
      <c r="M38" s="61" t="str">
        <f>IF(AND('Mapa final'!$AB$22="Baja",'Mapa final'!$AD$22="Leve"),CONCATENATE("R3C",'Mapa final'!$R$22),"")</f>
        <v/>
      </c>
      <c r="N38" s="61" t="str">
        <f>IF(AND('Mapa final'!$AB$23="Baja",'Mapa final'!$AD$23="Leve"),CONCATENATE("R3C",'Mapa final'!$R$23),"")</f>
        <v/>
      </c>
      <c r="O38" s="62" t="str">
        <f>IF(AND('Mapa final'!$AB$24="Baja",'Mapa final'!$AD$24="Leve"),CONCATENATE("R3C",'Mapa final'!$R$24),"")</f>
        <v/>
      </c>
      <c r="P38" s="51" t="str">
        <f>IF(AND('Mapa final'!$AB$19="Baja",'Mapa final'!$AD$19="Menor"),CONCATENATE("R3C",'Mapa final'!$R$19),"")</f>
        <v/>
      </c>
      <c r="Q38" s="52" t="str">
        <f>IF(AND('Mapa final'!$AB$20="Baja",'Mapa final'!$AD$20="Menor"),CONCATENATE("R3C",'Mapa final'!$R$20),"")</f>
        <v/>
      </c>
      <c r="R38" s="52" t="str">
        <f>IF(AND('Mapa final'!$AB$21="Baja",'Mapa final'!$AD$21="Menor"),CONCATENATE("R3C",'Mapa final'!$R$21),"")</f>
        <v/>
      </c>
      <c r="S38" s="52" t="str">
        <f>IF(AND('Mapa final'!$AB$22="Baja",'Mapa final'!$AD$22="Menor"),CONCATENATE("R3C",'Mapa final'!$R$22),"")</f>
        <v/>
      </c>
      <c r="T38" s="52" t="str">
        <f>IF(AND('Mapa final'!$AB$23="Baja",'Mapa final'!$AD$23="Menor"),CONCATENATE("R3C",'Mapa final'!$R$23),"")</f>
        <v/>
      </c>
      <c r="U38" s="53" t="str">
        <f>IF(AND('Mapa final'!$AB$24="Baja",'Mapa final'!$AD$24="Menor"),CONCATENATE("R3C",'Mapa final'!$R$24),"")</f>
        <v/>
      </c>
      <c r="V38" s="51" t="str">
        <f>IF(AND('Mapa final'!$AB$19="Baja",'Mapa final'!$AD$19="Moderado"),CONCATENATE("R3C",'Mapa final'!$R$19),"")</f>
        <v/>
      </c>
      <c r="W38" s="52" t="str">
        <f>IF(AND('Mapa final'!$AB$20="Baja",'Mapa final'!$AD$20="Moderado"),CONCATENATE("R3C",'Mapa final'!$R$20),"")</f>
        <v/>
      </c>
      <c r="X38" s="52" t="str">
        <f>IF(AND('Mapa final'!$AB$21="Baja",'Mapa final'!$AD$21="Moderado"),CONCATENATE("R3C",'Mapa final'!$R$21),"")</f>
        <v/>
      </c>
      <c r="Y38" s="52" t="str">
        <f>IF(AND('Mapa final'!$AB$22="Baja",'Mapa final'!$AD$22="Moderado"),CONCATENATE("R3C",'Mapa final'!$R$22),"")</f>
        <v/>
      </c>
      <c r="Z38" s="52" t="str">
        <f>IF(AND('Mapa final'!$AB$23="Baja",'Mapa final'!$AD$23="Moderado"),CONCATENATE("R3C",'Mapa final'!$R$23),"")</f>
        <v/>
      </c>
      <c r="AA38" s="53" t="str">
        <f>IF(AND('Mapa final'!$AB$24="Baja",'Mapa final'!$AD$24="Moderado"),CONCATENATE("R3C",'Mapa final'!$R$24),"")</f>
        <v/>
      </c>
      <c r="AB38" s="36" t="str">
        <f>IF(AND('Mapa final'!$AB$19="Baja",'Mapa final'!$AD$19="Mayor"),CONCATENATE("R3C",'Mapa final'!$R$19),"")</f>
        <v/>
      </c>
      <c r="AC38" s="37" t="str">
        <f>IF(AND('Mapa final'!$AB$20="Baja",'Mapa final'!$AD$20="Mayor"),CONCATENATE("R3C",'Mapa final'!$R$20),"")</f>
        <v/>
      </c>
      <c r="AD38" s="37" t="str">
        <f>IF(AND('Mapa final'!$AB$21="Baja",'Mapa final'!$AD$21="Mayor"),CONCATENATE("R3C",'Mapa final'!$R$21),"")</f>
        <v/>
      </c>
      <c r="AE38" s="37" t="str">
        <f>IF(AND('Mapa final'!$AB$22="Baja",'Mapa final'!$AD$22="Mayor"),CONCATENATE("R3C",'Mapa final'!$R$22),"")</f>
        <v/>
      </c>
      <c r="AF38" s="37" t="str">
        <f>IF(AND('Mapa final'!$AB$23="Baja",'Mapa final'!$AD$23="Mayor"),CONCATENATE("R3C",'Mapa final'!$R$23),"")</f>
        <v/>
      </c>
      <c r="AG38" s="38" t="str">
        <f>IF(AND('Mapa final'!$AB$24="Baja",'Mapa final'!$AD$24="Mayor"),CONCATENATE("R3C",'Mapa final'!$R$24),"")</f>
        <v/>
      </c>
      <c r="AH38" s="39" t="str">
        <f>IF(AND('Mapa final'!$AB$19="Baja",'Mapa final'!$AD$19="Catastrófico"),CONCATENATE("R3C",'Mapa final'!$R$19),"")</f>
        <v/>
      </c>
      <c r="AI38" s="40" t="str">
        <f>IF(AND('Mapa final'!$AB$20="Baja",'Mapa final'!$AD$20="Catastrófico"),CONCATENATE("R3C",'Mapa final'!$R$20),"")</f>
        <v/>
      </c>
      <c r="AJ38" s="40" t="str">
        <f>IF(AND('Mapa final'!$AB$21="Baja",'Mapa final'!$AD$21="Catastrófico"),CONCATENATE("R3C",'Mapa final'!$R$21),"")</f>
        <v/>
      </c>
      <c r="AK38" s="40" t="str">
        <f>IF(AND('Mapa final'!$AB$22="Baja",'Mapa final'!$AD$22="Catastrófico"),CONCATENATE("R3C",'Mapa final'!$R$22),"")</f>
        <v/>
      </c>
      <c r="AL38" s="40" t="str">
        <f>IF(AND('Mapa final'!$AB$23="Baja",'Mapa final'!$AD$23="Catastrófico"),CONCATENATE("R3C",'Mapa final'!$R$23),"")</f>
        <v/>
      </c>
      <c r="AM38" s="41" t="str">
        <f>IF(AND('Mapa final'!$AB$24="Baja",'Mapa final'!$AD$24="Catastrófico"),CONCATENATE("R3C",'Mapa final'!$R$24),"")</f>
        <v/>
      </c>
      <c r="AN38" s="67"/>
      <c r="AO38" s="589"/>
      <c r="AP38" s="590"/>
      <c r="AQ38" s="590"/>
      <c r="AR38" s="590"/>
      <c r="AS38" s="590"/>
      <c r="AT38" s="59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70"/>
      <c r="C39" s="470"/>
      <c r="D39" s="471"/>
      <c r="E39" s="569"/>
      <c r="F39" s="568"/>
      <c r="G39" s="568"/>
      <c r="H39" s="568"/>
      <c r="I39" s="568"/>
      <c r="J39" s="60" t="str">
        <f>IF(AND('Mapa final'!$AB$25="Baja",'Mapa final'!$AD$25="Leve"),CONCATENATE("R4C",'Mapa final'!$R$25),"")</f>
        <v/>
      </c>
      <c r="K39" s="61" t="str">
        <f>IF(AND('Mapa final'!$AB$26="Baja",'Mapa final'!$AD$26="Leve"),CONCATENATE("R4C",'Mapa final'!$R$26),"")</f>
        <v/>
      </c>
      <c r="L39" s="61" t="str">
        <f>IF(AND('Mapa final'!$AB$27="Baja",'Mapa final'!$AD$27="Leve"),CONCATENATE("R4C",'Mapa final'!$R$27),"")</f>
        <v/>
      </c>
      <c r="M39" s="61" t="str">
        <f>IF(AND('Mapa final'!$AB$28="Baja",'Mapa final'!$AD$28="Leve"),CONCATENATE("R4C",'Mapa final'!$R$28),"")</f>
        <v/>
      </c>
      <c r="N39" s="61" t="str">
        <f>IF(AND('Mapa final'!$AB$29="Baja",'Mapa final'!$AD$29="Leve"),CONCATENATE("R4C",'Mapa final'!$R$29),"")</f>
        <v/>
      </c>
      <c r="O39" s="62" t="str">
        <f>IF(AND('Mapa final'!$AB$30="Baja",'Mapa final'!$AD$30="Leve"),CONCATENATE("R4C",'Mapa final'!$R$30),"")</f>
        <v/>
      </c>
      <c r="P39" s="51" t="str">
        <f>IF(AND('Mapa final'!$AB$25="Baja",'Mapa final'!$AD$25="Menor"),CONCATENATE("R4C",'Mapa final'!$R$25),"")</f>
        <v/>
      </c>
      <c r="Q39" s="52" t="str">
        <f>IF(AND('Mapa final'!$AB$26="Baja",'Mapa final'!$AD$26="Menor"),CONCATENATE("R4C",'Mapa final'!$R$26),"")</f>
        <v/>
      </c>
      <c r="R39" s="52" t="str">
        <f>IF(AND('Mapa final'!$AB$27="Baja",'Mapa final'!$AD$27="Menor"),CONCATENATE("R4C",'Mapa final'!$R$27),"")</f>
        <v/>
      </c>
      <c r="S39" s="52" t="str">
        <f>IF(AND('Mapa final'!$AB$28="Baja",'Mapa final'!$AD$28="Menor"),CONCATENATE("R4C",'Mapa final'!$R$28),"")</f>
        <v/>
      </c>
      <c r="T39" s="52" t="str">
        <f>IF(AND('Mapa final'!$AB$29="Baja",'Mapa final'!$AD$29="Menor"),CONCATENATE("R4C",'Mapa final'!$R$29),"")</f>
        <v/>
      </c>
      <c r="U39" s="53" t="str">
        <f>IF(AND('Mapa final'!$AB$30="Baja",'Mapa final'!$AD$30="Menor"),CONCATENATE("R4C",'Mapa final'!$R$30),"")</f>
        <v/>
      </c>
      <c r="V39" s="51" t="str">
        <f>IF(AND('Mapa final'!$AB$25="Baja",'Mapa final'!$AD$25="Moderado"),CONCATENATE("R4C",'Mapa final'!$R$25),"")</f>
        <v/>
      </c>
      <c r="W39" s="52" t="str">
        <f>IF(AND('Mapa final'!$AB$26="Baja",'Mapa final'!$AD$26="Moderado"),CONCATENATE("R4C",'Mapa final'!$R$26),"")</f>
        <v/>
      </c>
      <c r="X39" s="52" t="str">
        <f>IF(AND('Mapa final'!$AB$27="Baja",'Mapa final'!$AD$27="Moderado"),CONCATENATE("R4C",'Mapa final'!$R$27),"")</f>
        <v/>
      </c>
      <c r="Y39" s="52" t="str">
        <f>IF(AND('Mapa final'!$AB$28="Baja",'Mapa final'!$AD$28="Moderado"),CONCATENATE("R4C",'Mapa final'!$R$28),"")</f>
        <v/>
      </c>
      <c r="Z39" s="52" t="str">
        <f>IF(AND('Mapa final'!$AB$29="Baja",'Mapa final'!$AD$29="Moderado"),CONCATENATE("R4C",'Mapa final'!$R$29),"")</f>
        <v/>
      </c>
      <c r="AA39" s="53" t="str">
        <f>IF(AND('Mapa final'!$AB$30="Baja",'Mapa final'!$AD$30="Moderado"),CONCATENATE("R4C",'Mapa final'!$R$30),"")</f>
        <v/>
      </c>
      <c r="AB39" s="36" t="str">
        <f>IF(AND('Mapa final'!$AB$25="Baja",'Mapa final'!$AD$25="Mayor"),CONCATENATE("R4C",'Mapa final'!$R$25),"")</f>
        <v/>
      </c>
      <c r="AC39" s="37" t="str">
        <f>IF(AND('Mapa final'!$AB$26="Baja",'Mapa final'!$AD$26="Mayor"),CONCATENATE("R4C",'Mapa final'!$R$26),"")</f>
        <v/>
      </c>
      <c r="AD39" s="37" t="str">
        <f>IF(AND('Mapa final'!$AB$27="Baja",'Mapa final'!$AD$27="Mayor"),CONCATENATE("R4C",'Mapa final'!$R$27),"")</f>
        <v/>
      </c>
      <c r="AE39" s="37" t="str">
        <f>IF(AND('Mapa final'!$AB$28="Baja",'Mapa final'!$AD$28="Mayor"),CONCATENATE("R4C",'Mapa final'!$R$28),"")</f>
        <v/>
      </c>
      <c r="AF39" s="37" t="str">
        <f>IF(AND('Mapa final'!$AB$29="Baja",'Mapa final'!$AD$29="Mayor"),CONCATENATE("R4C",'Mapa final'!$R$29),"")</f>
        <v/>
      </c>
      <c r="AG39" s="38" t="str">
        <f>IF(AND('Mapa final'!$AB$30="Baja",'Mapa final'!$AD$30="Mayor"),CONCATENATE("R4C",'Mapa final'!$R$30),"")</f>
        <v/>
      </c>
      <c r="AH39" s="39" t="str">
        <f>IF(AND('Mapa final'!$AB$25="Baja",'Mapa final'!$AD$25="Catastrófico"),CONCATENATE("R4C",'Mapa final'!$R$25),"")</f>
        <v/>
      </c>
      <c r="AI39" s="40" t="str">
        <f>IF(AND('Mapa final'!$AB$26="Baja",'Mapa final'!$AD$26="Catastrófico"),CONCATENATE("R4C",'Mapa final'!$R$26),"")</f>
        <v/>
      </c>
      <c r="AJ39" s="40" t="str">
        <f>IF(AND('Mapa final'!$AB$27="Baja",'Mapa final'!$AD$27="Catastrófico"),CONCATENATE("R4C",'Mapa final'!$R$27),"")</f>
        <v/>
      </c>
      <c r="AK39" s="40" t="str">
        <f>IF(AND('Mapa final'!$AB$28="Baja",'Mapa final'!$AD$28="Catastrófico"),CONCATENATE("R4C",'Mapa final'!$R$28),"")</f>
        <v/>
      </c>
      <c r="AL39" s="40" t="str">
        <f>IF(AND('Mapa final'!$AB$29="Baja",'Mapa final'!$AD$29="Catastrófico"),CONCATENATE("R4C",'Mapa final'!$R$29),"")</f>
        <v/>
      </c>
      <c r="AM39" s="41" t="str">
        <f>IF(AND('Mapa final'!$AB$30="Baja",'Mapa final'!$AD$30="Catastrófico"),CONCATENATE("R4C",'Mapa final'!$R$30),"")</f>
        <v/>
      </c>
      <c r="AN39" s="67"/>
      <c r="AO39" s="589"/>
      <c r="AP39" s="590"/>
      <c r="AQ39" s="590"/>
      <c r="AR39" s="590"/>
      <c r="AS39" s="590"/>
      <c r="AT39" s="59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70"/>
      <c r="C40" s="470"/>
      <c r="D40" s="471"/>
      <c r="E40" s="569"/>
      <c r="F40" s="568"/>
      <c r="G40" s="568"/>
      <c r="H40" s="568"/>
      <c r="I40" s="568"/>
      <c r="J40" s="60" t="str">
        <f>IF(AND('Mapa final'!$AB$31="Baja",'Mapa final'!$AD$31="Leve"),CONCATENATE("R5C",'Mapa final'!$R$31),"")</f>
        <v/>
      </c>
      <c r="K40" s="61" t="str">
        <f>IF(AND('Mapa final'!$AB$32="Baja",'Mapa final'!$AD$32="Leve"),CONCATENATE("R5C",'Mapa final'!$R$32),"")</f>
        <v/>
      </c>
      <c r="L40" s="61" t="str">
        <f>IF(AND('Mapa final'!$AB$33="Baja",'Mapa final'!$AD$33="Leve"),CONCATENATE("R5C",'Mapa final'!$R$33),"")</f>
        <v/>
      </c>
      <c r="M40" s="61" t="str">
        <f>IF(AND('Mapa final'!$AB$34="Baja",'Mapa final'!$AD$34="Leve"),CONCATENATE("R5C",'Mapa final'!$R$34),"")</f>
        <v/>
      </c>
      <c r="N40" s="61" t="str">
        <f>IF(AND('Mapa final'!$AB$35="Baja",'Mapa final'!$AD$35="Leve"),CONCATENATE("R5C",'Mapa final'!$R$35),"")</f>
        <v/>
      </c>
      <c r="O40" s="62" t="str">
        <f>IF(AND('Mapa final'!$AB$36="Baja",'Mapa final'!$AD$36="Leve"),CONCATENATE("R5C",'Mapa final'!$R$36),"")</f>
        <v/>
      </c>
      <c r="P40" s="51" t="str">
        <f>IF(AND('Mapa final'!$AB$31="Baja",'Mapa final'!$AD$31="Menor"),CONCATENATE("R5C",'Mapa final'!$R$31),"")</f>
        <v/>
      </c>
      <c r="Q40" s="52" t="str">
        <f>IF(AND('Mapa final'!$AB$32="Baja",'Mapa final'!$AD$32="Menor"),CONCATENATE("R5C",'Mapa final'!$R$32),"")</f>
        <v/>
      </c>
      <c r="R40" s="52" t="str">
        <f>IF(AND('Mapa final'!$AB$33="Baja",'Mapa final'!$AD$33="Menor"),CONCATENATE("R5C",'Mapa final'!$R$33),"")</f>
        <v/>
      </c>
      <c r="S40" s="52" t="str">
        <f>IF(AND('Mapa final'!$AB$34="Baja",'Mapa final'!$AD$34="Menor"),CONCATENATE("R5C",'Mapa final'!$R$34),"")</f>
        <v/>
      </c>
      <c r="T40" s="52" t="str">
        <f>IF(AND('Mapa final'!$AB$35="Baja",'Mapa final'!$AD$35="Menor"),CONCATENATE("R5C",'Mapa final'!$R$35),"")</f>
        <v/>
      </c>
      <c r="U40" s="53" t="str">
        <f>IF(AND('Mapa final'!$AB$36="Baja",'Mapa final'!$AD$36="Menor"),CONCATENATE("R5C",'Mapa final'!$R$36),"")</f>
        <v/>
      </c>
      <c r="V40" s="51" t="str">
        <f>IF(AND('Mapa final'!$AB$31="Baja",'Mapa final'!$AD$31="Moderado"),CONCATENATE("R5C",'Mapa final'!$R$31),"")</f>
        <v/>
      </c>
      <c r="W40" s="52" t="str">
        <f>IF(AND('Mapa final'!$AB$32="Baja",'Mapa final'!$AD$32="Moderado"),CONCATENATE("R5C",'Mapa final'!$R$32),"")</f>
        <v/>
      </c>
      <c r="X40" s="52" t="str">
        <f>IF(AND('Mapa final'!$AB$33="Baja",'Mapa final'!$AD$33="Moderado"),CONCATENATE("R5C",'Mapa final'!$R$33),"")</f>
        <v/>
      </c>
      <c r="Y40" s="52" t="str">
        <f>IF(AND('Mapa final'!$AB$34="Baja",'Mapa final'!$AD$34="Moderado"),CONCATENATE("R5C",'Mapa final'!$R$34),"")</f>
        <v/>
      </c>
      <c r="Z40" s="52" t="str">
        <f>IF(AND('Mapa final'!$AB$35="Baja",'Mapa final'!$AD$35="Moderado"),CONCATENATE("R5C",'Mapa final'!$R$35),"")</f>
        <v/>
      </c>
      <c r="AA40" s="53" t="str">
        <f>IF(AND('Mapa final'!$AB$36="Baja",'Mapa final'!$AD$36="Moderado"),CONCATENATE("R5C",'Mapa final'!$R$36),"")</f>
        <v/>
      </c>
      <c r="AB40" s="36" t="str">
        <f>IF(AND('Mapa final'!$AB$31="Baja",'Mapa final'!$AD$31="Mayor"),CONCATENATE("R5C",'Mapa final'!$R$31),"")</f>
        <v/>
      </c>
      <c r="AC40" s="37" t="str">
        <f>IF(AND('Mapa final'!$AB$32="Baja",'Mapa final'!$AD$32="Mayor"),CONCATENATE("R5C",'Mapa final'!$R$32),"")</f>
        <v/>
      </c>
      <c r="AD40" s="37" t="str">
        <f>IF(AND('Mapa final'!$AB$33="Baja",'Mapa final'!$AD$33="Mayor"),CONCATENATE("R5C",'Mapa final'!$R$33),"")</f>
        <v/>
      </c>
      <c r="AE40" s="37" t="str">
        <f>IF(AND('Mapa final'!$AB$34="Baja",'Mapa final'!$AD$34="Mayor"),CONCATENATE("R5C",'Mapa final'!$R$34),"")</f>
        <v/>
      </c>
      <c r="AF40" s="37" t="str">
        <f>IF(AND('Mapa final'!$AB$35="Baja",'Mapa final'!$AD$35="Mayor"),CONCATENATE("R5C",'Mapa final'!$R$35),"")</f>
        <v/>
      </c>
      <c r="AG40" s="38" t="str">
        <f>IF(AND('Mapa final'!$AB$36="Baja",'Mapa final'!$AD$36="Mayor"),CONCATENATE("R5C",'Mapa final'!$R$36),"")</f>
        <v/>
      </c>
      <c r="AH40" s="39" t="str">
        <f>IF(AND('Mapa final'!$AB$31="Baja",'Mapa final'!$AD$31="Catastrófico"),CONCATENATE("R5C",'Mapa final'!$R$31),"")</f>
        <v/>
      </c>
      <c r="AI40" s="40" t="str">
        <f>IF(AND('Mapa final'!$AB$32="Baja",'Mapa final'!$AD$32="Catastrófico"),CONCATENATE("R5C",'Mapa final'!$R$32),"")</f>
        <v/>
      </c>
      <c r="AJ40" s="40" t="str">
        <f>IF(AND('Mapa final'!$AB$33="Baja",'Mapa final'!$AD$33="Catastrófico"),CONCATENATE("R5C",'Mapa final'!$R$33),"")</f>
        <v/>
      </c>
      <c r="AK40" s="40" t="str">
        <f>IF(AND('Mapa final'!$AB$34="Baja",'Mapa final'!$AD$34="Catastrófico"),CONCATENATE("R5C",'Mapa final'!$R$34),"")</f>
        <v/>
      </c>
      <c r="AL40" s="40" t="str">
        <f>IF(AND('Mapa final'!$AB$35="Baja",'Mapa final'!$AD$35="Catastrófico"),CONCATENATE("R5C",'Mapa final'!$R$35),"")</f>
        <v/>
      </c>
      <c r="AM40" s="41" t="str">
        <f>IF(AND('Mapa final'!$AB$36="Baja",'Mapa final'!$AD$36="Catastrófico"),CONCATENATE("R5C",'Mapa final'!$R$36),"")</f>
        <v/>
      </c>
      <c r="AN40" s="67"/>
      <c r="AO40" s="589"/>
      <c r="AP40" s="590"/>
      <c r="AQ40" s="590"/>
      <c r="AR40" s="590"/>
      <c r="AS40" s="590"/>
      <c r="AT40" s="59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70"/>
      <c r="C41" s="470"/>
      <c r="D41" s="471"/>
      <c r="E41" s="569"/>
      <c r="F41" s="568"/>
      <c r="G41" s="568"/>
      <c r="H41" s="568"/>
      <c r="I41" s="568"/>
      <c r="J41" s="60" t="str">
        <f>IF(AND('Mapa final'!$AB$37="Baja",'Mapa final'!$AD$37="Leve"),CONCATENATE("R6C",'Mapa final'!$R$37),"")</f>
        <v/>
      </c>
      <c r="K41" s="61" t="str">
        <f>IF(AND('Mapa final'!$AB$38="Baja",'Mapa final'!$AD$38="Leve"),CONCATENATE("R6C",'Mapa final'!$R$38),"")</f>
        <v/>
      </c>
      <c r="L41" s="61" t="str">
        <f>IF(AND('Mapa final'!$AB$39="Baja",'Mapa final'!$AD$39="Leve"),CONCATENATE("R6C",'Mapa final'!$R$39),"")</f>
        <v/>
      </c>
      <c r="M41" s="61" t="str">
        <f>IF(AND('Mapa final'!$AB$40="Baja",'Mapa final'!$AD$40="Leve"),CONCATENATE("R6C",'Mapa final'!$R$40),"")</f>
        <v/>
      </c>
      <c r="N41" s="61" t="str">
        <f>IF(AND('Mapa final'!$AB$41="Baja",'Mapa final'!$AD$41="Leve"),CONCATENATE("R6C",'Mapa final'!$R$41),"")</f>
        <v/>
      </c>
      <c r="O41" s="62" t="str">
        <f>IF(AND('Mapa final'!$AB$42="Baja",'Mapa final'!$AD$42="Leve"),CONCATENATE("R6C",'Mapa final'!$R$42),"")</f>
        <v/>
      </c>
      <c r="P41" s="51" t="str">
        <f>IF(AND('Mapa final'!$AB$37="Baja",'Mapa final'!$AD$37="Menor"),CONCATENATE("R6C",'Mapa final'!$R$37),"")</f>
        <v/>
      </c>
      <c r="Q41" s="52" t="str">
        <f>IF(AND('Mapa final'!$AB$38="Baja",'Mapa final'!$AD$38="Menor"),CONCATENATE("R6C",'Mapa final'!$R$38),"")</f>
        <v/>
      </c>
      <c r="R41" s="52" t="str">
        <f>IF(AND('Mapa final'!$AB$39="Baja",'Mapa final'!$AD$39="Menor"),CONCATENATE("R6C",'Mapa final'!$R$39),"")</f>
        <v/>
      </c>
      <c r="S41" s="52" t="str">
        <f>IF(AND('Mapa final'!$AB$40="Baja",'Mapa final'!$AD$40="Menor"),CONCATENATE("R6C",'Mapa final'!$R$40),"")</f>
        <v/>
      </c>
      <c r="T41" s="52" t="str">
        <f>IF(AND('Mapa final'!$AB$41="Baja",'Mapa final'!$AD$41="Menor"),CONCATENATE("R6C",'Mapa final'!$R$41),"")</f>
        <v/>
      </c>
      <c r="U41" s="53" t="str">
        <f>IF(AND('Mapa final'!$AB$42="Baja",'Mapa final'!$AD$42="Menor"),CONCATENATE("R6C",'Mapa final'!$R$42),"")</f>
        <v/>
      </c>
      <c r="V41" s="51" t="str">
        <f>IF(AND('Mapa final'!$AB$37="Baja",'Mapa final'!$AD$37="Moderado"),CONCATENATE("R6C",'Mapa final'!$R$37),"")</f>
        <v/>
      </c>
      <c r="W41" s="52" t="str">
        <f>IF(AND('Mapa final'!$AB$38="Baja",'Mapa final'!$AD$38="Moderado"),CONCATENATE("R6C",'Mapa final'!$R$38),"")</f>
        <v/>
      </c>
      <c r="X41" s="52" t="str">
        <f>IF(AND('Mapa final'!$AB$39="Baja",'Mapa final'!$AD$39="Moderado"),CONCATENATE("R6C",'Mapa final'!$R$39),"")</f>
        <v/>
      </c>
      <c r="Y41" s="52" t="str">
        <f>IF(AND('Mapa final'!$AB$40="Baja",'Mapa final'!$AD$40="Moderado"),CONCATENATE("R6C",'Mapa final'!$R$40),"")</f>
        <v/>
      </c>
      <c r="Z41" s="52" t="str">
        <f>IF(AND('Mapa final'!$AB$41="Baja",'Mapa final'!$AD$41="Moderado"),CONCATENATE("R6C",'Mapa final'!$R$41),"")</f>
        <v/>
      </c>
      <c r="AA41" s="53" t="str">
        <f>IF(AND('Mapa final'!$AB$42="Baja",'Mapa final'!$AD$42="Moderado"),CONCATENATE("R6C",'Mapa final'!$R$42),"")</f>
        <v/>
      </c>
      <c r="AB41" s="36" t="str">
        <f>IF(AND('Mapa final'!$AB$37="Baja",'Mapa final'!$AD$37="Mayor"),CONCATENATE("R6C",'Mapa final'!$R$37),"")</f>
        <v/>
      </c>
      <c r="AC41" s="37" t="str">
        <f>IF(AND('Mapa final'!$AB$38="Baja",'Mapa final'!$AD$38="Mayor"),CONCATENATE("R6C",'Mapa final'!$R$38),"")</f>
        <v/>
      </c>
      <c r="AD41" s="37" t="str">
        <f>IF(AND('Mapa final'!$AB$39="Baja",'Mapa final'!$AD$39="Mayor"),CONCATENATE("R6C",'Mapa final'!$R$39),"")</f>
        <v/>
      </c>
      <c r="AE41" s="37" t="str">
        <f>IF(AND('Mapa final'!$AB$40="Baja",'Mapa final'!$AD$40="Mayor"),CONCATENATE("R6C",'Mapa final'!$R$40),"")</f>
        <v/>
      </c>
      <c r="AF41" s="37" t="str">
        <f>IF(AND('Mapa final'!$AB$41="Baja",'Mapa final'!$AD$41="Mayor"),CONCATENATE("R6C",'Mapa final'!$R$41),"")</f>
        <v/>
      </c>
      <c r="AG41" s="38" t="str">
        <f>IF(AND('Mapa final'!$AB$42="Baja",'Mapa final'!$AD$42="Mayor"),CONCATENATE("R6C",'Mapa final'!$R$42),"")</f>
        <v/>
      </c>
      <c r="AH41" s="39" t="str">
        <f>IF(AND('Mapa final'!$AB$37="Baja",'Mapa final'!$AD$37="Catastrófico"),CONCATENATE("R6C",'Mapa final'!$R$37),"")</f>
        <v/>
      </c>
      <c r="AI41" s="40" t="str">
        <f>IF(AND('Mapa final'!$AB$38="Baja",'Mapa final'!$AD$38="Catastrófico"),CONCATENATE("R6C",'Mapa final'!$R$38),"")</f>
        <v/>
      </c>
      <c r="AJ41" s="40" t="str">
        <f>IF(AND('Mapa final'!$AB$39="Baja",'Mapa final'!$AD$39="Catastrófico"),CONCATENATE("R6C",'Mapa final'!$R$39),"")</f>
        <v/>
      </c>
      <c r="AK41" s="40" t="str">
        <f>IF(AND('Mapa final'!$AB$40="Baja",'Mapa final'!$AD$40="Catastrófico"),CONCATENATE("R6C",'Mapa final'!$R$40),"")</f>
        <v/>
      </c>
      <c r="AL41" s="40" t="str">
        <f>IF(AND('Mapa final'!$AB$41="Baja",'Mapa final'!$AD$41="Catastrófico"),CONCATENATE("R6C",'Mapa final'!$R$41),"")</f>
        <v/>
      </c>
      <c r="AM41" s="41" t="str">
        <f>IF(AND('Mapa final'!$AB$42="Baja",'Mapa final'!$AD$42="Catastrófico"),CONCATENATE("R6C",'Mapa final'!$R$42),"")</f>
        <v/>
      </c>
      <c r="AN41" s="67"/>
      <c r="AO41" s="589"/>
      <c r="AP41" s="590"/>
      <c r="AQ41" s="590"/>
      <c r="AR41" s="590"/>
      <c r="AS41" s="590"/>
      <c r="AT41" s="59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70"/>
      <c r="C42" s="470"/>
      <c r="D42" s="471"/>
      <c r="E42" s="569"/>
      <c r="F42" s="568"/>
      <c r="G42" s="568"/>
      <c r="H42" s="568"/>
      <c r="I42" s="568"/>
      <c r="J42" s="60" t="str">
        <f>IF(AND('Mapa final'!$AB$43="Baja",'Mapa final'!$AD$43="Leve"),CONCATENATE("R7C",'Mapa final'!$R$43),"")</f>
        <v/>
      </c>
      <c r="K42" s="61" t="str">
        <f>IF(AND('Mapa final'!$AB$44="Baja",'Mapa final'!$AD$44="Leve"),CONCATENATE("R7C",'Mapa final'!$R$44),"")</f>
        <v/>
      </c>
      <c r="L42" s="61" t="str">
        <f>IF(AND('Mapa final'!$AB$45="Baja",'Mapa final'!$AD$45="Leve"),CONCATENATE("R7C",'Mapa final'!$R$45),"")</f>
        <v/>
      </c>
      <c r="M42" s="61" t="str">
        <f>IF(AND('Mapa final'!$AB$46="Baja",'Mapa final'!$AD$46="Leve"),CONCATENATE("R7C",'Mapa final'!$R$46),"")</f>
        <v/>
      </c>
      <c r="N42" s="61" t="str">
        <f>IF(AND('Mapa final'!$AB$47="Baja",'Mapa final'!$AD$47="Leve"),CONCATENATE("R7C",'Mapa final'!$R$47),"")</f>
        <v/>
      </c>
      <c r="O42" s="62" t="str">
        <f>IF(AND('Mapa final'!$AB$48="Baja",'Mapa final'!$AD$48="Leve"),CONCATENATE("R7C",'Mapa final'!$R$48),"")</f>
        <v/>
      </c>
      <c r="P42" s="51" t="str">
        <f>IF(AND('Mapa final'!$AB$43="Baja",'Mapa final'!$AD$43="Menor"),CONCATENATE("R7C",'Mapa final'!$R$43),"")</f>
        <v/>
      </c>
      <c r="Q42" s="52" t="str">
        <f>IF(AND('Mapa final'!$AB$44="Baja",'Mapa final'!$AD$44="Menor"),CONCATENATE("R7C",'Mapa final'!$R$44),"")</f>
        <v/>
      </c>
      <c r="R42" s="52" t="str">
        <f>IF(AND('Mapa final'!$AB$45="Baja",'Mapa final'!$AD$45="Menor"),CONCATENATE("R7C",'Mapa final'!$R$45),"")</f>
        <v/>
      </c>
      <c r="S42" s="52" t="str">
        <f>IF(AND('Mapa final'!$AB$46="Baja",'Mapa final'!$AD$46="Menor"),CONCATENATE("R7C",'Mapa final'!$R$46),"")</f>
        <v/>
      </c>
      <c r="T42" s="52" t="str">
        <f>IF(AND('Mapa final'!$AB$47="Baja",'Mapa final'!$AD$47="Menor"),CONCATENATE("R7C",'Mapa final'!$R$47),"")</f>
        <v/>
      </c>
      <c r="U42" s="53" t="str">
        <f>IF(AND('Mapa final'!$AB$48="Baja",'Mapa final'!$AD$48="Menor"),CONCATENATE("R7C",'Mapa final'!$R$48),"")</f>
        <v/>
      </c>
      <c r="V42" s="51" t="str">
        <f>IF(AND('Mapa final'!$AB$43="Baja",'Mapa final'!$AD$43="Moderado"),CONCATENATE("R7C",'Mapa final'!$R$43),"")</f>
        <v/>
      </c>
      <c r="W42" s="52" t="str">
        <f>IF(AND('Mapa final'!$AB$44="Baja",'Mapa final'!$AD$44="Moderado"),CONCATENATE("R7C",'Mapa final'!$R$44),"")</f>
        <v/>
      </c>
      <c r="X42" s="52" t="str">
        <f>IF(AND('Mapa final'!$AB$45="Baja",'Mapa final'!$AD$45="Moderado"),CONCATENATE("R7C",'Mapa final'!$R$45),"")</f>
        <v/>
      </c>
      <c r="Y42" s="52" t="str">
        <f>IF(AND('Mapa final'!$AB$46="Baja",'Mapa final'!$AD$46="Moderado"),CONCATENATE("R7C",'Mapa final'!$R$46),"")</f>
        <v/>
      </c>
      <c r="Z42" s="52" t="str">
        <f>IF(AND('Mapa final'!$AB$47="Baja",'Mapa final'!$AD$47="Moderado"),CONCATENATE("R7C",'Mapa final'!$R$47),"")</f>
        <v/>
      </c>
      <c r="AA42" s="53" t="str">
        <f>IF(AND('Mapa final'!$AB$48="Baja",'Mapa final'!$AD$48="Moderado"),CONCATENATE("R7C",'Mapa final'!$R$48),"")</f>
        <v/>
      </c>
      <c r="AB42" s="36" t="str">
        <f>IF(AND('Mapa final'!$AB$43="Baja",'Mapa final'!$AD$43="Mayor"),CONCATENATE("R7C",'Mapa final'!$R$43),"")</f>
        <v/>
      </c>
      <c r="AC42" s="37" t="str">
        <f>IF(AND('Mapa final'!$AB$44="Baja",'Mapa final'!$AD$44="Mayor"),CONCATENATE("R7C",'Mapa final'!$R$44),"")</f>
        <v/>
      </c>
      <c r="AD42" s="37" t="str">
        <f>IF(AND('Mapa final'!$AB$45="Baja",'Mapa final'!$AD$45="Mayor"),CONCATENATE("R7C",'Mapa final'!$R$45),"")</f>
        <v/>
      </c>
      <c r="AE42" s="37" t="str">
        <f>IF(AND('Mapa final'!$AB$46="Baja",'Mapa final'!$AD$46="Mayor"),CONCATENATE("R7C",'Mapa final'!$R$46),"")</f>
        <v/>
      </c>
      <c r="AF42" s="37" t="str">
        <f>IF(AND('Mapa final'!$AB$47="Baja",'Mapa final'!$AD$47="Mayor"),CONCATENATE("R7C",'Mapa final'!$R$47),"")</f>
        <v/>
      </c>
      <c r="AG42" s="38" t="str">
        <f>IF(AND('Mapa final'!$AB$48="Baja",'Mapa final'!$AD$48="Mayor"),CONCATENATE("R7C",'Mapa final'!$R$48),"")</f>
        <v/>
      </c>
      <c r="AH42" s="39" t="str">
        <f>IF(AND('Mapa final'!$AB$43="Baja",'Mapa final'!$AD$43="Catastrófico"),CONCATENATE("R7C",'Mapa final'!$R$43),"")</f>
        <v/>
      </c>
      <c r="AI42" s="40" t="str">
        <f>IF(AND('Mapa final'!$AB$44="Baja",'Mapa final'!$AD$44="Catastrófico"),CONCATENATE("R7C",'Mapa final'!$R$44),"")</f>
        <v/>
      </c>
      <c r="AJ42" s="40" t="str">
        <f>IF(AND('Mapa final'!$AB$45="Baja",'Mapa final'!$AD$45="Catastrófico"),CONCATENATE("R7C",'Mapa final'!$R$45),"")</f>
        <v/>
      </c>
      <c r="AK42" s="40" t="str">
        <f>IF(AND('Mapa final'!$AB$46="Baja",'Mapa final'!$AD$46="Catastrófico"),CONCATENATE("R7C",'Mapa final'!$R$46),"")</f>
        <v/>
      </c>
      <c r="AL42" s="40" t="str">
        <f>IF(AND('Mapa final'!$AB$47="Baja",'Mapa final'!$AD$47="Catastrófico"),CONCATENATE("R7C",'Mapa final'!$R$47),"")</f>
        <v/>
      </c>
      <c r="AM42" s="41" t="str">
        <f>IF(AND('Mapa final'!$AB$48="Baja",'Mapa final'!$AD$48="Catastrófico"),CONCATENATE("R7C",'Mapa final'!$R$48),"")</f>
        <v/>
      </c>
      <c r="AN42" s="67"/>
      <c r="AO42" s="589"/>
      <c r="AP42" s="590"/>
      <c r="AQ42" s="590"/>
      <c r="AR42" s="590"/>
      <c r="AS42" s="590"/>
      <c r="AT42" s="59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70"/>
      <c r="C43" s="470"/>
      <c r="D43" s="471"/>
      <c r="E43" s="569"/>
      <c r="F43" s="568"/>
      <c r="G43" s="568"/>
      <c r="H43" s="568"/>
      <c r="I43" s="568"/>
      <c r="J43" s="60" t="str">
        <f>IF(AND('Mapa final'!$AB$49="Baja",'Mapa final'!$AD$49="Leve"),CONCATENATE("R8C",'Mapa final'!$R$49),"")</f>
        <v/>
      </c>
      <c r="K43" s="61" t="str">
        <f>IF(AND('Mapa final'!$AB$50="Baja",'Mapa final'!$AD$50="Leve"),CONCATENATE("R8C",'Mapa final'!$R$50),"")</f>
        <v/>
      </c>
      <c r="L43" s="61" t="str">
        <f>IF(AND('Mapa final'!$AB$51="Baja",'Mapa final'!$AD$51="Leve"),CONCATENATE("R8C",'Mapa final'!$R$51),"")</f>
        <v/>
      </c>
      <c r="M43" s="61" t="str">
        <f>IF(AND('Mapa final'!$AB$52="Baja",'Mapa final'!$AD$52="Leve"),CONCATENATE("R8C",'Mapa final'!$R$52),"")</f>
        <v/>
      </c>
      <c r="N43" s="61" t="str">
        <f>IF(AND('Mapa final'!$AB$53="Baja",'Mapa final'!$AD$53="Leve"),CONCATENATE("R8C",'Mapa final'!$R$53),"")</f>
        <v/>
      </c>
      <c r="O43" s="62" t="str">
        <f>IF(AND('Mapa final'!$AB$54="Baja",'Mapa final'!$AD$54="Leve"),CONCATENATE("R8C",'Mapa final'!$R$54),"")</f>
        <v/>
      </c>
      <c r="P43" s="51" t="str">
        <f>IF(AND('Mapa final'!$AB$49="Baja",'Mapa final'!$AD$49="Menor"),CONCATENATE("R8C",'Mapa final'!$R$49),"")</f>
        <v/>
      </c>
      <c r="Q43" s="52" t="str">
        <f>IF(AND('Mapa final'!$AB$50="Baja",'Mapa final'!$AD$50="Menor"),CONCATENATE("R8C",'Mapa final'!$R$50),"")</f>
        <v/>
      </c>
      <c r="R43" s="52" t="str">
        <f>IF(AND('Mapa final'!$AB$51="Baja",'Mapa final'!$AD$51="Menor"),CONCATENATE("R8C",'Mapa final'!$R$51),"")</f>
        <v/>
      </c>
      <c r="S43" s="52" t="str">
        <f>IF(AND('Mapa final'!$AB$52="Baja",'Mapa final'!$AD$52="Menor"),CONCATENATE("R8C",'Mapa final'!$R$52),"")</f>
        <v/>
      </c>
      <c r="T43" s="52" t="str">
        <f>IF(AND('Mapa final'!$AB$53="Baja",'Mapa final'!$AD$53="Menor"),CONCATENATE("R8C",'Mapa final'!$R$53),"")</f>
        <v/>
      </c>
      <c r="U43" s="53" t="str">
        <f>IF(AND('Mapa final'!$AB$54="Baja",'Mapa final'!$AD$54="Menor"),CONCATENATE("R8C",'Mapa final'!$R$54),"")</f>
        <v/>
      </c>
      <c r="V43" s="51" t="str">
        <f>IF(AND('Mapa final'!$AB$49="Baja",'Mapa final'!$AD$49="Moderado"),CONCATENATE("R8C",'Mapa final'!$R$49),"")</f>
        <v/>
      </c>
      <c r="W43" s="52" t="str">
        <f>IF(AND('Mapa final'!$AB$50="Baja",'Mapa final'!$AD$50="Moderado"),CONCATENATE("R8C",'Mapa final'!$R$50),"")</f>
        <v/>
      </c>
      <c r="X43" s="52" t="str">
        <f>IF(AND('Mapa final'!$AB$51="Baja",'Mapa final'!$AD$51="Moderado"),CONCATENATE("R8C",'Mapa final'!$R$51),"")</f>
        <v/>
      </c>
      <c r="Y43" s="52" t="str">
        <f>IF(AND('Mapa final'!$AB$52="Baja",'Mapa final'!$AD$52="Moderado"),CONCATENATE("R8C",'Mapa final'!$R$52),"")</f>
        <v/>
      </c>
      <c r="Z43" s="52" t="str">
        <f>IF(AND('Mapa final'!$AB$53="Baja",'Mapa final'!$AD$53="Moderado"),CONCATENATE("R8C",'Mapa final'!$R$53),"")</f>
        <v/>
      </c>
      <c r="AA43" s="53" t="str">
        <f>IF(AND('Mapa final'!$AB$54="Baja",'Mapa final'!$AD$54="Moderado"),CONCATENATE("R8C",'Mapa final'!$R$54),"")</f>
        <v/>
      </c>
      <c r="AB43" s="36" t="str">
        <f>IF(AND('Mapa final'!$AB$49="Baja",'Mapa final'!$AD$49="Mayor"),CONCATENATE("R8C",'Mapa final'!$R$49),"")</f>
        <v/>
      </c>
      <c r="AC43" s="37" t="str">
        <f>IF(AND('Mapa final'!$AB$50="Baja",'Mapa final'!$AD$50="Mayor"),CONCATENATE("R8C",'Mapa final'!$R$50),"")</f>
        <v/>
      </c>
      <c r="AD43" s="37" t="str">
        <f>IF(AND('Mapa final'!$AB$51="Baja",'Mapa final'!$AD$51="Mayor"),CONCATENATE("R8C",'Mapa final'!$R$51),"")</f>
        <v/>
      </c>
      <c r="AE43" s="37" t="str">
        <f>IF(AND('Mapa final'!$AB$52="Baja",'Mapa final'!$AD$52="Mayor"),CONCATENATE("R8C",'Mapa final'!$R$52),"")</f>
        <v/>
      </c>
      <c r="AF43" s="37" t="str">
        <f>IF(AND('Mapa final'!$AB$53="Baja",'Mapa final'!$AD$53="Mayor"),CONCATENATE("R8C",'Mapa final'!$R$53),"")</f>
        <v/>
      </c>
      <c r="AG43" s="38" t="str">
        <f>IF(AND('Mapa final'!$AB$54="Baja",'Mapa final'!$AD$54="Mayor"),CONCATENATE("R8C",'Mapa final'!$R$54),"")</f>
        <v/>
      </c>
      <c r="AH43" s="39" t="str">
        <f>IF(AND('Mapa final'!$AB$49="Baja",'Mapa final'!$AD$49="Catastrófico"),CONCATENATE("R8C",'Mapa final'!$R$49),"")</f>
        <v/>
      </c>
      <c r="AI43" s="40" t="str">
        <f>IF(AND('Mapa final'!$AB$50="Baja",'Mapa final'!$AD$50="Catastrófico"),CONCATENATE("R8C",'Mapa final'!$R$50),"")</f>
        <v/>
      </c>
      <c r="AJ43" s="40" t="str">
        <f>IF(AND('Mapa final'!$AB$51="Baja",'Mapa final'!$AD$51="Catastrófico"),CONCATENATE("R8C",'Mapa final'!$R$51),"")</f>
        <v/>
      </c>
      <c r="AK43" s="40" t="str">
        <f>IF(AND('Mapa final'!$AB$52="Baja",'Mapa final'!$AD$52="Catastrófico"),CONCATENATE("R8C",'Mapa final'!$R$52),"")</f>
        <v/>
      </c>
      <c r="AL43" s="40" t="str">
        <f>IF(AND('Mapa final'!$AB$53="Baja",'Mapa final'!$AD$53="Catastrófico"),CONCATENATE("R8C",'Mapa final'!$R$53),"")</f>
        <v/>
      </c>
      <c r="AM43" s="41" t="str">
        <f>IF(AND('Mapa final'!$AB$54="Baja",'Mapa final'!$AD$54="Catastrófico"),CONCATENATE("R8C",'Mapa final'!$R$54),"")</f>
        <v/>
      </c>
      <c r="AN43" s="67"/>
      <c r="AO43" s="589"/>
      <c r="AP43" s="590"/>
      <c r="AQ43" s="590"/>
      <c r="AR43" s="590"/>
      <c r="AS43" s="590"/>
      <c r="AT43" s="59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70"/>
      <c r="C44" s="470"/>
      <c r="D44" s="471"/>
      <c r="E44" s="569"/>
      <c r="F44" s="568"/>
      <c r="G44" s="568"/>
      <c r="H44" s="568"/>
      <c r="I44" s="568"/>
      <c r="J44" s="60" t="str">
        <f>IF(AND('Mapa final'!$AB$55="Baja",'Mapa final'!$AD$55="Leve"),CONCATENATE("R9C",'Mapa final'!$R$55),"")</f>
        <v/>
      </c>
      <c r="K44" s="61" t="str">
        <f>IF(AND('Mapa final'!$AB$56="Baja",'Mapa final'!$AD$56="Leve"),CONCATENATE("R9C",'Mapa final'!$R$56),"")</f>
        <v/>
      </c>
      <c r="L44" s="61" t="str">
        <f>IF(AND('Mapa final'!$AB$57="Baja",'Mapa final'!$AD$57="Leve"),CONCATENATE("R9C",'Mapa final'!$R$57),"")</f>
        <v/>
      </c>
      <c r="M44" s="61" t="str">
        <f>IF(AND('Mapa final'!$AB$58="Baja",'Mapa final'!$AD$58="Leve"),CONCATENATE("R9C",'Mapa final'!$R$58),"")</f>
        <v/>
      </c>
      <c r="N44" s="61" t="str">
        <f>IF(AND('Mapa final'!$AB$59="Baja",'Mapa final'!$AD$59="Leve"),CONCATENATE("R9C",'Mapa final'!$R$59),"")</f>
        <v/>
      </c>
      <c r="O44" s="62" t="str">
        <f>IF(AND('Mapa final'!$AB$60="Baja",'Mapa final'!$AD$60="Leve"),CONCATENATE("R9C",'Mapa final'!$R$60),"")</f>
        <v/>
      </c>
      <c r="P44" s="51" t="str">
        <f>IF(AND('Mapa final'!$AB$55="Baja",'Mapa final'!$AD$55="Menor"),CONCATENATE("R9C",'Mapa final'!$R$55),"")</f>
        <v/>
      </c>
      <c r="Q44" s="52" t="str">
        <f>IF(AND('Mapa final'!$AB$56="Baja",'Mapa final'!$AD$56="Menor"),CONCATENATE("R9C",'Mapa final'!$R$56),"")</f>
        <v/>
      </c>
      <c r="R44" s="52" t="str">
        <f>IF(AND('Mapa final'!$AB$57="Baja",'Mapa final'!$AD$57="Menor"),CONCATENATE("R9C",'Mapa final'!$R$57),"")</f>
        <v/>
      </c>
      <c r="S44" s="52" t="str">
        <f>IF(AND('Mapa final'!$AB$58="Baja",'Mapa final'!$AD$58="Menor"),CONCATENATE("R9C",'Mapa final'!$R$58),"")</f>
        <v/>
      </c>
      <c r="T44" s="52" t="str">
        <f>IF(AND('Mapa final'!$AB$59="Baja",'Mapa final'!$AD$59="Menor"),CONCATENATE("R9C",'Mapa final'!$R$59),"")</f>
        <v/>
      </c>
      <c r="U44" s="53" t="str">
        <f>IF(AND('Mapa final'!$AB$60="Baja",'Mapa final'!$AD$60="Menor"),CONCATENATE("R9C",'Mapa final'!$R$60),"")</f>
        <v/>
      </c>
      <c r="V44" s="51" t="str">
        <f>IF(AND('Mapa final'!$AB$55="Baja",'Mapa final'!$AD$55="Moderado"),CONCATENATE("R9C",'Mapa final'!$R$55),"")</f>
        <v/>
      </c>
      <c r="W44" s="52" t="str">
        <f>IF(AND('Mapa final'!$AB$56="Baja",'Mapa final'!$AD$56="Moderado"),CONCATENATE("R9C",'Mapa final'!$R$56),"")</f>
        <v/>
      </c>
      <c r="X44" s="52" t="str">
        <f>IF(AND('Mapa final'!$AB$57="Baja",'Mapa final'!$AD$57="Moderado"),CONCATENATE("R9C",'Mapa final'!$R$57),"")</f>
        <v/>
      </c>
      <c r="Y44" s="52" t="str">
        <f>IF(AND('Mapa final'!$AB$58="Baja",'Mapa final'!$AD$58="Moderado"),CONCATENATE("R9C",'Mapa final'!$R$58),"")</f>
        <v/>
      </c>
      <c r="Z44" s="52" t="str">
        <f>IF(AND('Mapa final'!$AB$59="Baja",'Mapa final'!$AD$59="Moderado"),CONCATENATE("R9C",'Mapa final'!$R$59),"")</f>
        <v/>
      </c>
      <c r="AA44" s="53" t="str">
        <f>IF(AND('Mapa final'!$AB$60="Baja",'Mapa final'!$AD$60="Moderado"),CONCATENATE("R9C",'Mapa final'!$R$60),"")</f>
        <v/>
      </c>
      <c r="AB44" s="36" t="str">
        <f>IF(AND('Mapa final'!$AB$55="Baja",'Mapa final'!$AD$55="Mayor"),CONCATENATE("R9C",'Mapa final'!$R$55),"")</f>
        <v/>
      </c>
      <c r="AC44" s="37" t="str">
        <f>IF(AND('Mapa final'!$AB$56="Baja",'Mapa final'!$AD$56="Mayor"),CONCATENATE("R9C",'Mapa final'!$R$56),"")</f>
        <v/>
      </c>
      <c r="AD44" s="37" t="str">
        <f>IF(AND('Mapa final'!$AB$57="Baja",'Mapa final'!$AD$57="Mayor"),CONCATENATE("R9C",'Mapa final'!$R$57),"")</f>
        <v/>
      </c>
      <c r="AE44" s="37" t="str">
        <f>IF(AND('Mapa final'!$AB$58="Baja",'Mapa final'!$AD$58="Mayor"),CONCATENATE("R9C",'Mapa final'!$R$58),"")</f>
        <v/>
      </c>
      <c r="AF44" s="37" t="str">
        <f>IF(AND('Mapa final'!$AB$59="Baja",'Mapa final'!$AD$59="Mayor"),CONCATENATE("R9C",'Mapa final'!$R$59),"")</f>
        <v/>
      </c>
      <c r="AG44" s="38" t="str">
        <f>IF(AND('Mapa final'!$AB$60="Baja",'Mapa final'!$AD$60="Mayor"),CONCATENATE("R9C",'Mapa final'!$R$60),"")</f>
        <v/>
      </c>
      <c r="AH44" s="39" t="str">
        <f>IF(AND('Mapa final'!$AB$55="Baja",'Mapa final'!$AD$55="Catastrófico"),CONCATENATE("R9C",'Mapa final'!$R$55),"")</f>
        <v/>
      </c>
      <c r="AI44" s="40" t="str">
        <f>IF(AND('Mapa final'!$AB$56="Baja",'Mapa final'!$AD$56="Catastrófico"),CONCATENATE("R9C",'Mapa final'!$R$56),"")</f>
        <v/>
      </c>
      <c r="AJ44" s="40" t="str">
        <f>IF(AND('Mapa final'!$AB$57="Baja",'Mapa final'!$AD$57="Catastrófico"),CONCATENATE("R9C",'Mapa final'!$R$57),"")</f>
        <v/>
      </c>
      <c r="AK44" s="40" t="str">
        <f>IF(AND('Mapa final'!$AB$58="Baja",'Mapa final'!$AD$58="Catastrófico"),CONCATENATE("R9C",'Mapa final'!$R$58),"")</f>
        <v/>
      </c>
      <c r="AL44" s="40" t="str">
        <f>IF(AND('Mapa final'!$AB$59="Baja",'Mapa final'!$AD$59="Catastrófico"),CONCATENATE("R9C",'Mapa final'!$R$59),"")</f>
        <v/>
      </c>
      <c r="AM44" s="41" t="str">
        <f>IF(AND('Mapa final'!$AB$60="Baja",'Mapa final'!$AD$60="Catastrófico"),CONCATENATE("R9C",'Mapa final'!$R$60),"")</f>
        <v/>
      </c>
      <c r="AN44" s="67"/>
      <c r="AO44" s="589"/>
      <c r="AP44" s="590"/>
      <c r="AQ44" s="590"/>
      <c r="AR44" s="590"/>
      <c r="AS44" s="590"/>
      <c r="AT44" s="59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70"/>
      <c r="C45" s="470"/>
      <c r="D45" s="471"/>
      <c r="E45" s="570"/>
      <c r="F45" s="571"/>
      <c r="G45" s="571"/>
      <c r="H45" s="571"/>
      <c r="I45" s="571"/>
      <c r="J45" s="63" t="str">
        <f>IF(AND('Mapa final'!$AB$61="Baja",'Mapa final'!$AD$61="Leve"),CONCATENATE("R10C",'Mapa final'!$R$61),"")</f>
        <v/>
      </c>
      <c r="K45" s="64" t="str">
        <f>IF(AND('Mapa final'!$AB$62="Baja",'Mapa final'!$AD$62="Leve"),CONCATENATE("R10C",'Mapa final'!$R$62),"")</f>
        <v/>
      </c>
      <c r="L45" s="64" t="str">
        <f>IF(AND('Mapa final'!$AB$63="Baja",'Mapa final'!$AD$63="Leve"),CONCATENATE("R10C",'Mapa final'!$R$63),"")</f>
        <v/>
      </c>
      <c r="M45" s="64" t="str">
        <f>IF(AND('Mapa final'!$AB$64="Baja",'Mapa final'!$AD$64="Leve"),CONCATENATE("R10C",'Mapa final'!$R$64),"")</f>
        <v/>
      </c>
      <c r="N45" s="64" t="str">
        <f>IF(AND('Mapa final'!$AB$65="Baja",'Mapa final'!$AD$65="Leve"),CONCATENATE("R10C",'Mapa final'!$R$65),"")</f>
        <v/>
      </c>
      <c r="O45" s="65" t="str">
        <f>IF(AND('Mapa final'!$AB$66="Baja",'Mapa final'!$AD$66="Leve"),CONCATENATE("R10C",'Mapa final'!$R$66),"")</f>
        <v/>
      </c>
      <c r="P45" s="51" t="str">
        <f>IF(AND('Mapa final'!$AB$61="Baja",'Mapa final'!$AD$61="Menor"),CONCATENATE("R10C",'Mapa final'!$R$61),"")</f>
        <v/>
      </c>
      <c r="Q45" s="52" t="str">
        <f>IF(AND('Mapa final'!$AB$62="Baja",'Mapa final'!$AD$62="Menor"),CONCATENATE("R10C",'Mapa final'!$R$62),"")</f>
        <v/>
      </c>
      <c r="R45" s="52" t="str">
        <f>IF(AND('Mapa final'!$AB$63="Baja",'Mapa final'!$AD$63="Menor"),CONCATENATE("R10C",'Mapa final'!$R$63),"")</f>
        <v/>
      </c>
      <c r="S45" s="52" t="str">
        <f>IF(AND('Mapa final'!$AB$64="Baja",'Mapa final'!$AD$64="Menor"),CONCATENATE("R10C",'Mapa final'!$R$64),"")</f>
        <v/>
      </c>
      <c r="T45" s="52" t="str">
        <f>IF(AND('Mapa final'!$AB$65="Baja",'Mapa final'!$AD$65="Menor"),CONCATENATE("R10C",'Mapa final'!$R$65),"")</f>
        <v/>
      </c>
      <c r="U45" s="53" t="str">
        <f>IF(AND('Mapa final'!$AB$66="Baja",'Mapa final'!$AD$66="Menor"),CONCATENATE("R10C",'Mapa final'!$R$66),"")</f>
        <v/>
      </c>
      <c r="V45" s="54" t="str">
        <f>IF(AND('Mapa final'!$AB$61="Baja",'Mapa final'!$AD$61="Moderado"),CONCATENATE("R10C",'Mapa final'!$R$61),"")</f>
        <v/>
      </c>
      <c r="W45" s="55" t="str">
        <f>IF(AND('Mapa final'!$AB$62="Baja",'Mapa final'!$AD$62="Moderado"),CONCATENATE("R10C",'Mapa final'!$R$62),"")</f>
        <v/>
      </c>
      <c r="X45" s="55" t="str">
        <f>IF(AND('Mapa final'!$AB$63="Baja",'Mapa final'!$AD$63="Moderado"),CONCATENATE("R10C",'Mapa final'!$R$63),"")</f>
        <v/>
      </c>
      <c r="Y45" s="55" t="str">
        <f>IF(AND('Mapa final'!$AB$64="Baja",'Mapa final'!$AD$64="Moderado"),CONCATENATE("R10C",'Mapa final'!$R$64),"")</f>
        <v/>
      </c>
      <c r="Z45" s="55" t="str">
        <f>IF(AND('Mapa final'!$AB$65="Baja",'Mapa final'!$AD$65="Moderado"),CONCATENATE("R10C",'Mapa final'!$R$65),"")</f>
        <v/>
      </c>
      <c r="AA45" s="56" t="str">
        <f>IF(AND('Mapa final'!$AB$66="Baja",'Mapa final'!$AD$66="Moderado"),CONCATENATE("R10C",'Mapa final'!$R$66),"")</f>
        <v/>
      </c>
      <c r="AB45" s="42" t="str">
        <f>IF(AND('Mapa final'!$AB$61="Baja",'Mapa final'!$AD$61="Mayor"),CONCATENATE("R10C",'Mapa final'!$R$61),"")</f>
        <v/>
      </c>
      <c r="AC45" s="43" t="str">
        <f>IF(AND('Mapa final'!$AB$62="Baja",'Mapa final'!$AD$62="Mayor"),CONCATENATE("R10C",'Mapa final'!$R$62),"")</f>
        <v/>
      </c>
      <c r="AD45" s="43" t="str">
        <f>IF(AND('Mapa final'!$AB$63="Baja",'Mapa final'!$AD$63="Mayor"),CONCATENATE("R10C",'Mapa final'!$R$63),"")</f>
        <v/>
      </c>
      <c r="AE45" s="43" t="str">
        <f>IF(AND('Mapa final'!$AB$64="Baja",'Mapa final'!$AD$64="Mayor"),CONCATENATE("R10C",'Mapa final'!$R$64),"")</f>
        <v/>
      </c>
      <c r="AF45" s="43" t="str">
        <f>IF(AND('Mapa final'!$AB$65="Baja",'Mapa final'!$AD$65="Mayor"),CONCATENATE("R10C",'Mapa final'!$R$65),"")</f>
        <v/>
      </c>
      <c r="AG45" s="44" t="str">
        <f>IF(AND('Mapa final'!$AB$66="Baja",'Mapa final'!$AD$66="Mayor"),CONCATENATE("R10C",'Mapa final'!$R$66),"")</f>
        <v/>
      </c>
      <c r="AH45" s="45" t="str">
        <f>IF(AND('Mapa final'!$AB$61="Baja",'Mapa final'!$AD$61="Catastrófico"),CONCATENATE("R10C",'Mapa final'!$R$61),"")</f>
        <v/>
      </c>
      <c r="AI45" s="46" t="str">
        <f>IF(AND('Mapa final'!$AB$62="Baja",'Mapa final'!$AD$62="Catastrófico"),CONCATENATE("R10C",'Mapa final'!$R$62),"")</f>
        <v/>
      </c>
      <c r="AJ45" s="46" t="str">
        <f>IF(AND('Mapa final'!$AB$63="Baja",'Mapa final'!$AD$63="Catastrófico"),CONCATENATE("R10C",'Mapa final'!$R$63),"")</f>
        <v/>
      </c>
      <c r="AK45" s="46" t="str">
        <f>IF(AND('Mapa final'!$AB$64="Baja",'Mapa final'!$AD$64="Catastrófico"),CONCATENATE("R10C",'Mapa final'!$R$64),"")</f>
        <v/>
      </c>
      <c r="AL45" s="46" t="str">
        <f>IF(AND('Mapa final'!$AB$65="Baja",'Mapa final'!$AD$65="Catastrófico"),CONCATENATE("R10C",'Mapa final'!$R$65),"")</f>
        <v/>
      </c>
      <c r="AM45" s="47" t="str">
        <f>IF(AND('Mapa final'!$AB$66="Baja",'Mapa final'!$AD$66="Catastrófico"),CONCATENATE("R10C",'Mapa final'!$R$66),"")</f>
        <v/>
      </c>
      <c r="AN45" s="67"/>
      <c r="AO45" s="592"/>
      <c r="AP45" s="593"/>
      <c r="AQ45" s="593"/>
      <c r="AR45" s="593"/>
      <c r="AS45" s="593"/>
      <c r="AT45" s="594"/>
    </row>
    <row r="46" spans="1:80" ht="46.5" customHeight="1" x14ac:dyDescent="0.45">
      <c r="A46" s="67"/>
      <c r="B46" s="470"/>
      <c r="C46" s="470"/>
      <c r="D46" s="471"/>
      <c r="E46" s="565" t="s">
        <v>108</v>
      </c>
      <c r="F46" s="566"/>
      <c r="G46" s="566"/>
      <c r="H46" s="566"/>
      <c r="I46" s="583"/>
      <c r="J46" s="57" t="str">
        <f>IF(AND('Mapa final'!$AB$10="Muy Baja",'Mapa final'!$AD$10="Leve"),CONCATENATE("R1C",'Mapa final'!$R$10),"")</f>
        <v/>
      </c>
      <c r="K46" s="58" t="e">
        <f>IF(AND('Mapa final'!#REF!="Muy Baja",'Mapa final'!#REF!="Leve"),CONCATENATE("R1C",'Mapa final'!#REF!),"")</f>
        <v>#REF!</v>
      </c>
      <c r="L46" s="58" t="e">
        <f>IF(AND('Mapa final'!#REF!="Muy Baja",'Mapa final'!#REF!="Leve"),CONCATENATE("R1C",'Mapa final'!#REF!),"")</f>
        <v>#REF!</v>
      </c>
      <c r="M46" s="58" t="str">
        <f>IF(AND('Mapa final'!$AB$11="Muy Baja",'Mapa final'!$AD$11="Leve"),CONCATENATE("R1C",'Mapa final'!$R$11),"")</f>
        <v/>
      </c>
      <c r="N46" s="58" t="e">
        <f>IF(AND('Mapa final'!#REF!="Muy Baja",'Mapa final'!#REF!="Leve"),CONCATENATE("R1C",'Mapa final'!#REF!),"")</f>
        <v>#REF!</v>
      </c>
      <c r="O46" s="59" t="str">
        <f>IF(AND('Mapa final'!$AB$12="Muy Baja",'Mapa final'!$AD$12="Leve"),CONCATENATE("R1C",'Mapa final'!$R$12),"")</f>
        <v/>
      </c>
      <c r="P46" s="57" t="str">
        <f>IF(AND('Mapa final'!$AB$10="Muy Baja",'Mapa final'!$AD$10="Menor"),CONCATENATE("R1C",'Mapa final'!$R$10),"")</f>
        <v/>
      </c>
      <c r="Q46" s="58" t="e">
        <f>IF(AND('Mapa final'!#REF!="Muy Baja",'Mapa final'!#REF!="Menor"),CONCATENATE("R1C",'Mapa final'!#REF!),"")</f>
        <v>#REF!</v>
      </c>
      <c r="R46" s="58" t="e">
        <f>IF(AND('Mapa final'!#REF!="Muy Baja",'Mapa final'!#REF!="Menor"),CONCATENATE("R1C",'Mapa final'!#REF!),"")</f>
        <v>#REF!</v>
      </c>
      <c r="S46" s="58" t="str">
        <f>IF(AND('Mapa final'!$AB$11="Muy Baja",'Mapa final'!$AD$11="Menor"),CONCATENATE("R1C",'Mapa final'!$R$11),"")</f>
        <v/>
      </c>
      <c r="T46" s="58" t="e">
        <f>IF(AND('Mapa final'!#REF!="Muy Baja",'Mapa final'!#REF!="Menor"),CONCATENATE("R1C",'Mapa final'!#REF!),"")</f>
        <v>#REF!</v>
      </c>
      <c r="U46" s="59" t="str">
        <f>IF(AND('Mapa final'!$AB$12="Muy Baja",'Mapa final'!$AD$12="Menor"),CONCATENATE("R1C",'Mapa final'!$R$12),"")</f>
        <v/>
      </c>
      <c r="V46" s="48" t="str">
        <f>IF(AND('Mapa final'!$AB$10="Muy Baja",'Mapa final'!$AD$10="Moderado"),CONCATENATE("R1C",'Mapa final'!$R$10),"")</f>
        <v/>
      </c>
      <c r="W46" s="66" t="e">
        <f>IF(AND('Mapa final'!#REF!="Muy Baja",'Mapa final'!#REF!="Moderado"),CONCATENATE("R1C",'Mapa final'!#REF!),"")</f>
        <v>#REF!</v>
      </c>
      <c r="X46" s="49" t="e">
        <f>IF(AND('Mapa final'!#REF!="Muy Baja",'Mapa final'!#REF!="Moderado"),CONCATENATE("R1C",'Mapa final'!#REF!),"")</f>
        <v>#REF!</v>
      </c>
      <c r="Y46" s="49" t="str">
        <f>IF(AND('Mapa final'!$AB$11="Muy Baja",'Mapa final'!$AD$11="Moderado"),CONCATENATE("R1C",'Mapa final'!$R$11),"")</f>
        <v/>
      </c>
      <c r="Z46" s="49" t="e">
        <f>IF(AND('Mapa final'!#REF!="Muy Baja",'Mapa final'!#REF!="Moderado"),CONCATENATE("R1C",'Mapa final'!#REF!),"")</f>
        <v>#REF!</v>
      </c>
      <c r="AA46" s="50" t="str">
        <f>IF(AND('Mapa final'!$AB$12="Muy Baja",'Mapa final'!$AD$12="Moderado"),CONCATENATE("R1C",'Mapa final'!$R$12),"")</f>
        <v/>
      </c>
      <c r="AB46" s="30" t="str">
        <f>IF(AND('Mapa final'!$AB$10="Muy Baja",'Mapa final'!$AD$10="Mayor"),CONCATENATE("R1C",'Mapa final'!$R$10),"")</f>
        <v/>
      </c>
      <c r="AC46" s="31" t="e">
        <f>IF(AND('Mapa final'!#REF!="Muy Baja",'Mapa final'!#REF!="Mayor"),CONCATENATE("R1C",'Mapa final'!#REF!),"")</f>
        <v>#REF!</v>
      </c>
      <c r="AD46" s="31" t="e">
        <f>IF(AND('Mapa final'!#REF!="Muy Baja",'Mapa final'!#REF!="Mayor"),CONCATENATE("R1C",'Mapa final'!#REF!),"")</f>
        <v>#REF!</v>
      </c>
      <c r="AE46" s="31" t="str">
        <f>IF(AND('Mapa final'!$AB$11="Muy Baja",'Mapa final'!$AD$11="Mayor"),CONCATENATE("R1C",'Mapa final'!$R$11),"")</f>
        <v/>
      </c>
      <c r="AF46" s="31" t="e">
        <f>IF(AND('Mapa final'!#REF!="Muy Baja",'Mapa final'!#REF!="Mayor"),CONCATENATE("R1C",'Mapa final'!#REF!),"")</f>
        <v>#REF!</v>
      </c>
      <c r="AG46" s="32" t="str">
        <f>IF(AND('Mapa final'!$AB$12="Muy Baja",'Mapa final'!$AD$12="Mayor"),CONCATENATE("R1C",'Mapa final'!$R$12),"")</f>
        <v/>
      </c>
      <c r="AH46" s="33" t="str">
        <f>IF(AND('Mapa final'!$AB$10="Muy Baja",'Mapa final'!$AD$10="Catastrófico"),CONCATENATE("R1C",'Mapa final'!$R$10),"")</f>
        <v/>
      </c>
      <c r="AI46" s="34" t="e">
        <f>IF(AND('Mapa final'!#REF!="Muy Baja",'Mapa final'!#REF!="Catastrófico"),CONCATENATE("R1C",'Mapa final'!#REF!),"")</f>
        <v>#REF!</v>
      </c>
      <c r="AJ46" s="34" t="e">
        <f>IF(AND('Mapa final'!#REF!="Muy Baja",'Mapa final'!#REF!="Catastrófico"),CONCATENATE("R1C",'Mapa final'!#REF!),"")</f>
        <v>#REF!</v>
      </c>
      <c r="AK46" s="34" t="str">
        <f>IF(AND('Mapa final'!$AB$11="Muy Baja",'Mapa final'!$AD$11="Catastrófico"),CONCATENATE("R1C",'Mapa final'!$R$11),"")</f>
        <v/>
      </c>
      <c r="AL46" s="34" t="e">
        <f>IF(AND('Mapa final'!#REF!="Muy Baja",'Mapa final'!#REF!="Catastrófico"),CONCATENATE("R1C",'Mapa final'!#REF!),"")</f>
        <v>#REF!</v>
      </c>
      <c r="AM46" s="35" t="str">
        <f>IF(AND('Mapa final'!$AB$12="Muy Baja",'Mapa final'!$AD$12="Catastrófico"),CONCATENATE("R1C",'Mapa final'!$R$12),"")</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70"/>
      <c r="C47" s="470"/>
      <c r="D47" s="471"/>
      <c r="E47" s="567"/>
      <c r="F47" s="568"/>
      <c r="G47" s="568"/>
      <c r="H47" s="568"/>
      <c r="I47" s="584"/>
      <c r="J47" s="60" t="str">
        <f>IF(AND('Mapa final'!$AB$13="Muy Baja",'Mapa final'!$AD$13="Leve"),CONCATENATE("R2C",'Mapa final'!$R$13),"")</f>
        <v/>
      </c>
      <c r="K47" s="61" t="str">
        <f>IF(AND('Mapa final'!$AB$14="Muy Baja",'Mapa final'!$AD$14="Leve"),CONCATENATE("R2C",'Mapa final'!$R$14),"")</f>
        <v/>
      </c>
      <c r="L47" s="61" t="str">
        <f>IF(AND('Mapa final'!$AB$15="Muy Baja",'Mapa final'!$AD$15="Leve"),CONCATENATE("R2C",'Mapa final'!$R$15),"")</f>
        <v/>
      </c>
      <c r="M47" s="61" t="str">
        <f>IF(AND('Mapa final'!$AB$16="Muy Baja",'Mapa final'!$AD$16="Leve"),CONCATENATE("R2C",'Mapa final'!$R$16),"")</f>
        <v/>
      </c>
      <c r="N47" s="61" t="str">
        <f>IF(AND('Mapa final'!$AB$17="Muy Baja",'Mapa final'!$AD$17="Leve"),CONCATENATE("R2C",'Mapa final'!$R$17),"")</f>
        <v/>
      </c>
      <c r="O47" s="62" t="str">
        <f>IF(AND('Mapa final'!$AB$18="Muy Baja",'Mapa final'!$AD$18="Leve"),CONCATENATE("R2C",'Mapa final'!$R$18),"")</f>
        <v/>
      </c>
      <c r="P47" s="60" t="str">
        <f>IF(AND('Mapa final'!$AB$13="Muy Baja",'Mapa final'!$AD$13="Menor"),CONCATENATE("R2C",'Mapa final'!$R$13),"")</f>
        <v/>
      </c>
      <c r="Q47" s="61" t="str">
        <f>IF(AND('Mapa final'!$AB$14="Muy Baja",'Mapa final'!$AD$14="Menor"),CONCATENATE("R2C",'Mapa final'!$R$14),"")</f>
        <v/>
      </c>
      <c r="R47" s="61" t="str">
        <f>IF(AND('Mapa final'!$AB$15="Muy Baja",'Mapa final'!$AD$15="Menor"),CONCATENATE("R2C",'Mapa final'!$R$15),"")</f>
        <v/>
      </c>
      <c r="S47" s="61" t="str">
        <f>IF(AND('Mapa final'!$AB$16="Muy Baja",'Mapa final'!$AD$16="Menor"),CONCATENATE("R2C",'Mapa final'!$R$16),"")</f>
        <v/>
      </c>
      <c r="T47" s="61" t="str">
        <f>IF(AND('Mapa final'!$AB$17="Muy Baja",'Mapa final'!$AD$17="Menor"),CONCATENATE("R2C",'Mapa final'!$R$17),"")</f>
        <v/>
      </c>
      <c r="U47" s="62" t="str">
        <f>IF(AND('Mapa final'!$AB$18="Muy Baja",'Mapa final'!$AD$18="Menor"),CONCATENATE("R2C",'Mapa final'!$R$18),"")</f>
        <v/>
      </c>
      <c r="V47" s="51" t="str">
        <f>IF(AND('Mapa final'!$AB$13="Muy Baja",'Mapa final'!$AD$13="Moderado"),CONCATENATE("R2C",'Mapa final'!$R$13),"")</f>
        <v/>
      </c>
      <c r="W47" s="52" t="str">
        <f>IF(AND('Mapa final'!$AB$14="Muy Baja",'Mapa final'!$AD$14="Moderado"),CONCATENATE("R2C",'Mapa final'!$R$14),"")</f>
        <v/>
      </c>
      <c r="X47" s="52" t="str">
        <f>IF(AND('Mapa final'!$AB$15="Muy Baja",'Mapa final'!$AD$15="Moderado"),CONCATENATE("R2C",'Mapa final'!$R$15),"")</f>
        <v/>
      </c>
      <c r="Y47" s="52" t="str">
        <f>IF(AND('Mapa final'!$AB$16="Muy Baja",'Mapa final'!$AD$16="Moderado"),CONCATENATE("R2C",'Mapa final'!$R$16),"")</f>
        <v/>
      </c>
      <c r="Z47" s="52" t="str">
        <f>IF(AND('Mapa final'!$AB$17="Muy Baja",'Mapa final'!$AD$17="Moderado"),CONCATENATE("R2C",'Mapa final'!$R$17),"")</f>
        <v/>
      </c>
      <c r="AA47" s="53" t="str">
        <f>IF(AND('Mapa final'!$AB$18="Muy Baja",'Mapa final'!$AD$18="Moderado"),CONCATENATE("R2C",'Mapa final'!$R$18),"")</f>
        <v/>
      </c>
      <c r="AB47" s="36" t="str">
        <f>IF(AND('Mapa final'!$AB$13="Muy Baja",'Mapa final'!$AD$13="Mayor"),CONCATENATE("R2C",'Mapa final'!$R$13),"")</f>
        <v/>
      </c>
      <c r="AC47" s="37" t="str">
        <f>IF(AND('Mapa final'!$AB$14="Muy Baja",'Mapa final'!$AD$14="Mayor"),CONCATENATE("R2C",'Mapa final'!$R$14),"")</f>
        <v/>
      </c>
      <c r="AD47" s="37" t="str">
        <f>IF(AND('Mapa final'!$AB$15="Muy Baja",'Mapa final'!$AD$15="Mayor"),CONCATENATE("R2C",'Mapa final'!$R$15),"")</f>
        <v/>
      </c>
      <c r="AE47" s="37" t="str">
        <f>IF(AND('Mapa final'!$AB$16="Muy Baja",'Mapa final'!$AD$16="Mayor"),CONCATENATE("R2C",'Mapa final'!$R$16),"")</f>
        <v/>
      </c>
      <c r="AF47" s="37" t="str">
        <f>IF(AND('Mapa final'!$AB$17="Muy Baja",'Mapa final'!$AD$17="Mayor"),CONCATENATE("R2C",'Mapa final'!$R$17),"")</f>
        <v/>
      </c>
      <c r="AG47" s="38" t="str">
        <f>IF(AND('Mapa final'!$AB$18="Muy Baja",'Mapa final'!$AD$18="Mayor"),CONCATENATE("R2C",'Mapa final'!$R$18),"")</f>
        <v/>
      </c>
      <c r="AH47" s="39" t="str">
        <f>IF(AND('Mapa final'!$AB$13="Muy Baja",'Mapa final'!$AD$13="Catastrófico"),CONCATENATE("R2C",'Mapa final'!$R$13),"")</f>
        <v/>
      </c>
      <c r="AI47" s="40" t="str">
        <f>IF(AND('Mapa final'!$AB$14="Muy Baja",'Mapa final'!$AD$14="Catastrófico"),CONCATENATE("R2C",'Mapa final'!$R$14),"")</f>
        <v/>
      </c>
      <c r="AJ47" s="40" t="str">
        <f>IF(AND('Mapa final'!$AB$15="Muy Baja",'Mapa final'!$AD$15="Catastrófico"),CONCATENATE("R2C",'Mapa final'!$R$15),"")</f>
        <v/>
      </c>
      <c r="AK47" s="40" t="str">
        <f>IF(AND('Mapa final'!$AB$16="Muy Baja",'Mapa final'!$AD$16="Catastrófico"),CONCATENATE("R2C",'Mapa final'!$R$16),"")</f>
        <v/>
      </c>
      <c r="AL47" s="40" t="str">
        <f>IF(AND('Mapa final'!$AB$17="Muy Baja",'Mapa final'!$AD$17="Catastrófico"),CONCATENATE("R2C",'Mapa final'!$R$17),"")</f>
        <v/>
      </c>
      <c r="AM47" s="41" t="str">
        <f>IF(AND('Mapa final'!$AB$18="Muy Baja",'Mapa final'!$AD$18="Catastrófico"),CONCATENATE("R2C",'Mapa final'!$R$18),"")</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70"/>
      <c r="C48" s="470"/>
      <c r="D48" s="471"/>
      <c r="E48" s="567"/>
      <c r="F48" s="568"/>
      <c r="G48" s="568"/>
      <c r="H48" s="568"/>
      <c r="I48" s="584"/>
      <c r="J48" s="60" t="str">
        <f>IF(AND('Mapa final'!$AB$19="Muy Baja",'Mapa final'!$AD$19="Leve"),CONCATENATE("R3C",'Mapa final'!$R$19),"")</f>
        <v/>
      </c>
      <c r="K48" s="61" t="str">
        <f>IF(AND('Mapa final'!$AB$20="Muy Baja",'Mapa final'!$AD$20="Leve"),CONCATENATE("R3C",'Mapa final'!$R$20),"")</f>
        <v/>
      </c>
      <c r="L48" s="61" t="str">
        <f>IF(AND('Mapa final'!$AB$21="Muy Baja",'Mapa final'!$AD$21="Leve"),CONCATENATE("R3C",'Mapa final'!$R$21),"")</f>
        <v/>
      </c>
      <c r="M48" s="61" t="str">
        <f>IF(AND('Mapa final'!$AB$22="Muy Baja",'Mapa final'!$AD$22="Leve"),CONCATENATE("R3C",'Mapa final'!$R$22),"")</f>
        <v/>
      </c>
      <c r="N48" s="61" t="str">
        <f>IF(AND('Mapa final'!$AB$23="Muy Baja",'Mapa final'!$AD$23="Leve"),CONCATENATE("R3C",'Mapa final'!$R$23),"")</f>
        <v/>
      </c>
      <c r="O48" s="62" t="str">
        <f>IF(AND('Mapa final'!$AB$24="Muy Baja",'Mapa final'!$AD$24="Leve"),CONCATENATE("R3C",'Mapa final'!$R$24),"")</f>
        <v/>
      </c>
      <c r="P48" s="60" t="str">
        <f>IF(AND('Mapa final'!$AB$19="Muy Baja",'Mapa final'!$AD$19="Menor"),CONCATENATE("R3C",'Mapa final'!$R$19),"")</f>
        <v/>
      </c>
      <c r="Q48" s="61" t="str">
        <f>IF(AND('Mapa final'!$AB$20="Muy Baja",'Mapa final'!$AD$20="Menor"),CONCATENATE("R3C",'Mapa final'!$R$20),"")</f>
        <v/>
      </c>
      <c r="R48" s="61" t="str">
        <f>IF(AND('Mapa final'!$AB$21="Muy Baja",'Mapa final'!$AD$21="Menor"),CONCATENATE("R3C",'Mapa final'!$R$21),"")</f>
        <v/>
      </c>
      <c r="S48" s="61" t="str">
        <f>IF(AND('Mapa final'!$AB$22="Muy Baja",'Mapa final'!$AD$22="Menor"),CONCATENATE("R3C",'Mapa final'!$R$22),"")</f>
        <v/>
      </c>
      <c r="T48" s="61" t="str">
        <f>IF(AND('Mapa final'!$AB$23="Muy Baja",'Mapa final'!$AD$23="Menor"),CONCATENATE("R3C",'Mapa final'!$R$23),"")</f>
        <v/>
      </c>
      <c r="U48" s="62" t="str">
        <f>IF(AND('Mapa final'!$AB$24="Muy Baja",'Mapa final'!$AD$24="Menor"),CONCATENATE("R3C",'Mapa final'!$R$24),"")</f>
        <v/>
      </c>
      <c r="V48" s="51" t="str">
        <f>IF(AND('Mapa final'!$AB$19="Muy Baja",'Mapa final'!$AD$19="Moderado"),CONCATENATE("R3C",'Mapa final'!$R$19),"")</f>
        <v/>
      </c>
      <c r="W48" s="52" t="str">
        <f>IF(AND('Mapa final'!$AB$20="Muy Baja",'Mapa final'!$AD$20="Moderado"),CONCATENATE("R3C",'Mapa final'!$R$20),"")</f>
        <v/>
      </c>
      <c r="X48" s="52" t="str">
        <f>IF(AND('Mapa final'!$AB$21="Muy Baja",'Mapa final'!$AD$21="Moderado"),CONCATENATE("R3C",'Mapa final'!$R$21),"")</f>
        <v/>
      </c>
      <c r="Y48" s="52" t="str">
        <f>IF(AND('Mapa final'!$AB$22="Muy Baja",'Mapa final'!$AD$22="Moderado"),CONCATENATE("R3C",'Mapa final'!$R$22),"")</f>
        <v/>
      </c>
      <c r="Z48" s="52" t="str">
        <f>IF(AND('Mapa final'!$AB$23="Muy Baja",'Mapa final'!$AD$23="Moderado"),CONCATENATE("R3C",'Mapa final'!$R$23),"")</f>
        <v/>
      </c>
      <c r="AA48" s="53" t="str">
        <f>IF(AND('Mapa final'!$AB$24="Muy Baja",'Mapa final'!$AD$24="Moderado"),CONCATENATE("R3C",'Mapa final'!$R$24),"")</f>
        <v/>
      </c>
      <c r="AB48" s="36" t="str">
        <f>IF(AND('Mapa final'!$AB$19="Muy Baja",'Mapa final'!$AD$19="Mayor"),CONCATENATE("R3C",'Mapa final'!$R$19),"")</f>
        <v/>
      </c>
      <c r="AC48" s="37" t="str">
        <f>IF(AND('Mapa final'!$AB$20="Muy Baja",'Mapa final'!$AD$20="Mayor"),CONCATENATE("R3C",'Mapa final'!$R$20),"")</f>
        <v/>
      </c>
      <c r="AD48" s="37" t="str">
        <f>IF(AND('Mapa final'!$AB$21="Muy Baja",'Mapa final'!$AD$21="Mayor"),CONCATENATE("R3C",'Mapa final'!$R$21),"")</f>
        <v/>
      </c>
      <c r="AE48" s="37" t="str">
        <f>IF(AND('Mapa final'!$AB$22="Muy Baja",'Mapa final'!$AD$22="Mayor"),CONCATENATE("R3C",'Mapa final'!$R$22),"")</f>
        <v/>
      </c>
      <c r="AF48" s="37" t="str">
        <f>IF(AND('Mapa final'!$AB$23="Muy Baja",'Mapa final'!$AD$23="Mayor"),CONCATENATE("R3C",'Mapa final'!$R$23),"")</f>
        <v/>
      </c>
      <c r="AG48" s="38" t="str">
        <f>IF(AND('Mapa final'!$AB$24="Muy Baja",'Mapa final'!$AD$24="Mayor"),CONCATENATE("R3C",'Mapa final'!$R$24),"")</f>
        <v/>
      </c>
      <c r="AH48" s="39" t="str">
        <f>IF(AND('Mapa final'!$AB$19="Muy Baja",'Mapa final'!$AD$19="Catastrófico"),CONCATENATE("R3C",'Mapa final'!$R$19),"")</f>
        <v/>
      </c>
      <c r="AI48" s="40" t="str">
        <f>IF(AND('Mapa final'!$AB$20="Muy Baja",'Mapa final'!$AD$20="Catastrófico"),CONCATENATE("R3C",'Mapa final'!$R$20),"")</f>
        <v/>
      </c>
      <c r="AJ48" s="40" t="str">
        <f>IF(AND('Mapa final'!$AB$21="Muy Baja",'Mapa final'!$AD$21="Catastrófico"),CONCATENATE("R3C",'Mapa final'!$R$21),"")</f>
        <v/>
      </c>
      <c r="AK48" s="40" t="str">
        <f>IF(AND('Mapa final'!$AB$22="Muy Baja",'Mapa final'!$AD$22="Catastrófico"),CONCATENATE("R3C",'Mapa final'!$R$22),"")</f>
        <v/>
      </c>
      <c r="AL48" s="40" t="str">
        <f>IF(AND('Mapa final'!$AB$23="Muy Baja",'Mapa final'!$AD$23="Catastrófico"),CONCATENATE("R3C",'Mapa final'!$R$23),"")</f>
        <v/>
      </c>
      <c r="AM48" s="41" t="str">
        <f>IF(AND('Mapa final'!$AB$24="Muy Baja",'Mapa final'!$AD$24="Catastrófico"),CONCATENATE("R3C",'Mapa final'!$R$24),"")</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70"/>
      <c r="C49" s="470"/>
      <c r="D49" s="471"/>
      <c r="E49" s="569"/>
      <c r="F49" s="568"/>
      <c r="G49" s="568"/>
      <c r="H49" s="568"/>
      <c r="I49" s="584"/>
      <c r="J49" s="60" t="str">
        <f>IF(AND('Mapa final'!$AB$25="Muy Baja",'Mapa final'!$AD$25="Leve"),CONCATENATE("R4C",'Mapa final'!$R$25),"")</f>
        <v/>
      </c>
      <c r="K49" s="61" t="str">
        <f>IF(AND('Mapa final'!$AB$26="Muy Baja",'Mapa final'!$AD$26="Leve"),CONCATENATE("R4C",'Mapa final'!$R$26),"")</f>
        <v/>
      </c>
      <c r="L49" s="61" t="str">
        <f>IF(AND('Mapa final'!$AB$27="Muy Baja",'Mapa final'!$AD$27="Leve"),CONCATENATE("R4C",'Mapa final'!$R$27),"")</f>
        <v/>
      </c>
      <c r="M49" s="61" t="str">
        <f>IF(AND('Mapa final'!$AB$28="Muy Baja",'Mapa final'!$AD$28="Leve"),CONCATENATE("R4C",'Mapa final'!$R$28),"")</f>
        <v/>
      </c>
      <c r="N49" s="61" t="str">
        <f>IF(AND('Mapa final'!$AB$29="Muy Baja",'Mapa final'!$AD$29="Leve"),CONCATENATE("R4C",'Mapa final'!$R$29),"")</f>
        <v/>
      </c>
      <c r="O49" s="62" t="str">
        <f>IF(AND('Mapa final'!$AB$30="Muy Baja",'Mapa final'!$AD$30="Leve"),CONCATENATE("R4C",'Mapa final'!$R$30),"")</f>
        <v/>
      </c>
      <c r="P49" s="60" t="str">
        <f>IF(AND('Mapa final'!$AB$25="Muy Baja",'Mapa final'!$AD$25="Menor"),CONCATENATE("R4C",'Mapa final'!$R$25),"")</f>
        <v/>
      </c>
      <c r="Q49" s="61" t="str">
        <f>IF(AND('Mapa final'!$AB$26="Muy Baja",'Mapa final'!$AD$26="Menor"),CONCATENATE("R4C",'Mapa final'!$R$26),"")</f>
        <v/>
      </c>
      <c r="R49" s="61" t="str">
        <f>IF(AND('Mapa final'!$AB$27="Muy Baja",'Mapa final'!$AD$27="Menor"),CONCATENATE("R4C",'Mapa final'!$R$27),"")</f>
        <v/>
      </c>
      <c r="S49" s="61" t="str">
        <f>IF(AND('Mapa final'!$AB$28="Muy Baja",'Mapa final'!$AD$28="Menor"),CONCATENATE("R4C",'Mapa final'!$R$28),"")</f>
        <v/>
      </c>
      <c r="T49" s="61" t="str">
        <f>IF(AND('Mapa final'!$AB$29="Muy Baja",'Mapa final'!$AD$29="Menor"),CONCATENATE("R4C",'Mapa final'!$R$29),"")</f>
        <v/>
      </c>
      <c r="U49" s="62" t="str">
        <f>IF(AND('Mapa final'!$AB$30="Muy Baja",'Mapa final'!$AD$30="Menor"),CONCATENATE("R4C",'Mapa final'!$R$30),"")</f>
        <v/>
      </c>
      <c r="V49" s="51" t="str">
        <f>IF(AND('Mapa final'!$AB$25="Muy Baja",'Mapa final'!$AD$25="Moderado"),CONCATENATE("R4C",'Mapa final'!$R$25),"")</f>
        <v/>
      </c>
      <c r="W49" s="52" t="str">
        <f>IF(AND('Mapa final'!$AB$26="Muy Baja",'Mapa final'!$AD$26="Moderado"),CONCATENATE("R4C",'Mapa final'!$R$26),"")</f>
        <v/>
      </c>
      <c r="X49" s="52" t="str">
        <f>IF(AND('Mapa final'!$AB$27="Muy Baja",'Mapa final'!$AD$27="Moderado"),CONCATENATE("R4C",'Mapa final'!$R$27),"")</f>
        <v/>
      </c>
      <c r="Y49" s="52" t="str">
        <f>IF(AND('Mapa final'!$AB$28="Muy Baja",'Mapa final'!$AD$28="Moderado"),CONCATENATE("R4C",'Mapa final'!$R$28),"")</f>
        <v/>
      </c>
      <c r="Z49" s="52" t="str">
        <f>IF(AND('Mapa final'!$AB$29="Muy Baja",'Mapa final'!$AD$29="Moderado"),CONCATENATE("R4C",'Mapa final'!$R$29),"")</f>
        <v/>
      </c>
      <c r="AA49" s="53" t="str">
        <f>IF(AND('Mapa final'!$AB$30="Muy Baja",'Mapa final'!$AD$30="Moderado"),CONCATENATE("R4C",'Mapa final'!$R$30),"")</f>
        <v/>
      </c>
      <c r="AB49" s="36" t="str">
        <f>IF(AND('Mapa final'!$AB$25="Muy Baja",'Mapa final'!$AD$25="Mayor"),CONCATENATE("R4C",'Mapa final'!$R$25),"")</f>
        <v/>
      </c>
      <c r="AC49" s="37" t="str">
        <f>IF(AND('Mapa final'!$AB$26="Muy Baja",'Mapa final'!$AD$26="Mayor"),CONCATENATE("R4C",'Mapa final'!$R$26),"")</f>
        <v/>
      </c>
      <c r="AD49" s="37" t="str">
        <f>IF(AND('Mapa final'!$AB$27="Muy Baja",'Mapa final'!$AD$27="Mayor"),CONCATENATE("R4C",'Mapa final'!$R$27),"")</f>
        <v/>
      </c>
      <c r="AE49" s="37" t="str">
        <f>IF(AND('Mapa final'!$AB$28="Muy Baja",'Mapa final'!$AD$28="Mayor"),CONCATENATE("R4C",'Mapa final'!$R$28),"")</f>
        <v/>
      </c>
      <c r="AF49" s="37" t="str">
        <f>IF(AND('Mapa final'!$AB$29="Muy Baja",'Mapa final'!$AD$29="Mayor"),CONCATENATE("R4C",'Mapa final'!$R$29),"")</f>
        <v/>
      </c>
      <c r="AG49" s="38" t="str">
        <f>IF(AND('Mapa final'!$AB$30="Muy Baja",'Mapa final'!$AD$30="Mayor"),CONCATENATE("R4C",'Mapa final'!$R$30),"")</f>
        <v/>
      </c>
      <c r="AH49" s="39" t="str">
        <f>IF(AND('Mapa final'!$AB$25="Muy Baja",'Mapa final'!$AD$25="Catastrófico"),CONCATENATE("R4C",'Mapa final'!$R$25),"")</f>
        <v/>
      </c>
      <c r="AI49" s="40" t="str">
        <f>IF(AND('Mapa final'!$AB$26="Muy Baja",'Mapa final'!$AD$26="Catastrófico"),CONCATENATE("R4C",'Mapa final'!$R$26),"")</f>
        <v/>
      </c>
      <c r="AJ49" s="40" t="str">
        <f>IF(AND('Mapa final'!$AB$27="Muy Baja",'Mapa final'!$AD$27="Catastrófico"),CONCATENATE("R4C",'Mapa final'!$R$27),"")</f>
        <v/>
      </c>
      <c r="AK49" s="40" t="str">
        <f>IF(AND('Mapa final'!$AB$28="Muy Baja",'Mapa final'!$AD$28="Catastrófico"),CONCATENATE("R4C",'Mapa final'!$R$28),"")</f>
        <v/>
      </c>
      <c r="AL49" s="40" t="str">
        <f>IF(AND('Mapa final'!$AB$29="Muy Baja",'Mapa final'!$AD$29="Catastrófico"),CONCATENATE("R4C",'Mapa final'!$R$29),"")</f>
        <v/>
      </c>
      <c r="AM49" s="41" t="str">
        <f>IF(AND('Mapa final'!$AB$30="Muy Baja",'Mapa final'!$AD$30="Catastrófico"),CONCATENATE("R4C",'Mapa final'!$R$30),"")</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70"/>
      <c r="C50" s="470"/>
      <c r="D50" s="471"/>
      <c r="E50" s="569"/>
      <c r="F50" s="568"/>
      <c r="G50" s="568"/>
      <c r="H50" s="568"/>
      <c r="I50" s="584"/>
      <c r="J50" s="60" t="str">
        <f>IF(AND('Mapa final'!$AB$31="Muy Baja",'Mapa final'!$AD$31="Leve"),CONCATENATE("R5C",'Mapa final'!$R$31),"")</f>
        <v/>
      </c>
      <c r="K50" s="61" t="str">
        <f>IF(AND('Mapa final'!$AB$32="Muy Baja",'Mapa final'!$AD$32="Leve"),CONCATENATE("R5C",'Mapa final'!$R$32),"")</f>
        <v/>
      </c>
      <c r="L50" s="61" t="str">
        <f>IF(AND('Mapa final'!$AB$33="Muy Baja",'Mapa final'!$AD$33="Leve"),CONCATENATE("R5C",'Mapa final'!$R$33),"")</f>
        <v/>
      </c>
      <c r="M50" s="61" t="str">
        <f>IF(AND('Mapa final'!$AB$34="Muy Baja",'Mapa final'!$AD$34="Leve"),CONCATENATE("R5C",'Mapa final'!$R$34),"")</f>
        <v/>
      </c>
      <c r="N50" s="61" t="str">
        <f>IF(AND('Mapa final'!$AB$35="Muy Baja",'Mapa final'!$AD$35="Leve"),CONCATENATE("R5C",'Mapa final'!$R$35),"")</f>
        <v/>
      </c>
      <c r="O50" s="62" t="str">
        <f>IF(AND('Mapa final'!$AB$36="Muy Baja",'Mapa final'!$AD$36="Leve"),CONCATENATE("R5C",'Mapa final'!$R$36),"")</f>
        <v/>
      </c>
      <c r="P50" s="60" t="str">
        <f>IF(AND('Mapa final'!$AB$31="Muy Baja",'Mapa final'!$AD$31="Menor"),CONCATENATE("R5C",'Mapa final'!$R$31),"")</f>
        <v/>
      </c>
      <c r="Q50" s="61" t="str">
        <f>IF(AND('Mapa final'!$AB$32="Muy Baja",'Mapa final'!$AD$32="Menor"),CONCATENATE("R5C",'Mapa final'!$R$32),"")</f>
        <v/>
      </c>
      <c r="R50" s="61" t="str">
        <f>IF(AND('Mapa final'!$AB$33="Muy Baja",'Mapa final'!$AD$33="Menor"),CONCATENATE("R5C",'Mapa final'!$R$33),"")</f>
        <v/>
      </c>
      <c r="S50" s="61" t="str">
        <f>IF(AND('Mapa final'!$AB$34="Muy Baja",'Mapa final'!$AD$34="Menor"),CONCATENATE("R5C",'Mapa final'!$R$34),"")</f>
        <v/>
      </c>
      <c r="T50" s="61" t="str">
        <f>IF(AND('Mapa final'!$AB$35="Muy Baja",'Mapa final'!$AD$35="Menor"),CONCATENATE("R5C",'Mapa final'!$R$35),"")</f>
        <v/>
      </c>
      <c r="U50" s="62" t="str">
        <f>IF(AND('Mapa final'!$AB$36="Muy Baja",'Mapa final'!$AD$36="Menor"),CONCATENATE("R5C",'Mapa final'!$R$36),"")</f>
        <v/>
      </c>
      <c r="V50" s="51" t="str">
        <f>IF(AND('Mapa final'!$AB$31="Muy Baja",'Mapa final'!$AD$31="Moderado"),CONCATENATE("R5C",'Mapa final'!$R$31),"")</f>
        <v/>
      </c>
      <c r="W50" s="52" t="str">
        <f>IF(AND('Mapa final'!$AB$32="Muy Baja",'Mapa final'!$AD$32="Moderado"),CONCATENATE("R5C",'Mapa final'!$R$32),"")</f>
        <v/>
      </c>
      <c r="X50" s="52" t="str">
        <f>IF(AND('Mapa final'!$AB$33="Muy Baja",'Mapa final'!$AD$33="Moderado"),CONCATENATE("R5C",'Mapa final'!$R$33),"")</f>
        <v/>
      </c>
      <c r="Y50" s="52" t="str">
        <f>IF(AND('Mapa final'!$AB$34="Muy Baja",'Mapa final'!$AD$34="Moderado"),CONCATENATE("R5C",'Mapa final'!$R$34),"")</f>
        <v/>
      </c>
      <c r="Z50" s="52" t="str">
        <f>IF(AND('Mapa final'!$AB$35="Muy Baja",'Mapa final'!$AD$35="Moderado"),CONCATENATE("R5C",'Mapa final'!$R$35),"")</f>
        <v/>
      </c>
      <c r="AA50" s="53" t="str">
        <f>IF(AND('Mapa final'!$AB$36="Muy Baja",'Mapa final'!$AD$36="Moderado"),CONCATENATE("R5C",'Mapa final'!$R$36),"")</f>
        <v/>
      </c>
      <c r="AB50" s="36" t="str">
        <f>IF(AND('Mapa final'!$AB$31="Muy Baja",'Mapa final'!$AD$31="Mayor"),CONCATENATE("R5C",'Mapa final'!$R$31),"")</f>
        <v/>
      </c>
      <c r="AC50" s="37" t="str">
        <f>IF(AND('Mapa final'!$AB$32="Muy Baja",'Mapa final'!$AD$32="Mayor"),CONCATENATE("R5C",'Mapa final'!$R$32),"")</f>
        <v/>
      </c>
      <c r="AD50" s="37" t="str">
        <f>IF(AND('Mapa final'!$AB$33="Muy Baja",'Mapa final'!$AD$33="Mayor"),CONCATENATE("R5C",'Mapa final'!$R$33),"")</f>
        <v/>
      </c>
      <c r="AE50" s="37" t="str">
        <f>IF(AND('Mapa final'!$AB$34="Muy Baja",'Mapa final'!$AD$34="Mayor"),CONCATENATE("R5C",'Mapa final'!$R$34),"")</f>
        <v/>
      </c>
      <c r="AF50" s="37" t="str">
        <f>IF(AND('Mapa final'!$AB$35="Muy Baja",'Mapa final'!$AD$35="Mayor"),CONCATENATE("R5C",'Mapa final'!$R$35),"")</f>
        <v/>
      </c>
      <c r="AG50" s="38" t="str">
        <f>IF(AND('Mapa final'!$AB$36="Muy Baja",'Mapa final'!$AD$36="Mayor"),CONCATENATE("R5C",'Mapa final'!$R$36),"")</f>
        <v/>
      </c>
      <c r="AH50" s="39" t="str">
        <f>IF(AND('Mapa final'!$AB$31="Muy Baja",'Mapa final'!$AD$31="Catastrófico"),CONCATENATE("R5C",'Mapa final'!$R$31),"")</f>
        <v/>
      </c>
      <c r="AI50" s="40" t="str">
        <f>IF(AND('Mapa final'!$AB$32="Muy Baja",'Mapa final'!$AD$32="Catastrófico"),CONCATENATE("R5C",'Mapa final'!$R$32),"")</f>
        <v/>
      </c>
      <c r="AJ50" s="40" t="str">
        <f>IF(AND('Mapa final'!$AB$33="Muy Baja",'Mapa final'!$AD$33="Catastrófico"),CONCATENATE("R5C",'Mapa final'!$R$33),"")</f>
        <v/>
      </c>
      <c r="AK50" s="40" t="str">
        <f>IF(AND('Mapa final'!$AB$34="Muy Baja",'Mapa final'!$AD$34="Catastrófico"),CONCATENATE("R5C",'Mapa final'!$R$34),"")</f>
        <v/>
      </c>
      <c r="AL50" s="40" t="str">
        <f>IF(AND('Mapa final'!$AB$35="Muy Baja",'Mapa final'!$AD$35="Catastrófico"),CONCATENATE("R5C",'Mapa final'!$R$35),"")</f>
        <v/>
      </c>
      <c r="AM50" s="41" t="str">
        <f>IF(AND('Mapa final'!$AB$36="Muy Baja",'Mapa final'!$AD$36="Catastrófico"),CONCATENATE("R5C",'Mapa final'!$R$36),"")</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70"/>
      <c r="C51" s="470"/>
      <c r="D51" s="471"/>
      <c r="E51" s="569"/>
      <c r="F51" s="568"/>
      <c r="G51" s="568"/>
      <c r="H51" s="568"/>
      <c r="I51" s="584"/>
      <c r="J51" s="60" t="str">
        <f>IF(AND('Mapa final'!$AB$37="Muy Baja",'Mapa final'!$AD$37="Leve"),CONCATENATE("R6C",'Mapa final'!$R$37),"")</f>
        <v/>
      </c>
      <c r="K51" s="61" t="str">
        <f>IF(AND('Mapa final'!$AB$38="Muy Baja",'Mapa final'!$AD$38="Leve"),CONCATENATE("R6C",'Mapa final'!$R$38),"")</f>
        <v/>
      </c>
      <c r="L51" s="61" t="str">
        <f>IF(AND('Mapa final'!$AB$39="Muy Baja",'Mapa final'!$AD$39="Leve"),CONCATENATE("R6C",'Mapa final'!$R$39),"")</f>
        <v/>
      </c>
      <c r="M51" s="61" t="str">
        <f>IF(AND('Mapa final'!$AB$40="Muy Baja",'Mapa final'!$AD$40="Leve"),CONCATENATE("R6C",'Mapa final'!$R$40),"")</f>
        <v/>
      </c>
      <c r="N51" s="61" t="str">
        <f>IF(AND('Mapa final'!$AB$41="Muy Baja",'Mapa final'!$AD$41="Leve"),CONCATENATE("R6C",'Mapa final'!$R$41),"")</f>
        <v/>
      </c>
      <c r="O51" s="62" t="str">
        <f>IF(AND('Mapa final'!$AB$42="Muy Baja",'Mapa final'!$AD$42="Leve"),CONCATENATE("R6C",'Mapa final'!$R$42),"")</f>
        <v/>
      </c>
      <c r="P51" s="60" t="str">
        <f>IF(AND('Mapa final'!$AB$37="Muy Baja",'Mapa final'!$AD$37="Menor"),CONCATENATE("R6C",'Mapa final'!$R$37),"")</f>
        <v/>
      </c>
      <c r="Q51" s="61" t="str">
        <f>IF(AND('Mapa final'!$AB$38="Muy Baja",'Mapa final'!$AD$38="Menor"),CONCATENATE("R6C",'Mapa final'!$R$38),"")</f>
        <v/>
      </c>
      <c r="R51" s="61" t="str">
        <f>IF(AND('Mapa final'!$AB$39="Muy Baja",'Mapa final'!$AD$39="Menor"),CONCATENATE("R6C",'Mapa final'!$R$39),"")</f>
        <v/>
      </c>
      <c r="S51" s="61" t="str">
        <f>IF(AND('Mapa final'!$AB$40="Muy Baja",'Mapa final'!$AD$40="Menor"),CONCATENATE("R6C",'Mapa final'!$R$40),"")</f>
        <v/>
      </c>
      <c r="T51" s="61" t="str">
        <f>IF(AND('Mapa final'!$AB$41="Muy Baja",'Mapa final'!$AD$41="Menor"),CONCATENATE("R6C",'Mapa final'!$R$41),"")</f>
        <v/>
      </c>
      <c r="U51" s="62" t="str">
        <f>IF(AND('Mapa final'!$AB$42="Muy Baja",'Mapa final'!$AD$42="Menor"),CONCATENATE("R6C",'Mapa final'!$R$42),"")</f>
        <v/>
      </c>
      <c r="V51" s="51" t="str">
        <f>IF(AND('Mapa final'!$AB$37="Muy Baja",'Mapa final'!$AD$37="Moderado"),CONCATENATE("R6C",'Mapa final'!$R$37),"")</f>
        <v/>
      </c>
      <c r="W51" s="52" t="str">
        <f>IF(AND('Mapa final'!$AB$38="Muy Baja",'Mapa final'!$AD$38="Moderado"),CONCATENATE("R6C",'Mapa final'!$R$38),"")</f>
        <v/>
      </c>
      <c r="X51" s="52" t="str">
        <f>IF(AND('Mapa final'!$AB$39="Muy Baja",'Mapa final'!$AD$39="Moderado"),CONCATENATE("R6C",'Mapa final'!$R$39),"")</f>
        <v/>
      </c>
      <c r="Y51" s="52" t="str">
        <f>IF(AND('Mapa final'!$AB$40="Muy Baja",'Mapa final'!$AD$40="Moderado"),CONCATENATE("R6C",'Mapa final'!$R$40),"")</f>
        <v/>
      </c>
      <c r="Z51" s="52" t="str">
        <f>IF(AND('Mapa final'!$AB$41="Muy Baja",'Mapa final'!$AD$41="Moderado"),CONCATENATE("R6C",'Mapa final'!$R$41),"")</f>
        <v/>
      </c>
      <c r="AA51" s="53" t="str">
        <f>IF(AND('Mapa final'!$AB$42="Muy Baja",'Mapa final'!$AD$42="Moderado"),CONCATENATE("R6C",'Mapa final'!$R$42),"")</f>
        <v/>
      </c>
      <c r="AB51" s="36" t="str">
        <f>IF(AND('Mapa final'!$AB$37="Muy Baja",'Mapa final'!$AD$37="Mayor"),CONCATENATE("R6C",'Mapa final'!$R$37),"")</f>
        <v/>
      </c>
      <c r="AC51" s="37" t="str">
        <f>IF(AND('Mapa final'!$AB$38="Muy Baja",'Mapa final'!$AD$38="Mayor"),CONCATENATE("R6C",'Mapa final'!$R$38),"")</f>
        <v/>
      </c>
      <c r="AD51" s="37" t="str">
        <f>IF(AND('Mapa final'!$AB$39="Muy Baja",'Mapa final'!$AD$39="Mayor"),CONCATENATE("R6C",'Mapa final'!$R$39),"")</f>
        <v/>
      </c>
      <c r="AE51" s="37" t="str">
        <f>IF(AND('Mapa final'!$AB$40="Muy Baja",'Mapa final'!$AD$40="Mayor"),CONCATENATE("R6C",'Mapa final'!$R$40),"")</f>
        <v/>
      </c>
      <c r="AF51" s="37" t="str">
        <f>IF(AND('Mapa final'!$AB$41="Muy Baja",'Mapa final'!$AD$41="Mayor"),CONCATENATE("R6C",'Mapa final'!$R$41),"")</f>
        <v/>
      </c>
      <c r="AG51" s="38" t="str">
        <f>IF(AND('Mapa final'!$AB$42="Muy Baja",'Mapa final'!$AD$42="Mayor"),CONCATENATE("R6C",'Mapa final'!$R$42),"")</f>
        <v/>
      </c>
      <c r="AH51" s="39" t="str">
        <f>IF(AND('Mapa final'!$AB$37="Muy Baja",'Mapa final'!$AD$37="Catastrófico"),CONCATENATE("R6C",'Mapa final'!$R$37),"")</f>
        <v/>
      </c>
      <c r="AI51" s="40" t="str">
        <f>IF(AND('Mapa final'!$AB$38="Muy Baja",'Mapa final'!$AD$38="Catastrófico"),CONCATENATE("R6C",'Mapa final'!$R$38),"")</f>
        <v/>
      </c>
      <c r="AJ51" s="40" t="str">
        <f>IF(AND('Mapa final'!$AB$39="Muy Baja",'Mapa final'!$AD$39="Catastrófico"),CONCATENATE("R6C",'Mapa final'!$R$39),"")</f>
        <v/>
      </c>
      <c r="AK51" s="40" t="str">
        <f>IF(AND('Mapa final'!$AB$40="Muy Baja",'Mapa final'!$AD$40="Catastrófico"),CONCATENATE("R6C",'Mapa final'!$R$40),"")</f>
        <v/>
      </c>
      <c r="AL51" s="40" t="str">
        <f>IF(AND('Mapa final'!$AB$41="Muy Baja",'Mapa final'!$AD$41="Catastrófico"),CONCATENATE("R6C",'Mapa final'!$R$41),"")</f>
        <v/>
      </c>
      <c r="AM51" s="41" t="str">
        <f>IF(AND('Mapa final'!$AB$42="Muy Baja",'Mapa final'!$AD$42="Catastrófico"),CONCATENATE("R6C",'Mapa final'!$R$42),"")</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70"/>
      <c r="C52" s="470"/>
      <c r="D52" s="471"/>
      <c r="E52" s="569"/>
      <c r="F52" s="568"/>
      <c r="G52" s="568"/>
      <c r="H52" s="568"/>
      <c r="I52" s="584"/>
      <c r="J52" s="60" t="str">
        <f>IF(AND('Mapa final'!$AB$43="Muy Baja",'Mapa final'!$AD$43="Leve"),CONCATENATE("R7C",'Mapa final'!$R$43),"")</f>
        <v/>
      </c>
      <c r="K52" s="61" t="str">
        <f>IF(AND('Mapa final'!$AB$44="Muy Baja",'Mapa final'!$AD$44="Leve"),CONCATENATE("R7C",'Mapa final'!$R$44),"")</f>
        <v/>
      </c>
      <c r="L52" s="61" t="str">
        <f>IF(AND('Mapa final'!$AB$45="Muy Baja",'Mapa final'!$AD$45="Leve"),CONCATENATE("R7C",'Mapa final'!$R$45),"")</f>
        <v/>
      </c>
      <c r="M52" s="61" t="str">
        <f>IF(AND('Mapa final'!$AB$46="Muy Baja",'Mapa final'!$AD$46="Leve"),CONCATENATE("R7C",'Mapa final'!$R$46),"")</f>
        <v/>
      </c>
      <c r="N52" s="61" t="str">
        <f>IF(AND('Mapa final'!$AB$47="Muy Baja",'Mapa final'!$AD$47="Leve"),CONCATENATE("R7C",'Mapa final'!$R$47),"")</f>
        <v/>
      </c>
      <c r="O52" s="62" t="str">
        <f>IF(AND('Mapa final'!$AB$48="Muy Baja",'Mapa final'!$AD$48="Leve"),CONCATENATE("R7C",'Mapa final'!$R$48),"")</f>
        <v/>
      </c>
      <c r="P52" s="60" t="str">
        <f>IF(AND('Mapa final'!$AB$43="Muy Baja",'Mapa final'!$AD$43="Menor"),CONCATENATE("R7C",'Mapa final'!$R$43),"")</f>
        <v/>
      </c>
      <c r="Q52" s="61" t="str">
        <f>IF(AND('Mapa final'!$AB$44="Muy Baja",'Mapa final'!$AD$44="Menor"),CONCATENATE("R7C",'Mapa final'!$R$44),"")</f>
        <v/>
      </c>
      <c r="R52" s="61" t="str">
        <f>IF(AND('Mapa final'!$AB$45="Muy Baja",'Mapa final'!$AD$45="Menor"),CONCATENATE("R7C",'Mapa final'!$R$45),"")</f>
        <v/>
      </c>
      <c r="S52" s="61" t="str">
        <f>IF(AND('Mapa final'!$AB$46="Muy Baja",'Mapa final'!$AD$46="Menor"),CONCATENATE("R7C",'Mapa final'!$R$46),"")</f>
        <v/>
      </c>
      <c r="T52" s="61" t="str">
        <f>IF(AND('Mapa final'!$AB$47="Muy Baja",'Mapa final'!$AD$47="Menor"),CONCATENATE("R7C",'Mapa final'!$R$47),"")</f>
        <v/>
      </c>
      <c r="U52" s="62" t="str">
        <f>IF(AND('Mapa final'!$AB$48="Muy Baja",'Mapa final'!$AD$48="Menor"),CONCATENATE("R7C",'Mapa final'!$R$48),"")</f>
        <v/>
      </c>
      <c r="V52" s="51" t="str">
        <f>IF(AND('Mapa final'!$AB$43="Muy Baja",'Mapa final'!$AD$43="Moderado"),CONCATENATE("R7C",'Mapa final'!$R$43),"")</f>
        <v/>
      </c>
      <c r="W52" s="52" t="str">
        <f>IF(AND('Mapa final'!$AB$44="Muy Baja",'Mapa final'!$AD$44="Moderado"),CONCATENATE("R7C",'Mapa final'!$R$44),"")</f>
        <v/>
      </c>
      <c r="X52" s="52" t="str">
        <f>IF(AND('Mapa final'!$AB$45="Muy Baja",'Mapa final'!$AD$45="Moderado"),CONCATENATE("R7C",'Mapa final'!$R$45),"")</f>
        <v/>
      </c>
      <c r="Y52" s="52" t="str">
        <f>IF(AND('Mapa final'!$AB$46="Muy Baja",'Mapa final'!$AD$46="Moderado"),CONCATENATE("R7C",'Mapa final'!$R$46),"")</f>
        <v/>
      </c>
      <c r="Z52" s="52" t="str">
        <f>IF(AND('Mapa final'!$AB$47="Muy Baja",'Mapa final'!$AD$47="Moderado"),CONCATENATE("R7C",'Mapa final'!$R$47),"")</f>
        <v/>
      </c>
      <c r="AA52" s="53" t="str">
        <f>IF(AND('Mapa final'!$AB$48="Muy Baja",'Mapa final'!$AD$48="Moderado"),CONCATENATE("R7C",'Mapa final'!$R$48),"")</f>
        <v/>
      </c>
      <c r="AB52" s="36" t="str">
        <f>IF(AND('Mapa final'!$AB$43="Muy Baja",'Mapa final'!$AD$43="Mayor"),CONCATENATE("R7C",'Mapa final'!$R$43),"")</f>
        <v/>
      </c>
      <c r="AC52" s="37" t="str">
        <f>IF(AND('Mapa final'!$AB$44="Muy Baja",'Mapa final'!$AD$44="Mayor"),CONCATENATE("R7C",'Mapa final'!$R$44),"")</f>
        <v/>
      </c>
      <c r="AD52" s="37" t="str">
        <f>IF(AND('Mapa final'!$AB$45="Muy Baja",'Mapa final'!$AD$45="Mayor"),CONCATENATE("R7C",'Mapa final'!$R$45),"")</f>
        <v/>
      </c>
      <c r="AE52" s="37" t="str">
        <f>IF(AND('Mapa final'!$AB$46="Muy Baja",'Mapa final'!$AD$46="Mayor"),CONCATENATE("R7C",'Mapa final'!$R$46),"")</f>
        <v/>
      </c>
      <c r="AF52" s="37" t="str">
        <f>IF(AND('Mapa final'!$AB$47="Muy Baja",'Mapa final'!$AD$47="Mayor"),CONCATENATE("R7C",'Mapa final'!$R$47),"")</f>
        <v/>
      </c>
      <c r="AG52" s="38" t="str">
        <f>IF(AND('Mapa final'!$AB$48="Muy Baja",'Mapa final'!$AD$48="Mayor"),CONCATENATE("R7C",'Mapa final'!$R$48),"")</f>
        <v/>
      </c>
      <c r="AH52" s="39" t="str">
        <f>IF(AND('Mapa final'!$AB$43="Muy Baja",'Mapa final'!$AD$43="Catastrófico"),CONCATENATE("R7C",'Mapa final'!$R$43),"")</f>
        <v/>
      </c>
      <c r="AI52" s="40" t="str">
        <f>IF(AND('Mapa final'!$AB$44="Muy Baja",'Mapa final'!$AD$44="Catastrófico"),CONCATENATE("R7C",'Mapa final'!$R$44),"")</f>
        <v/>
      </c>
      <c r="AJ52" s="40" t="str">
        <f>IF(AND('Mapa final'!$AB$45="Muy Baja",'Mapa final'!$AD$45="Catastrófico"),CONCATENATE("R7C",'Mapa final'!$R$45),"")</f>
        <v/>
      </c>
      <c r="AK52" s="40" t="str">
        <f>IF(AND('Mapa final'!$AB$46="Muy Baja",'Mapa final'!$AD$46="Catastrófico"),CONCATENATE("R7C",'Mapa final'!$R$46),"")</f>
        <v/>
      </c>
      <c r="AL52" s="40" t="str">
        <f>IF(AND('Mapa final'!$AB$47="Muy Baja",'Mapa final'!$AD$47="Catastrófico"),CONCATENATE("R7C",'Mapa final'!$R$47),"")</f>
        <v/>
      </c>
      <c r="AM52" s="41" t="str">
        <f>IF(AND('Mapa final'!$AB$48="Muy Baja",'Mapa final'!$AD$48="Catastrófico"),CONCATENATE("R7C",'Mapa final'!$R$48),"")</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70"/>
      <c r="C53" s="470"/>
      <c r="D53" s="471"/>
      <c r="E53" s="569"/>
      <c r="F53" s="568"/>
      <c r="G53" s="568"/>
      <c r="H53" s="568"/>
      <c r="I53" s="584"/>
      <c r="J53" s="60" t="str">
        <f>IF(AND('Mapa final'!$AB$49="Muy Baja",'Mapa final'!$AD$49="Leve"),CONCATENATE("R8C",'Mapa final'!$R$49),"")</f>
        <v/>
      </c>
      <c r="K53" s="61" t="str">
        <f>IF(AND('Mapa final'!$AB$50="Muy Baja",'Mapa final'!$AD$50="Leve"),CONCATENATE("R8C",'Mapa final'!$R$50),"")</f>
        <v/>
      </c>
      <c r="L53" s="61" t="str">
        <f>IF(AND('Mapa final'!$AB$51="Muy Baja",'Mapa final'!$AD$51="Leve"),CONCATENATE("R8C",'Mapa final'!$R$51),"")</f>
        <v/>
      </c>
      <c r="M53" s="61" t="str">
        <f>IF(AND('Mapa final'!$AB$52="Muy Baja",'Mapa final'!$AD$52="Leve"),CONCATENATE("R8C",'Mapa final'!$R$52),"")</f>
        <v/>
      </c>
      <c r="N53" s="61" t="str">
        <f>IF(AND('Mapa final'!$AB$53="Muy Baja",'Mapa final'!$AD$53="Leve"),CONCATENATE("R8C",'Mapa final'!$R$53),"")</f>
        <v/>
      </c>
      <c r="O53" s="62" t="str">
        <f>IF(AND('Mapa final'!$AB$54="Muy Baja",'Mapa final'!$AD$54="Leve"),CONCATENATE("R8C",'Mapa final'!$R$54),"")</f>
        <v/>
      </c>
      <c r="P53" s="60" t="str">
        <f>IF(AND('Mapa final'!$AB$49="Muy Baja",'Mapa final'!$AD$49="Menor"),CONCATENATE("R8C",'Mapa final'!$R$49),"")</f>
        <v/>
      </c>
      <c r="Q53" s="61" t="str">
        <f>IF(AND('Mapa final'!$AB$50="Muy Baja",'Mapa final'!$AD$50="Menor"),CONCATENATE("R8C",'Mapa final'!$R$50),"")</f>
        <v/>
      </c>
      <c r="R53" s="61" t="str">
        <f>IF(AND('Mapa final'!$AB$51="Muy Baja",'Mapa final'!$AD$51="Menor"),CONCATENATE("R8C",'Mapa final'!$R$51),"")</f>
        <v/>
      </c>
      <c r="S53" s="61" t="str">
        <f>IF(AND('Mapa final'!$AB$52="Muy Baja",'Mapa final'!$AD$52="Menor"),CONCATENATE("R8C",'Mapa final'!$R$52),"")</f>
        <v/>
      </c>
      <c r="T53" s="61" t="str">
        <f>IF(AND('Mapa final'!$AB$53="Muy Baja",'Mapa final'!$AD$53="Menor"),CONCATENATE("R8C",'Mapa final'!$R$53),"")</f>
        <v/>
      </c>
      <c r="U53" s="62" t="str">
        <f>IF(AND('Mapa final'!$AB$54="Muy Baja",'Mapa final'!$AD$54="Menor"),CONCATENATE("R8C",'Mapa final'!$R$54),"")</f>
        <v/>
      </c>
      <c r="V53" s="51" t="str">
        <f>IF(AND('Mapa final'!$AB$49="Muy Baja",'Mapa final'!$AD$49="Moderado"),CONCATENATE("R8C",'Mapa final'!$R$49),"")</f>
        <v/>
      </c>
      <c r="W53" s="52" t="str">
        <f>IF(AND('Mapa final'!$AB$50="Muy Baja",'Mapa final'!$AD$50="Moderado"),CONCATENATE("R8C",'Mapa final'!$R$50),"")</f>
        <v/>
      </c>
      <c r="X53" s="52" t="str">
        <f>IF(AND('Mapa final'!$AB$51="Muy Baja",'Mapa final'!$AD$51="Moderado"),CONCATENATE("R8C",'Mapa final'!$R$51),"")</f>
        <v/>
      </c>
      <c r="Y53" s="52" t="str">
        <f>IF(AND('Mapa final'!$AB$52="Muy Baja",'Mapa final'!$AD$52="Moderado"),CONCATENATE("R8C",'Mapa final'!$R$52),"")</f>
        <v/>
      </c>
      <c r="Z53" s="52" t="str">
        <f>IF(AND('Mapa final'!$AB$53="Muy Baja",'Mapa final'!$AD$53="Moderado"),CONCATENATE("R8C",'Mapa final'!$R$53),"")</f>
        <v/>
      </c>
      <c r="AA53" s="53" t="str">
        <f>IF(AND('Mapa final'!$AB$54="Muy Baja",'Mapa final'!$AD$54="Moderado"),CONCATENATE("R8C",'Mapa final'!$R$54),"")</f>
        <v/>
      </c>
      <c r="AB53" s="36" t="str">
        <f>IF(AND('Mapa final'!$AB$49="Muy Baja",'Mapa final'!$AD$49="Mayor"),CONCATENATE("R8C",'Mapa final'!$R$49),"")</f>
        <v/>
      </c>
      <c r="AC53" s="37" t="str">
        <f>IF(AND('Mapa final'!$AB$50="Muy Baja",'Mapa final'!$AD$50="Mayor"),CONCATENATE("R8C",'Mapa final'!$R$50),"")</f>
        <v/>
      </c>
      <c r="AD53" s="37" t="str">
        <f>IF(AND('Mapa final'!$AB$51="Muy Baja",'Mapa final'!$AD$51="Mayor"),CONCATENATE("R8C",'Mapa final'!$R$51),"")</f>
        <v/>
      </c>
      <c r="AE53" s="37" t="str">
        <f>IF(AND('Mapa final'!$AB$52="Muy Baja",'Mapa final'!$AD$52="Mayor"),CONCATENATE("R8C",'Mapa final'!$R$52),"")</f>
        <v/>
      </c>
      <c r="AF53" s="37" t="str">
        <f>IF(AND('Mapa final'!$AB$53="Muy Baja",'Mapa final'!$AD$53="Mayor"),CONCATENATE("R8C",'Mapa final'!$R$53),"")</f>
        <v/>
      </c>
      <c r="AG53" s="38" t="str">
        <f>IF(AND('Mapa final'!$AB$54="Muy Baja",'Mapa final'!$AD$54="Mayor"),CONCATENATE("R8C",'Mapa final'!$R$54),"")</f>
        <v/>
      </c>
      <c r="AH53" s="39" t="str">
        <f>IF(AND('Mapa final'!$AB$49="Muy Baja",'Mapa final'!$AD$49="Catastrófico"),CONCATENATE("R8C",'Mapa final'!$R$49),"")</f>
        <v/>
      </c>
      <c r="AI53" s="40" t="str">
        <f>IF(AND('Mapa final'!$AB$50="Muy Baja",'Mapa final'!$AD$50="Catastrófico"),CONCATENATE("R8C",'Mapa final'!$R$50),"")</f>
        <v/>
      </c>
      <c r="AJ53" s="40" t="str">
        <f>IF(AND('Mapa final'!$AB$51="Muy Baja",'Mapa final'!$AD$51="Catastrófico"),CONCATENATE("R8C",'Mapa final'!$R$51),"")</f>
        <v/>
      </c>
      <c r="AK53" s="40" t="str">
        <f>IF(AND('Mapa final'!$AB$52="Muy Baja",'Mapa final'!$AD$52="Catastrófico"),CONCATENATE("R8C",'Mapa final'!$R$52),"")</f>
        <v/>
      </c>
      <c r="AL53" s="40" t="str">
        <f>IF(AND('Mapa final'!$AB$53="Muy Baja",'Mapa final'!$AD$53="Catastrófico"),CONCATENATE("R8C",'Mapa final'!$R$53),"")</f>
        <v/>
      </c>
      <c r="AM53" s="41" t="str">
        <f>IF(AND('Mapa final'!$AB$54="Muy Baja",'Mapa final'!$AD$54="Catastrófico"),CONCATENATE("R8C",'Mapa final'!$R$54),"")</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70"/>
      <c r="C54" s="470"/>
      <c r="D54" s="471"/>
      <c r="E54" s="569"/>
      <c r="F54" s="568"/>
      <c r="G54" s="568"/>
      <c r="H54" s="568"/>
      <c r="I54" s="584"/>
      <c r="J54" s="60" t="str">
        <f>IF(AND('Mapa final'!$AB$55="Muy Baja",'Mapa final'!$AD$55="Leve"),CONCATENATE("R9C",'Mapa final'!$R$55),"")</f>
        <v/>
      </c>
      <c r="K54" s="61" t="str">
        <f>IF(AND('Mapa final'!$AB$56="Muy Baja",'Mapa final'!$AD$56="Leve"),CONCATENATE("R9C",'Mapa final'!$R$56),"")</f>
        <v/>
      </c>
      <c r="L54" s="61" t="str">
        <f>IF(AND('Mapa final'!$AB$57="Muy Baja",'Mapa final'!$AD$57="Leve"),CONCATENATE("R9C",'Mapa final'!$R$57),"")</f>
        <v/>
      </c>
      <c r="M54" s="61" t="str">
        <f>IF(AND('Mapa final'!$AB$58="Muy Baja",'Mapa final'!$AD$58="Leve"),CONCATENATE("R9C",'Mapa final'!$R$58),"")</f>
        <v/>
      </c>
      <c r="N54" s="61" t="str">
        <f>IF(AND('Mapa final'!$AB$59="Muy Baja",'Mapa final'!$AD$59="Leve"),CONCATENATE("R9C",'Mapa final'!$R$59),"")</f>
        <v/>
      </c>
      <c r="O54" s="62" t="str">
        <f>IF(AND('Mapa final'!$AB$60="Muy Baja",'Mapa final'!$AD$60="Leve"),CONCATENATE("R9C",'Mapa final'!$R$60),"")</f>
        <v/>
      </c>
      <c r="P54" s="60" t="str">
        <f>IF(AND('Mapa final'!$AB$55="Muy Baja",'Mapa final'!$AD$55="Menor"),CONCATENATE("R9C",'Mapa final'!$R$55),"")</f>
        <v/>
      </c>
      <c r="Q54" s="61" t="str">
        <f>IF(AND('Mapa final'!$AB$56="Muy Baja",'Mapa final'!$AD$56="Menor"),CONCATENATE("R9C",'Mapa final'!$R$56),"")</f>
        <v/>
      </c>
      <c r="R54" s="61" t="str">
        <f>IF(AND('Mapa final'!$AB$57="Muy Baja",'Mapa final'!$AD$57="Menor"),CONCATENATE("R9C",'Mapa final'!$R$57),"")</f>
        <v/>
      </c>
      <c r="S54" s="61" t="str">
        <f>IF(AND('Mapa final'!$AB$58="Muy Baja",'Mapa final'!$AD$58="Menor"),CONCATENATE("R9C",'Mapa final'!$R$58),"")</f>
        <v/>
      </c>
      <c r="T54" s="61" t="str">
        <f>IF(AND('Mapa final'!$AB$59="Muy Baja",'Mapa final'!$AD$59="Menor"),CONCATENATE("R9C",'Mapa final'!$R$59),"")</f>
        <v/>
      </c>
      <c r="U54" s="62" t="str">
        <f>IF(AND('Mapa final'!$AB$60="Muy Baja",'Mapa final'!$AD$60="Menor"),CONCATENATE("R9C",'Mapa final'!$R$60),"")</f>
        <v/>
      </c>
      <c r="V54" s="51" t="str">
        <f>IF(AND('Mapa final'!$AB$55="Muy Baja",'Mapa final'!$AD$55="Moderado"),CONCATENATE("R9C",'Mapa final'!$R$55),"")</f>
        <v/>
      </c>
      <c r="W54" s="52" t="str">
        <f>IF(AND('Mapa final'!$AB$56="Muy Baja",'Mapa final'!$AD$56="Moderado"),CONCATENATE("R9C",'Mapa final'!$R$56),"")</f>
        <v/>
      </c>
      <c r="X54" s="52" t="str">
        <f>IF(AND('Mapa final'!$AB$57="Muy Baja",'Mapa final'!$AD$57="Moderado"),CONCATENATE("R9C",'Mapa final'!$R$57),"")</f>
        <v/>
      </c>
      <c r="Y54" s="52" t="str">
        <f>IF(AND('Mapa final'!$AB$58="Muy Baja",'Mapa final'!$AD$58="Moderado"),CONCATENATE("R9C",'Mapa final'!$R$58),"")</f>
        <v/>
      </c>
      <c r="Z54" s="52" t="str">
        <f>IF(AND('Mapa final'!$AB$59="Muy Baja",'Mapa final'!$AD$59="Moderado"),CONCATENATE("R9C",'Mapa final'!$R$59),"")</f>
        <v/>
      </c>
      <c r="AA54" s="53" t="str">
        <f>IF(AND('Mapa final'!$AB$60="Muy Baja",'Mapa final'!$AD$60="Moderado"),CONCATENATE("R9C",'Mapa final'!$R$60),"")</f>
        <v/>
      </c>
      <c r="AB54" s="36" t="str">
        <f>IF(AND('Mapa final'!$AB$55="Muy Baja",'Mapa final'!$AD$55="Mayor"),CONCATENATE("R9C",'Mapa final'!$R$55),"")</f>
        <v/>
      </c>
      <c r="AC54" s="37" t="str">
        <f>IF(AND('Mapa final'!$AB$56="Muy Baja",'Mapa final'!$AD$56="Mayor"),CONCATENATE("R9C",'Mapa final'!$R$56),"")</f>
        <v/>
      </c>
      <c r="AD54" s="37" t="str">
        <f>IF(AND('Mapa final'!$AB$57="Muy Baja",'Mapa final'!$AD$57="Mayor"),CONCATENATE("R9C",'Mapa final'!$R$57),"")</f>
        <v/>
      </c>
      <c r="AE54" s="37" t="str">
        <f>IF(AND('Mapa final'!$AB$58="Muy Baja",'Mapa final'!$AD$58="Mayor"),CONCATENATE("R9C",'Mapa final'!$R$58),"")</f>
        <v/>
      </c>
      <c r="AF54" s="37" t="str">
        <f>IF(AND('Mapa final'!$AB$59="Muy Baja",'Mapa final'!$AD$59="Mayor"),CONCATENATE("R9C",'Mapa final'!$R$59),"")</f>
        <v/>
      </c>
      <c r="AG54" s="38" t="str">
        <f>IF(AND('Mapa final'!$AB$60="Muy Baja",'Mapa final'!$AD$60="Mayor"),CONCATENATE("R9C",'Mapa final'!$R$60),"")</f>
        <v/>
      </c>
      <c r="AH54" s="39" t="str">
        <f>IF(AND('Mapa final'!$AB$55="Muy Baja",'Mapa final'!$AD$55="Catastrófico"),CONCATENATE("R9C",'Mapa final'!$R$55),"")</f>
        <v/>
      </c>
      <c r="AI54" s="40" t="str">
        <f>IF(AND('Mapa final'!$AB$56="Muy Baja",'Mapa final'!$AD$56="Catastrófico"),CONCATENATE("R9C",'Mapa final'!$R$56),"")</f>
        <v/>
      </c>
      <c r="AJ54" s="40" t="str">
        <f>IF(AND('Mapa final'!$AB$57="Muy Baja",'Mapa final'!$AD$57="Catastrófico"),CONCATENATE("R9C",'Mapa final'!$R$57),"")</f>
        <v/>
      </c>
      <c r="AK54" s="40" t="str">
        <f>IF(AND('Mapa final'!$AB$58="Muy Baja",'Mapa final'!$AD$58="Catastrófico"),CONCATENATE("R9C",'Mapa final'!$R$58),"")</f>
        <v/>
      </c>
      <c r="AL54" s="40" t="str">
        <f>IF(AND('Mapa final'!$AB$59="Muy Baja",'Mapa final'!$AD$59="Catastrófico"),CONCATENATE("R9C",'Mapa final'!$R$59),"")</f>
        <v/>
      </c>
      <c r="AM54" s="41" t="str">
        <f>IF(AND('Mapa final'!$AB$60="Muy Baja",'Mapa final'!$AD$60="Catastrófico"),CONCATENATE("R9C",'Mapa final'!$R$60),"")</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70"/>
      <c r="C55" s="470"/>
      <c r="D55" s="471"/>
      <c r="E55" s="570"/>
      <c r="F55" s="571"/>
      <c r="G55" s="571"/>
      <c r="H55" s="571"/>
      <c r="I55" s="585"/>
      <c r="J55" s="63" t="str">
        <f>IF(AND('Mapa final'!$AB$61="Muy Baja",'Mapa final'!$AD$61="Leve"),CONCATENATE("R10C",'Mapa final'!$R$61),"")</f>
        <v/>
      </c>
      <c r="K55" s="64" t="str">
        <f>IF(AND('Mapa final'!$AB$62="Muy Baja",'Mapa final'!$AD$62="Leve"),CONCATENATE("R10C",'Mapa final'!$R$62),"")</f>
        <v/>
      </c>
      <c r="L55" s="64" t="str">
        <f>IF(AND('Mapa final'!$AB$63="Muy Baja",'Mapa final'!$AD$63="Leve"),CONCATENATE("R10C",'Mapa final'!$R$63),"")</f>
        <v/>
      </c>
      <c r="M55" s="64" t="str">
        <f>IF(AND('Mapa final'!$AB$64="Muy Baja",'Mapa final'!$AD$64="Leve"),CONCATENATE("R10C",'Mapa final'!$R$64),"")</f>
        <v/>
      </c>
      <c r="N55" s="64" t="str">
        <f>IF(AND('Mapa final'!$AB$65="Muy Baja",'Mapa final'!$AD$65="Leve"),CONCATENATE("R10C",'Mapa final'!$R$65),"")</f>
        <v/>
      </c>
      <c r="O55" s="65" t="str">
        <f>IF(AND('Mapa final'!$AB$66="Muy Baja",'Mapa final'!$AD$66="Leve"),CONCATENATE("R10C",'Mapa final'!$R$66),"")</f>
        <v/>
      </c>
      <c r="P55" s="63" t="str">
        <f>IF(AND('Mapa final'!$AB$61="Muy Baja",'Mapa final'!$AD$61="Menor"),CONCATENATE("R10C",'Mapa final'!$R$61),"")</f>
        <v/>
      </c>
      <c r="Q55" s="64" t="str">
        <f>IF(AND('Mapa final'!$AB$62="Muy Baja",'Mapa final'!$AD$62="Menor"),CONCATENATE("R10C",'Mapa final'!$R$62),"")</f>
        <v/>
      </c>
      <c r="R55" s="64" t="str">
        <f>IF(AND('Mapa final'!$AB$63="Muy Baja",'Mapa final'!$AD$63="Menor"),CONCATENATE("R10C",'Mapa final'!$R$63),"")</f>
        <v/>
      </c>
      <c r="S55" s="64" t="str">
        <f>IF(AND('Mapa final'!$AB$64="Muy Baja",'Mapa final'!$AD$64="Menor"),CONCATENATE("R10C",'Mapa final'!$R$64),"")</f>
        <v/>
      </c>
      <c r="T55" s="64" t="str">
        <f>IF(AND('Mapa final'!$AB$65="Muy Baja",'Mapa final'!$AD$65="Menor"),CONCATENATE("R10C",'Mapa final'!$R$65),"")</f>
        <v/>
      </c>
      <c r="U55" s="65" t="str">
        <f>IF(AND('Mapa final'!$AB$66="Muy Baja",'Mapa final'!$AD$66="Menor"),CONCATENATE("R10C",'Mapa final'!$R$66),"")</f>
        <v/>
      </c>
      <c r="V55" s="54" t="str">
        <f>IF(AND('Mapa final'!$AB$61="Muy Baja",'Mapa final'!$AD$61="Moderado"),CONCATENATE("R10C",'Mapa final'!$R$61),"")</f>
        <v/>
      </c>
      <c r="W55" s="55" t="str">
        <f>IF(AND('Mapa final'!$AB$62="Muy Baja",'Mapa final'!$AD$62="Moderado"),CONCATENATE("R10C",'Mapa final'!$R$62),"")</f>
        <v/>
      </c>
      <c r="X55" s="55" t="str">
        <f>IF(AND('Mapa final'!$AB$63="Muy Baja",'Mapa final'!$AD$63="Moderado"),CONCATENATE("R10C",'Mapa final'!$R$63),"")</f>
        <v/>
      </c>
      <c r="Y55" s="55" t="str">
        <f>IF(AND('Mapa final'!$AB$64="Muy Baja",'Mapa final'!$AD$64="Moderado"),CONCATENATE("R10C",'Mapa final'!$R$64),"")</f>
        <v/>
      </c>
      <c r="Z55" s="55" t="str">
        <f>IF(AND('Mapa final'!$AB$65="Muy Baja",'Mapa final'!$AD$65="Moderado"),CONCATENATE("R10C",'Mapa final'!$R$65),"")</f>
        <v/>
      </c>
      <c r="AA55" s="56" t="str">
        <f>IF(AND('Mapa final'!$AB$66="Muy Baja",'Mapa final'!$AD$66="Moderado"),CONCATENATE("R10C",'Mapa final'!$R$66),"")</f>
        <v/>
      </c>
      <c r="AB55" s="42" t="str">
        <f>IF(AND('Mapa final'!$AB$61="Muy Baja",'Mapa final'!$AD$61="Mayor"),CONCATENATE("R10C",'Mapa final'!$R$61),"")</f>
        <v/>
      </c>
      <c r="AC55" s="43" t="str">
        <f>IF(AND('Mapa final'!$AB$62="Muy Baja",'Mapa final'!$AD$62="Mayor"),CONCATENATE("R10C",'Mapa final'!$R$62),"")</f>
        <v/>
      </c>
      <c r="AD55" s="43" t="str">
        <f>IF(AND('Mapa final'!$AB$63="Muy Baja",'Mapa final'!$AD$63="Mayor"),CONCATENATE("R10C",'Mapa final'!$R$63),"")</f>
        <v/>
      </c>
      <c r="AE55" s="43" t="str">
        <f>IF(AND('Mapa final'!$AB$64="Muy Baja",'Mapa final'!$AD$64="Mayor"),CONCATENATE("R10C",'Mapa final'!$R$64),"")</f>
        <v/>
      </c>
      <c r="AF55" s="43" t="str">
        <f>IF(AND('Mapa final'!$AB$65="Muy Baja",'Mapa final'!$AD$65="Mayor"),CONCATENATE("R10C",'Mapa final'!$R$65),"")</f>
        <v/>
      </c>
      <c r="AG55" s="44" t="str">
        <f>IF(AND('Mapa final'!$AB$66="Muy Baja",'Mapa final'!$AD$66="Mayor"),CONCATENATE("R10C",'Mapa final'!$R$66),"")</f>
        <v/>
      </c>
      <c r="AH55" s="45" t="str">
        <f>IF(AND('Mapa final'!$AB$61="Muy Baja",'Mapa final'!$AD$61="Catastrófico"),CONCATENATE("R10C",'Mapa final'!$R$61),"")</f>
        <v/>
      </c>
      <c r="AI55" s="46" t="str">
        <f>IF(AND('Mapa final'!$AB$62="Muy Baja",'Mapa final'!$AD$62="Catastrófico"),CONCATENATE("R10C",'Mapa final'!$R$62),"")</f>
        <v/>
      </c>
      <c r="AJ55" s="46" t="str">
        <f>IF(AND('Mapa final'!$AB$63="Muy Baja",'Mapa final'!$AD$63="Catastrófico"),CONCATENATE("R10C",'Mapa final'!$R$63),"")</f>
        <v/>
      </c>
      <c r="AK55" s="46" t="str">
        <f>IF(AND('Mapa final'!$AB$64="Muy Baja",'Mapa final'!$AD$64="Catastrófico"),CONCATENATE("R10C",'Mapa final'!$R$64),"")</f>
        <v/>
      </c>
      <c r="AL55" s="46" t="str">
        <f>IF(AND('Mapa final'!$AB$65="Muy Baja",'Mapa final'!$AD$65="Catastrófico"),CONCATENATE("R10C",'Mapa final'!$R$65),"")</f>
        <v/>
      </c>
      <c r="AM55" s="47" t="str">
        <f>IF(AND('Mapa final'!$AB$66="Muy Baja",'Mapa final'!$AD$66="Catastrófico"),CONCATENATE("R10C",'Mapa final'!$R$66),"")</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65" t="s">
        <v>107</v>
      </c>
      <c r="K56" s="566"/>
      <c r="L56" s="566"/>
      <c r="M56" s="566"/>
      <c r="N56" s="566"/>
      <c r="O56" s="583"/>
      <c r="P56" s="565" t="s">
        <v>106</v>
      </c>
      <c r="Q56" s="566"/>
      <c r="R56" s="566"/>
      <c r="S56" s="566"/>
      <c r="T56" s="566"/>
      <c r="U56" s="583"/>
      <c r="V56" s="565" t="s">
        <v>105</v>
      </c>
      <c r="W56" s="566"/>
      <c r="X56" s="566"/>
      <c r="Y56" s="566"/>
      <c r="Z56" s="566"/>
      <c r="AA56" s="583"/>
      <c r="AB56" s="565" t="s">
        <v>104</v>
      </c>
      <c r="AC56" s="604"/>
      <c r="AD56" s="566"/>
      <c r="AE56" s="566"/>
      <c r="AF56" s="566"/>
      <c r="AG56" s="583"/>
      <c r="AH56" s="565" t="s">
        <v>103</v>
      </c>
      <c r="AI56" s="566"/>
      <c r="AJ56" s="566"/>
      <c r="AK56" s="566"/>
      <c r="AL56" s="566"/>
      <c r="AM56" s="58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69"/>
      <c r="K57" s="568"/>
      <c r="L57" s="568"/>
      <c r="M57" s="568"/>
      <c r="N57" s="568"/>
      <c r="O57" s="584"/>
      <c r="P57" s="569"/>
      <c r="Q57" s="568"/>
      <c r="R57" s="568"/>
      <c r="S57" s="568"/>
      <c r="T57" s="568"/>
      <c r="U57" s="584"/>
      <c r="V57" s="569"/>
      <c r="W57" s="568"/>
      <c r="X57" s="568"/>
      <c r="Y57" s="568"/>
      <c r="Z57" s="568"/>
      <c r="AA57" s="584"/>
      <c r="AB57" s="569"/>
      <c r="AC57" s="568"/>
      <c r="AD57" s="568"/>
      <c r="AE57" s="568"/>
      <c r="AF57" s="568"/>
      <c r="AG57" s="584"/>
      <c r="AH57" s="569"/>
      <c r="AI57" s="568"/>
      <c r="AJ57" s="568"/>
      <c r="AK57" s="568"/>
      <c r="AL57" s="568"/>
      <c r="AM57" s="584"/>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69"/>
      <c r="K58" s="568"/>
      <c r="L58" s="568"/>
      <c r="M58" s="568"/>
      <c r="N58" s="568"/>
      <c r="O58" s="584"/>
      <c r="P58" s="569"/>
      <c r="Q58" s="568"/>
      <c r="R58" s="568"/>
      <c r="S58" s="568"/>
      <c r="T58" s="568"/>
      <c r="U58" s="584"/>
      <c r="V58" s="569"/>
      <c r="W58" s="568"/>
      <c r="X58" s="568"/>
      <c r="Y58" s="568"/>
      <c r="Z58" s="568"/>
      <c r="AA58" s="584"/>
      <c r="AB58" s="569"/>
      <c r="AC58" s="568"/>
      <c r="AD58" s="568"/>
      <c r="AE58" s="568"/>
      <c r="AF58" s="568"/>
      <c r="AG58" s="584"/>
      <c r="AH58" s="569"/>
      <c r="AI58" s="568"/>
      <c r="AJ58" s="568"/>
      <c r="AK58" s="568"/>
      <c r="AL58" s="568"/>
      <c r="AM58" s="584"/>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69"/>
      <c r="K59" s="568"/>
      <c r="L59" s="568"/>
      <c r="M59" s="568"/>
      <c r="N59" s="568"/>
      <c r="O59" s="584"/>
      <c r="P59" s="569"/>
      <c r="Q59" s="568"/>
      <c r="R59" s="568"/>
      <c r="S59" s="568"/>
      <c r="T59" s="568"/>
      <c r="U59" s="584"/>
      <c r="V59" s="569"/>
      <c r="W59" s="568"/>
      <c r="X59" s="568"/>
      <c r="Y59" s="568"/>
      <c r="Z59" s="568"/>
      <c r="AA59" s="584"/>
      <c r="AB59" s="569"/>
      <c r="AC59" s="568"/>
      <c r="AD59" s="568"/>
      <c r="AE59" s="568"/>
      <c r="AF59" s="568"/>
      <c r="AG59" s="584"/>
      <c r="AH59" s="569"/>
      <c r="AI59" s="568"/>
      <c r="AJ59" s="568"/>
      <c r="AK59" s="568"/>
      <c r="AL59" s="568"/>
      <c r="AM59" s="584"/>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69"/>
      <c r="K60" s="568"/>
      <c r="L60" s="568"/>
      <c r="M60" s="568"/>
      <c r="N60" s="568"/>
      <c r="O60" s="584"/>
      <c r="P60" s="569"/>
      <c r="Q60" s="568"/>
      <c r="R60" s="568"/>
      <c r="S60" s="568"/>
      <c r="T60" s="568"/>
      <c r="U60" s="584"/>
      <c r="V60" s="569"/>
      <c r="W60" s="568"/>
      <c r="X60" s="568"/>
      <c r="Y60" s="568"/>
      <c r="Z60" s="568"/>
      <c r="AA60" s="584"/>
      <c r="AB60" s="569"/>
      <c r="AC60" s="568"/>
      <c r="AD60" s="568"/>
      <c r="AE60" s="568"/>
      <c r="AF60" s="568"/>
      <c r="AG60" s="584"/>
      <c r="AH60" s="569"/>
      <c r="AI60" s="568"/>
      <c r="AJ60" s="568"/>
      <c r="AK60" s="568"/>
      <c r="AL60" s="568"/>
      <c r="AM60" s="584"/>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70"/>
      <c r="K61" s="571"/>
      <c r="L61" s="571"/>
      <c r="M61" s="571"/>
      <c r="N61" s="571"/>
      <c r="O61" s="585"/>
      <c r="P61" s="570"/>
      <c r="Q61" s="571"/>
      <c r="R61" s="571"/>
      <c r="S61" s="571"/>
      <c r="T61" s="571"/>
      <c r="U61" s="585"/>
      <c r="V61" s="570"/>
      <c r="W61" s="571"/>
      <c r="X61" s="571"/>
      <c r="Y61" s="571"/>
      <c r="Z61" s="571"/>
      <c r="AA61" s="585"/>
      <c r="AB61" s="570"/>
      <c r="AC61" s="571"/>
      <c r="AD61" s="571"/>
      <c r="AE61" s="571"/>
      <c r="AF61" s="571"/>
      <c r="AG61" s="585"/>
      <c r="AH61" s="570"/>
      <c r="AI61" s="571"/>
      <c r="AJ61" s="571"/>
      <c r="AK61" s="571"/>
      <c r="AL61" s="571"/>
      <c r="AM61" s="58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05" t="s">
        <v>55</v>
      </c>
      <c r="C1" s="605"/>
      <c r="D1" s="605"/>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06" t="s">
        <v>62</v>
      </c>
      <c r="C1" s="606"/>
      <c r="D1" s="606"/>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9" t="s">
        <v>56</v>
      </c>
      <c r="D3" s="129" t="s">
        <v>57</v>
      </c>
      <c r="E3" s="89"/>
      <c r="F3" s="89"/>
      <c r="G3" s="89"/>
      <c r="H3" s="89"/>
      <c r="I3" s="89"/>
      <c r="J3" s="89"/>
      <c r="K3" s="89"/>
      <c r="L3" s="89"/>
      <c r="M3" s="89"/>
      <c r="N3" s="89"/>
      <c r="O3" s="89"/>
      <c r="P3" s="89"/>
      <c r="Q3" s="89"/>
      <c r="R3" s="89"/>
      <c r="S3" s="89"/>
      <c r="T3" s="89"/>
      <c r="U3" s="89"/>
    </row>
    <row r="4" spans="1:21" ht="32.4" x14ac:dyDescent="0.3">
      <c r="A4" s="89" t="s">
        <v>82</v>
      </c>
      <c r="B4" s="130" t="s">
        <v>96</v>
      </c>
      <c r="C4" s="131" t="s">
        <v>205</v>
      </c>
      <c r="D4" s="132" t="s">
        <v>92</v>
      </c>
      <c r="E4" s="89"/>
      <c r="F4" s="89"/>
      <c r="G4" s="89"/>
      <c r="H4" s="89"/>
      <c r="I4" s="89"/>
      <c r="J4" s="89"/>
      <c r="K4" s="89"/>
      <c r="L4" s="89"/>
      <c r="M4" s="89"/>
      <c r="N4" s="89"/>
      <c r="O4" s="89"/>
      <c r="P4" s="89"/>
      <c r="Q4" s="89"/>
      <c r="R4" s="89"/>
      <c r="S4" s="89"/>
      <c r="T4" s="89"/>
      <c r="U4" s="89"/>
    </row>
    <row r="5" spans="1:21" ht="64.8" x14ac:dyDescent="0.3">
      <c r="A5" s="89" t="s">
        <v>83</v>
      </c>
      <c r="B5" s="133" t="s">
        <v>58</v>
      </c>
      <c r="C5" s="134" t="s">
        <v>206</v>
      </c>
      <c r="D5" s="135" t="s">
        <v>93</v>
      </c>
      <c r="E5" s="89"/>
      <c r="F5" s="89"/>
      <c r="G5" s="89"/>
      <c r="H5" s="89"/>
      <c r="I5" s="89"/>
      <c r="J5" s="89"/>
      <c r="K5" s="89"/>
      <c r="L5" s="89"/>
      <c r="M5" s="89"/>
      <c r="N5" s="89"/>
      <c r="O5" s="89"/>
      <c r="P5" s="89"/>
      <c r="Q5" s="89"/>
      <c r="R5" s="89"/>
      <c r="S5" s="89"/>
      <c r="T5" s="89"/>
      <c r="U5" s="89"/>
    </row>
    <row r="6" spans="1:21" ht="64.8" x14ac:dyDescent="0.3">
      <c r="A6" s="89" t="s">
        <v>80</v>
      </c>
      <c r="B6" s="136" t="s">
        <v>59</v>
      </c>
      <c r="C6" s="134" t="s">
        <v>210</v>
      </c>
      <c r="D6" s="135" t="s">
        <v>95</v>
      </c>
      <c r="E6" s="89"/>
      <c r="F6" s="89"/>
      <c r="G6" s="89"/>
      <c r="H6" s="89"/>
      <c r="I6" s="89"/>
      <c r="J6" s="89"/>
      <c r="K6" s="89"/>
      <c r="L6" s="89"/>
      <c r="M6" s="89"/>
      <c r="N6" s="89"/>
      <c r="O6" s="89"/>
      <c r="P6" s="89"/>
      <c r="Q6" s="89"/>
      <c r="R6" s="89"/>
      <c r="S6" s="89"/>
      <c r="T6" s="89"/>
      <c r="U6" s="89"/>
    </row>
    <row r="7" spans="1:21" ht="97.2" x14ac:dyDescent="0.3">
      <c r="A7" s="89" t="s">
        <v>7</v>
      </c>
      <c r="B7" s="137" t="s">
        <v>60</v>
      </c>
      <c r="C7" s="134" t="s">
        <v>211</v>
      </c>
      <c r="D7" s="135" t="s">
        <v>94</v>
      </c>
      <c r="E7" s="89"/>
      <c r="F7" s="89"/>
      <c r="G7" s="89"/>
      <c r="H7" s="89"/>
      <c r="I7" s="89"/>
      <c r="J7" s="89"/>
      <c r="K7" s="89"/>
      <c r="L7" s="89"/>
      <c r="M7" s="89"/>
      <c r="N7" s="89"/>
      <c r="O7" s="89"/>
      <c r="P7" s="89"/>
      <c r="Q7" s="89"/>
      <c r="R7" s="89"/>
      <c r="S7" s="89"/>
      <c r="T7" s="89"/>
      <c r="U7" s="89"/>
    </row>
    <row r="8" spans="1:21" ht="64.8" x14ac:dyDescent="0.3">
      <c r="A8" s="89" t="s">
        <v>84</v>
      </c>
      <c r="B8" s="138" t="s">
        <v>61</v>
      </c>
      <c r="C8" s="134" t="s">
        <v>207</v>
      </c>
      <c r="D8" s="135"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2"/>
      <c r="D9" s="142"/>
      <c r="E9" s="87"/>
      <c r="F9" s="87"/>
      <c r="G9" s="87"/>
      <c r="H9" s="87"/>
      <c r="I9" s="87"/>
      <c r="J9" s="87"/>
      <c r="K9" s="87"/>
      <c r="L9" s="87"/>
      <c r="M9" s="87"/>
      <c r="N9" s="87"/>
      <c r="O9" s="87"/>
      <c r="P9" s="87"/>
      <c r="Q9" s="87"/>
      <c r="R9" s="87"/>
      <c r="S9" s="87"/>
      <c r="T9" s="87"/>
      <c r="U9" s="87"/>
    </row>
    <row r="10" spans="1:21" s="23" customFormat="1" x14ac:dyDescent="0.3">
      <c r="A10" s="87"/>
      <c r="B10" s="143"/>
      <c r="C10" s="143"/>
      <c r="D10" s="143"/>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2"/>
      <c r="D22" s="142"/>
      <c r="E22" s="87"/>
      <c r="F22" s="87"/>
      <c r="G22" s="87"/>
      <c r="H22" s="87"/>
      <c r="I22" s="87"/>
      <c r="J22" s="87"/>
      <c r="K22" s="87"/>
      <c r="L22" s="87"/>
      <c r="M22" s="87"/>
      <c r="N22" s="87"/>
      <c r="O22" s="87"/>
    </row>
    <row r="23" spans="1:15" s="23" customFormat="1" ht="20.399999999999999" x14ac:dyDescent="0.3">
      <c r="A23" s="87"/>
      <c r="B23" s="87"/>
      <c r="C23" s="142"/>
      <c r="D23" s="142"/>
      <c r="E23" s="87"/>
      <c r="F23" s="87"/>
      <c r="G23" s="87"/>
      <c r="H23" s="87"/>
      <c r="I23" s="87"/>
      <c r="J23" s="87"/>
      <c r="K23" s="87"/>
      <c r="L23" s="87"/>
      <c r="M23" s="87"/>
      <c r="N23" s="87"/>
      <c r="O23" s="87"/>
    </row>
    <row r="24" spans="1:15" s="23" customFormat="1" ht="20.399999999999999" x14ac:dyDescent="0.3">
      <c r="A24" s="87"/>
      <c r="B24" s="87"/>
      <c r="C24" s="142"/>
      <c r="D24" s="142"/>
      <c r="E24" s="87"/>
      <c r="F24" s="87"/>
      <c r="G24" s="87"/>
      <c r="H24" s="87"/>
      <c r="I24" s="87"/>
      <c r="J24" s="87"/>
      <c r="K24" s="87"/>
      <c r="L24" s="87"/>
      <c r="M24" s="87"/>
      <c r="N24" s="87"/>
      <c r="O24" s="87"/>
    </row>
    <row r="25" spans="1:15" s="23" customFormat="1" ht="20.399999999999999" x14ac:dyDescent="0.3">
      <c r="A25" s="87"/>
      <c r="B25" s="87"/>
      <c r="C25" s="142"/>
      <c r="D25" s="142"/>
      <c r="E25" s="87"/>
      <c r="F25" s="87"/>
      <c r="G25" s="87"/>
      <c r="H25" s="87"/>
      <c r="I25" s="87"/>
      <c r="J25" s="87"/>
      <c r="K25" s="87"/>
      <c r="L25" s="87"/>
      <c r="M25" s="87"/>
      <c r="N25" s="87"/>
      <c r="O25" s="87"/>
    </row>
    <row r="26" spans="1:15" s="23" customFormat="1" ht="20.399999999999999" x14ac:dyDescent="0.3">
      <c r="A26" s="87"/>
      <c r="B26" s="87"/>
      <c r="C26" s="142"/>
      <c r="D26" s="142"/>
      <c r="E26" s="87"/>
      <c r="F26" s="87"/>
      <c r="G26" s="87"/>
      <c r="H26" s="87"/>
      <c r="I26" s="87"/>
      <c r="J26" s="87"/>
      <c r="K26" s="87"/>
      <c r="L26" s="87"/>
      <c r="M26" s="87"/>
      <c r="N26" s="87"/>
      <c r="O26" s="87"/>
    </row>
    <row r="27" spans="1:15" s="23" customFormat="1" ht="20.399999999999999" x14ac:dyDescent="0.3">
      <c r="A27" s="87"/>
      <c r="B27" s="87"/>
      <c r="C27" s="142"/>
      <c r="D27" s="142"/>
      <c r="E27" s="87"/>
      <c r="F27" s="87"/>
      <c r="G27" s="87"/>
      <c r="H27" s="87"/>
      <c r="I27" s="87"/>
      <c r="J27" s="87"/>
      <c r="K27" s="87"/>
      <c r="L27" s="87"/>
      <c r="M27" s="87"/>
      <c r="N27" s="87"/>
      <c r="O27" s="87"/>
    </row>
    <row r="28" spans="1:15" s="23" customFormat="1" ht="20.399999999999999" x14ac:dyDescent="0.3">
      <c r="A28" s="87"/>
      <c r="B28" s="87"/>
      <c r="C28" s="142"/>
      <c r="D28" s="142"/>
      <c r="E28" s="87"/>
      <c r="F28" s="87"/>
      <c r="G28" s="87"/>
      <c r="H28" s="87"/>
      <c r="I28" s="87"/>
      <c r="J28" s="87"/>
      <c r="K28" s="87"/>
      <c r="L28" s="87"/>
      <c r="M28" s="87"/>
      <c r="N28" s="87"/>
      <c r="O28" s="87"/>
    </row>
    <row r="29" spans="1:15" s="23" customFormat="1" ht="20.399999999999999" x14ac:dyDescent="0.3">
      <c r="A29" s="87"/>
      <c r="B29" s="87"/>
      <c r="C29" s="142"/>
      <c r="D29" s="142"/>
      <c r="E29" s="87"/>
      <c r="F29" s="87"/>
      <c r="G29" s="87"/>
      <c r="H29" s="87"/>
      <c r="I29" s="87"/>
      <c r="J29" s="87"/>
      <c r="K29" s="87"/>
      <c r="L29" s="87"/>
      <c r="M29" s="87"/>
      <c r="N29" s="87"/>
      <c r="O29" s="87"/>
    </row>
    <row r="30" spans="1:15" s="23" customFormat="1" ht="20.399999999999999" x14ac:dyDescent="0.3">
      <c r="A30" s="87"/>
      <c r="B30" s="87"/>
      <c r="C30" s="142"/>
      <c r="D30" s="142"/>
      <c r="E30" s="87"/>
      <c r="F30" s="87"/>
      <c r="G30" s="87"/>
      <c r="H30" s="87"/>
      <c r="I30" s="87"/>
      <c r="J30" s="87"/>
      <c r="K30" s="87"/>
      <c r="L30" s="87"/>
      <c r="M30" s="87"/>
      <c r="N30" s="87"/>
      <c r="O30" s="87"/>
    </row>
    <row r="31" spans="1:15" s="23" customFormat="1" ht="20.399999999999999" x14ac:dyDescent="0.3">
      <c r="A31" s="87"/>
      <c r="B31" s="87"/>
      <c r="C31" s="142"/>
      <c r="D31" s="142"/>
      <c r="E31" s="87"/>
      <c r="F31" s="87"/>
      <c r="G31" s="87"/>
      <c r="H31" s="87"/>
      <c r="I31" s="87"/>
      <c r="J31" s="87"/>
      <c r="K31" s="87"/>
      <c r="L31" s="87"/>
      <c r="M31" s="87"/>
      <c r="N31" s="87"/>
      <c r="O31" s="87"/>
    </row>
    <row r="32" spans="1:15" s="23" customFormat="1" ht="20.399999999999999" x14ac:dyDescent="0.3">
      <c r="A32" s="87"/>
      <c r="B32" s="87"/>
      <c r="C32" s="142"/>
      <c r="D32" s="142"/>
      <c r="E32" s="87"/>
      <c r="F32" s="87"/>
      <c r="G32" s="87"/>
      <c r="H32" s="87"/>
      <c r="I32" s="87"/>
      <c r="J32" s="87"/>
      <c r="K32" s="87"/>
      <c r="L32" s="87"/>
      <c r="M32" s="87"/>
      <c r="N32" s="87"/>
      <c r="O32" s="87"/>
    </row>
    <row r="33" spans="1:15" s="23" customFormat="1" ht="20.399999999999999" x14ac:dyDescent="0.3">
      <c r="A33" s="87"/>
      <c r="B33" s="87"/>
      <c r="C33" s="142"/>
      <c r="D33" s="142"/>
      <c r="E33" s="87"/>
      <c r="F33" s="87"/>
      <c r="G33" s="87"/>
      <c r="H33" s="87"/>
      <c r="I33" s="87"/>
      <c r="J33" s="87"/>
      <c r="K33" s="87"/>
      <c r="L33" s="87"/>
      <c r="M33" s="87"/>
      <c r="N33" s="87"/>
      <c r="O33" s="87"/>
    </row>
    <row r="34" spans="1:15" s="23" customFormat="1" ht="20.399999999999999" x14ac:dyDescent="0.3">
      <c r="A34" s="87"/>
      <c r="B34" s="87"/>
      <c r="C34" s="142"/>
      <c r="D34" s="142"/>
      <c r="E34" s="87"/>
      <c r="F34" s="87"/>
      <c r="G34" s="87"/>
      <c r="H34" s="87"/>
      <c r="I34" s="87"/>
      <c r="J34" s="87"/>
      <c r="K34" s="87"/>
      <c r="L34" s="87"/>
      <c r="M34" s="87"/>
      <c r="N34" s="87"/>
      <c r="O34" s="87"/>
    </row>
    <row r="35" spans="1:15" s="23" customFormat="1" ht="20.399999999999999" x14ac:dyDescent="0.3">
      <c r="A35" s="87"/>
      <c r="B35" s="87"/>
      <c r="C35" s="142"/>
      <c r="D35" s="142"/>
      <c r="E35" s="87"/>
      <c r="F35" s="87"/>
      <c r="G35" s="87"/>
      <c r="H35" s="87"/>
      <c r="I35" s="87"/>
      <c r="J35" s="87"/>
      <c r="K35" s="87"/>
      <c r="L35" s="87"/>
      <c r="M35" s="87"/>
      <c r="N35" s="87"/>
      <c r="O35" s="87"/>
    </row>
    <row r="36" spans="1:15" s="23" customFormat="1" ht="20.399999999999999" x14ac:dyDescent="0.3">
      <c r="A36" s="87"/>
      <c r="B36" s="87"/>
      <c r="C36" s="142"/>
      <c r="D36" s="142"/>
      <c r="E36" s="87"/>
      <c r="F36" s="87"/>
      <c r="G36" s="87"/>
      <c r="H36" s="87"/>
      <c r="I36" s="87"/>
      <c r="J36" s="87"/>
      <c r="K36" s="87"/>
      <c r="L36" s="87"/>
      <c r="M36" s="87"/>
      <c r="N36" s="87"/>
      <c r="O36" s="87"/>
    </row>
    <row r="37" spans="1:15" s="23" customFormat="1" ht="20.399999999999999" x14ac:dyDescent="0.3">
      <c r="A37" s="87"/>
      <c r="B37" s="87"/>
      <c r="C37" s="142"/>
      <c r="D37" s="142"/>
      <c r="E37" s="87"/>
      <c r="F37" s="87"/>
      <c r="G37" s="87"/>
      <c r="H37" s="87"/>
      <c r="I37" s="87"/>
      <c r="J37" s="87"/>
      <c r="K37" s="87"/>
      <c r="L37" s="87"/>
      <c r="M37" s="87"/>
      <c r="N37" s="87"/>
      <c r="O37" s="87"/>
    </row>
    <row r="38" spans="1:15" s="23" customFormat="1" ht="20.399999999999999" x14ac:dyDescent="0.3">
      <c r="A38" s="87"/>
      <c r="B38" s="87"/>
      <c r="C38" s="142"/>
      <c r="D38" s="142"/>
      <c r="E38" s="87"/>
      <c r="F38" s="87"/>
      <c r="G38" s="87"/>
      <c r="H38" s="87"/>
      <c r="I38" s="87"/>
      <c r="J38" s="87"/>
      <c r="K38" s="87"/>
      <c r="L38" s="87"/>
      <c r="M38" s="87"/>
      <c r="N38" s="87"/>
      <c r="O38" s="87"/>
    </row>
    <row r="39" spans="1:15" s="23" customFormat="1" ht="20.399999999999999" x14ac:dyDescent="0.3">
      <c r="A39" s="87"/>
      <c r="B39" s="87"/>
      <c r="C39" s="142"/>
      <c r="D39" s="142"/>
      <c r="E39" s="87"/>
      <c r="F39" s="87"/>
      <c r="G39" s="87"/>
      <c r="H39" s="87"/>
      <c r="I39" s="87"/>
      <c r="J39" s="87"/>
      <c r="K39" s="87"/>
      <c r="L39" s="87"/>
      <c r="M39" s="87"/>
      <c r="N39" s="87"/>
      <c r="O39" s="87"/>
    </row>
    <row r="40" spans="1:15" s="23" customFormat="1" ht="20.399999999999999" x14ac:dyDescent="0.3">
      <c r="A40" s="87"/>
      <c r="B40" s="87"/>
      <c r="C40" s="142"/>
      <c r="D40" s="142"/>
      <c r="E40" s="87"/>
      <c r="F40" s="87"/>
      <c r="G40" s="87"/>
      <c r="H40" s="87"/>
      <c r="I40" s="87"/>
      <c r="J40" s="87"/>
      <c r="K40" s="87"/>
      <c r="L40" s="87"/>
      <c r="M40" s="87"/>
      <c r="N40" s="87"/>
      <c r="O40" s="87"/>
    </row>
    <row r="41" spans="1:15" s="23" customFormat="1" ht="20.399999999999999" x14ac:dyDescent="0.3">
      <c r="A41" s="87"/>
      <c r="B41" s="87"/>
      <c r="C41" s="142"/>
      <c r="D41" s="142"/>
      <c r="E41" s="87"/>
      <c r="F41" s="87"/>
      <c r="G41" s="87"/>
      <c r="H41" s="87"/>
      <c r="I41" s="87"/>
      <c r="J41" s="87"/>
      <c r="K41" s="87"/>
      <c r="L41" s="87"/>
      <c r="M41" s="87"/>
      <c r="N41" s="87"/>
      <c r="O41" s="87"/>
    </row>
    <row r="42" spans="1:15" s="23" customFormat="1" ht="20.399999999999999" x14ac:dyDescent="0.3">
      <c r="A42" s="87"/>
      <c r="B42" s="87"/>
      <c r="C42" s="142"/>
      <c r="D42" s="142"/>
      <c r="E42" s="87"/>
      <c r="F42" s="87"/>
      <c r="G42" s="87"/>
      <c r="H42" s="87"/>
      <c r="I42" s="87"/>
      <c r="J42" s="87"/>
      <c r="K42" s="87"/>
      <c r="L42" s="87"/>
      <c r="M42" s="87"/>
      <c r="N42" s="87"/>
      <c r="O42" s="87"/>
    </row>
    <row r="43" spans="1:15" s="23" customFormat="1" ht="20.399999999999999" x14ac:dyDescent="0.3">
      <c r="A43" s="87"/>
      <c r="B43" s="87"/>
      <c r="C43" s="142"/>
      <c r="D43" s="142"/>
      <c r="E43" s="87"/>
      <c r="F43" s="87"/>
      <c r="G43" s="87"/>
      <c r="H43" s="87"/>
      <c r="I43" s="87"/>
      <c r="J43" s="87"/>
      <c r="K43" s="87"/>
      <c r="L43" s="87"/>
      <c r="M43" s="87"/>
      <c r="N43" s="87"/>
      <c r="O43" s="87"/>
    </row>
    <row r="44" spans="1:15" s="23" customFormat="1" ht="20.399999999999999" x14ac:dyDescent="0.3">
      <c r="A44" s="87"/>
      <c r="B44" s="87"/>
      <c r="C44" s="142"/>
      <c r="D44" s="142"/>
      <c r="E44" s="87"/>
      <c r="F44" s="87"/>
      <c r="G44" s="87"/>
      <c r="H44" s="87"/>
      <c r="I44" s="87"/>
      <c r="J44" s="87"/>
      <c r="K44" s="87"/>
      <c r="L44" s="87"/>
      <c r="M44" s="87"/>
      <c r="N44" s="87"/>
      <c r="O44" s="87"/>
    </row>
    <row r="45" spans="1:15" s="23" customFormat="1" ht="20.399999999999999" x14ac:dyDescent="0.3">
      <c r="A45" s="87"/>
      <c r="B45" s="87"/>
      <c r="C45" s="142"/>
      <c r="D45" s="142"/>
      <c r="E45" s="87"/>
      <c r="F45" s="87"/>
      <c r="G45" s="87"/>
      <c r="H45" s="87"/>
      <c r="I45" s="87"/>
      <c r="J45" s="87"/>
      <c r="K45" s="87"/>
      <c r="L45" s="87"/>
      <c r="M45" s="87"/>
      <c r="N45" s="87"/>
      <c r="O45" s="87"/>
    </row>
    <row r="46" spans="1:15" s="23" customFormat="1" ht="20.399999999999999" x14ac:dyDescent="0.3">
      <c r="A46" s="87"/>
      <c r="B46" s="87"/>
      <c r="C46" s="142"/>
      <c r="D46" s="142"/>
      <c r="E46" s="87"/>
      <c r="F46" s="87"/>
      <c r="G46" s="87"/>
      <c r="H46" s="87"/>
      <c r="I46" s="87"/>
      <c r="J46" s="87"/>
      <c r="K46" s="87"/>
      <c r="L46" s="87"/>
      <c r="M46" s="87"/>
      <c r="N46" s="87"/>
      <c r="O46" s="87"/>
    </row>
    <row r="47" spans="1:15" s="23" customFormat="1" ht="20.399999999999999" x14ac:dyDescent="0.3">
      <c r="A47" s="87"/>
      <c r="B47" s="87"/>
      <c r="C47" s="142"/>
      <c r="D47" s="142"/>
      <c r="E47" s="87"/>
      <c r="F47" s="87"/>
      <c r="G47" s="87"/>
      <c r="H47" s="87"/>
      <c r="I47" s="87"/>
      <c r="J47" s="87"/>
      <c r="K47" s="87"/>
      <c r="L47" s="87"/>
      <c r="M47" s="87"/>
      <c r="N47" s="87"/>
      <c r="O47" s="87"/>
    </row>
    <row r="48" spans="1:15" s="23" customFormat="1" ht="20.399999999999999" x14ac:dyDescent="0.3">
      <c r="A48" s="87"/>
      <c r="B48" s="87"/>
      <c r="C48" s="142"/>
      <c r="D48" s="142"/>
      <c r="E48" s="87"/>
      <c r="F48" s="87"/>
      <c r="G48" s="87"/>
      <c r="H48" s="87"/>
      <c r="I48" s="87"/>
      <c r="J48" s="87"/>
      <c r="K48" s="87"/>
      <c r="L48" s="87"/>
      <c r="M48" s="87"/>
      <c r="N48" s="87"/>
      <c r="O48" s="87"/>
    </row>
    <row r="49" spans="1:15" s="23" customFormat="1" ht="20.399999999999999" x14ac:dyDescent="0.3">
      <c r="A49" s="87"/>
      <c r="B49" s="87"/>
      <c r="C49" s="142"/>
      <c r="D49" s="142"/>
      <c r="E49" s="87"/>
      <c r="F49" s="87"/>
      <c r="G49" s="87"/>
      <c r="H49" s="87"/>
      <c r="I49" s="87"/>
      <c r="J49" s="87"/>
      <c r="K49" s="87"/>
      <c r="L49" s="87"/>
      <c r="M49" s="87"/>
      <c r="N49" s="87"/>
      <c r="O49" s="87"/>
    </row>
    <row r="50" spans="1:15" s="23" customFormat="1" ht="20.399999999999999" x14ac:dyDescent="0.3">
      <c r="A50" s="87"/>
      <c r="B50" s="87"/>
      <c r="C50" s="142"/>
      <c r="D50" s="142"/>
      <c r="E50" s="87"/>
      <c r="F50" s="87"/>
      <c r="G50" s="87"/>
      <c r="H50" s="87"/>
      <c r="I50" s="87"/>
      <c r="J50" s="87"/>
      <c r="K50" s="87"/>
      <c r="L50" s="87"/>
      <c r="M50" s="87"/>
      <c r="N50" s="87"/>
      <c r="O50" s="87"/>
    </row>
    <row r="51" spans="1:15" s="23" customFormat="1" ht="20.399999999999999" x14ac:dyDescent="0.3">
      <c r="A51" s="87"/>
      <c r="B51" s="87"/>
      <c r="C51" s="142"/>
      <c r="D51" s="142"/>
      <c r="E51" s="87"/>
      <c r="F51" s="87"/>
      <c r="G51" s="87"/>
      <c r="H51" s="87"/>
      <c r="I51" s="87"/>
      <c r="J51" s="87"/>
      <c r="K51" s="87"/>
      <c r="L51" s="87"/>
      <c r="M51" s="87"/>
      <c r="N51" s="87"/>
      <c r="O51" s="87"/>
    </row>
    <row r="52" spans="1:15" s="23" customFormat="1" ht="20.399999999999999" x14ac:dyDescent="0.3">
      <c r="A52" s="87"/>
      <c r="C52" s="144"/>
      <c r="D52" s="144"/>
    </row>
    <row r="53" spans="1:15" s="23" customFormat="1" ht="20.399999999999999" x14ac:dyDescent="0.3">
      <c r="A53" s="87"/>
      <c r="C53" s="144"/>
      <c r="D53" s="144"/>
    </row>
    <row r="54" spans="1:15" s="23" customFormat="1" ht="20.399999999999999" x14ac:dyDescent="0.3">
      <c r="A54" s="87"/>
      <c r="C54" s="144"/>
      <c r="D54" s="144"/>
    </row>
    <row r="55" spans="1:15" s="23" customFormat="1" ht="20.399999999999999" x14ac:dyDescent="0.3">
      <c r="A55" s="87"/>
      <c r="C55" s="144"/>
      <c r="D55" s="144"/>
    </row>
    <row r="56" spans="1:15" s="23" customFormat="1" ht="20.399999999999999" x14ac:dyDescent="0.3">
      <c r="A56" s="87"/>
      <c r="C56" s="144"/>
      <c r="D56" s="144"/>
    </row>
    <row r="57" spans="1:15" s="23" customFormat="1" ht="20.399999999999999" x14ac:dyDescent="0.3">
      <c r="A57" s="87"/>
      <c r="C57" s="144"/>
      <c r="D57" s="144"/>
    </row>
    <row r="58" spans="1:15" s="23" customFormat="1" ht="20.399999999999999" x14ac:dyDescent="0.3">
      <c r="A58" s="87"/>
      <c r="C58" s="144"/>
      <c r="D58" s="144"/>
    </row>
    <row r="59" spans="1:15" s="23" customFormat="1" ht="20.399999999999999" x14ac:dyDescent="0.3">
      <c r="A59" s="87"/>
      <c r="C59" s="144"/>
      <c r="D59" s="144"/>
    </row>
    <row r="60" spans="1:15" s="23" customFormat="1" ht="20.399999999999999" x14ac:dyDescent="0.3">
      <c r="A60" s="87"/>
      <c r="C60" s="144"/>
      <c r="D60" s="144"/>
    </row>
    <row r="61" spans="1:15" s="23" customFormat="1" ht="20.399999999999999" x14ac:dyDescent="0.3">
      <c r="A61" s="87"/>
      <c r="C61" s="144"/>
      <c r="D61" s="144"/>
    </row>
    <row r="62" spans="1:15" s="23" customFormat="1" ht="20.399999999999999" x14ac:dyDescent="0.3">
      <c r="A62" s="87"/>
      <c r="C62" s="144"/>
      <c r="D62" s="144"/>
    </row>
    <row r="63" spans="1:15" s="23" customFormat="1" ht="20.399999999999999" x14ac:dyDescent="0.3">
      <c r="A63" s="87"/>
      <c r="C63" s="144"/>
      <c r="D63" s="144"/>
    </row>
    <row r="64" spans="1:15" s="23" customFormat="1" ht="20.399999999999999" x14ac:dyDescent="0.3">
      <c r="A64" s="87"/>
      <c r="C64" s="144"/>
      <c r="D64" s="144"/>
    </row>
    <row r="65" spans="1:4" s="23" customFormat="1" ht="20.399999999999999" x14ac:dyDescent="0.3">
      <c r="A65" s="87"/>
      <c r="C65" s="144"/>
      <c r="D65" s="144"/>
    </row>
    <row r="66" spans="1:4" s="23" customFormat="1" ht="20.399999999999999" x14ac:dyDescent="0.3">
      <c r="A66" s="87"/>
      <c r="C66" s="144"/>
      <c r="D66" s="144"/>
    </row>
    <row r="67" spans="1:4" s="23" customFormat="1" ht="20.399999999999999" x14ac:dyDescent="0.3">
      <c r="A67" s="87"/>
      <c r="C67" s="144"/>
      <c r="D67" s="144"/>
    </row>
    <row r="68" spans="1:4" s="23" customFormat="1" ht="20.399999999999999" x14ac:dyDescent="0.3">
      <c r="A68" s="87"/>
      <c r="C68" s="144"/>
      <c r="D68" s="144"/>
    </row>
    <row r="69" spans="1:4" s="23" customFormat="1" ht="20.399999999999999" x14ac:dyDescent="0.3">
      <c r="A69" s="87"/>
      <c r="C69" s="144"/>
      <c r="D69" s="144"/>
    </row>
    <row r="70" spans="1:4" s="23" customFormat="1" ht="20.399999999999999" x14ac:dyDescent="0.3">
      <c r="A70" s="87"/>
      <c r="C70" s="144"/>
      <c r="D70" s="144"/>
    </row>
    <row r="71" spans="1:4" s="23" customFormat="1" ht="20.399999999999999" x14ac:dyDescent="0.3">
      <c r="A71" s="87"/>
      <c r="C71" s="144"/>
      <c r="D71" s="144"/>
    </row>
    <row r="72" spans="1:4" s="23" customFormat="1" ht="20.399999999999999" x14ac:dyDescent="0.3">
      <c r="A72" s="87"/>
      <c r="C72" s="144"/>
      <c r="D72" s="144"/>
    </row>
    <row r="73" spans="1:4" s="23" customFormat="1" ht="20.399999999999999" x14ac:dyDescent="0.3">
      <c r="A73" s="87"/>
      <c r="C73" s="144"/>
      <c r="D73" s="144"/>
    </row>
    <row r="74" spans="1:4" s="23" customFormat="1" ht="20.399999999999999" x14ac:dyDescent="0.3">
      <c r="A74" s="87"/>
      <c r="C74" s="144"/>
      <c r="D74" s="144"/>
    </row>
    <row r="75" spans="1:4" s="23" customFormat="1" ht="20.399999999999999" x14ac:dyDescent="0.3">
      <c r="A75" s="87"/>
      <c r="C75" s="144"/>
      <c r="D75" s="144"/>
    </row>
    <row r="76" spans="1:4" s="23" customFormat="1" ht="20.399999999999999" x14ac:dyDescent="0.3">
      <c r="A76" s="87"/>
      <c r="C76" s="144"/>
      <c r="D76" s="144"/>
    </row>
    <row r="77" spans="1:4" s="23" customFormat="1" ht="20.399999999999999" x14ac:dyDescent="0.3">
      <c r="A77" s="87"/>
      <c r="C77" s="144"/>
      <c r="D77" s="144"/>
    </row>
    <row r="78" spans="1:4" s="23" customFormat="1" ht="20.399999999999999" x14ac:dyDescent="0.3">
      <c r="A78" s="87"/>
      <c r="C78" s="144"/>
      <c r="D78" s="144"/>
    </row>
    <row r="79" spans="1:4" s="23" customFormat="1" ht="20.399999999999999" x14ac:dyDescent="0.3">
      <c r="A79" s="87"/>
      <c r="C79" s="144"/>
      <c r="D79" s="144"/>
    </row>
    <row r="80" spans="1:4" s="23" customFormat="1" ht="20.399999999999999" x14ac:dyDescent="0.3">
      <c r="A80" s="87"/>
      <c r="C80" s="144"/>
      <c r="D80" s="144"/>
    </row>
    <row r="81" spans="1:4" s="23" customFormat="1" ht="20.399999999999999" x14ac:dyDescent="0.3">
      <c r="A81" s="87"/>
      <c r="C81" s="144"/>
      <c r="D81" s="144"/>
    </row>
    <row r="82" spans="1:4" s="23" customFormat="1" ht="20.399999999999999" x14ac:dyDescent="0.3">
      <c r="A82" s="87"/>
      <c r="C82" s="144"/>
      <c r="D82" s="144"/>
    </row>
    <row r="83" spans="1:4" s="23" customFormat="1" ht="20.399999999999999" x14ac:dyDescent="0.3">
      <c r="A83" s="87"/>
      <c r="C83" s="144"/>
      <c r="D83" s="144"/>
    </row>
    <row r="84" spans="1:4" s="23" customFormat="1" ht="20.399999999999999" x14ac:dyDescent="0.3">
      <c r="A84" s="87"/>
      <c r="C84" s="144"/>
      <c r="D84" s="144"/>
    </row>
    <row r="85" spans="1:4" s="23" customFormat="1" ht="20.399999999999999" x14ac:dyDescent="0.3">
      <c r="A85" s="87"/>
      <c r="C85" s="144"/>
      <c r="D85" s="144"/>
    </row>
    <row r="86" spans="1:4" s="23" customFormat="1" ht="20.399999999999999" x14ac:dyDescent="0.3">
      <c r="A86" s="87"/>
      <c r="C86" s="144"/>
      <c r="D86" s="144"/>
    </row>
    <row r="87" spans="1:4" s="23" customFormat="1" ht="20.399999999999999" x14ac:dyDescent="0.3">
      <c r="A87" s="87"/>
      <c r="C87" s="144"/>
      <c r="D87" s="144"/>
    </row>
    <row r="88" spans="1:4" s="23" customFormat="1" ht="20.399999999999999" x14ac:dyDescent="0.3">
      <c r="A88" s="87"/>
      <c r="C88" s="144"/>
      <c r="D88" s="144"/>
    </row>
    <row r="89" spans="1:4" s="23" customFormat="1" ht="20.399999999999999" x14ac:dyDescent="0.3">
      <c r="A89" s="87"/>
      <c r="C89" s="144"/>
      <c r="D89" s="144"/>
    </row>
    <row r="90" spans="1:4" s="23" customFormat="1" ht="20.399999999999999" x14ac:dyDescent="0.3">
      <c r="A90" s="87"/>
      <c r="C90" s="144"/>
      <c r="D90" s="144"/>
    </row>
    <row r="91" spans="1:4" s="23" customFormat="1" ht="20.399999999999999" x14ac:dyDescent="0.3">
      <c r="A91" s="87"/>
      <c r="C91" s="144"/>
      <c r="D91" s="144"/>
    </row>
    <row r="92" spans="1:4" s="23" customFormat="1" ht="20.399999999999999" x14ac:dyDescent="0.3">
      <c r="A92" s="87"/>
      <c r="C92" s="144"/>
      <c r="D92" s="144"/>
    </row>
    <row r="93" spans="1:4" s="23" customFormat="1" ht="20.399999999999999" x14ac:dyDescent="0.3">
      <c r="A93" s="87"/>
      <c r="C93" s="144"/>
      <c r="D93" s="144"/>
    </row>
    <row r="94" spans="1:4" s="23" customFormat="1" ht="20.399999999999999" x14ac:dyDescent="0.3">
      <c r="A94" s="87"/>
      <c r="C94" s="144"/>
      <c r="D94" s="144"/>
    </row>
    <row r="95" spans="1:4" s="23" customFormat="1" ht="20.399999999999999" x14ac:dyDescent="0.3">
      <c r="A95" s="87"/>
      <c r="C95" s="144"/>
      <c r="D95" s="144"/>
    </row>
    <row r="96" spans="1:4" s="23" customFormat="1" ht="20.399999999999999" x14ac:dyDescent="0.3">
      <c r="A96" s="87"/>
      <c r="C96" s="144"/>
      <c r="D96" s="144"/>
    </row>
    <row r="97" spans="1:4" s="23" customFormat="1" ht="20.399999999999999" x14ac:dyDescent="0.3">
      <c r="A97" s="87"/>
      <c r="C97" s="144"/>
      <c r="D97" s="144"/>
    </row>
    <row r="98" spans="1:4" s="23" customFormat="1" ht="20.399999999999999" x14ac:dyDescent="0.3">
      <c r="A98" s="87"/>
      <c r="C98" s="144"/>
      <c r="D98" s="144"/>
    </row>
    <row r="99" spans="1:4" s="23" customFormat="1" ht="20.399999999999999" x14ac:dyDescent="0.3">
      <c r="A99" s="87"/>
      <c r="C99" s="144"/>
      <c r="D99" s="144"/>
    </row>
    <row r="100" spans="1:4" s="23" customFormat="1" ht="20.399999999999999" x14ac:dyDescent="0.3">
      <c r="A100" s="87"/>
      <c r="C100" s="144"/>
      <c r="D100" s="144"/>
    </row>
    <row r="101" spans="1:4" s="23" customFormat="1" ht="20.399999999999999" x14ac:dyDescent="0.3">
      <c r="A101" s="87"/>
      <c r="C101" s="144"/>
      <c r="D101" s="144"/>
    </row>
    <row r="102" spans="1:4" s="23" customFormat="1" ht="20.399999999999999" x14ac:dyDescent="0.3">
      <c r="A102" s="87"/>
      <c r="C102" s="144"/>
      <c r="D102" s="144"/>
    </row>
    <row r="103" spans="1:4" s="23" customFormat="1" ht="20.399999999999999" x14ac:dyDescent="0.3">
      <c r="A103" s="87"/>
      <c r="C103" s="144"/>
      <c r="D103" s="144"/>
    </row>
    <row r="104" spans="1:4" s="23" customFormat="1" ht="20.399999999999999" x14ac:dyDescent="0.3">
      <c r="A104" s="87"/>
      <c r="C104" s="144"/>
      <c r="D104" s="144"/>
    </row>
    <row r="105" spans="1:4" s="23" customFormat="1" ht="20.399999999999999" x14ac:dyDescent="0.3">
      <c r="A105" s="87"/>
      <c r="C105" s="144"/>
      <c r="D105" s="144"/>
    </row>
    <row r="106" spans="1:4" s="23" customFormat="1" ht="20.399999999999999" x14ac:dyDescent="0.3">
      <c r="A106" s="87"/>
      <c r="C106" s="144"/>
      <c r="D106" s="144"/>
    </row>
    <row r="107" spans="1:4" s="23" customFormat="1" ht="20.399999999999999" x14ac:dyDescent="0.3">
      <c r="A107" s="87"/>
      <c r="C107" s="144"/>
      <c r="D107" s="144"/>
    </row>
    <row r="108" spans="1:4" s="23" customFormat="1" ht="20.399999999999999" x14ac:dyDescent="0.3">
      <c r="A108" s="87"/>
      <c r="C108" s="144"/>
      <c r="D108" s="144"/>
    </row>
    <row r="109" spans="1:4" s="23" customFormat="1" ht="20.399999999999999" x14ac:dyDescent="0.3">
      <c r="A109" s="87"/>
      <c r="C109" s="144"/>
      <c r="D109" s="144"/>
    </row>
    <row r="110" spans="1:4" s="23" customFormat="1" ht="20.399999999999999" x14ac:dyDescent="0.3">
      <c r="A110" s="87"/>
      <c r="C110" s="144"/>
      <c r="D110" s="144"/>
    </row>
    <row r="111" spans="1:4" s="23" customFormat="1" ht="20.399999999999999" x14ac:dyDescent="0.3">
      <c r="A111" s="87"/>
      <c r="C111" s="144"/>
      <c r="D111" s="144"/>
    </row>
    <row r="112" spans="1:4" s="23" customFormat="1" ht="20.399999999999999" x14ac:dyDescent="0.3">
      <c r="A112" s="87"/>
      <c r="C112" s="144"/>
      <c r="D112" s="144"/>
    </row>
    <row r="113" spans="1:4" s="23" customFormat="1" ht="20.399999999999999" x14ac:dyDescent="0.3">
      <c r="A113" s="87"/>
      <c r="C113" s="144"/>
      <c r="D113" s="144"/>
    </row>
    <row r="114" spans="1:4" s="23" customFormat="1" ht="20.399999999999999" x14ac:dyDescent="0.3">
      <c r="A114" s="87"/>
      <c r="C114" s="144"/>
      <c r="D114" s="144"/>
    </row>
    <row r="115" spans="1:4" s="23" customFormat="1" ht="20.399999999999999" x14ac:dyDescent="0.3">
      <c r="A115" s="87"/>
      <c r="C115" s="144"/>
      <c r="D115" s="144"/>
    </row>
    <row r="116" spans="1:4" s="23" customFormat="1" ht="20.399999999999999" x14ac:dyDescent="0.3">
      <c r="A116" s="87"/>
      <c r="C116" s="144"/>
      <c r="D116" s="144"/>
    </row>
    <row r="117" spans="1:4" s="23" customFormat="1" ht="20.399999999999999" x14ac:dyDescent="0.3">
      <c r="A117" s="87"/>
      <c r="C117" s="144"/>
      <c r="D117" s="144"/>
    </row>
    <row r="118" spans="1:4" s="23" customFormat="1" ht="20.399999999999999" x14ac:dyDescent="0.3">
      <c r="A118" s="87"/>
      <c r="C118" s="144"/>
      <c r="D118" s="144"/>
    </row>
    <row r="119" spans="1:4" s="23" customFormat="1" ht="20.399999999999999" x14ac:dyDescent="0.3">
      <c r="A119" s="87"/>
      <c r="C119" s="144"/>
      <c r="D119" s="144"/>
    </row>
    <row r="120" spans="1:4" s="23" customFormat="1" ht="20.399999999999999" x14ac:dyDescent="0.3">
      <c r="A120" s="87"/>
      <c r="C120" s="144"/>
      <c r="D120" s="144"/>
    </row>
    <row r="121" spans="1:4" s="23" customFormat="1" ht="20.399999999999999" x14ac:dyDescent="0.3">
      <c r="A121" s="87"/>
      <c r="C121" s="144"/>
      <c r="D121" s="144"/>
    </row>
    <row r="122" spans="1:4" s="23" customFormat="1" ht="20.399999999999999" x14ac:dyDescent="0.3">
      <c r="A122" s="87"/>
      <c r="C122" s="144"/>
      <c r="D122" s="144"/>
    </row>
    <row r="123" spans="1:4" s="23" customFormat="1" ht="20.399999999999999" x14ac:dyDescent="0.3">
      <c r="A123" s="87"/>
      <c r="C123" s="144"/>
      <c r="D123" s="144"/>
    </row>
    <row r="124" spans="1:4" s="23" customFormat="1" ht="20.399999999999999" x14ac:dyDescent="0.3">
      <c r="A124" s="87"/>
      <c r="C124" s="144"/>
      <c r="D124" s="144"/>
    </row>
    <row r="125" spans="1:4" s="23" customFormat="1" ht="20.399999999999999" x14ac:dyDescent="0.3">
      <c r="A125" s="87"/>
      <c r="C125" s="144"/>
      <c r="D125" s="144"/>
    </row>
    <row r="126" spans="1:4" s="23" customFormat="1" ht="20.399999999999999" x14ac:dyDescent="0.3">
      <c r="A126" s="87"/>
      <c r="C126" s="144"/>
      <c r="D126" s="144"/>
    </row>
    <row r="127" spans="1:4" s="23" customFormat="1" ht="20.399999999999999" x14ac:dyDescent="0.3">
      <c r="A127" s="87"/>
      <c r="C127" s="144"/>
      <c r="D127" s="144"/>
    </row>
    <row r="128" spans="1:4" s="23" customFormat="1" ht="20.399999999999999" x14ac:dyDescent="0.3">
      <c r="A128" s="87"/>
      <c r="C128" s="144"/>
      <c r="D128" s="144"/>
    </row>
    <row r="129" spans="1:4" s="23" customFormat="1" ht="20.399999999999999" x14ac:dyDescent="0.3">
      <c r="A129" s="87"/>
      <c r="C129" s="144"/>
      <c r="D129" s="144"/>
    </row>
    <row r="130" spans="1:4" s="23" customFormat="1" ht="20.399999999999999" x14ac:dyDescent="0.3">
      <c r="A130" s="87"/>
      <c r="C130" s="144"/>
      <c r="D130" s="144"/>
    </row>
    <row r="131" spans="1:4" s="23" customFormat="1" ht="20.399999999999999" x14ac:dyDescent="0.3">
      <c r="A131" s="87"/>
      <c r="C131" s="144"/>
      <c r="D131" s="144"/>
    </row>
    <row r="132" spans="1:4" s="23" customFormat="1" ht="20.399999999999999" x14ac:dyDescent="0.3">
      <c r="A132" s="87"/>
      <c r="C132" s="144"/>
      <c r="D132" s="144"/>
    </row>
    <row r="133" spans="1:4" s="23" customFormat="1" ht="20.399999999999999" x14ac:dyDescent="0.3">
      <c r="A133" s="87"/>
      <c r="C133" s="144"/>
      <c r="D133" s="144"/>
    </row>
    <row r="134" spans="1:4" s="23" customFormat="1" ht="20.399999999999999" x14ac:dyDescent="0.3">
      <c r="A134" s="87"/>
      <c r="C134" s="144"/>
      <c r="D134" s="144"/>
    </row>
    <row r="135" spans="1:4" s="23" customFormat="1" ht="20.399999999999999" x14ac:dyDescent="0.3">
      <c r="A135" s="87"/>
      <c r="C135" s="144"/>
      <c r="D135" s="144"/>
    </row>
    <row r="136" spans="1:4" s="23" customFormat="1" ht="20.399999999999999" x14ac:dyDescent="0.3">
      <c r="A136" s="87"/>
      <c r="C136" s="144"/>
      <c r="D136" s="144"/>
    </row>
    <row r="137" spans="1:4" s="23" customFormat="1" ht="20.399999999999999" x14ac:dyDescent="0.3">
      <c r="A137" s="87"/>
      <c r="C137" s="144"/>
      <c r="D137" s="144"/>
    </row>
    <row r="138" spans="1:4" s="23" customFormat="1" ht="20.399999999999999" x14ac:dyDescent="0.3">
      <c r="A138" s="87"/>
      <c r="C138" s="144"/>
      <c r="D138" s="144"/>
    </row>
    <row r="139" spans="1:4" s="23" customFormat="1" ht="20.399999999999999" x14ac:dyDescent="0.3">
      <c r="A139" s="87"/>
      <c r="C139" s="144"/>
      <c r="D139" s="144"/>
    </row>
    <row r="140" spans="1:4" s="23" customFormat="1" ht="20.399999999999999" x14ac:dyDescent="0.3">
      <c r="A140" s="87"/>
      <c r="C140" s="144"/>
      <c r="D140" s="144"/>
    </row>
    <row r="141" spans="1:4" s="23" customFormat="1" ht="20.399999999999999" x14ac:dyDescent="0.3">
      <c r="A141" s="87"/>
      <c r="C141" s="144"/>
      <c r="D141" s="144"/>
    </row>
    <row r="142" spans="1:4" s="23" customFormat="1" ht="20.399999999999999" x14ac:dyDescent="0.3">
      <c r="A142" s="87"/>
      <c r="C142" s="144"/>
      <c r="D142" s="144"/>
    </row>
    <row r="143" spans="1:4" s="23" customFormat="1" ht="20.399999999999999" x14ac:dyDescent="0.3">
      <c r="A143" s="87"/>
      <c r="C143" s="144"/>
      <c r="D143" s="144"/>
    </row>
    <row r="144" spans="1:4" s="23" customFormat="1" ht="20.399999999999999" x14ac:dyDescent="0.3">
      <c r="A144" s="87"/>
      <c r="C144" s="144"/>
      <c r="D144" s="144"/>
    </row>
    <row r="145" spans="1:4" s="23" customFormat="1" ht="20.399999999999999" x14ac:dyDescent="0.3">
      <c r="A145" s="87"/>
      <c r="C145" s="144"/>
      <c r="D145" s="144"/>
    </row>
    <row r="146" spans="1:4" s="23" customFormat="1" ht="20.399999999999999" x14ac:dyDescent="0.3">
      <c r="A146" s="87"/>
      <c r="C146" s="144"/>
      <c r="D146" s="144"/>
    </row>
    <row r="147" spans="1:4" s="23" customFormat="1" ht="20.399999999999999" x14ac:dyDescent="0.3">
      <c r="A147" s="87"/>
      <c r="C147" s="144"/>
      <c r="D147" s="144"/>
    </row>
    <row r="148" spans="1:4" s="23" customFormat="1" ht="20.399999999999999" x14ac:dyDescent="0.3">
      <c r="A148" s="87"/>
      <c r="C148" s="144"/>
      <c r="D148" s="144"/>
    </row>
    <row r="149" spans="1:4" s="23" customFormat="1" ht="20.399999999999999" x14ac:dyDescent="0.3">
      <c r="A149" s="87"/>
      <c r="C149" s="144"/>
      <c r="D149" s="144"/>
    </row>
    <row r="150" spans="1:4" s="23" customFormat="1" ht="20.399999999999999" x14ac:dyDescent="0.3">
      <c r="A150" s="87"/>
      <c r="C150" s="144"/>
      <c r="D150" s="144"/>
    </row>
    <row r="151" spans="1:4" s="23" customFormat="1" ht="20.399999999999999" x14ac:dyDescent="0.3">
      <c r="A151" s="87"/>
      <c r="C151" s="144"/>
      <c r="D151" s="144"/>
    </row>
    <row r="152" spans="1:4" s="23" customFormat="1" ht="20.399999999999999" x14ac:dyDescent="0.3">
      <c r="A152" s="87"/>
      <c r="C152" s="144"/>
      <c r="D152" s="144"/>
    </row>
    <row r="153" spans="1:4" s="23" customFormat="1" ht="20.399999999999999" x14ac:dyDescent="0.3">
      <c r="A153" s="87"/>
      <c r="C153" s="144"/>
      <c r="D153" s="144"/>
    </row>
    <row r="154" spans="1:4" s="23" customFormat="1" ht="20.399999999999999" x14ac:dyDescent="0.3">
      <c r="A154" s="87"/>
      <c r="C154" s="144"/>
      <c r="D154" s="144"/>
    </row>
    <row r="155" spans="1:4" s="23" customFormat="1" ht="20.399999999999999" x14ac:dyDescent="0.3">
      <c r="A155" s="87"/>
      <c r="C155" s="144"/>
      <c r="D155" s="144"/>
    </row>
    <row r="156" spans="1:4" s="23" customFormat="1" ht="20.399999999999999" x14ac:dyDescent="0.3">
      <c r="A156" s="87"/>
      <c r="C156" s="144"/>
      <c r="D156" s="144"/>
    </row>
    <row r="157" spans="1:4" s="23" customFormat="1" ht="20.399999999999999" x14ac:dyDescent="0.3">
      <c r="A157" s="87"/>
      <c r="C157" s="144"/>
      <c r="D157" s="144"/>
    </row>
    <row r="158" spans="1:4" s="23" customFormat="1" ht="20.399999999999999" x14ac:dyDescent="0.3">
      <c r="A158" s="87"/>
      <c r="C158" s="144"/>
      <c r="D158" s="144"/>
    </row>
    <row r="159" spans="1:4" s="23" customFormat="1" ht="20.399999999999999" x14ac:dyDescent="0.3">
      <c r="A159" s="87"/>
      <c r="C159" s="144"/>
      <c r="D159" s="144"/>
    </row>
    <row r="160" spans="1:4" s="23" customFormat="1" ht="20.399999999999999" x14ac:dyDescent="0.3">
      <c r="A160" s="87"/>
      <c r="C160" s="144"/>
      <c r="D160" s="144"/>
    </row>
    <row r="161" spans="1:4" s="23" customFormat="1" ht="20.399999999999999" x14ac:dyDescent="0.3">
      <c r="A161" s="87"/>
      <c r="C161" s="144"/>
      <c r="D161" s="144"/>
    </row>
    <row r="162" spans="1:4" s="23" customFormat="1" ht="20.399999999999999" x14ac:dyDescent="0.3">
      <c r="A162" s="87"/>
      <c r="C162" s="144"/>
      <c r="D162" s="144"/>
    </row>
    <row r="163" spans="1:4" s="23" customFormat="1" ht="20.399999999999999" x14ac:dyDescent="0.3">
      <c r="A163" s="87"/>
      <c r="C163" s="144"/>
      <c r="D163" s="144"/>
    </row>
    <row r="164" spans="1:4" s="23" customFormat="1" ht="20.399999999999999" x14ac:dyDescent="0.3">
      <c r="A164" s="87"/>
      <c r="C164" s="144"/>
      <c r="D164" s="144"/>
    </row>
    <row r="165" spans="1:4" s="23" customFormat="1" ht="20.399999999999999" x14ac:dyDescent="0.3">
      <c r="A165" s="87"/>
      <c r="C165" s="144"/>
      <c r="D165" s="144"/>
    </row>
    <row r="166" spans="1:4" s="23" customFormat="1" ht="20.399999999999999" x14ac:dyDescent="0.3">
      <c r="A166" s="87"/>
      <c r="C166" s="144"/>
      <c r="D166" s="144"/>
    </row>
    <row r="167" spans="1:4" s="23" customFormat="1" ht="20.399999999999999" x14ac:dyDescent="0.3">
      <c r="A167" s="87"/>
      <c r="C167" s="144"/>
      <c r="D167" s="144"/>
    </row>
    <row r="168" spans="1:4" s="23" customFormat="1" ht="20.399999999999999" x14ac:dyDescent="0.3">
      <c r="A168" s="87"/>
      <c r="C168" s="144"/>
      <c r="D168" s="144"/>
    </row>
    <row r="169" spans="1:4" s="23" customFormat="1" ht="20.399999999999999" x14ac:dyDescent="0.3">
      <c r="A169" s="87"/>
      <c r="C169" s="144"/>
      <c r="D169" s="144"/>
    </row>
    <row r="170" spans="1:4" s="23" customFormat="1" ht="20.399999999999999" x14ac:dyDescent="0.3">
      <c r="A170" s="87"/>
      <c r="C170" s="144"/>
      <c r="D170" s="144"/>
    </row>
    <row r="171" spans="1:4" s="23" customFormat="1" ht="20.399999999999999" x14ac:dyDescent="0.3">
      <c r="A171" s="87"/>
      <c r="C171" s="144"/>
      <c r="D171" s="144"/>
    </row>
    <row r="172" spans="1:4" s="23" customFormat="1" ht="20.399999999999999" x14ac:dyDescent="0.3">
      <c r="A172" s="87"/>
      <c r="C172" s="144"/>
      <c r="D172" s="144"/>
    </row>
    <row r="173" spans="1:4" s="23" customFormat="1" ht="20.399999999999999" x14ac:dyDescent="0.3">
      <c r="A173" s="87"/>
      <c r="C173" s="144"/>
      <c r="D173" s="144"/>
    </row>
    <row r="174" spans="1:4" s="23" customFormat="1" ht="20.399999999999999" x14ac:dyDescent="0.3">
      <c r="A174" s="87"/>
      <c r="C174" s="144"/>
      <c r="D174" s="144"/>
    </row>
    <row r="175" spans="1:4" s="23" customFormat="1" ht="20.399999999999999" x14ac:dyDescent="0.3">
      <c r="A175" s="87"/>
      <c r="C175" s="144"/>
      <c r="D175" s="144"/>
    </row>
    <row r="176" spans="1:4" s="23" customFormat="1" ht="20.399999999999999" x14ac:dyDescent="0.3">
      <c r="A176" s="87"/>
      <c r="C176" s="144"/>
      <c r="D176" s="144"/>
    </row>
    <row r="177" spans="1:4" s="23" customFormat="1" ht="20.399999999999999" x14ac:dyDescent="0.3">
      <c r="A177" s="87"/>
      <c r="C177" s="144"/>
      <c r="D177" s="144"/>
    </row>
    <row r="178" spans="1:4" s="23" customFormat="1" ht="20.399999999999999" x14ac:dyDescent="0.3">
      <c r="A178" s="87"/>
      <c r="C178" s="144"/>
      <c r="D178" s="144"/>
    </row>
    <row r="179" spans="1:4" s="23" customFormat="1" ht="20.399999999999999" x14ac:dyDescent="0.3">
      <c r="A179" s="87"/>
      <c r="C179" s="144"/>
      <c r="D179" s="144"/>
    </row>
    <row r="180" spans="1:4" s="23" customFormat="1" ht="20.399999999999999" x14ac:dyDescent="0.3">
      <c r="A180" s="87"/>
      <c r="C180" s="144"/>
      <c r="D180" s="144"/>
    </row>
    <row r="181" spans="1:4" s="23" customFormat="1" ht="20.399999999999999" x14ac:dyDescent="0.3">
      <c r="A181" s="87"/>
      <c r="C181" s="144"/>
      <c r="D181" s="144"/>
    </row>
    <row r="182" spans="1:4" s="23" customFormat="1" ht="20.399999999999999" x14ac:dyDescent="0.3">
      <c r="A182" s="87"/>
      <c r="C182" s="144"/>
      <c r="D182" s="144"/>
    </row>
    <row r="183" spans="1:4" s="23" customFormat="1" ht="20.399999999999999" x14ac:dyDescent="0.3">
      <c r="A183" s="87"/>
      <c r="C183" s="144"/>
      <c r="D183" s="144"/>
    </row>
    <row r="184" spans="1:4" s="23" customFormat="1" ht="20.399999999999999" x14ac:dyDescent="0.3">
      <c r="A184" s="87"/>
      <c r="C184" s="144"/>
      <c r="D184" s="144"/>
    </row>
    <row r="185" spans="1:4" s="23" customFormat="1" ht="20.399999999999999" x14ac:dyDescent="0.3">
      <c r="A185" s="87"/>
      <c r="C185" s="144"/>
      <c r="D185" s="144"/>
    </row>
    <row r="186" spans="1:4" s="23" customFormat="1" ht="20.399999999999999" x14ac:dyDescent="0.3">
      <c r="A186" s="87"/>
      <c r="C186" s="144"/>
      <c r="D186" s="144"/>
    </row>
    <row r="187" spans="1:4" s="23" customFormat="1" ht="20.399999999999999" x14ac:dyDescent="0.3">
      <c r="A187" s="87"/>
      <c r="C187" s="144"/>
      <c r="D187" s="144"/>
    </row>
    <row r="188" spans="1:4" s="23" customFormat="1" ht="20.399999999999999" x14ac:dyDescent="0.3">
      <c r="A188" s="87"/>
      <c r="C188" s="144"/>
      <c r="D188" s="144"/>
    </row>
    <row r="189" spans="1:4" s="23" customFormat="1" ht="20.399999999999999" x14ac:dyDescent="0.3">
      <c r="A189" s="87"/>
      <c r="C189" s="144"/>
      <c r="D189" s="144"/>
    </row>
    <row r="190" spans="1:4" s="23" customFormat="1" ht="20.399999999999999" x14ac:dyDescent="0.3">
      <c r="A190" s="87"/>
      <c r="C190" s="144"/>
      <c r="D190" s="144"/>
    </row>
    <row r="191" spans="1:4" s="23" customFormat="1" ht="20.399999999999999" x14ac:dyDescent="0.3">
      <c r="A191" s="87"/>
      <c r="C191" s="144"/>
      <c r="D191" s="144"/>
    </row>
    <row r="192" spans="1:4" s="23" customFormat="1" ht="20.399999999999999" x14ac:dyDescent="0.3">
      <c r="A192" s="87"/>
      <c r="C192" s="144"/>
      <c r="D192" s="144"/>
    </row>
    <row r="193" spans="1:4" s="23" customFormat="1" ht="20.399999999999999" x14ac:dyDescent="0.3">
      <c r="A193" s="87"/>
      <c r="C193" s="144"/>
      <c r="D193" s="144"/>
    </row>
    <row r="194" spans="1:4" s="23" customFormat="1" ht="20.399999999999999" x14ac:dyDescent="0.3">
      <c r="A194" s="87"/>
      <c r="C194" s="144"/>
      <c r="D194" s="144"/>
    </row>
    <row r="195" spans="1:4" s="23" customFormat="1" ht="20.399999999999999" x14ac:dyDescent="0.3">
      <c r="A195" s="87"/>
      <c r="C195" s="144"/>
      <c r="D195" s="144"/>
    </row>
    <row r="196" spans="1:4" s="23" customFormat="1" ht="20.399999999999999" x14ac:dyDescent="0.3">
      <c r="A196" s="87"/>
      <c r="C196" s="144"/>
      <c r="D196" s="144"/>
    </row>
    <row r="197" spans="1:4" s="23" customFormat="1" ht="20.399999999999999" x14ac:dyDescent="0.3">
      <c r="A197" s="87"/>
      <c r="C197" s="144"/>
      <c r="D197" s="144"/>
    </row>
    <row r="198" spans="1:4" s="23" customFormat="1" ht="20.399999999999999" x14ac:dyDescent="0.3">
      <c r="A198" s="87"/>
      <c r="C198" s="144"/>
      <c r="D198" s="144"/>
    </row>
    <row r="199" spans="1:4" s="23" customFormat="1" ht="20.399999999999999" x14ac:dyDescent="0.3">
      <c r="A199" s="87"/>
      <c r="C199" s="144"/>
      <c r="D199" s="144"/>
    </row>
    <row r="200" spans="1:4" s="23" customFormat="1" ht="20.399999999999999" x14ac:dyDescent="0.3">
      <c r="A200" s="87"/>
      <c r="C200" s="144"/>
      <c r="D200" s="144"/>
    </row>
    <row r="201" spans="1:4" s="23" customFormat="1" ht="20.399999999999999" x14ac:dyDescent="0.3">
      <c r="A201" s="87"/>
      <c r="C201" s="144"/>
      <c r="D201" s="144"/>
    </row>
    <row r="202" spans="1:4" s="23" customFormat="1" ht="20.399999999999999" x14ac:dyDescent="0.3">
      <c r="A202" s="87"/>
      <c r="C202" s="144"/>
      <c r="D202" s="144"/>
    </row>
    <row r="203" spans="1:4" s="23" customFormat="1" ht="20.399999999999999" x14ac:dyDescent="0.3">
      <c r="A203" s="87"/>
      <c r="C203" s="144"/>
      <c r="D203" s="144"/>
    </row>
    <row r="204" spans="1:4" s="23" customFormat="1" ht="20.399999999999999" x14ac:dyDescent="0.3">
      <c r="A204" s="87"/>
      <c r="C204" s="144"/>
      <c r="D204" s="144"/>
    </row>
    <row r="205" spans="1:4" s="23" customFormat="1" ht="20.399999999999999" x14ac:dyDescent="0.3">
      <c r="A205" s="87"/>
      <c r="C205" s="144"/>
      <c r="D205" s="144"/>
    </row>
    <row r="206" spans="1:4" s="23" customFormat="1" ht="20.399999999999999" x14ac:dyDescent="0.3">
      <c r="A206" s="87"/>
      <c r="C206" s="144"/>
      <c r="D206" s="144"/>
    </row>
    <row r="207" spans="1:4" s="23" customFormat="1" ht="20.399999999999999" x14ac:dyDescent="0.3">
      <c r="A207" s="87"/>
      <c r="C207" s="144"/>
      <c r="D207" s="144"/>
    </row>
    <row r="208" spans="1:4" s="23" customFormat="1" x14ac:dyDescent="0.3">
      <c r="A208" s="87"/>
    </row>
    <row r="209" spans="1:8" s="23" customFormat="1" ht="20.399999999999999" x14ac:dyDescent="0.3">
      <c r="A209" s="87"/>
      <c r="B209" s="145" t="s">
        <v>87</v>
      </c>
      <c r="C209" s="145" t="s">
        <v>140</v>
      </c>
      <c r="D209" s="146" t="s">
        <v>87</v>
      </c>
      <c r="E209" s="146" t="s">
        <v>140</v>
      </c>
    </row>
    <row r="210" spans="1:8" s="23" customFormat="1" ht="42" x14ac:dyDescent="0.4">
      <c r="A210" s="87"/>
      <c r="B210" s="147" t="s">
        <v>89</v>
      </c>
      <c r="C210" s="147"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7" t="s">
        <v>89</v>
      </c>
      <c r="C211" s="147" t="s">
        <v>206</v>
      </c>
      <c r="E211" s="23" t="s">
        <v>205</v>
      </c>
      <c r="F211" s="23" t="str">
        <f t="shared" ref="F211:F221" si="0">IF(NOT(ISBLANK(D211)),D211,IF(NOT(ISBLANK(E211)),"     "&amp;E211,FALSE))</f>
        <v xml:space="preserve">     Afectación menor a 200 SMLMV</v>
      </c>
    </row>
    <row r="212" spans="1:8" s="23" customFormat="1" ht="42" x14ac:dyDescent="0.4">
      <c r="A212" s="87"/>
      <c r="B212" s="147" t="s">
        <v>89</v>
      </c>
      <c r="C212" s="147" t="s">
        <v>210</v>
      </c>
      <c r="E212" s="23" t="s">
        <v>206</v>
      </c>
      <c r="F212" s="23" t="str">
        <f t="shared" si="0"/>
        <v xml:space="preserve">     Entre 200 y 1000 SMLMV</v>
      </c>
    </row>
    <row r="213" spans="1:8" s="23" customFormat="1" ht="42" x14ac:dyDescent="0.4">
      <c r="A213" s="87"/>
      <c r="B213" s="147" t="s">
        <v>89</v>
      </c>
      <c r="C213" s="147" t="s">
        <v>211</v>
      </c>
      <c r="E213" s="23" t="s">
        <v>210</v>
      </c>
      <c r="F213" s="23" t="str">
        <f t="shared" si="0"/>
        <v xml:space="preserve">     Entre 1000 y 5000 SMLMV </v>
      </c>
    </row>
    <row r="214" spans="1:8" s="23" customFormat="1" ht="42" x14ac:dyDescent="0.4">
      <c r="A214" s="87"/>
      <c r="B214" s="147" t="s">
        <v>89</v>
      </c>
      <c r="C214" s="147" t="s">
        <v>207</v>
      </c>
      <c r="E214" s="23" t="s">
        <v>211</v>
      </c>
      <c r="F214" s="23" t="str">
        <f t="shared" si="0"/>
        <v xml:space="preserve">     Entre 5000 y 10000 SMLMV</v>
      </c>
    </row>
    <row r="215" spans="1:8" s="23" customFormat="1" ht="21" x14ac:dyDescent="0.4">
      <c r="A215" s="87"/>
      <c r="B215" s="147" t="s">
        <v>57</v>
      </c>
      <c r="C215" s="147" t="s">
        <v>92</v>
      </c>
      <c r="E215" s="23" t="s">
        <v>207</v>
      </c>
      <c r="F215" s="23" t="str">
        <f t="shared" si="0"/>
        <v xml:space="preserve">     Mayor a 10000 SMLMV</v>
      </c>
    </row>
    <row r="216" spans="1:8" s="23" customFormat="1" ht="63" x14ac:dyDescent="0.4">
      <c r="A216" s="87"/>
      <c r="B216" s="147" t="s">
        <v>57</v>
      </c>
      <c r="C216" s="147" t="s">
        <v>93</v>
      </c>
      <c r="D216" s="23" t="s">
        <v>57</v>
      </c>
      <c r="F216" s="23" t="str">
        <f t="shared" si="0"/>
        <v>Pérdida Reputacional</v>
      </c>
    </row>
    <row r="217" spans="1:8" s="23" customFormat="1" ht="42" x14ac:dyDescent="0.4">
      <c r="A217" s="87"/>
      <c r="B217" s="147" t="s">
        <v>57</v>
      </c>
      <c r="C217" s="147" t="s">
        <v>95</v>
      </c>
      <c r="E217" s="23" t="s">
        <v>92</v>
      </c>
      <c r="F217" s="23" t="str">
        <f>IF(NOT(ISBLANK(D217)),D217,IF(NOT(ISBLANK(E217)),"     "&amp;E217,FALSE))</f>
        <v xml:space="preserve">     El riesgo afecta la imagen de alguna área de la organización</v>
      </c>
    </row>
    <row r="218" spans="1:8" s="23" customFormat="1" ht="63" x14ac:dyDescent="0.4">
      <c r="A218" s="87"/>
      <c r="B218" s="147" t="s">
        <v>57</v>
      </c>
      <c r="C218" s="147"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7" t="s">
        <v>57</v>
      </c>
      <c r="C219" s="147"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8" t="s">
        <v>141</v>
      </c>
    </row>
    <row r="224" spans="1:8" s="23" customFormat="1" x14ac:dyDescent="0.3">
      <c r="F224" s="148"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2025-04-28T04:24:42Z</dcterms:modified>
</cp:coreProperties>
</file>