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
    </mc:Choice>
  </mc:AlternateContent>
  <xr:revisionPtr revIDLastSave="0" documentId="13_ncr:1_{0E3B4BF7-766D-458C-B516-046D5F849C90}" xr6:coauthVersionLast="47" xr6:coauthVersionMax="47" xr10:uidLastSave="{00000000-0000-0000-0000-000000000000}"/>
  <bookViews>
    <workbookView xWindow="-20610" yWindow="3480" windowWidth="20730" windowHeight="11040" firstSheet="16" activeTab="17"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CONSOLIDADO GESTION 1 BIM" sheetId="30" r:id="rId17"/>
    <sheet name="CONSOLIDADO GESTION 2 BIM" sheetId="31" r:id="rId18"/>
    <sheet name="NOO" sheetId="18" state="hidden" r:id="rId19"/>
    <sheet name="NO" sheetId="19"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9" i="31" l="1"/>
  <c r="T39" i="31"/>
  <c r="S39" i="31"/>
  <c r="N39" i="31"/>
  <c r="W38" i="31"/>
  <c r="T38" i="31"/>
  <c r="S38" i="31"/>
  <c r="N38" i="31"/>
  <c r="W37" i="31"/>
  <c r="T37" i="31"/>
  <c r="S37" i="31"/>
  <c r="N37" i="31"/>
  <c r="O37" i="31" s="1"/>
  <c r="P37" i="31" s="1"/>
  <c r="AE37" i="31" s="1"/>
  <c r="K37" i="31"/>
  <c r="L37" i="31" s="1"/>
  <c r="AE38" i="31" l="1"/>
  <c r="AD38" i="31" s="1"/>
  <c r="AD37" i="31"/>
  <c r="Q37" i="31"/>
  <c r="AA37" i="31"/>
  <c r="AB37" i="31" l="1"/>
  <c r="AF37" i="31" s="1"/>
  <c r="AC37" i="31"/>
  <c r="AA38" i="31" s="1"/>
  <c r="AE39" i="31"/>
  <c r="AD39" i="31" s="1"/>
  <c r="AC38" i="31" l="1"/>
  <c r="AA39" i="31" s="1"/>
  <c r="AB38" i="31"/>
  <c r="AF38" i="31" s="1"/>
  <c r="AC39" i="31" l="1"/>
  <c r="AB39" i="31"/>
  <c r="AF39" i="31" s="1"/>
  <c r="W204" i="30" l="1"/>
  <c r="T204" i="30"/>
  <c r="W203" i="30"/>
  <c r="T203" i="30"/>
  <c r="W202" i="30"/>
  <c r="T202" i="30"/>
  <c r="N202" i="30"/>
  <c r="W201" i="30"/>
  <c r="T201" i="30"/>
  <c r="N201" i="30"/>
  <c r="O201" i="30" s="1"/>
  <c r="P201" i="30" s="1"/>
  <c r="K201" i="30"/>
  <c r="L201" i="30" s="1"/>
  <c r="W200" i="30"/>
  <c r="T200" i="30"/>
  <c r="N200" i="30"/>
  <c r="W199" i="30"/>
  <c r="T199" i="30"/>
  <c r="N199" i="30"/>
  <c r="W198" i="30"/>
  <c r="T198" i="30"/>
  <c r="N198" i="30"/>
  <c r="W197" i="30"/>
  <c r="T197" i="30"/>
  <c r="N197" i="30"/>
  <c r="W196" i="30"/>
  <c r="T196" i="30"/>
  <c r="N196" i="30"/>
  <c r="O196" i="30" s="1"/>
  <c r="K196" i="30"/>
  <c r="L196" i="30" s="1"/>
  <c r="AE201" i="30" l="1"/>
  <c r="AD201" i="30" s="1"/>
  <c r="P196" i="30"/>
  <c r="AE196" i="30" s="1"/>
  <c r="Q196" i="30"/>
  <c r="Q201" i="30"/>
  <c r="AA196" i="30"/>
  <c r="AA201" i="30"/>
  <c r="AE202" i="30"/>
  <c r="AD202" i="30" s="1"/>
  <c r="AE203" i="30" l="1"/>
  <c r="AD203" i="30" s="1"/>
  <c r="AD196" i="30"/>
  <c r="AE197" i="30"/>
  <c r="AC201" i="30"/>
  <c r="AA202" i="30" s="1"/>
  <c r="AB201" i="30"/>
  <c r="AF201" i="30" s="1"/>
  <c r="AE204" i="30"/>
  <c r="AD204" i="30" s="1"/>
  <c r="AC196" i="30"/>
  <c r="AA197" i="30" s="1"/>
  <c r="AB196" i="30"/>
  <c r="AF196" i="30" s="1"/>
  <c r="AB197" i="30" l="1"/>
  <c r="AC197" i="30"/>
  <c r="AA198" i="30" s="1"/>
  <c r="AD197" i="30"/>
  <c r="AE198" i="30"/>
  <c r="AC202" i="30"/>
  <c r="AA203" i="30" s="1"/>
  <c r="AB202" i="30"/>
  <c r="AF202" i="30" s="1"/>
  <c r="AB203" i="30" l="1"/>
  <c r="AF203" i="30" s="1"/>
  <c r="AC203" i="30"/>
  <c r="AA204" i="30" s="1"/>
  <c r="AC198" i="30"/>
  <c r="AA199" i="30" s="1"/>
  <c r="AB198" i="30"/>
  <c r="AD198" i="30"/>
  <c r="AE199" i="30"/>
  <c r="AF197" i="30"/>
  <c r="AF198" i="30" l="1"/>
  <c r="AC199" i="30"/>
  <c r="AA200" i="30" s="1"/>
  <c r="AB199" i="30"/>
  <c r="AD199" i="30"/>
  <c r="AE200" i="30"/>
  <c r="AD200" i="30" s="1"/>
  <c r="AC204" i="30"/>
  <c r="AB204" i="30"/>
  <c r="AF204" i="30" s="1"/>
  <c r="AF199" i="30" l="1"/>
  <c r="AC200" i="30"/>
  <c r="AB200" i="30"/>
  <c r="AF200" i="30" s="1"/>
  <c r="AH186" i="30" l="1"/>
  <c r="W186" i="30"/>
  <c r="T186" i="30"/>
  <c r="AE186" i="30" s="1"/>
  <c r="AD186" i="30" s="1"/>
  <c r="N186" i="30"/>
  <c r="AH185" i="30"/>
  <c r="N185" i="30"/>
  <c r="AH184" i="30"/>
  <c r="W184" i="30"/>
  <c r="N184" i="30"/>
  <c r="O184" i="30" s="1"/>
  <c r="K184" i="30"/>
  <c r="L184" i="30" s="1"/>
  <c r="AH183" i="30"/>
  <c r="Z183" i="30"/>
  <c r="W183" i="30"/>
  <c r="T183" i="30"/>
  <c r="N183" i="30"/>
  <c r="AH182" i="30"/>
  <c r="W182" i="30"/>
  <c r="T182" i="30"/>
  <c r="N182" i="30"/>
  <c r="AH181" i="30"/>
  <c r="W181" i="30"/>
  <c r="T181" i="30"/>
  <c r="N181" i="30"/>
  <c r="O181" i="30" s="1"/>
  <c r="K181" i="30"/>
  <c r="L181" i="30" s="1"/>
  <c r="AH180" i="30"/>
  <c r="W180" i="30"/>
  <c r="T180" i="30"/>
  <c r="N180" i="30"/>
  <c r="AH179" i="30"/>
  <c r="W179" i="30"/>
  <c r="T179" i="30"/>
  <c r="N179" i="30"/>
  <c r="O179" i="30" s="1"/>
  <c r="K179" i="30"/>
  <c r="L179" i="30" s="1"/>
  <c r="AA179" i="30" l="1"/>
  <c r="AB179" i="30" s="1"/>
  <c r="P184" i="30"/>
  <c r="Q184" i="30"/>
  <c r="P181" i="30"/>
  <c r="AE181" i="30" s="1"/>
  <c r="Q181" i="30"/>
  <c r="Q179" i="30"/>
  <c r="P179" i="30"/>
  <c r="AA181" i="30"/>
  <c r="AE179" i="30"/>
  <c r="AD179" i="30" s="1"/>
  <c r="AC179" i="30" l="1"/>
  <c r="AA180" i="30" s="1"/>
  <c r="AC180" i="30" s="1"/>
  <c r="AD181" i="30"/>
  <c r="AE182" i="30"/>
  <c r="AE180" i="30"/>
  <c r="AD180" i="30" s="1"/>
  <c r="AF179" i="30"/>
  <c r="AC181" i="30"/>
  <c r="AA182" i="30" s="1"/>
  <c r="AB181" i="30"/>
  <c r="AF181" i="30" s="1"/>
  <c r="AB180" i="30" l="1"/>
  <c r="AB182" i="30"/>
  <c r="AC182" i="30"/>
  <c r="AA183" i="30" s="1"/>
  <c r="AF180" i="30"/>
  <c r="AD182" i="30"/>
  <c r="AE183" i="30"/>
  <c r="AD183" i="30" l="1"/>
  <c r="AE184" i="30"/>
  <c r="AD184" i="30" s="1"/>
  <c r="AB183" i="30"/>
  <c r="AF183" i="30" s="1"/>
  <c r="AC183" i="30"/>
  <c r="AA184" i="30" s="1"/>
  <c r="AF182" i="30"/>
  <c r="AA186" i="30" l="1"/>
  <c r="AC184" i="30"/>
  <c r="AB184" i="30"/>
  <c r="AF184" i="30" s="1"/>
  <c r="AC186" i="30" l="1"/>
  <c r="AB186" i="30"/>
  <c r="AF186" i="30" s="1"/>
  <c r="W169" i="30" l="1"/>
  <c r="T169" i="30"/>
  <c r="N169" i="30"/>
  <c r="W168" i="30"/>
  <c r="T168" i="30"/>
  <c r="N168" i="30"/>
  <c r="O168" i="30" s="1"/>
  <c r="P168" i="30" s="1"/>
  <c r="AE168" i="30" s="1"/>
  <c r="AD168" i="30" s="1"/>
  <c r="K168" i="30"/>
  <c r="L168" i="30" s="1"/>
  <c r="W167" i="30"/>
  <c r="T167" i="30"/>
  <c r="N167" i="30"/>
  <c r="W166" i="30"/>
  <c r="T166" i="30"/>
  <c r="N166" i="30"/>
  <c r="O166" i="30" s="1"/>
  <c r="P166" i="30" s="1"/>
  <c r="AE166" i="30" s="1"/>
  <c r="J166" i="30"/>
  <c r="K166" i="30" s="1"/>
  <c r="AE169" i="30" l="1"/>
  <c r="AD169" i="30" s="1"/>
  <c r="L166" i="30"/>
  <c r="AA166" i="30" s="1"/>
  <c r="Q166" i="30"/>
  <c r="AE167" i="30"/>
  <c r="AD167" i="30" s="1"/>
  <c r="AD166" i="30"/>
  <c r="Q168" i="30"/>
  <c r="AA168" i="30"/>
  <c r="AC166" i="30" l="1"/>
  <c r="AA167" i="30" s="1"/>
  <c r="AB166" i="30"/>
  <c r="AF166" i="30" s="1"/>
  <c r="AC168" i="30"/>
  <c r="AA169" i="30" s="1"/>
  <c r="AB168" i="30"/>
  <c r="AF168" i="30" s="1"/>
  <c r="AC169" i="30" l="1"/>
  <c r="AB169" i="30"/>
  <c r="AF169" i="30" s="1"/>
  <c r="AC167" i="30"/>
  <c r="AB167" i="30"/>
  <c r="AF167" i="30" s="1"/>
  <c r="W156" i="30" l="1"/>
  <c r="N156" i="30"/>
  <c r="W155" i="30"/>
  <c r="T155" i="30"/>
  <c r="N155" i="30"/>
  <c r="W154" i="30"/>
  <c r="T154" i="30"/>
  <c r="N154" i="30"/>
  <c r="O154" i="30" s="1"/>
  <c r="K154" i="30"/>
  <c r="L154" i="30" s="1"/>
  <c r="Q154" i="30" l="1"/>
  <c r="P154" i="30"/>
  <c r="AE154" i="30" s="1"/>
  <c r="AA154" i="30"/>
  <c r="AD154" i="30" l="1"/>
  <c r="AE155" i="30"/>
  <c r="AC154" i="30"/>
  <c r="AA155" i="30" s="1"/>
  <c r="AB154" i="30"/>
  <c r="AF154" i="30" s="1"/>
  <c r="AC155" i="30" l="1"/>
  <c r="AB155" i="30"/>
  <c r="AD155" i="30"/>
  <c r="AE156" i="30"/>
  <c r="AD156" i="30" l="1"/>
  <c r="AF155" i="30"/>
  <c r="AA156" i="30"/>
  <c r="AC156" i="30" l="1"/>
  <c r="AB156" i="30"/>
  <c r="AF156" i="30" s="1"/>
  <c r="W144" i="30" l="1"/>
  <c r="N144" i="30"/>
  <c r="W143" i="30"/>
  <c r="P143" i="30"/>
  <c r="AE143" i="30" s="1"/>
  <c r="AE144" i="30" s="1"/>
  <c r="N143" i="30"/>
  <c r="K143" i="30"/>
  <c r="Q143" i="30" s="1"/>
  <c r="W142" i="30"/>
  <c r="T142" i="30"/>
  <c r="N142" i="30"/>
  <c r="W141" i="30"/>
  <c r="T141" i="30"/>
  <c r="N141" i="30"/>
  <c r="O141" i="30" s="1"/>
  <c r="K141" i="30"/>
  <c r="L141" i="30" s="1"/>
  <c r="W140" i="30"/>
  <c r="T140" i="30"/>
  <c r="N140" i="30"/>
  <c r="W139" i="30"/>
  <c r="T139" i="30"/>
  <c r="N139" i="30"/>
  <c r="W138" i="30"/>
  <c r="T138" i="30"/>
  <c r="N138" i="30"/>
  <c r="O138" i="30" s="1"/>
  <c r="P138" i="30" s="1"/>
  <c r="AE138" i="30" s="1"/>
  <c r="K138" i="30"/>
  <c r="P141" i="30" l="1"/>
  <c r="AE141" i="30" s="1"/>
  <c r="AD141" i="30" s="1"/>
  <c r="Q141" i="30"/>
  <c r="AD138" i="30"/>
  <c r="AE139" i="30"/>
  <c r="AD139" i="30" s="1"/>
  <c r="Q138" i="30"/>
  <c r="L138" i="30"/>
  <c r="AA138" i="30" s="1"/>
  <c r="AA141" i="30"/>
  <c r="L143" i="30"/>
  <c r="AA143" i="30" s="1"/>
  <c r="AC138" i="30" l="1"/>
  <c r="AA139" i="30" s="1"/>
  <c r="AB138" i="30"/>
  <c r="AF138" i="30" s="1"/>
  <c r="AC143" i="30"/>
  <c r="AA144" i="30" s="1"/>
  <c r="AB143" i="30"/>
  <c r="AF143" i="30" s="1"/>
  <c r="AE142" i="30"/>
  <c r="AD142" i="30" s="1"/>
  <c r="AC141" i="30"/>
  <c r="AA142" i="30" s="1"/>
  <c r="AB141" i="30"/>
  <c r="AF141" i="30" s="1"/>
  <c r="AE140" i="30"/>
  <c r="AD140" i="30" s="1"/>
  <c r="AB142" i="30" l="1"/>
  <c r="AF142" i="30" s="1"/>
  <c r="AC142" i="30"/>
  <c r="AC144" i="30"/>
  <c r="AB144" i="30"/>
  <c r="AF144" i="30" s="1"/>
  <c r="AC139" i="30"/>
  <c r="AA140" i="30" s="1"/>
  <c r="AB139" i="30"/>
  <c r="AF139" i="30" s="1"/>
  <c r="AC140" i="30" l="1"/>
  <c r="AB140" i="30"/>
  <c r="AF140" i="30" s="1"/>
  <c r="W128" i="30" l="1"/>
  <c r="T128" i="30"/>
  <c r="S128" i="30"/>
  <c r="N128" i="30"/>
  <c r="W127" i="30"/>
  <c r="T127" i="30"/>
  <c r="S127" i="30"/>
  <c r="N127" i="30"/>
  <c r="W126" i="30"/>
  <c r="T126" i="30"/>
  <c r="S126" i="30"/>
  <c r="N126" i="30"/>
  <c r="O126" i="30" s="1"/>
  <c r="K126" i="30"/>
  <c r="L126" i="30" s="1"/>
  <c r="Q126" i="30" l="1"/>
  <c r="P126" i="30"/>
  <c r="AE126" i="30" s="1"/>
  <c r="AA126" i="30"/>
  <c r="AD126" i="30" l="1"/>
  <c r="AE127" i="30"/>
  <c r="AD127" i="30" s="1"/>
  <c r="AC126" i="30"/>
  <c r="AA127" i="30" s="1"/>
  <c r="AB126" i="30"/>
  <c r="AF126" i="30" s="1"/>
  <c r="AE128" i="30" l="1"/>
  <c r="AD128" i="30" s="1"/>
  <c r="AC127" i="30"/>
  <c r="AA128" i="30" s="1"/>
  <c r="AB127" i="30"/>
  <c r="AF127" i="30" s="1"/>
  <c r="AC128" i="30" l="1"/>
  <c r="AB128" i="30"/>
  <c r="AF128" i="30" s="1"/>
  <c r="W116" i="30" l="1"/>
  <c r="T116" i="30"/>
  <c r="N116" i="30"/>
  <c r="O116" i="30" s="1"/>
  <c r="K116" i="30"/>
  <c r="L116" i="30" s="1"/>
  <c r="W115" i="30"/>
  <c r="T115" i="30"/>
  <c r="N115" i="30"/>
  <c r="O115" i="30" s="1"/>
  <c r="K115" i="30"/>
  <c r="L115" i="30" s="1"/>
  <c r="W114" i="30"/>
  <c r="T114" i="30"/>
  <c r="N114" i="30"/>
  <c r="O114" i="30" s="1"/>
  <c r="K114" i="30"/>
  <c r="L114" i="30" s="1"/>
  <c r="W113" i="30"/>
  <c r="T113" i="30"/>
  <c r="N113" i="30"/>
  <c r="O113" i="30" s="1"/>
  <c r="K113" i="30"/>
  <c r="L113" i="30" s="1"/>
  <c r="W112" i="30"/>
  <c r="T112" i="30"/>
  <c r="N112" i="30"/>
  <c r="O112" i="30" s="1"/>
  <c r="K112" i="30"/>
  <c r="L112" i="30" s="1"/>
  <c r="P112" i="30" l="1"/>
  <c r="AE112" i="30" s="1"/>
  <c r="AD112" i="30" s="1"/>
  <c r="Q112" i="30"/>
  <c r="Q113" i="30"/>
  <c r="P113" i="30"/>
  <c r="AE113" i="30" s="1"/>
  <c r="Q115" i="30"/>
  <c r="P115" i="30"/>
  <c r="AE115" i="30" s="1"/>
  <c r="Q116" i="30"/>
  <c r="P116" i="30"/>
  <c r="AE116" i="30" s="1"/>
  <c r="AD116" i="30" s="1"/>
  <c r="P114" i="30"/>
  <c r="AE114" i="30" s="1"/>
  <c r="Q114" i="30"/>
  <c r="AA112" i="30"/>
  <c r="AA116" i="30"/>
  <c r="AC116" i="30" l="1"/>
  <c r="AB116" i="30"/>
  <c r="AF116" i="30" s="1"/>
  <c r="AC112" i="30"/>
  <c r="AA113" i="30" s="1"/>
  <c r="AB112" i="30"/>
  <c r="AF112" i="30" s="1"/>
  <c r="AB113" i="30" l="1"/>
  <c r="AC113" i="30"/>
  <c r="AA114" i="30" s="1"/>
  <c r="AB114" i="30" l="1"/>
  <c r="AC114" i="30"/>
  <c r="AA115" i="30" s="1"/>
  <c r="AC115" i="30" l="1"/>
  <c r="AB115" i="30"/>
  <c r="AH102" i="30" l="1"/>
  <c r="W102" i="30"/>
  <c r="AH101" i="30"/>
  <c r="W101" i="30"/>
  <c r="T101" i="30"/>
  <c r="N101" i="30"/>
  <c r="W100" i="30"/>
  <c r="T100" i="30"/>
  <c r="N100" i="30"/>
  <c r="AH99" i="30"/>
  <c r="W99" i="30"/>
  <c r="T99" i="30"/>
  <c r="N99" i="30"/>
  <c r="O99" i="30" s="1"/>
  <c r="K99" i="30"/>
  <c r="L99" i="30" s="1"/>
  <c r="Q99" i="30" l="1"/>
  <c r="P99" i="30"/>
  <c r="AE99" i="30" s="1"/>
  <c r="AA99" i="30"/>
  <c r="AD99" i="30" l="1"/>
  <c r="AE100" i="30"/>
  <c r="AC99" i="30"/>
  <c r="AA100" i="30" s="1"/>
  <c r="AB99" i="30"/>
  <c r="AF99" i="30" l="1"/>
  <c r="AB100" i="30"/>
  <c r="AC100" i="30"/>
  <c r="AA101" i="30" s="1"/>
  <c r="AD100" i="30"/>
  <c r="AE101" i="30"/>
  <c r="AD101" i="30" l="1"/>
  <c r="AE102" i="30"/>
  <c r="AD102" i="30" s="1"/>
  <c r="AC101" i="30"/>
  <c r="AA102" i="30" s="1"/>
  <c r="AB101" i="30"/>
  <c r="AF101" i="30" s="1"/>
  <c r="AF100" i="30"/>
  <c r="AC102" i="30" l="1"/>
  <c r="AB102" i="30"/>
  <c r="AF102" i="30" s="1"/>
  <c r="W86" i="30" l="1"/>
  <c r="T86" i="30"/>
  <c r="N86" i="30"/>
  <c r="O86" i="30" s="1"/>
  <c r="K86" i="30"/>
  <c r="L86" i="30" s="1"/>
  <c r="W83" i="30"/>
  <c r="T83" i="30"/>
  <c r="N83" i="30"/>
  <c r="W82" i="30"/>
  <c r="T82" i="30"/>
  <c r="N82" i="30"/>
  <c r="O82" i="30" s="1"/>
  <c r="K82" i="30"/>
  <c r="L82" i="30" s="1"/>
  <c r="N81" i="30"/>
  <c r="N80" i="30"/>
  <c r="W79" i="30"/>
  <c r="T79" i="30"/>
  <c r="N79" i="30"/>
  <c r="W78" i="30"/>
  <c r="T78" i="30"/>
  <c r="N78" i="30"/>
  <c r="O78" i="30" s="1"/>
  <c r="K78" i="30"/>
  <c r="L78" i="30" s="1"/>
  <c r="AA83" i="30" l="1"/>
  <c r="AB83" i="30" s="1"/>
  <c r="P82" i="30"/>
  <c r="AE82" i="30" s="1"/>
  <c r="AD82" i="30" s="1"/>
  <c r="Q82" i="30"/>
  <c r="Q86" i="30"/>
  <c r="P86" i="30"/>
  <c r="AE86" i="30" s="1"/>
  <c r="AD86" i="30" s="1"/>
  <c r="Q78" i="30"/>
  <c r="P78" i="30"/>
  <c r="AE78" i="30" s="1"/>
  <c r="AA86" i="30"/>
  <c r="AA78" i="30"/>
  <c r="AA82" i="30"/>
  <c r="AE83" i="30"/>
  <c r="AD83" i="30" s="1"/>
  <c r="AC83" i="30" l="1"/>
  <c r="AD78" i="30"/>
  <c r="AE79" i="30"/>
  <c r="AD79" i="30" s="1"/>
  <c r="AF83" i="30"/>
  <c r="AC82" i="30"/>
  <c r="AB82" i="30"/>
  <c r="AF82" i="30" s="1"/>
  <c r="AC78" i="30"/>
  <c r="AA79" i="30" s="1"/>
  <c r="AB78" i="30"/>
  <c r="AF78" i="30" s="1"/>
  <c r="AC86" i="30"/>
  <c r="AB86" i="30"/>
  <c r="AF86" i="30" s="1"/>
  <c r="AB79" i="30" l="1"/>
  <c r="AF79" i="30" s="1"/>
  <c r="AC79" i="30"/>
  <c r="W68" i="30" l="1"/>
  <c r="T68" i="30"/>
  <c r="N68" i="30"/>
  <c r="O68" i="30" s="1"/>
  <c r="P68" i="30" s="1"/>
  <c r="K68" i="30"/>
  <c r="L68" i="30" s="1"/>
  <c r="W67" i="30"/>
  <c r="T67" i="30"/>
  <c r="N67" i="30"/>
  <c r="W66" i="30"/>
  <c r="T66" i="30"/>
  <c r="N66" i="30"/>
  <c r="W65" i="30"/>
  <c r="T65" i="30"/>
  <c r="N65" i="30"/>
  <c r="O65" i="30" s="1"/>
  <c r="P65" i="30" s="1"/>
  <c r="J65" i="30"/>
  <c r="K65" i="30" s="1"/>
  <c r="W64" i="30"/>
  <c r="T64" i="30"/>
  <c r="N64" i="30"/>
  <c r="W63" i="30"/>
  <c r="T63" i="30"/>
  <c r="N63" i="30"/>
  <c r="O63" i="30" s="1"/>
  <c r="P63" i="30" s="1"/>
  <c r="J63" i="30"/>
  <c r="K63" i="30" s="1"/>
  <c r="W62" i="30"/>
  <c r="T62" i="30"/>
  <c r="N62" i="30"/>
  <c r="W61" i="30"/>
  <c r="T61" i="30"/>
  <c r="N61" i="30"/>
  <c r="W60" i="30"/>
  <c r="T60" i="30"/>
  <c r="W59" i="30"/>
  <c r="T59" i="30"/>
  <c r="N59" i="30"/>
  <c r="O59" i="30" s="1"/>
  <c r="J59" i="30"/>
  <c r="K59" i="30" s="1"/>
  <c r="L59" i="30" s="1"/>
  <c r="AE65" i="30" l="1"/>
  <c r="AD65" i="30" s="1"/>
  <c r="AA60" i="30"/>
  <c r="AA59" i="30"/>
  <c r="Q63" i="30"/>
  <c r="L63" i="30"/>
  <c r="AA63" i="30" s="1"/>
  <c r="AA62" i="30"/>
  <c r="P59" i="30"/>
  <c r="AE59" i="30" s="1"/>
  <c r="Q59" i="30"/>
  <c r="Q65" i="30"/>
  <c r="L65" i="30"/>
  <c r="AA67" i="30" s="1"/>
  <c r="AA68" i="30"/>
  <c r="Q68" i="30"/>
  <c r="AA61" i="30"/>
  <c r="AE66" i="30" l="1"/>
  <c r="AD66" i="30" s="1"/>
  <c r="AA64" i="30"/>
  <c r="AC64" i="30" s="1"/>
  <c r="AA65" i="30"/>
  <c r="AB65" i="30" s="1"/>
  <c r="AF65" i="30" s="1"/>
  <c r="AA66" i="30"/>
  <c r="AB66" i="30" s="1"/>
  <c r="AB63" i="30"/>
  <c r="AC63" i="30"/>
  <c r="AC62" i="30"/>
  <c r="AB62" i="30"/>
  <c r="AB59" i="30"/>
  <c r="AC59" i="30"/>
  <c r="AD59" i="30"/>
  <c r="AE60" i="30"/>
  <c r="AB61" i="30"/>
  <c r="AC61" i="30"/>
  <c r="AC67" i="30"/>
  <c r="AB67" i="30"/>
  <c r="AC68" i="30"/>
  <c r="AB68" i="30"/>
  <c r="AB60" i="30"/>
  <c r="AC60" i="30"/>
  <c r="AE67" i="30"/>
  <c r="AC65" i="30" l="1"/>
  <c r="AF66" i="30"/>
  <c r="AB64" i="30"/>
  <c r="AC66" i="30"/>
  <c r="AF59" i="30"/>
  <c r="AD67" i="30"/>
  <c r="AE68" i="30"/>
  <c r="AD68" i="30" s="1"/>
  <c r="AF68" i="30" s="1"/>
  <c r="AD60" i="30"/>
  <c r="AF60" i="30" s="1"/>
  <c r="AE61" i="30"/>
  <c r="AF67" i="30"/>
  <c r="AD61" i="30" l="1"/>
  <c r="AF61" i="30" s="1"/>
  <c r="AE62" i="30"/>
  <c r="AD62" i="30" l="1"/>
  <c r="AF62" i="30" s="1"/>
  <c r="AE63" i="30"/>
  <c r="AD63" i="30" l="1"/>
  <c r="AF63" i="30" s="1"/>
  <c r="AE64" i="30"/>
  <c r="AD64" i="30" s="1"/>
  <c r="AF64" i="30" s="1"/>
  <c r="W49" i="30" l="1"/>
  <c r="T49" i="30"/>
  <c r="N49" i="30"/>
  <c r="O49" i="30" s="1"/>
  <c r="P49" i="30" s="1"/>
  <c r="K49" i="30"/>
  <c r="W48" i="30"/>
  <c r="T48" i="30"/>
  <c r="N48" i="30"/>
  <c r="O48" i="30" s="1"/>
  <c r="K48" i="30"/>
  <c r="L48" i="30" s="1"/>
  <c r="W47" i="30"/>
  <c r="T47" i="30"/>
  <c r="N47" i="30"/>
  <c r="W46" i="30"/>
  <c r="T46" i="30"/>
  <c r="N46" i="30"/>
  <c r="O46" i="30" s="1"/>
  <c r="P46" i="30" s="1"/>
  <c r="AE46" i="30" s="1"/>
  <c r="AD46" i="30" s="1"/>
  <c r="K46" i="30"/>
  <c r="W45" i="30"/>
  <c r="T45" i="30"/>
  <c r="N45" i="30"/>
  <c r="W44" i="30"/>
  <c r="T44" i="30"/>
  <c r="N44" i="30"/>
  <c r="W43" i="30"/>
  <c r="T43" i="30"/>
  <c r="N43" i="30"/>
  <c r="W42" i="30"/>
  <c r="T42" i="30"/>
  <c r="S42" i="30"/>
  <c r="N42" i="30"/>
  <c r="O42" i="30" s="1"/>
  <c r="K42" i="30"/>
  <c r="L42" i="30" s="1"/>
  <c r="AA42" i="30" l="1"/>
  <c r="AC42" i="30" s="1"/>
  <c r="AE45" i="30"/>
  <c r="AD45" i="30" s="1"/>
  <c r="AE43" i="30"/>
  <c r="AD43" i="30" s="1"/>
  <c r="AA45" i="30"/>
  <c r="AB45" i="30" s="1"/>
  <c r="P42" i="30"/>
  <c r="AE42" i="30" s="1"/>
  <c r="AD42" i="30" s="1"/>
  <c r="Q42" i="30"/>
  <c r="P48" i="30"/>
  <c r="AE48" i="30" s="1"/>
  <c r="AD48" i="30" s="1"/>
  <c r="Q48" i="30"/>
  <c r="Q49" i="30"/>
  <c r="Q46" i="30"/>
  <c r="AA44" i="30"/>
  <c r="AE47" i="30"/>
  <c r="AD47" i="30" s="1"/>
  <c r="AA43" i="30"/>
  <c r="AE44" i="30"/>
  <c r="AD44" i="30" s="1"/>
  <c r="L46" i="30"/>
  <c r="AA46" i="30" s="1"/>
  <c r="AA48" i="30"/>
  <c r="AE49" i="30"/>
  <c r="AD49" i="30" s="1"/>
  <c r="L49" i="30"/>
  <c r="AA49" i="30" s="1"/>
  <c r="AF45" i="30" l="1"/>
  <c r="AB42" i="30"/>
  <c r="AC45" i="30"/>
  <c r="AC43" i="30"/>
  <c r="AB43" i="30"/>
  <c r="AF43" i="30" s="1"/>
  <c r="AC49" i="30"/>
  <c r="AB49" i="30"/>
  <c r="AF49" i="30" s="1"/>
  <c r="AC44" i="30"/>
  <c r="AB44" i="30"/>
  <c r="AF44" i="30" s="1"/>
  <c r="AC46" i="30"/>
  <c r="AA47" i="30" s="1"/>
  <c r="AB46" i="30"/>
  <c r="AF46" i="30" s="1"/>
  <c r="AF42" i="30"/>
  <c r="AC48" i="30"/>
  <c r="AB48" i="30"/>
  <c r="AF48" i="30" s="1"/>
  <c r="AC47" i="30" l="1"/>
  <c r="AB47" i="30"/>
  <c r="AF47" i="30" s="1"/>
  <c r="W32" i="30" l="1"/>
  <c r="T32" i="30"/>
  <c r="W31" i="30"/>
  <c r="T31" i="30"/>
  <c r="W30" i="30"/>
  <c r="T30" i="30"/>
  <c r="K30" i="30"/>
  <c r="L30" i="30" s="1"/>
  <c r="W28" i="30"/>
  <c r="T28" i="30"/>
  <c r="AA29" i="30" s="1"/>
  <c r="K28" i="30"/>
  <c r="L28" i="30" s="1"/>
  <c r="W26" i="30"/>
  <c r="T26" i="30"/>
  <c r="K26" i="30"/>
  <c r="L26" i="30" s="1"/>
  <c r="AC29" i="30" l="1"/>
  <c r="AB29" i="30"/>
  <c r="AA32" i="30"/>
  <c r="AA26" i="30"/>
  <c r="AE32" i="30"/>
  <c r="AD32" i="30" s="1"/>
  <c r="AA28" i="30"/>
  <c r="AA31" i="30"/>
  <c r="AE28" i="30"/>
  <c r="AD28" i="30" s="1"/>
  <c r="AA30" i="30"/>
  <c r="AE31" i="30"/>
  <c r="AD31" i="30" s="1"/>
  <c r="AE29" i="30"/>
  <c r="AD29" i="30" s="1"/>
  <c r="AF29" i="30" l="1"/>
  <c r="AB28" i="30"/>
  <c r="AF28" i="30" s="1"/>
  <c r="AC28" i="30"/>
  <c r="AB32" i="30"/>
  <c r="AF32" i="30" s="1"/>
  <c r="AC32" i="30"/>
  <c r="AE30" i="30"/>
  <c r="AD30" i="30" s="1"/>
  <c r="AC31" i="30"/>
  <c r="AB31" i="30"/>
  <c r="AF31" i="30" s="1"/>
  <c r="AC30" i="30"/>
  <c r="AB30" i="30"/>
  <c r="AC26" i="30"/>
  <c r="AB26" i="30"/>
  <c r="AF30" i="30" l="1"/>
  <c r="N26" i="30" l="1"/>
  <c r="O26" i="30" s="1"/>
  <c r="N32" i="30"/>
  <c r="O30" i="30" s="1"/>
  <c r="Q32" i="30" l="1"/>
  <c r="P32" i="30"/>
  <c r="Q26" i="30"/>
  <c r="P26" i="30"/>
  <c r="AE26" i="30" s="1"/>
  <c r="AD26" i="30" s="1"/>
  <c r="AF26" i="30" s="1"/>
  <c r="W16" i="30" l="1"/>
  <c r="T16" i="30"/>
  <c r="S16" i="30"/>
  <c r="N16" i="30"/>
  <c r="O16" i="30" s="1"/>
  <c r="P16" i="30" s="1"/>
  <c r="K16" i="30"/>
  <c r="E16" i="30"/>
  <c r="W15" i="30"/>
  <c r="T15" i="30"/>
  <c r="S15" i="30"/>
  <c r="N15" i="30"/>
  <c r="O15" i="30" s="1"/>
  <c r="P15" i="30" s="1"/>
  <c r="K15" i="30"/>
  <c r="L15" i="30" s="1"/>
  <c r="E15" i="30"/>
  <c r="W14" i="30"/>
  <c r="T14" i="30"/>
  <c r="S14" i="30"/>
  <c r="N14" i="30"/>
  <c r="O14" i="30" s="1"/>
  <c r="K14" i="30"/>
  <c r="L14" i="30" s="1"/>
  <c r="E14" i="30"/>
  <c r="W13" i="30"/>
  <c r="T13" i="30"/>
  <c r="S13" i="30"/>
  <c r="N13" i="30"/>
  <c r="O13" i="30" s="1"/>
  <c r="P13" i="30" s="1"/>
  <c r="K13" i="30"/>
  <c r="L13" i="30" s="1"/>
  <c r="E13" i="30"/>
  <c r="W12" i="30"/>
  <c r="T12" i="30"/>
  <c r="S12" i="30"/>
  <c r="N12" i="30"/>
  <c r="O12" i="30" s="1"/>
  <c r="P12" i="30" s="1"/>
  <c r="AE12" i="30" s="1"/>
  <c r="AD12" i="30" s="1"/>
  <c r="K12" i="30"/>
  <c r="L12" i="30" s="1"/>
  <c r="E12" i="30"/>
  <c r="W11" i="30"/>
  <c r="T11" i="30"/>
  <c r="S11" i="30"/>
  <c r="N11" i="30"/>
  <c r="O11" i="30" s="1"/>
  <c r="P11" i="30" s="1"/>
  <c r="AE11" i="30" s="1"/>
  <c r="AD11" i="30" s="1"/>
  <c r="K11" i="30"/>
  <c r="L11" i="30" s="1"/>
  <c r="E11" i="30"/>
  <c r="W10" i="30"/>
  <c r="T10" i="30"/>
  <c r="S10" i="30"/>
  <c r="N10" i="30"/>
  <c r="O10" i="30" s="1"/>
  <c r="P10" i="30" s="1"/>
  <c r="AE10" i="30" s="1"/>
  <c r="AD10" i="30" s="1"/>
  <c r="J10" i="30"/>
  <c r="K10" i="30" s="1"/>
  <c r="E10" i="30"/>
  <c r="AA12" i="30" l="1"/>
  <c r="AC12" i="30" s="1"/>
  <c r="AA13" i="30"/>
  <c r="AC13" i="30" s="1"/>
  <c r="AE13" i="30"/>
  <c r="AD13" i="30" s="1"/>
  <c r="Q16" i="30"/>
  <c r="Q10" i="30"/>
  <c r="Q14" i="30"/>
  <c r="P14" i="30"/>
  <c r="AE14" i="30" s="1"/>
  <c r="L10" i="30"/>
  <c r="AA10" i="30" s="1"/>
  <c r="Q12" i="30"/>
  <c r="AA14" i="30"/>
  <c r="Q15" i="30"/>
  <c r="L16" i="30"/>
  <c r="AA16" i="30" s="1"/>
  <c r="AE16" i="30"/>
  <c r="AD16" i="30" s="1"/>
  <c r="Q11" i="30"/>
  <c r="Q13" i="30"/>
  <c r="AA11" i="30"/>
  <c r="AB12" i="30" l="1"/>
  <c r="AF12" i="30" s="1"/>
  <c r="AB13" i="30"/>
  <c r="AF13" i="30" s="1"/>
  <c r="AC16" i="30"/>
  <c r="AB16" i="30"/>
  <c r="AF16" i="30" s="1"/>
  <c r="AC10" i="30"/>
  <c r="AB10" i="30"/>
  <c r="AF10" i="30" s="1"/>
  <c r="AB14" i="30"/>
  <c r="AC14" i="30"/>
  <c r="AA15" i="30" s="1"/>
  <c r="AE15" i="30"/>
  <c r="AD15" i="30" s="1"/>
  <c r="AD14" i="30"/>
  <c r="AB11" i="30"/>
  <c r="AF11" i="30" s="1"/>
  <c r="AC11" i="30"/>
  <c r="AF14" i="30" l="1"/>
  <c r="AB15" i="30"/>
  <c r="AF15" i="30" s="1"/>
  <c r="AC15" i="30"/>
  <c r="W27" i="31" l="1"/>
  <c r="T27" i="31"/>
  <c r="N27" i="31"/>
  <c r="O27" i="31" s="1"/>
  <c r="P27" i="31" s="1"/>
  <c r="K27" i="31"/>
  <c r="W26" i="31"/>
  <c r="T26" i="31"/>
  <c r="N26" i="31"/>
  <c r="O26" i="31" s="1"/>
  <c r="P26" i="31" s="1"/>
  <c r="K26" i="31"/>
  <c r="W25" i="31"/>
  <c r="T25" i="31"/>
  <c r="N25" i="31"/>
  <c r="O25" i="31" s="1"/>
  <c r="P25" i="31" s="1"/>
  <c r="AE25" i="31" s="1"/>
  <c r="K25" i="31"/>
  <c r="L25" i="31" s="1"/>
  <c r="W24" i="31"/>
  <c r="T24" i="31"/>
  <c r="N24" i="31"/>
  <c r="O24" i="31" s="1"/>
  <c r="P24" i="31" s="1"/>
  <c r="K24" i="31"/>
  <c r="L24" i="31" s="1"/>
  <c r="W23" i="31"/>
  <c r="T23" i="31"/>
  <c r="N23" i="31"/>
  <c r="O23" i="31" s="1"/>
  <c r="K23" i="31"/>
  <c r="L23" i="31" s="1"/>
  <c r="W15" i="31"/>
  <c r="T15" i="31"/>
  <c r="AA15" i="31" s="1"/>
  <c r="AC15" i="31" s="1"/>
  <c r="N15" i="31"/>
  <c r="O13" i="31" s="1"/>
  <c r="W14" i="31"/>
  <c r="T14" i="31"/>
  <c r="W13" i="31"/>
  <c r="T13" i="31"/>
  <c r="K13" i="31"/>
  <c r="L13" i="31" s="1"/>
  <c r="W11" i="31"/>
  <c r="T11" i="31"/>
  <c r="AE12" i="31" s="1"/>
  <c r="AD12" i="31" s="1"/>
  <c r="K11" i="31"/>
  <c r="L11" i="31" s="1"/>
  <c r="W9" i="31"/>
  <c r="T9" i="31"/>
  <c r="N9" i="31"/>
  <c r="O9" i="31" s="1"/>
  <c r="K9" i="31"/>
  <c r="L9" i="31" s="1"/>
  <c r="Q9" i="31" l="1"/>
  <c r="Q26" i="31"/>
  <c r="AE27" i="31"/>
  <c r="AD27" i="31" s="1"/>
  <c r="AE24" i="31"/>
  <c r="Q27" i="31"/>
  <c r="AA11" i="31"/>
  <c r="AC11" i="31" s="1"/>
  <c r="AE26" i="31"/>
  <c r="AE11" i="31"/>
  <c r="AD11" i="31" s="1"/>
  <c r="AE15" i="31"/>
  <c r="AD15" i="31" s="1"/>
  <c r="AA12" i="31"/>
  <c r="AC12" i="31" s="1"/>
  <c r="AA9" i="31"/>
  <c r="AC9" i="31" s="1"/>
  <c r="Q23" i="31"/>
  <c r="P23" i="31"/>
  <c r="AE23" i="31" s="1"/>
  <c r="AD23" i="31" s="1"/>
  <c r="AB15" i="31"/>
  <c r="L27" i="31"/>
  <c r="AA27" i="31" s="1"/>
  <c r="AB27" i="31" s="1"/>
  <c r="L26" i="31"/>
  <c r="Q25" i="31"/>
  <c r="AE13" i="31"/>
  <c r="AD13" i="31" s="1"/>
  <c r="Q15" i="31"/>
  <c r="P15" i="31"/>
  <c r="Q24" i="31"/>
  <c r="AA14" i="31"/>
  <c r="AA13" i="31"/>
  <c r="AE14" i="31"/>
  <c r="AD14" i="31" s="1"/>
  <c r="AA23" i="31"/>
  <c r="P9" i="31"/>
  <c r="AE9" i="31" s="1"/>
  <c r="AD9" i="31" s="1"/>
  <c r="AB9" i="31" l="1"/>
  <c r="AF27" i="31"/>
  <c r="AB11" i="31"/>
  <c r="AF11" i="31" s="1"/>
  <c r="AF15" i="31"/>
  <c r="AC27" i="31"/>
  <c r="AB12" i="31"/>
  <c r="AF12" i="31" s="1"/>
  <c r="AF9" i="31"/>
  <c r="AB14" i="31"/>
  <c r="AF14" i="31" s="1"/>
  <c r="AC14" i="31"/>
  <c r="AC23" i="31"/>
  <c r="AA24" i="31" s="1"/>
  <c r="AB23" i="31"/>
  <c r="AF23" i="31" s="1"/>
  <c r="AB13" i="31"/>
  <c r="AF13" i="31" s="1"/>
  <c r="AC13" i="31"/>
  <c r="AC24" i="31" l="1"/>
  <c r="AA25" i="31" s="1"/>
  <c r="AB24" i="31"/>
  <c r="AC25" i="31" l="1"/>
  <c r="AA26" i="31" s="1"/>
  <c r="AB25" i="31"/>
  <c r="AC26" i="31" l="1"/>
  <c r="AB26" i="3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ATENCION CIUDADANO</author>
    <author>IRMA</author>
    <author>ACER</author>
    <author>EDUARDO HERNANDEZ</author>
  </authors>
  <commentList>
    <comment ref="B8" authorId="0" shapeId="0" xr:uid="{6BA399A4-4998-4B93-8257-B883D77B61CE}">
      <text>
        <r>
          <rPr>
            <b/>
            <sz val="9"/>
            <color indexed="81"/>
            <rFont val="Tahoma"/>
            <family val="2"/>
          </rPr>
          <t>HACIENDA:</t>
        </r>
        <r>
          <rPr>
            <sz val="9"/>
            <color indexed="81"/>
            <rFont val="Tahoma"/>
            <family val="2"/>
          </rPr>
          <t xml:space="preserve">
V5:las consecuencias que puede ocasionar a la organización la materialización del riesgo
</t>
        </r>
      </text>
    </comment>
    <comment ref="C8" authorId="0" shapeId="0" xr:uid="{F852916B-89F8-44D3-87A7-24BAF230334F}">
      <text>
        <r>
          <rPr>
            <b/>
            <sz val="9"/>
            <color indexed="81"/>
            <rFont val="Tahoma"/>
            <family val="2"/>
          </rPr>
          <t>HACIENDA:</t>
        </r>
        <r>
          <rPr>
            <sz val="9"/>
            <color indexed="81"/>
            <rFont val="Tahoma"/>
            <family val="2"/>
          </rPr>
          <t xml:space="preserve">
justificacion del por que, complemento del impacto
V5: circunstancias o situaciones más evidentes sobre las cuales se presenta el riesgo, las mismas no constituyen la causa principal o base para que se presente el riesgo
/////////****////////***
PARA RIESGO FISCAL
</t>
        </r>
        <r>
          <rPr>
            <b/>
            <sz val="9"/>
            <color indexed="81"/>
            <rFont val="Tahoma"/>
            <family val="2"/>
          </rPr>
          <t>Puntos de Riesgo Fiscal</t>
        </r>
        <r>
          <rPr>
            <sz val="9"/>
            <color indexed="81"/>
            <rFont val="Tahoma"/>
            <family val="2"/>
          </rPr>
          <t xml:space="preserve">
Actividad en la que potencialmente se origina el riesgo fiscal
</t>
        </r>
      </text>
    </comment>
    <comment ref="D8" authorId="0" shapeId="0" xr:uid="{B0CAA2F8-620E-4E1A-AC58-ACC04038AF1C}">
      <text>
        <r>
          <rPr>
            <b/>
            <sz val="9"/>
            <color indexed="81"/>
            <rFont val="Tahoma"/>
            <family val="2"/>
          </rPr>
          <t>HACIENDA:</t>
        </r>
        <r>
          <rPr>
            <sz val="9"/>
            <color indexed="81"/>
            <rFont val="Tahoma"/>
            <family val="2"/>
          </rPr>
          <t xml:space="preserve">
Riesgo q detectamos del objetivo
V5:es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
RIESGO FISCAL
Circunstancia Inmediata
Situación por la que se presenta el riesgo
</t>
        </r>
      </text>
    </comment>
    <comment ref="E8" authorId="0" shapeId="0" xr:uid="{2903A8B0-3B2A-4922-AC5E-F636A002391E}">
      <text>
        <r>
          <rPr>
            <b/>
            <sz val="9"/>
            <color indexed="81"/>
            <rFont val="Tahoma"/>
            <family val="2"/>
          </rPr>
          <t>HACIENDA:</t>
        </r>
        <r>
          <rPr>
            <sz val="9"/>
            <color indexed="81"/>
            <rFont val="Tahoma"/>
            <family val="2"/>
          </rPr>
          <t xml:space="preserve">
causa base para el control….VER CONTEXTO  DELA OTRA VERSION. Es el ultimo por q de los 5 por que.</t>
        </r>
      </text>
    </comment>
    <comment ref="F8" authorId="0" shapeId="0" xr:uid="{70848409-0A2E-4B3A-82ED-D78F74EBBBD5}">
      <text>
        <r>
          <rPr>
            <b/>
            <sz val="9"/>
            <color indexed="81"/>
            <rFont val="Tahoma"/>
            <family val="2"/>
          </rPr>
          <t>HACIENDA:</t>
        </r>
        <r>
          <rPr>
            <sz val="9"/>
            <color indexed="81"/>
            <rFont val="Tahoma"/>
            <family val="2"/>
          </rPr>
          <t xml:space="preserve">
este mapa es solo de gestión. 
POSIBILIDAD DE </t>
        </r>
        <r>
          <rPr>
            <b/>
            <sz val="9"/>
            <color indexed="81"/>
            <rFont val="Tahoma"/>
            <family val="2"/>
          </rPr>
          <t>(QUE:IMPACTO)+(COMO:CAUSA INMEDIATA)+(PORQUE:CAUSA RAIZ)</t>
        </r>
        <r>
          <rPr>
            <sz val="9"/>
            <color indexed="81"/>
            <rFont val="Tahoma"/>
            <family val="2"/>
          </rPr>
          <t xml:space="preserve">
</t>
        </r>
        <r>
          <rPr>
            <b/>
            <sz val="9"/>
            <color indexed="81"/>
            <rFont val="Tahoma"/>
            <family val="2"/>
          </rPr>
          <t xml:space="preserve">QUE + COMO= LO Q PUEDE OCURRIR
 </t>
        </r>
        <r>
          <rPr>
            <sz val="9"/>
            <color indexed="81"/>
            <rFont val="Tahoma"/>
            <family val="2"/>
          </rPr>
          <t xml:space="preserve">
</t>
        </r>
        <r>
          <rPr>
            <b/>
            <sz val="9"/>
            <color indexed="81"/>
            <rFont val="Tahoma"/>
            <family val="2"/>
          </rPr>
          <t>EJ V5</t>
        </r>
        <r>
          <rPr>
            <sz val="9"/>
            <color indexed="81"/>
            <rFont val="Tahoma"/>
            <family val="2"/>
          </rPr>
          <t xml:space="preserve">
Posibilidad de</t>
        </r>
        <r>
          <rPr>
            <b/>
            <sz val="9"/>
            <color indexed="81"/>
            <rFont val="Tahoma"/>
            <family val="2"/>
          </rPr>
          <t xml:space="preserve"> (¿Qué? :Impacto )</t>
        </r>
        <r>
          <rPr>
            <sz val="9"/>
            <color indexed="81"/>
            <rFont val="Tahoma"/>
            <family val="2"/>
          </rPr>
          <t>afectación económica-(</t>
        </r>
        <r>
          <rPr>
            <b/>
            <sz val="9"/>
            <color indexed="81"/>
            <rFont val="Tahoma"/>
            <family val="2"/>
          </rPr>
          <t xml:space="preserve">¿Cómo?Causa Inmediata) </t>
        </r>
        <r>
          <rPr>
            <sz val="9"/>
            <color indexed="81"/>
            <rFont val="Tahoma"/>
            <family val="2"/>
          </rPr>
          <t>por multa y sanción del ente regulador-</t>
        </r>
        <r>
          <rPr>
            <b/>
            <sz val="9"/>
            <color indexed="81"/>
            <rFont val="Tahoma"/>
            <family val="2"/>
          </rPr>
          <t>(¿Por qué? Causa Raíz)</t>
        </r>
        <r>
          <rPr>
            <sz val="9"/>
            <color indexed="81"/>
            <rFont val="Tahoma"/>
            <family val="2"/>
          </rPr>
          <t>debido a adquisición de bienes y servicios fuera de los requerimientos normativos
OJO  ...</t>
        </r>
        <r>
          <rPr>
            <b/>
            <sz val="9"/>
            <color indexed="81"/>
            <rFont val="Tahoma"/>
            <family val="2"/>
          </rPr>
          <t xml:space="preserve">.NOOOOO: </t>
        </r>
        <r>
          <rPr>
            <sz val="9"/>
            <color indexed="81"/>
            <rFont val="Tahoma"/>
            <family val="2"/>
          </rPr>
          <t xml:space="preserve">
No describir como riesgos omisiones ni desviaciones del control.
No describir causas como riesgos
No describir riesgos como la negación de un control
No existen riesgos transversales, lo que pueden existir son causas transversales.
 </t>
        </r>
      </text>
    </comment>
    <comment ref="I8" authorId="0" shapeId="0" xr:uid="{0F636ADC-5BDD-47BA-AC56-642C964F4659}">
      <text>
        <r>
          <rPr>
            <b/>
            <sz val="9"/>
            <color indexed="81"/>
            <rFont val="Tahoma"/>
            <family val="2"/>
          </rPr>
          <t>HACIENDA:</t>
        </r>
        <r>
          <rPr>
            <sz val="9"/>
            <color indexed="81"/>
            <rFont val="Tahoma"/>
            <family val="2"/>
          </rPr>
          <t xml:space="preserve">
aplico el tipo de riesgo ver pag 38
</t>
        </r>
      </text>
    </comment>
    <comment ref="S8" authorId="0" shapeId="0" xr:uid="{98281EFA-8092-4AB4-999A-6E053521B460}">
      <text>
        <r>
          <rPr>
            <b/>
            <sz val="9"/>
            <color indexed="81"/>
            <rFont val="Tahoma"/>
            <family val="2"/>
          </rPr>
          <t>HACIENDA:</t>
        </r>
        <r>
          <rPr>
            <sz val="9"/>
            <color indexed="81"/>
            <rFont val="Tahoma"/>
            <family val="2"/>
          </rPr>
          <t xml:space="preserve">
</t>
        </r>
        <r>
          <rPr>
            <b/>
            <sz val="9"/>
            <color indexed="81"/>
            <rFont val="Tahoma"/>
            <family val="2"/>
          </rPr>
          <t>subcausa(sacada de la act del proceso-ojo revisar proceso), con los 6pasos para el control</t>
        </r>
        <r>
          <rPr>
            <sz val="9"/>
            <color indexed="81"/>
            <rFont val="Tahoma"/>
            <family val="2"/>
          </rPr>
          <t xml:space="preserve">
</t>
        </r>
        <r>
          <rPr>
            <b/>
            <sz val="9"/>
            <color indexed="81"/>
            <rFont val="Tahoma"/>
            <family val="2"/>
          </rPr>
          <t>V5:</t>
        </r>
        <r>
          <rPr>
            <sz val="9"/>
            <color indexed="81"/>
            <rFont val="Tahoma"/>
            <family val="2"/>
          </rPr>
          <t xml:space="preserve">  Estructura para la descripción del control: 
para una adecuada redacción del control se propone una estructura que facilitará más adelante entender su tipología y otros atributos para su valoración. La estructura es la siguiente:
</t>
        </r>
        <r>
          <rPr>
            <b/>
            <sz val="9"/>
            <color indexed="81"/>
            <rFont val="Tahoma"/>
            <family val="2"/>
          </rPr>
          <t xml:space="preserve">Responsable </t>
        </r>
        <r>
          <rPr>
            <sz val="9"/>
            <color indexed="81"/>
            <rFont val="Tahoma"/>
            <family val="2"/>
          </rPr>
          <t xml:space="preserve">de ejecutar el control: identifica el cargo del servidor que ejecuta el control, en caso de que sean controles automáticos se identificará el sistema que realiza la activ idad.
Acción: se determina mediante verbos que indican la acción que deben realizar como parte del control.
</t>
        </r>
        <r>
          <rPr>
            <b/>
            <sz val="9"/>
            <color indexed="81"/>
            <rFont val="Tahoma"/>
            <family val="2"/>
          </rPr>
          <t>Complemento: c</t>
        </r>
        <r>
          <rPr>
            <sz val="9"/>
            <color indexed="81"/>
            <rFont val="Tahoma"/>
            <family val="2"/>
          </rPr>
          <t xml:space="preserve">orresponde a los detalles que permiten identificar claramente el objeto del control.
EJ:
</t>
        </r>
        <r>
          <rPr>
            <b/>
            <sz val="9"/>
            <color indexed="81"/>
            <rFont val="Tahoma"/>
            <family val="2"/>
          </rPr>
          <t>(Responsable)E</t>
        </r>
        <r>
          <rPr>
            <sz val="9"/>
            <color indexed="81"/>
            <rFont val="Tahoma"/>
            <family val="2"/>
          </rPr>
          <t>l profesional de Contratación</t>
        </r>
        <r>
          <rPr>
            <b/>
            <sz val="9"/>
            <color indexed="81"/>
            <rFont val="Tahoma"/>
            <family val="2"/>
          </rPr>
          <t xml:space="preserve"> + ( Acción)</t>
        </r>
        <r>
          <rPr>
            <sz val="9"/>
            <color indexed="81"/>
            <rFont val="Tahoma"/>
            <family val="2"/>
          </rPr>
          <t xml:space="preserve"> verifica que la información suministrada por el proveedor corresponda con los requisitos establecidos acorde con el tipo de contratación,+</t>
        </r>
        <r>
          <rPr>
            <b/>
            <sz val="9"/>
            <color indexed="81"/>
            <rFont val="Tahoma"/>
            <family val="2"/>
          </rPr>
          <t xml:space="preserve"> (COMPLEMENTO) </t>
        </r>
        <r>
          <rPr>
            <sz val="9"/>
            <color indexed="81"/>
            <rFont val="Tahoma"/>
            <family val="2"/>
          </rPr>
          <t xml:space="preserve">a través de una lista de chequeo donde están los requisitos de información y la revisa con la información física suministrada por el proveedor, los contratos que cumplen son registrados en el sistema de información de contratación.
 </t>
        </r>
      </text>
    </comment>
    <comment ref="U8" authorId="0" shapeId="0" xr:uid="{D048D563-F829-45E7-A7D5-FC81FD05999A}">
      <text>
        <r>
          <rPr>
            <b/>
            <sz val="9"/>
            <color indexed="81"/>
            <rFont val="Tahoma"/>
            <family val="2"/>
          </rPr>
          <t>HACIENDA:</t>
        </r>
        <r>
          <rPr>
            <sz val="9"/>
            <color indexed="81"/>
            <rFont val="Tahoma"/>
            <family val="2"/>
          </rPr>
          <t xml:space="preserve">
ver en el proceso en donde esta el riesgo: entreda(preventivo) proceso(detectivo) o salida(correctivo)</t>
        </r>
      </text>
    </comment>
    <comment ref="AH8" authorId="0" shapeId="0" xr:uid="{C0FDEE5E-D982-41B7-A3C1-3A005B572F98}">
      <text>
        <r>
          <rPr>
            <b/>
            <sz val="9"/>
            <color indexed="81"/>
            <rFont val="Tahoma"/>
            <family val="2"/>
          </rPr>
          <t>HACIENDA:</t>
        </r>
        <r>
          <rPr>
            <sz val="9"/>
            <color indexed="81"/>
            <rFont val="Tahoma"/>
            <family val="2"/>
          </rPr>
          <t xml:space="preserve">
COMPLEMENTA APOYA 
 LA ACCION CONTROL
Esta casilla dependerá del tratamiento establecido, si es</t>
        </r>
        <r>
          <rPr>
            <b/>
            <sz val="9"/>
            <color indexed="81"/>
            <rFont val="Tahoma"/>
            <family val="2"/>
          </rPr>
          <t xml:space="preserve"> Acepta</t>
        </r>
        <r>
          <rPr>
            <sz val="9"/>
            <color indexed="81"/>
            <rFont val="Tahoma"/>
            <family val="2"/>
          </rPr>
          <t xml:space="preserve">r no se requieren acciones adicionales, en caso de escoger </t>
        </r>
        <r>
          <rPr>
            <b/>
            <sz val="9"/>
            <color indexed="81"/>
            <rFont val="Tahoma"/>
            <family val="2"/>
          </rPr>
          <t xml:space="preserve">Reducir (mitigar) </t>
        </r>
        <r>
          <rPr>
            <sz val="9"/>
            <color indexed="81"/>
            <rFont val="Tahoma"/>
            <family val="2"/>
          </rPr>
          <t>se deben diligenciar las acciones que se adelantarán como complemento a los controles establecidos, no necesariamente son controles adicionales. Para</t>
        </r>
        <r>
          <rPr>
            <sz val="9"/>
            <color indexed="81"/>
            <rFont val="Tahoma"/>
            <family val="2"/>
          </rPr>
          <t xml:space="preserve">, es viable diligenciar la acción que deriva de esta (ejemplo póliza seguros, terceración), indicando información relevante. </t>
        </r>
      </text>
    </comment>
    <comment ref="H9" authorId="0" shapeId="0" xr:uid="{A735D469-2AAF-4B7F-8FC8-99C5AEB39AD3}">
      <text>
        <r>
          <rPr>
            <b/>
            <sz val="9"/>
            <color indexed="81"/>
            <rFont val="Tahoma"/>
            <family val="2"/>
          </rPr>
          <t>HACIENDA:</t>
        </r>
        <r>
          <rPr>
            <sz val="9"/>
            <color indexed="81"/>
            <rFont val="Tahoma"/>
            <family val="2"/>
          </rPr>
          <t xml:space="preserve">
GENERADORA DEL RIESGO. VER EL PROCESO Y TRAERLA. AGREGAR EL No del procedimiento.</t>
        </r>
      </text>
    </comment>
    <comment ref="J10" authorId="0" shapeId="0" xr:uid="{9BD32279-8626-4A59-B163-A19D7D235AC9}">
      <text>
        <r>
          <rPr>
            <b/>
            <sz val="9"/>
            <color indexed="81"/>
            <rFont val="Tahoma"/>
            <family val="2"/>
          </rPr>
          <t>HACIENDA:</t>
        </r>
        <r>
          <rPr>
            <sz val="9"/>
            <color indexed="81"/>
            <rFont val="Tahoma"/>
            <family val="2"/>
          </rPr>
          <t xml:space="preserve">
11 reportes de ejecución y 3 a la alata gerencia (trimestral)</t>
        </r>
      </text>
    </comment>
    <comment ref="J12" authorId="0" shapeId="0" xr:uid="{79FB587D-9B08-495D-AC0A-14E2FDCB4BA9}">
      <text>
        <r>
          <rPr>
            <b/>
            <sz val="9"/>
            <color indexed="81"/>
            <rFont val="Tahoma"/>
            <family val="2"/>
          </rPr>
          <t>HACIENDA:</t>
        </r>
        <r>
          <rPr>
            <sz val="9"/>
            <color indexed="81"/>
            <rFont val="Tahoma"/>
            <family val="2"/>
          </rPr>
          <t xml:space="preserve">
Revisión de documentos 1 vez al año y normograma trimestral (4 veces en el año)</t>
        </r>
      </text>
    </comment>
    <comment ref="J14" authorId="0" shapeId="0" xr:uid="{CDC002B3-4FD5-4E1D-A7F0-FC2EC810B251}">
      <text>
        <r>
          <rPr>
            <b/>
            <sz val="9"/>
            <color indexed="81"/>
            <rFont val="Tahoma"/>
            <family val="2"/>
          </rPr>
          <t>HACIENDA:</t>
        </r>
        <r>
          <rPr>
            <sz val="9"/>
            <color indexed="81"/>
            <rFont val="Tahoma"/>
            <family val="2"/>
          </rPr>
          <t xml:space="preserve">
DATOS DIRESSION DE RENTAS...DE LOS 258,000 PREDIOS FACTURADOS DEL IPU LA PROBABILIDAD DE EMISION DE LOS CLDO POR AÑO ES DE 5,000 SEGÚN PROYECCION DE PLAN DE ACCION DE RENTAS
------
ID#AAABTLYZ7rk
PILAR CUEVAS    (2024-09-13 15:36:06)
la actividad que conlleva el riesgo se ejecuta aproximadamente 100 veces al año</t>
        </r>
      </text>
    </comment>
    <comment ref="J15" authorId="0" shapeId="0" xr:uid="{7F89CC53-E176-4D8E-949F-3FB74C64E45D}">
      <text>
        <r>
          <rPr>
            <b/>
            <sz val="9"/>
            <color indexed="81"/>
            <rFont val="Tahoma"/>
            <family val="2"/>
          </rPr>
          <t>HACIENDA:</t>
        </r>
        <r>
          <rPr>
            <sz val="9"/>
            <color indexed="81"/>
            <rFont val="Tahoma"/>
            <family val="2"/>
          </rPr>
          <t xml:space="preserve">
promedio con riedgo de prescripcion anual cartera prescrita 2023-300,000,000
</t>
        </r>
      </text>
    </comment>
    <comment ref="J59" authorId="1" shapeId="0" xr:uid="{9FF647E1-B883-4C65-9EB9-891AE5D9F86E}">
      <text>
        <r>
          <rPr>
            <b/>
            <sz val="9"/>
            <color indexed="81"/>
            <rFont val="Tahoma"/>
            <family val="2"/>
          </rPr>
          <t>ATENCION CIUDADANO:</t>
        </r>
        <r>
          <rPr>
            <sz val="9"/>
            <color indexed="81"/>
            <rFont val="Tahoma"/>
            <family val="2"/>
          </rPr>
          <t xml:space="preserve">
Número de PQRSD respondidos por fuera del termino, sin respuesta y vencidos (enero - agosto). </t>
        </r>
      </text>
    </comment>
    <comment ref="J65" authorId="1" shapeId="0" xr:uid="{4E677BD8-3C88-49F9-9DF9-7B38277C91CE}">
      <text>
        <r>
          <rPr>
            <b/>
            <sz val="9"/>
            <color indexed="81"/>
            <rFont val="Tahoma"/>
            <family val="2"/>
          </rPr>
          <t>ATENCION CIUDADANO:</t>
        </r>
        <r>
          <rPr>
            <sz val="9"/>
            <color indexed="81"/>
            <rFont val="Tahoma"/>
            <family val="2"/>
          </rPr>
          <t xml:space="preserve">
Número de contratos de Secretaría General y Dirección de Atención al Ciudadano del año 2024</t>
        </r>
      </text>
    </comment>
    <comment ref="AK139" authorId="2" shapeId="0" xr:uid="{72E300F4-8363-4C0F-9DDF-D64ED3AF2D6E}">
      <text>
        <r>
          <rPr>
            <b/>
            <sz val="9"/>
            <color indexed="81"/>
            <rFont val="Tahoma"/>
            <family val="2"/>
          </rPr>
          <t>IRMA:</t>
        </r>
        <r>
          <rPr>
            <sz val="9"/>
            <color indexed="81"/>
            <rFont val="Tahoma"/>
            <family val="2"/>
          </rPr>
          <t xml:space="preserve">
 OJO CON EL MEMORANDO PONER EL NUMERO DE RADICADO A QUIEN Y EN QUE FECHA </t>
        </r>
      </text>
    </comment>
    <comment ref="S196" authorId="3" shapeId="0" xr:uid="{BF10575D-0A2E-47B3-A319-26B20E9BF8F0}">
      <text>
        <r>
          <rPr>
            <b/>
            <sz val="9"/>
            <color indexed="81"/>
            <rFont val="Tahoma"/>
            <family val="2"/>
          </rPr>
          <t>ACER:</t>
        </r>
        <r>
          <rPr>
            <sz val="9"/>
            <color indexed="81"/>
            <rFont val="Tahoma"/>
            <family val="2"/>
          </rPr>
          <t xml:space="preserve">
Documentar
FORMULAR QUE PASA CON LA DESVIACION Y CUAL PUEDE SER LA EVIDENCIA, en donde tenbemos establecido ques e debe hacer el seguimiento - EN QUE DOCUMENTO DEL PROCESO
</t>
        </r>
      </text>
    </comment>
    <comment ref="S197" authorId="4" shapeId="0" xr:uid="{35B48FC9-2916-49A9-9490-7110A67CD2C9}">
      <text>
        <r>
          <rPr>
            <b/>
            <sz val="9"/>
            <color indexed="81"/>
            <rFont val="Tahoma"/>
            <family val="2"/>
          </rPr>
          <t>EDUARDO HERNANDEZ:</t>
        </r>
        <r>
          <rPr>
            <sz val="9"/>
            <color indexed="81"/>
            <rFont val="Tahoma"/>
            <family val="2"/>
          </rPr>
          <t xml:space="preserve">
FALTA REGISTRO</t>
        </r>
      </text>
    </comment>
  </commentList>
</comments>
</file>

<file path=xl/sharedStrings.xml><?xml version="1.0" encoding="utf-8"?>
<sst xmlns="http://schemas.openxmlformats.org/spreadsheetml/2006/main" count="2270" uniqueCount="686">
  <si>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</si>
  <si>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</si>
  <si>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</si>
  <si>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</si>
  <si>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</si>
  <si>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</si>
  <si>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</si>
  <si>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</si>
  <si>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</si>
  <si>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</si>
  <si>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</si>
  <si>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</si>
  <si>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</si>
  <si>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</si>
  <si>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</si>
  <si>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</si>
  <si>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</si>
  <si>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</si>
  <si>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</si>
  <si>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</si>
  <si>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</si>
  <si>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</si>
  <si>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</si>
  <si>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</si>
  <si>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</si>
  <si>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</si>
  <si>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</si>
  <si>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</si>
  <si>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</si>
  <si>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</si>
  <si>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</si>
  <si>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</si>
  <si>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</si>
  <si>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</si>
  <si>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</si>
  <si>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</si>
  <si>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</si>
  <si>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</si>
  <si>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</si>
  <si>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</si>
  <si>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</si>
  <si>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</si>
  <si>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</si>
  <si>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</si>
  <si>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</si>
  <si>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</si>
  <si>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</si>
  <si>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</si>
  <si>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</si>
  <si>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</si>
  <si>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</si>
  <si>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</si>
  <si>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</si>
  <si>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</si>
  <si>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</si>
  <si>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</si>
  <si>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</si>
  <si>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</si>
  <si>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</si>
  <si>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</si>
  <si>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</si>
  <si>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</si>
  <si>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</si>
  <si>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</si>
  <si>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</si>
  <si>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</si>
  <si>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</si>
  <si>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</si>
  <si>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</si>
  <si>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</si>
  <si>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</si>
  <si>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</si>
  <si>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</si>
  <si>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</si>
  <si>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</si>
  <si>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</si>
  <si>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</si>
  <si>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</si>
  <si>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</si>
  <si>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</si>
  <si>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</si>
  <si>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</si>
  <si>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</si>
  <si>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</si>
  <si>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</si>
  <si>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</si>
  <si>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</si>
  <si>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</si>
  <si>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</si>
  <si>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</si>
  <si>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</si>
  <si>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</si>
  <si>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</si>
  <si>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</si>
  <si>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</si>
  <si>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</si>
  <si>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</si>
  <si>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</si>
  <si>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</si>
  <si>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</si>
  <si>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</si>
  <si>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</si>
  <si>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</si>
  <si>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</si>
  <si>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</si>
  <si>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</si>
  <si>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</si>
  <si>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</si>
  <si>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</si>
  <si>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</si>
  <si>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</si>
  <si>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</si>
  <si>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</si>
  <si>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</si>
  <si>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</si>
  <si>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</si>
  <si>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</si>
  <si>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</si>
  <si>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</si>
  <si>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</si>
  <si>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</si>
  <si>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</si>
  <si>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</si>
  <si>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</si>
  <si>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</si>
  <si>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</si>
  <si>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</si>
  <si>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</si>
  <si>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</si>
  <si>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</si>
  <si>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</si>
  <si>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</si>
  <si>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</si>
  <si>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</si>
  <si>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</si>
  <si>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</si>
  <si>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</si>
  <si>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</si>
  <si>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</si>
  <si>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</si>
  <si>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</si>
  <si>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Impacto</t>
  </si>
  <si>
    <t>Responsable</t>
  </si>
  <si>
    <t>EVITAR EL RIESGO</t>
  </si>
  <si>
    <t>REDUCIR EL RIESGO</t>
  </si>
  <si>
    <t>CATASTRÓFICO</t>
  </si>
  <si>
    <t>ACEPTAR EL RIESGO</t>
  </si>
  <si>
    <t>COMPARTIR EL RIESGO</t>
  </si>
  <si>
    <t xml:space="preserve">Formato Mapa Riesgos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</si>
  <si>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</si>
  <si>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</si>
  <si>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</si>
  <si>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</si>
  <si>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</si>
  <si>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</si>
  <si>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</si>
  <si>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</si>
  <si>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</si>
  <si>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Causa Inmediata</t>
  </si>
  <si>
    <t>Causa Raíz</t>
  </si>
  <si>
    <t>Subcausas</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</si>
  <si>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</si>
  <si>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</si>
  <si>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</si>
  <si>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</si>
  <si>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</si>
  <si>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</si>
  <si>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</si>
  <si>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</si>
  <si>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</si>
  <si>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</si>
  <si>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</si>
  <si>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</si>
  <si>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</si>
  <si>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</si>
  <si>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</si>
  <si>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</si>
  <si>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</si>
  <si>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Fecha Implementación</t>
  </si>
  <si>
    <t>Fecha Seguimiento</t>
  </si>
  <si>
    <t>Seguimiento</t>
  </si>
  <si>
    <t>Estado</t>
  </si>
  <si>
    <t>Actividades de Riesgo</t>
  </si>
  <si>
    <t>Tipo</t>
  </si>
  <si>
    <t>Implementación</t>
  </si>
  <si>
    <t>Calificación</t>
  </si>
  <si>
    <t>Documentación</t>
  </si>
  <si>
    <t>Frecuencia</t>
  </si>
  <si>
    <t>Evidencia</t>
  </si>
  <si>
    <t>Reputacional</t>
  </si>
  <si>
    <t>Ejecucion y Administracion de procesos</t>
  </si>
  <si>
    <t>Manual</t>
  </si>
  <si>
    <t>Sin Documentar</t>
  </si>
  <si>
    <t>Continua</t>
  </si>
  <si>
    <t>Con Registro</t>
  </si>
  <si>
    <t>Reducir (mitigar)</t>
  </si>
  <si>
    <t>En curso</t>
  </si>
  <si>
    <t>Preventivo</t>
  </si>
  <si>
    <t>Documentado</t>
  </si>
  <si>
    <t>Económico y Reputacional</t>
  </si>
  <si>
    <t xml:space="preserve">     El riesgo afecta la imagen de la entidad con algunos usuarios de relevancia frente al logro de los objetivos</t>
  </si>
  <si>
    <t>Tipo de Riesgos</t>
  </si>
  <si>
    <t>Gestión</t>
  </si>
  <si>
    <t>FISCAL</t>
  </si>
  <si>
    <t>GESTION DE SALUD</t>
  </si>
  <si>
    <t>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t>
  </si>
  <si>
    <t>INICIA CON LA CONTRUCCION DEL PLAN TERRITORIAL DE SALUD – PTS MEDIANTE EL DESARROLLO DE LA METODOLOGIA PASE A LA EQUIDAD EN SALUD Y LA APROBACION DEL MISMO Y TERMINA CON EL DESARROLLO DE ACCIONES CORRECTIVAS CUANDO NO SE CUMPLEN LAS METAS Y OBJETIVOS DEL PLAN</t>
  </si>
  <si>
    <t>EVIDENCIAS</t>
  </si>
  <si>
    <t>SEGUIMIENTO</t>
  </si>
  <si>
    <t xml:space="preserve">Sanciones y disminución de recursos  </t>
  </si>
  <si>
    <t>Incumplimiento a las politicas publicas y a las metas del plan territorial de salud</t>
  </si>
  <si>
    <t xml:space="preserve">Planificación inadecuada de las acciones y estrategias de la entidad en cumplimiento al proceso gestión de salud.
</t>
  </si>
  <si>
    <t>Posiblilidad de perdida reputacional y económica  por sanciones y/o disminución de recursos debido al imcumplimiento de las políticas publicas y a las metas del Plan Territorial de Salud  "PTS".</t>
  </si>
  <si>
    <t xml:space="preserve">Realizar la formulación, aprobación  y armonización del Plan Territorial de Salud con el plan de desarrollo . 
Realizar fomulación,  Aprobación y ejecución del plan de acción en salud  (PAS) y el componente operativo anual de inversión  ( COAI)
</t>
  </si>
  <si>
    <t xml:space="preserve">     El riesgo afecta la imagen de de la entidad con efecto publicitario sostenido a nivel de sector administrativo, nivel departamental o municipal</t>
  </si>
  <si>
    <t xml:space="preserve"> La  Asesora del Despacho cada mes realiza seguimiento a la ejecución de los planes de acción y del plan indicativo, comparando la información suministrada por las direcciones en los comités técnicos, con respecto a las metas establecidas en la hoja de vida de los indicadores a la fecha de corte. 
Si se determina que la meta esta resagada, se establece un plan de contingencia o estrategia para nivelar el cumplimiento, se evidencia en las actas de comité técnico
</t>
  </si>
  <si>
    <t xml:space="preserve">Realizar  seguimientos  bimensuales a los procesos contractuales de la secretaria mediante la  "Matriz de seguimiento gestión contractual. </t>
  </si>
  <si>
    <t>Asesora del Despacho</t>
  </si>
  <si>
    <t>Mensual</t>
  </si>
  <si>
    <t>Matriz Proceso Contractual</t>
  </si>
  <si>
    <t>Se lleva a cabo el seguimiento a los contratos mediante la herramienta interna "Matriz Contractual de Enero - febrero de 2025"</t>
  </si>
  <si>
    <t>Desarticulación entre las direcciónes de la secretraría para formular e implementar acciones y estrategias.</t>
  </si>
  <si>
    <t xml:space="preserve">Actas Comité Técnico </t>
  </si>
  <si>
    <t>Acta No. 3 del 31 de enero de 2024, Acta del 15 de febrero de 2024, Acta No, 15 del 18 de marzo de 2024, Acta No. 17 del 1 de abril de 2024, Acta No.26 del 27 de mayo de 2024, Acta No. 28 del 4 de junio de 2024, Acta Comité Técnico No,043 del 30 de septiembre de 2024, Acta Comité Técnico No.044 del 7 de octubre de 2024, Acta Comité Técnico No.045 del 15 de octubre de 2024, Acta Comité Técnico No. 046 del 21 de octubre de 2024,  Acta Comté Técnico No056 del 5 de diciembre de 2024, Acta Comité Técnico No.0057 del 9 de diciembre de 2024, Acta Comité Técnico No. 0058 del 18 de diciembre de 2024.</t>
  </si>
  <si>
    <t>Pérdida de información y/o demora para la toma de decisiones</t>
  </si>
  <si>
    <t>Falta de interoperabilidad de las bases de datos y diferentes fuentes de información en salud</t>
  </si>
  <si>
    <t>Posibilidad de pérdida económica y reputacional por sanciones y disminución de recursos, debido a la pérdida de  información y/o demora para la toma de decisiones.</t>
  </si>
  <si>
    <t xml:space="preserve">Implementación en el desarrollo de modulos en  el sistema AMISALUD como:
1. Auditorías a las EPS
2. Listados Censales.               
3. Maestra de Afiliaciones y novedades.                             
4.- Auditoría de IPS.                      
5. Peticiones Quejas y Reclamos.    
6.Resultado y análisis de indicadores en salud. </t>
  </si>
  <si>
    <t>El ingeniero de sistemas con su equipo de trabajo de la secretaría de salud municipal, continuamente realiza la programación y el mantenimiento del sistema para el intercambio de datos, e implementación de  módulos de acuerdo al cronograma de actividades según la necesidad y herramientas tecnológicas con las que se cuenta. De lo anterior se aporta informe mensual de avances y actas de reuniones.</t>
  </si>
  <si>
    <t>Desarrollar en el sistema de información AMISALUD la implementación de  módulos que apoyen los procedimientos del proceso Gestión Salud para la obtención de datos y la toma de decisiones.</t>
  </si>
  <si>
    <t>Profesional universitario (Ingeniero de sistemas dirección de aseguramiento), directores y contratista de apoyo</t>
  </si>
  <si>
    <t>Bimensual</t>
  </si>
  <si>
    <t>Informes avance AMISALUD
Mayo, Junio, Julio, Agosto de 2024</t>
  </si>
  <si>
    <t xml:space="preserve">Informes AMISALUD: a 29 de febrero de 2024,  31 de marzo de 2024, 30 de abril de 2024, 30 de junio de 2024, 31 de julio de 2024, 31 de agosto de 2024, Informe AMISALUD del 1 de septiembre al 15 de octubre de 2024, Informe AMISALUD de Octubre de 2024, Informe AMISALUD Noviembre - Diciembre 2024. </t>
  </si>
  <si>
    <t xml:space="preserve">No se cuenta con la integración de la  información necesaria para la toma de decisiones  que hacen parte del proceso Gestión Salud. </t>
  </si>
  <si>
    <t>Los directores con su equipo de trabajo de manera trimestral, en sus comités técnicos, revisan, evalúan y analizan los indicadores y demas información requerida, con el fin de verifiar el cumplimiento de las metas trazadas, si se observa desviación se debe corregir de inmediato dejando  evidencia en las respectivas actas de seguimiento.</t>
  </si>
  <si>
    <t>Multa / Sanción Organismos de control</t>
  </si>
  <si>
    <t>Incumplimiento requisitos de ley para el otorgamiento de subsidios y/o beneficios</t>
  </si>
  <si>
    <t xml:space="preserve">La dificultad de consecusión de la información de las bases de datos provenientes de la dirección del SISBEN, en periodos trimestrales .
</t>
  </si>
  <si>
    <t>La posibilidad de afectación ecónomica y reputacional por multa o sanción de los organismos de control, debido al otorgamiento de subsidios o beneficios a personas que no cumplen con los requisitos de ley, y/o población fallecida.</t>
  </si>
  <si>
    <t>revisar caracterización del proceso para identificar en que actividad se realizaría el otorgamiento de los beneficios o subsidios para identificar la actividad generadora del riesgo, donde se podría materializar el riesgo</t>
  </si>
  <si>
    <t xml:space="preserve">     Afectación menor a 200 SMLMV</t>
  </si>
  <si>
    <t>El ingeniero de sistemas de aseguramiento trimestralmente solicita por medio de correo electrónico y/o memorando la base de datos del SISBEN cuatro, con el fin de actualizar el sistema de información de amisalud y determinar usuarios con afiliación de oficio sin SISBEN y Usuarios subsiado por encima de clasificación C18, dejando como evidencia las solicitudes y reporte de cartgue de la información y en caso de que la dependencia (SISBEN) no envíe la información se reitera la solicitud.</t>
  </si>
  <si>
    <t>Detectivo</t>
  </si>
  <si>
    <t>Realizar una mesa de trabajo al año, con las dependencias invocradas en el proceso, para socializar la normatividad que enmarca el el procedimiento de afiliación al régimen subsidiado, y la importancia de la oportundiad en la adquisición de la información para cumplir con lo establecido en Ley</t>
  </si>
  <si>
    <t>Profesional Universitario Ingeniero de Sistemas Aseguramiento</t>
  </si>
  <si>
    <t>ABRIL 30 DE 2024</t>
  </si>
  <si>
    <t>Documentos Solicitud Base de datos SISBEN.
Requerimiento información Secretaría de Hacienda</t>
  </si>
  <si>
    <t>Memomorando No.1610-2024-018076  del 3 de mayo del 2024, Solicitud de Información SISBEN, Memorando No. 1610-02078 del 16 de mayo de 2024, Solicitud Base de datos al SISBEN, Memorando No.1610-033283 del 1 de agosto de 2024 solicitud Base de Datos SISBEN, Memorando No. 1610-033278 del 1 de agosto de 2024 Solicitud Base de Datos Predial e Industria y Comercio, Memorando 1610-2024-054609 del 15 de noviembre de 2024 solicitud base de datos SISBEN.</t>
  </si>
  <si>
    <t>La dificultad en el acceso a la información de predial e industria y comercio debido a que la secretaría de Hacienda no la suministra, para determinar evasión y elusión</t>
  </si>
  <si>
    <t>El ingeniero de sistemas de aseguramiento, semestralmente solicita por medio de correo electrónico y/o memorando la base de datos de predial e industria y comercio, con el fin de  actualizar el sistema de información de amisalud y determinar usuarios con capacidad de pago, para realizar el debido proceso, dejando como evidencia las solicitudes y reporte de cargue de la información  a AMISALUD,  en caso de que la dependencia (HACIENDA) no envíe la información se reitera la solicitud.</t>
  </si>
  <si>
    <t>La no notificación a tiempo de las novedades de retiro del Sistema General de Seguridad Social en Salud</t>
  </si>
  <si>
    <t>El ingeniero de sistemas de aseguramiento, mensualmente revisa la información antes del cargue de la información en la plataforma del ADRES, con el fin de validar el reporte total de los registros, dejando como evidenciael informe del cargue de la información.</t>
  </si>
  <si>
    <t xml:space="preserve">GESTION DE EVALUACION Y SEGUIMIENTO </t>
  </si>
  <si>
    <t xml:space="preserve">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</si>
  <si>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INICIA CON LA ELABORACIÓN DEL PLAN ANUAL DE AUDITORÍA, INCLUYE LAS ACTIVIDADES REQUERIDAS PARA LA IMPLEMENTACIÓN DE LOS  5 ROLES ASIGNADOS A LAS OFICINAS DE CONTROL INTERNO, Y FINALIZA CON LA EVALUACIÓN DEL CUMPLIMIENTO DEL PLAN ANUAL DE AUDITORIA. </t>
  </si>
  <si>
    <t xml:space="preserve">Multa o sanción del ente de control </t>
  </si>
  <si>
    <t>Inoportunidad en el cargue de informes de ley a través de aplicativos dispuestos por entes de control.</t>
  </si>
  <si>
    <r>
      <rPr>
        <sz val="10"/>
        <color rgb="FFFF0000"/>
        <rFont val="Arial"/>
        <family val="2"/>
      </rPr>
      <t>Posibilidad de</t>
    </r>
    <r>
      <rPr>
        <sz val="10"/>
        <rFont val="Arial"/>
        <family val="2"/>
      </rPr>
      <t xml:space="preserve"> afectacion reputacional </t>
    </r>
    <r>
      <rPr>
        <sz val="10"/>
        <color rgb="FFFF0000"/>
        <rFont val="Arial"/>
        <family val="2"/>
      </rPr>
      <t>por</t>
    </r>
    <r>
      <rPr>
        <sz val="10"/>
        <rFont val="Arial"/>
        <family val="2"/>
      </rPr>
      <t xml:space="preserve"> Multa o sanción del ente de control </t>
    </r>
    <r>
      <rPr>
        <sz val="10"/>
        <color rgb="FFFF0000"/>
        <rFont val="Arial"/>
        <family val="2"/>
      </rPr>
      <t>debido a</t>
    </r>
    <r>
      <rPr>
        <sz val="10"/>
        <rFont val="Arial"/>
        <family val="2"/>
      </rPr>
      <t xml:space="preserve"> la Inoportunidad en el cargue de informes de ley a través de aplicativos dispuestos por entes de control </t>
    </r>
  </si>
  <si>
    <t xml:space="preserve">La actividad generadora del riesgo se presenta en la realizacion del cargue de informes ley en los aplicativo establecidos por el ente de control, actividad que se documentada en: Guia rendicición de la cuenta anual a la contraloria Municipal, guía rendición de la cuenta a la contraloria general, guía informe de control interno contable, guia informe de derechos de autor y procedimiento evaluación del sistema de control interno con énfasis del reporte Furag). </t>
  </si>
  <si>
    <t>El auditor asignado en el plan anual de auditoria para realizar el informe de ley o coordinar el cargue en los aplicativos del ente del control, cada vez que realiza un informe o lo coordina;  verifica que los líderes de procesos responsables del reporte de información, designen en personal de planta, diligenciamiento de la información solicitada en formatos y sus respectivos anexos,  con el fin de asegurar que realicen adecuadamente la validación de la información  dentro de los plazos establecidos  en los aplicativos dispuestos por el ente de control; para ello cada auditor proyecta  una circular solicitando a los líderes de proceso que asignen la responsabilidad del reporte de la información solicitada, en personal de planta, con el fin de garantizar la calidad y  oportunidad del reporte del informe al ente de control. Fijando como fecha límite para el reporte 7 días previos al vencimiento del término. En el caso de detectar que el reporte no esté a cargo de personal de planta, se reitera el cumplimiento de esta directriz. Como evidencia de ejecución de control queda la circular proyectada, la respuesta emitida por la unidad administrativa citando el nombre y cargo del funcionario asignado y el memorando del reiterado si fue necesario.</t>
  </si>
  <si>
    <t>A4,7,11F8 Incluir dentro de las temáticas a tratar en Comité de Coordinación de Control Interno, la falta de compromiso por parte de los líderes de los procesos  con  la implementación de acciones de mejora formuladas en planes de mejoramiento, la responsabilidad de asignar en personal de planta los reportes a entes de control solicitados por la Oficina de Control Interno, atención a las recomendaciones de la Oficina de Control Interno y la oportunidad en la entrega de la información sobre los requerimientos generados por la Oficina.</t>
  </si>
  <si>
    <t>Jefe de Coordinación de Control Interno</t>
  </si>
  <si>
    <t>01/01/2025 al 31/12/2025</t>
  </si>
  <si>
    <t>07/03/2025
09/05/2025
04/07/2025
05/09/2025
07/11/2025</t>
  </si>
  <si>
    <t>Enero - Febrero: En el periodo de seguimiento no se realizo comité de coordinacion de control interno, estos se encuentran programados a realizarse con periodicidad trimestral vencida.</t>
  </si>
  <si>
    <t>El profesional especializado asignado para diligenciar y actualizar la matriz del normograma del proceso:  Gestión de evaluación y seguimiento, deberá informar al jefe de la oficina,   cada vez que se presenten cambios normativos que requieran  la generación de nuevos  informes, con el fin de  ajustar o actualizar   el plan de Anual de Auditoria   confrontando  la fecha de emisión del informe con la disponibilidad del personal en el cronograma del plan anual de auditoria, para  asignar  el responsable de elaborar el nuevo  informe; garantizando la emisión  oportuna del mismo al ente de control;   en caso de no contar con personal disponible o el perfil indicado  la  jefe   solicita a la Dirección de Talento Humano la asignación de personal idóneo para  elaborar  el informe o gestionar  la  contratación de personal.  Como evidencia queda el Plan  Anual de auditoria ajustado y  publicado en la web, el acta de Comité de Coordinación de Control Interno que registre la aprobación de la actualización  del Plan, el  informe generado publicado en la web y el  memorando de solicitud de personal idóneo para elaborar el informe.</t>
  </si>
  <si>
    <t xml:space="preserve">D8,12,O19 Consultar los cambios normativos que aplican a control interno socializados en el grupo WhatsApp Mi Tolima y darlos a conocer al equipo de control interno y en caso que la jefe de la Oficina lo considere necesario solicitar a talento humano capacitación y multiplicarla a los compañeros de trabajo. </t>
  </si>
  <si>
    <t>Enero - Febrero: El dia 8 de enero se envio al correo Electronico de la Direccion de Fortalecimiento - SIGAMI, el normograma actualizado con el registro del Decreto No. 1122 de 2024.</t>
  </si>
  <si>
    <t>Los auditores responsables de la elaboración de los informes de ley, al momento de generar el informe, emitir una circular a las áreas correspondientes, relacionando el reporte que debe presentarse y estableciendo la fecha límite para la emisión de la respuesta al requerimiento. Esta fecha debe fijarse con al menos 7 días hábiles previos al vencimiento del plazo establecido por la normativa, con el objetivo de asegurar que el informe o reporte se cargue oportunamente al ente de control. Para determinar la fecha de entrega de la información por parte de las unidades administrativas, se debe confrontar la fecha límite para la emisión del reporte con la fecha establecida por el ente de control, de modo que se disponga del tiempo necesario para solicitar una prórroga, en caso de ser necesario.
Vencido el plazo establecido, el auditor debe consultar el aplicativo de correspondencia PISAMI y, al mismo tiempo, coordinar con el auxiliar administrativo para verificar si la información solicitada ha sido recibida. Si la respuesta es afirmativa, se procederá a realizar las actividades necesarias para generar el informe. En caso contrario, se deberá comunicar a jefe el estado del requerimiento para que gestione la entrega inmediata de la información.
Como evidencia de la ejecución del control, se deberá dejar constancia de lo siguiente: el memorando o circular que respalda el requerimiento oportuno de la información y la información recibida, la cual debe ser incluida en los expedientes de la serie documental asociada a los respectivos informes. En caso de desviación, se generará evidencia de la reiteración del requerimiento mediante el correo institucional de la Oficina y/o el aplicativo de correspondencia PISAMI, si se ha reiterado mediante memorando.</t>
  </si>
  <si>
    <t xml:space="preserve">A12,F8 Recomendar a la alta dirección en el Comité de Coordinación de Control Interno, asignar en personal de planta el responsable de la consulta diaria de la correspondencia y los correos institucionales; con el fin de emitir respuesta oportuna a los requerimientos de la oficina y evitar sanciones por respuesta inoportuna a los entes de control.  </t>
  </si>
  <si>
    <t xml:space="preserve">El auditor responsable de elaborar el informe, conforme al plazo establecido por el ente de control 3) previene la  emisión  inoportuna  del informe, por fallas en los aplicativos,  confrontando  la fecha limite para el cargue del informe en los aplicativos dispuestos por los entes de control  VERSUS la fecha establecida el organismo de control para  la solicitud de prórroga;  con el fin de asegurar que la falla presentada no afecte la oportunidad del cargue del informe, dejando como registro los pantallazos de las fallas en el aplicativo.  Si las fallas se presentan dentro del rango de los 7 días previos a la fecha establecida por el ente control para el reporte, se solicita prórroga para el reporte,  adjuntando el registro de los pantallazos;  con el fin de justificar y obtener  la disponibilidad del aplicativo para realizar el cargue 6) como evidencia queda el oficio de solicitud de prórroga, la respuesta emitida por el ente de control y el log de cargue del informe o reporte.  </t>
  </si>
  <si>
    <t>A3, A10, 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 su vez, las resoluciones vigentes para rendir el informe.</t>
  </si>
  <si>
    <t>Enero - Febrero: Durante este periodo se cargó en plataforma tecnológica el informe SIREC, rendición de la cuenta anual vig 2024, Control Interno Contable, Reporte de obras inconclusas y no se presentó fallas en los aplicativos.</t>
  </si>
  <si>
    <t xml:space="preserve">Incumplimiento del  rol de liderazgo estratégico </t>
  </si>
  <si>
    <t>Socialización inoportuna de los informes emitidos por la Oficina  en  el  Comité de Coordinación de Control Interno.</t>
  </si>
  <si>
    <r>
      <rPr>
        <sz val="11"/>
        <color rgb="FFFF0000"/>
        <rFont val="Arial Narrow"/>
        <family val="2"/>
      </rPr>
      <t>Posibilidad de</t>
    </r>
    <r>
      <rPr>
        <sz val="11"/>
        <rFont val="Arial Narrow"/>
        <family val="2"/>
      </rPr>
      <t xml:space="preserve"> afectación reputacional  </t>
    </r>
    <r>
      <rPr>
        <sz val="11"/>
        <color rgb="FFFF0000"/>
        <rFont val="Arial Narrow"/>
        <family val="2"/>
      </rPr>
      <t>por</t>
    </r>
    <r>
      <rPr>
        <sz val="11"/>
        <rFont val="Arial Narrow"/>
        <family val="2"/>
      </rPr>
      <t xml:space="preserve"> incumplimiento del rol  de liderazgo estratégico, </t>
    </r>
    <r>
      <rPr>
        <sz val="11"/>
        <color rgb="FFFF0000"/>
        <rFont val="Arial Narrow"/>
        <family val="2"/>
      </rPr>
      <t xml:space="preserve">debido a </t>
    </r>
    <r>
      <rPr>
        <sz val="11"/>
        <rFont val="Arial Narrow"/>
        <family val="2"/>
      </rPr>
      <t xml:space="preserve"> la  socialización  inoportuna de los informes emitidos por la Oficina   en el Comité  de  Coordinación de Control Interno. </t>
    </r>
  </si>
  <si>
    <t xml:space="preserve">Procedimiento liderazgo estratégico </t>
  </si>
  <si>
    <t>Ejecución y Administración de procesos</t>
  </si>
  <si>
    <t>El Profesional especializado y el jefe de control interno 2. Para elaborar el orden del día a tratar en el comité de coordinación de control interno 3. verifica que los informes programados   a realizar en el plan Anual de Auditoria en el trimestre previo a la realización del comité, se encuentren elaborados 4. Para ello consulta en el Plan Anual de Auditoria qué informes se encuentran programados a realizar entre la fecha del último comité y la definida para el siguiente comité y los confronta con los que se encuentran elaborados, durante el mismo periodo usando como fuente de información el aplicativo PISAMI, el Link de transparencia y los expedientes Físicos, con el fin de asegurar la disponibilidad de los informes para la socialización a la Alta dirección en el Comité.   Acto seguido genera el orden del día con los informes a socializar y convoca al Comité de Coordinación de Control Interno5. No obstante, si se presenta diferencia entre los informes programados a realizar en el PAA   VS los informes realizados; procede a realizar comité extraordinario en fecha posterior al Comité ordinario, o se incluyen junto a los que se deben socializar en el próximo comité.  6.  Como evidencia de ejecución quedan las actas de comité técnico de la oficina de control interno, la hoja de vida del indicador descrito: Índice de informes socializados y las actas del comité de coordinación de control interno.</t>
  </si>
  <si>
    <t xml:space="preserve">D11,O14,F6,10  Establecer el orden del día del Comité de Coordinación de Control Interno previa consulta de la aplicación trimestral del indicador  índice de informes socializados en el Comité y el acta anterior del comité. </t>
  </si>
  <si>
    <t>Líderes de proceso asignando   en personal vinculado mediante contrato de prestación de servicios la responsabilidad de reportes de ley a los entes de control, y a su vez, la emisión de respuestas a los requerimientos de dichos entes.</t>
  </si>
  <si>
    <t xml:space="preserve">Desconocimiento del personal adscrito a la Oficina de control interno de los  cambios normativos que impliquen  nuevos informes a cargo de la Oficina  o modificaciones a la periodicidad del reporte de los informes de ley. </t>
  </si>
  <si>
    <t>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t>
  </si>
  <si>
    <t>Entidades públicas realizando cargue  de informes de ley  a través de aplicativos de entes de control,  de forma simultanea. (Control interno contable, derechos de autor y furag)</t>
  </si>
  <si>
    <t xml:space="preserve">Olvido de los informes  generados  por la Oficina de control interno  y  pendientes de socialización  a la Alta Dirección  en el Comité de Coordinación de Control Interno, en el momento previo a la  convocatoria  para la  elaboración del orden del dia. </t>
  </si>
  <si>
    <t>Se lleva a cabo el seguimiento a los contratos mediante la herramienta interna "Matriz Contractual de Enero a Abril de 2025"</t>
  </si>
  <si>
    <t>Acta No.010 del 4 de marzo de 2025 Comité Técnico
Acta No. 012 del 17 de Marzo de 2025 Comité Técnico
Acta No. 015 del 7 de abril de 2025 Comité Técnico
Acta No. 016 del  21 de Abril de 2025 Comité Técnico</t>
  </si>
  <si>
    <t xml:space="preserve">Informes avance AMISALUD
</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</si>
  <si>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</si>
  <si>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</si>
  <si>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</si>
  <si>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Baja calificación en los indicadores de desempeño fiscal, pérdida de confianza de los ciudadanos hacia la administración y posible reducción en las asignaciones de recursos del Sistema General de Participacion - SGP</t>
  </si>
  <si>
    <t>Baja ejecución presupuestal de gastos de inversión del Municipio de parte de las Secretarias Ejecutor</t>
  </si>
  <si>
    <r>
      <rPr>
        <b/>
        <sz val="10"/>
        <color rgb="FFFF0000"/>
        <rFont val="Arial Narrow"/>
        <family val="2"/>
      </rPr>
      <t>1. Posibilidad de pérdida reputacional y económia</t>
    </r>
    <r>
      <rPr>
        <b/>
        <sz val="10"/>
        <rFont val="Arial Narrow"/>
        <family val="2"/>
      </rPr>
      <t xml:space="preserve"> </t>
    </r>
    <r>
      <rPr>
        <b/>
        <sz val="10"/>
        <color rgb="FFFF9900"/>
        <rFont val="Arial Narrow"/>
        <family val="2"/>
      </rPr>
      <t>por</t>
    </r>
    <r>
      <rPr>
        <b/>
        <sz val="10"/>
        <rFont val="Arial Narrow"/>
        <family val="2"/>
      </rPr>
      <t xml:space="preserve">  </t>
    </r>
    <r>
      <rPr>
        <b/>
        <sz val="10"/>
        <color rgb="FF0070C0"/>
        <rFont val="Arial Narrow"/>
        <family val="2"/>
      </rPr>
      <t>baja calificación en los indicadores de desempeño fiscal, pérdida de confianza de los ciudadanos hacia la administración y posible reducción en las asignaciones de recursos del Sistema General de Participacion - SGP,</t>
    </r>
    <r>
      <rPr>
        <b/>
        <sz val="10"/>
        <rFont val="Arial Narrow"/>
        <family val="2"/>
      </rPr>
      <t xml:space="preserve">  </t>
    </r>
    <r>
      <rPr>
        <b/>
        <sz val="10"/>
        <color rgb="FFFF9900"/>
        <rFont val="Arial Narrow"/>
        <family val="2"/>
      </rPr>
      <t xml:space="preserve"> debido a </t>
    </r>
    <r>
      <rPr>
        <b/>
        <sz val="10"/>
        <color rgb="FF00B050"/>
        <rFont val="Arial Narrow"/>
        <family val="2"/>
      </rPr>
      <t>baja ejecución presupuestal de gastos de inversión del Municipio de parte de las Secretarias Ejecutora</t>
    </r>
  </si>
  <si>
    <t>Ejecución y administración del presupuesto de las Secretarías Ejecutoras</t>
  </si>
  <si>
    <t xml:space="preserve">     Mayor a 10000 SMLMV</t>
  </si>
  <si>
    <r>
      <t>Se enviará</t>
    </r>
    <r>
      <rPr>
        <b/>
        <sz val="10"/>
        <color rgb="FF00B050"/>
        <rFont val="Arial Narrow"/>
        <family val="2"/>
      </rPr>
      <t xml:space="preserve"> circular mensualmente</t>
    </r>
    <r>
      <rPr>
        <sz val="10"/>
        <color theme="1"/>
        <rFont val="Arial Narrow"/>
        <family val="2"/>
      </rPr>
      <t xml:space="preserve"> a las Secretaría Ejecutoras que tengan saldos pendientes por ejecutar para que liberen los saldos o los ejecuten y se remitirá  trimestralmente el INFORME EJECUTIVO  DE LA EJECUCIÓN PRESUPUESTAL DE GASTOS  al Secretario de Hacienda, para presentarlo ante la Alta Dirección en el  Comite de Coordinación de Control Interno.</t>
    </r>
  </si>
  <si>
    <t>DIRECTOR DE PRESUPUESTO</t>
  </si>
  <si>
    <t>Pérdida de memoria institucional y sanciones disciplinarias, fiscales y administrativa</t>
  </si>
  <si>
    <r>
      <t xml:space="preserve">
</t>
    </r>
    <r>
      <rPr>
        <b/>
        <sz val="10"/>
        <color rgb="FF00B050"/>
        <rFont val="Arial Narrow"/>
        <family val="2"/>
      </rPr>
      <t xml:space="preserve"> Pérdida de información en los expedientes de los procesos de Gestión de Hacienda pública</t>
    </r>
  </si>
  <si>
    <r>
      <rPr>
        <b/>
        <sz val="10"/>
        <color rgb="FFFF0000"/>
        <rFont val="Arial Narrow"/>
        <family val="2"/>
      </rPr>
      <t>2. Posibilidad de pérdida económica y reputacional</t>
    </r>
    <r>
      <rPr>
        <b/>
        <sz val="10"/>
        <rFont val="Arial Narrow"/>
        <family val="2"/>
      </rPr>
      <t xml:space="preserve"> </t>
    </r>
    <r>
      <rPr>
        <b/>
        <sz val="10"/>
        <color rgb="FFFF9900"/>
        <rFont val="Arial Narrow"/>
        <family val="2"/>
      </rPr>
      <t xml:space="preserve">por  </t>
    </r>
    <r>
      <rPr>
        <b/>
        <sz val="10"/>
        <color rgb="FF0070C0"/>
        <rFont val="Arial Narrow"/>
        <family val="2"/>
      </rPr>
      <t xml:space="preserve">pérdida de memoria institucional y sanciones disciplinarias, fiscales y administrativas </t>
    </r>
    <r>
      <rPr>
        <b/>
        <sz val="10"/>
        <color rgb="FFFF9900"/>
        <rFont val="Arial Narrow"/>
        <family val="2"/>
      </rPr>
      <t>debido a</t>
    </r>
    <r>
      <rPr>
        <b/>
        <sz val="10"/>
        <color rgb="FF00B050"/>
        <rFont val="Arial Narrow"/>
        <family val="2"/>
      </rPr>
      <t xml:space="preserve"> la  Pérdida de información en los expedientes de los procesos de Gestión de Hacienda pública</t>
    </r>
  </si>
  <si>
    <t>Custodia del archivo físico y digital de los expedientes de Gestión de Hacienda Pública</t>
  </si>
  <si>
    <r>
      <t xml:space="preserve">El Profesional Universitado y/o técnico Operativo responsable de los archivos de Gestión Documental: Carteras de Transito, Predial, ICA y Otras Multas, deberan presentar </t>
    </r>
    <r>
      <rPr>
        <b/>
        <sz val="10"/>
        <color theme="1"/>
        <rFont val="Arial Narrow"/>
        <family val="2"/>
      </rPr>
      <t xml:space="preserve">mensualmente </t>
    </r>
    <r>
      <rPr>
        <sz val="10"/>
        <color theme="1"/>
        <rFont val="Arial Narrow"/>
        <family val="2"/>
      </rPr>
      <t xml:space="preserve">al Director de Tesorería un informe de, control de prestamo y devolución de Expedientes. 
Este Informe debe contener la trazabilidad del control realizado a los expedientes que superen el plazo máximo de Devolución. </t>
    </r>
  </si>
  <si>
    <t>DIRECTOR DE TESORERIA</t>
  </si>
  <si>
    <t>sanciones disciplinarias  y administrativas</t>
  </si>
  <si>
    <t>Deficiencia en la aplicación de los cambios normativos para entidades del gobiern</t>
  </si>
  <si>
    <r>
      <rPr>
        <b/>
        <sz val="10"/>
        <color rgb="FFFF0000"/>
        <rFont val="Arial Narrow"/>
        <family val="2"/>
      </rPr>
      <t>3. Posibilidad de pérdida reputacional</t>
    </r>
    <r>
      <rPr>
        <b/>
        <sz val="10"/>
        <rFont val="Arial Narrow"/>
        <family val="2"/>
      </rPr>
      <t xml:space="preserve"> </t>
    </r>
    <r>
      <rPr>
        <b/>
        <sz val="10"/>
        <color rgb="FFFF9900"/>
        <rFont val="Arial Narrow"/>
        <family val="2"/>
      </rPr>
      <t>por</t>
    </r>
    <r>
      <rPr>
        <b/>
        <sz val="10"/>
        <rFont val="Arial Narrow"/>
        <family val="2"/>
      </rPr>
      <t xml:space="preserve"> </t>
    </r>
    <r>
      <rPr>
        <b/>
        <sz val="10"/>
        <color rgb="FF002060"/>
        <rFont val="Arial Narrow"/>
        <family val="2"/>
      </rPr>
      <t>sanciones disciplinarias  y administrativas</t>
    </r>
    <r>
      <rPr>
        <b/>
        <sz val="10"/>
        <rFont val="Arial Narrow"/>
        <family val="2"/>
      </rPr>
      <t xml:space="preserve">  </t>
    </r>
    <r>
      <rPr>
        <b/>
        <sz val="10"/>
        <color rgb="FFFF9900"/>
        <rFont val="Arial Narrow"/>
        <family val="2"/>
      </rPr>
      <t xml:space="preserve">debido a </t>
    </r>
    <r>
      <rPr>
        <b/>
        <sz val="10"/>
        <rFont val="Arial Narrow"/>
        <family val="2"/>
      </rPr>
      <t xml:space="preserve"> </t>
    </r>
    <r>
      <rPr>
        <b/>
        <sz val="10"/>
        <color rgb="FF00B050"/>
        <rFont val="Arial Narrow"/>
        <family val="2"/>
      </rPr>
      <t>deficiencia en la aplicación de los cambios normativos para entidades del gobierno</t>
    </r>
  </si>
  <si>
    <t>actualización de los documentos y normograma</t>
  </si>
  <si>
    <r>
      <t>Cada Director o de maneja conjunta,  socializarán a su equipo de trabajo</t>
    </r>
    <r>
      <rPr>
        <b/>
        <sz val="10"/>
        <color theme="1"/>
        <rFont val="Arial Narrow"/>
        <family val="2"/>
      </rPr>
      <t xml:space="preserve"> los documentos actualizados </t>
    </r>
    <r>
      <rPr>
        <sz val="10"/>
        <color theme="1"/>
        <rFont val="Arial Narrow"/>
        <family val="2"/>
      </rPr>
      <t xml:space="preserve">que hacen parte de su actividad diaria para promover el mejoramiento continuo de su proceso, dejando como evidencias </t>
    </r>
    <r>
      <rPr>
        <b/>
        <sz val="10"/>
        <color theme="1"/>
        <rFont val="Arial Narrow"/>
        <family val="2"/>
      </rPr>
      <t>actas o circulares.</t>
    </r>
  </si>
  <si>
    <t xml:space="preserve">SECRETARIO DE HACIENDA 
Y/O 
DIRECTORES </t>
  </si>
  <si>
    <t>sanciones disciplinarias  y/o administrativas</t>
  </si>
  <si>
    <r>
      <rPr>
        <b/>
        <sz val="10"/>
        <color rgb="FF00B050"/>
        <rFont val="Arial Narrow"/>
        <family val="2"/>
      </rPr>
      <t>falta de incorporación de recursos que no pudiesen ser incorporados como supe</t>
    </r>
    <r>
      <rPr>
        <sz val="10"/>
        <color theme="1"/>
        <rFont val="Arial Narrow"/>
        <family val="2"/>
      </rPr>
      <t>ravit.</t>
    </r>
  </si>
  <si>
    <r>
      <rPr>
        <b/>
        <sz val="10"/>
        <color rgb="FFFF0000"/>
        <rFont val="Arial Narrow"/>
        <family val="2"/>
      </rPr>
      <t>4. Posibilidad de perdida reputacional</t>
    </r>
    <r>
      <rPr>
        <b/>
        <sz val="10"/>
        <rFont val="Arial Narrow"/>
        <family val="2"/>
      </rPr>
      <t xml:space="preserve"> </t>
    </r>
    <r>
      <rPr>
        <b/>
        <sz val="10"/>
        <color rgb="FFFF9900"/>
        <rFont val="Arial Narrow"/>
        <family val="2"/>
      </rPr>
      <t>por</t>
    </r>
    <r>
      <rPr>
        <b/>
        <sz val="10"/>
        <rFont val="Arial Narrow"/>
        <family val="2"/>
      </rPr>
      <t xml:space="preserve"> s</t>
    </r>
    <r>
      <rPr>
        <b/>
        <sz val="10"/>
        <color rgb="FF0070C0"/>
        <rFont val="Arial Narrow"/>
        <family val="2"/>
      </rPr>
      <t>anciones disciplinarias y administrativas</t>
    </r>
    <r>
      <rPr>
        <b/>
        <sz val="10"/>
        <rFont val="Arial Narrow"/>
        <family val="2"/>
      </rPr>
      <t xml:space="preserve"> </t>
    </r>
    <r>
      <rPr>
        <b/>
        <sz val="10"/>
        <color rgb="FFFF9900"/>
        <rFont val="Arial Narrow"/>
        <family val="2"/>
      </rPr>
      <t>debido a</t>
    </r>
    <r>
      <rPr>
        <b/>
        <sz val="10"/>
        <color rgb="FF00B050"/>
        <rFont val="Arial Narrow"/>
        <family val="2"/>
      </rPr>
      <t xml:space="preserve"> la falta de incorporación de recursos que no pudiesen ser incorporados como superavit</t>
    </r>
  </si>
  <si>
    <t>Certificaciones superavit y de cuentas bancarias</t>
  </si>
  <si>
    <t xml:space="preserve">     El riesgo afecta la imagen de alguna área de la organización</t>
  </si>
  <si>
    <r>
      <t xml:space="preserve">El Director de tesoreria citará a mesa de trabajo en el </t>
    </r>
    <r>
      <rPr>
        <b/>
        <sz val="10"/>
        <color theme="1"/>
        <rFont val="Arial Narrow"/>
        <family val="2"/>
      </rPr>
      <t xml:space="preserve">mes de Febrero de la vigencia inmediatamente siguiente al cierre fiscal, </t>
    </r>
    <r>
      <rPr>
        <sz val="10"/>
        <color theme="1"/>
        <rFont val="Arial Narrow"/>
        <family val="2"/>
      </rPr>
      <t>a las Direcciones de Presupuesto y  Contabilidad, con el fin de revisar  y programar el cierre fiscal de la vigencia, dejando como evidencia una</t>
    </r>
    <r>
      <rPr>
        <b/>
        <sz val="10"/>
        <color theme="1"/>
        <rFont val="Arial Narrow"/>
        <family val="2"/>
      </rPr>
      <t xml:space="preserve"> (1) acta anual.</t>
    </r>
  </si>
  <si>
    <t xml:space="preserve">Deudas a favor de la entidad </t>
  </si>
  <si>
    <t xml:space="preserve">Vencimiento de plazos para la labor de cobro directo (persuasivo o coactivo) o judicial </t>
  </si>
  <si>
    <r>
      <rPr>
        <b/>
        <sz val="10"/>
        <color rgb="FFFF0000"/>
        <rFont val="Arial Narrow"/>
        <family val="2"/>
      </rPr>
      <t>5, Posibilidad de perdida reputacional y economica</t>
    </r>
    <r>
      <rPr>
        <b/>
        <sz val="10"/>
        <color rgb="FF0070C0"/>
        <rFont val="Arial Narrow"/>
        <family val="2"/>
      </rPr>
      <t xml:space="preserve"> </t>
    </r>
    <r>
      <rPr>
        <b/>
        <sz val="10"/>
        <color theme="9" tint="-0.249977111117893"/>
        <rFont val="Arial Narrow"/>
        <family val="2"/>
      </rPr>
      <t>por</t>
    </r>
    <r>
      <rPr>
        <b/>
        <sz val="10"/>
        <color rgb="FF0070C0"/>
        <rFont val="Arial Narrow"/>
        <family val="2"/>
      </rPr>
      <t xml:space="preserve"> Deudas a favor de la entidad </t>
    </r>
    <r>
      <rPr>
        <b/>
        <sz val="10"/>
        <rFont val="Arial Narrow"/>
        <family val="2"/>
      </rPr>
      <t xml:space="preserve"> </t>
    </r>
    <r>
      <rPr>
        <b/>
        <sz val="10"/>
        <color rgb="FFFF9900"/>
        <rFont val="Arial Narrow"/>
        <family val="2"/>
      </rPr>
      <t>de</t>
    </r>
    <r>
      <rPr>
        <b/>
        <sz val="10"/>
        <color rgb="FFFFC000"/>
        <rFont val="Arial Narrow"/>
        <family val="2"/>
      </rPr>
      <t>bido a</t>
    </r>
    <r>
      <rPr>
        <b/>
        <sz val="10"/>
        <rFont val="Arial Narrow"/>
        <family val="2"/>
      </rPr>
      <t xml:space="preserve"> </t>
    </r>
    <r>
      <rPr>
        <b/>
        <sz val="10"/>
        <color rgb="FF00B050"/>
        <rFont val="Arial Narrow"/>
        <family val="2"/>
      </rPr>
      <t>Vencimiento de plazos para la labor de cobro directo (persuasivo o coactivo) o judicial</t>
    </r>
  </si>
  <si>
    <t>Aplicación del procedimiento PRO-GHP-05 FACTURACION  Impuesto Predial Unificado.</t>
  </si>
  <si>
    <t xml:space="preserve">     Entre 200 y 1000 SMLMV</t>
  </si>
  <si>
    <t>Constitución y trámite Tributario establecido para los TÍTULOS EJECUTIVOS a Cobro Coactivo – Cartera. Concepto: Impuesto Predial Unificado evidenciado en la matriz del plan de accion de gestion de la vigencia y los memorandos de remision de expedientes de la cartera a cobro coactivo.</t>
  </si>
  <si>
    <t>DIRECTOR DE RENTAS</t>
  </si>
  <si>
    <t>Al inicio de los procesos coactivos de la cartera del municipio</t>
  </si>
  <si>
    <t xml:space="preserve">     Entre 5000 y 10000 SMLMV</t>
  </si>
  <si>
    <t>El Profesional Especializado, profesional Universitario y/o técnico Operativo responsable de las áreas de impulso Transito, Predial e ICA, y otras multas, deberán presentar trimestralmente al Director de Tesorería un informe donde se determinen los mandamientos de pago efectuados y el trámite de las notificaciones de los mismos y de igual forma los embargos efectuados y el valor de los mismos.</t>
  </si>
  <si>
    <t xml:space="preserve">Pagos efectuados a contratistas </t>
  </si>
  <si>
    <t xml:space="preserve">Inadecuada deducción de impuestos, tasas o contribuciones al contratista </t>
  </si>
  <si>
    <r>
      <t xml:space="preserve">6, </t>
    </r>
    <r>
      <rPr>
        <sz val="11"/>
        <color rgb="FFFF0000"/>
        <rFont val="Arial Narrow"/>
        <family val="2"/>
      </rPr>
      <t xml:space="preserve">Posibilidad de perdida reputacional y economica </t>
    </r>
    <r>
      <rPr>
        <b/>
        <sz val="11"/>
        <color theme="9" tint="-0.249977111117893"/>
        <rFont val="Arial Narrow"/>
        <family val="2"/>
      </rPr>
      <t xml:space="preserve">por </t>
    </r>
    <r>
      <rPr>
        <b/>
        <sz val="11"/>
        <color rgb="FF0070C0"/>
        <rFont val="Arial Narrow"/>
        <family val="2"/>
      </rPr>
      <t xml:space="preserve">Pagos efectuados a contratistas </t>
    </r>
    <r>
      <rPr>
        <sz val="11"/>
        <color theme="9" tint="-0.249977111117893"/>
        <rFont val="Arial Narrow"/>
        <family val="2"/>
      </rPr>
      <t xml:space="preserve">debido a </t>
    </r>
    <r>
      <rPr>
        <b/>
        <sz val="11"/>
        <color rgb="FF00B050"/>
        <rFont val="Arial Narrow"/>
        <family val="2"/>
      </rPr>
      <t xml:space="preserve">Inadecuada deducción de impuestos, tasas o contribuciones al contratista </t>
    </r>
  </si>
  <si>
    <r>
      <t xml:space="preserve">Revisar documentos soportes y deducciones de Ordenes de Prestación de Servicios Profesionales y de Apoyo a la Gestión y Órdenes de Pago de otras tipologías contractuales. </t>
    </r>
    <r>
      <rPr>
        <b/>
        <sz val="10"/>
        <rFont val="Arial Narrow"/>
        <family val="2"/>
      </rPr>
      <t>PRO-GHP-008</t>
    </r>
    <r>
      <rPr>
        <sz val="10"/>
        <rFont val="Arial Narrow"/>
        <family val="2"/>
      </rPr>
      <t xml:space="preserve">
</t>
    </r>
  </si>
  <si>
    <t>El director de presupuesto solicitará trimestralmente a los profesionales del Grupo Central de Cuentas un informe de las causales de devolución reportadas por las areas que intervienen posteriormente en el procedimiento de revisión de documentos y ordenes de pago, identificando el tipo de causal, el numero de veces y el nombre de quien generó la devolución.  De este trabajo decidirá si es necesario reforzar el conocimiento del grupo de apoyo identificando los temas necesarios a fortalecer.</t>
  </si>
  <si>
    <t>GESTION JURIDICA Y MEJORA NORMATIVA</t>
  </si>
  <si>
    <t>ASUMIR Y EJERCER LA TOTALIDAD DE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</si>
  <si>
    <t>INICIA CON LA PLANEACIÓN DEL PROCESO, CONTINUA CON EL ACOMPAÑAMIENTO Y EL SOPORTE LEGAL EN TODAS LAS ACTUACIONES Y DECISIONES QUE SE TOMEN A NIVEL DE LA ADMINISTRACIÓN CENTRAL MUNICIPAL, LA REPRESENTACIÓN JUDICIAL, EXTRAJUDICIAL O ADMINISTRATIVA, LA NOTIFICACIÓN DE ACCIONES JUDICIALES QUE INVOLUCREN A LA ENTIDAD O LA INTERPOSICION DE ACCIONES JUDICIALES EN DEFENSA DE LOS INTERESES DE LA ENTIDAD, Y LA SENTENCIA DEBIDAMENTE EJECUTORIADA HASTA LA ADOPCIÓN DE LA DECISIÓN PROFERIDA POR LA AUTORIDAD COMPETENTE, EL SEGUIMIENTO A SU CUMPLIMIENTO Y EL PAGO DE LAS SUMAS DE DINERO PRODUCTO DE CONDENAS. FINALIZA CON EL SEGUIMIENTO Y EVALUACIÓN DEL PROCESO.</t>
  </si>
  <si>
    <t xml:space="preserve">SEGUIMIENTO ENERO - FEBRRO </t>
  </si>
  <si>
    <t>Sanciones Disciplinarias, penales y administrativas -  incidentes de desacato</t>
  </si>
  <si>
    <t>No cumplimiento de las decisiones impartidas por los  despachos judiciales</t>
  </si>
  <si>
    <t>Gestión inoportuna para dar cumplimiento a las providencias  por parte de los Secretarios de Despacho</t>
  </si>
  <si>
    <t xml:space="preserve">posibilidad de perdida economica y reputacional, por sanciones disciplinarias e incidente de desacato, debido a la Gestión inoportuna para dar cumplimiento a las providencias  por parte de los Secretarios de Despacho </t>
  </si>
  <si>
    <t xml:space="preserve">EFECTUAR SEGUIMIENTO AL CUMPLIMIENTO DEL FALLO CONDENATORIO  PRO-GJ-001 
EJERCER LA REPRESENTACIÓN DEL MUNICIPIO EN EL PROCESO JUDICIAL  PRO-GJ-001 
REALIZAR ASESORÍA Y ACOMPAÑAMIENTO JURÍDICO PRO-GJ-003
                          </t>
  </si>
  <si>
    <r>
      <t xml:space="preserve">Frente a la presente Actividad, y De acuerdo a lo previsto durante el monitoreo y revisión del Mapa de riesgos de gestion  de la Oficina Jurídica, se realizo la  siguiente AUTOEVALUCION: para esta actividad de control, y durante el mes de </t>
    </r>
    <r>
      <rPr>
        <b/>
        <sz val="10"/>
        <color theme="1"/>
        <rFont val="Arial"/>
        <family val="2"/>
      </rPr>
      <t>ENERO:</t>
    </r>
    <r>
      <rPr>
        <sz val="10"/>
        <color theme="1"/>
        <rFont val="Arial"/>
        <family val="2"/>
      </rPr>
      <t xml:space="preserve"> la Oficina Juridica emitio 2 memorandos, solicitando el cumplimiento  a sentencias judiciales:
- MEMORANDO  No. 2025-003111 del 24/01/2025 Solicitando de manera urgente informe sobre el cumplimiento a fallo judicial dentro de la acción popular promovida por GUILLERMO PARRA OSORIO RAD 00257-2015, el cual fue contestado por parte de la secretaria de agricultura mediante el memorando No. 2200-003842
</t>
    </r>
    <r>
      <rPr>
        <b/>
        <sz val="10"/>
        <color theme="1"/>
        <rFont val="Arial"/>
        <family val="2"/>
      </rPr>
      <t xml:space="preserve">
</t>
    </r>
    <r>
      <rPr>
        <sz val="10"/>
        <color theme="1"/>
        <rFont val="Arial"/>
        <family val="2"/>
      </rPr>
      <t xml:space="preserve">- MEMORANDO  No. 2025-003073 del 23/01/2025 - Solicitud de manera urgente informe de actividades en cumplimiento a fallo judicial dentro de la acción popular promovida por GLORIA PATRICIA PIMIENTO GUZMAN Y OTROS RAD 00064-2011, .el cual fue contstado por la secretaria de infraestructura meiante el memorando No. 2300 - 03642 del 28 de enero de 2025. 
- MEMORANDO No. 2025-001994 del 17/01/2024- Solicitud de manera urgente informe de actividades en cumplimiento al fallo judicial dentro de la acción popular promovida por la DEFENSORIA DEL PUEBLO RAD 00015-2018..
- MEMOERANDO No. 2025-001278 del 15/01/2025 -Solicitud informe de gestiones adelantadas en cumplimiento del fallo judicial dentro de la acción popular promovida por WILSON LEAL ECHEVERRY RAD 02180-2004 Estación De Bomberos., memorando que fue contestado por la secretria de eudycacion, secretaria de ambiente y gestion e riesgo y la direccion de recurso fisicos. 
</t>
    </r>
    <r>
      <rPr>
        <b/>
        <sz val="10"/>
        <color theme="1"/>
        <rFont val="Arial"/>
        <family val="2"/>
      </rPr>
      <t>FEBRERO:</t>
    </r>
    <r>
      <rPr>
        <sz val="10"/>
        <color theme="1"/>
        <rFont val="Arial"/>
        <family val="2"/>
      </rPr>
      <t xml:space="preserve">   la oficina juridica  emitio 
- MEMORANDO No. 2025-007289 del 17/02/2025 - Solicitud de informacion requerida por el despacho judicial dentro de la accion popular promovida por GUILLERMO PARRA OSORIO RAD 00257-2015..
- MEMORANDO No. 2025-008631 del 24/02/2025 - solicitud avances de cumplimiento a fallo judicial dentro de la acción popular promovida por HERIBERTO BARRERA MENDOZA RAD 00181-2017, el cual fue contestado por la dirección y aplicación de la norma urbanística, mediante el memorando No. 11041 del 07/03/2025.. </t>
    </r>
  </si>
  <si>
    <t>Insuficiencia o inoportunidad en la entrega de informes y/o elementos materiales probatorios que se deban presentar en la actuaciones procesales por parte de las dependencias ejecutoras</t>
  </si>
  <si>
    <t xml:space="preserve">fallos desfavorables en los procesos judiciales </t>
  </si>
  <si>
    <t xml:space="preserve">inadecuada defensa juridica </t>
  </si>
  <si>
    <t xml:space="preserve">Ausencia de propuestas de defensa  al interor de cada caso en concreto </t>
  </si>
  <si>
    <t>Posibilidad de perdida econocmica y reputacional, por los fallos desfavorables en los procesos judiciales debido a la Ausencia de propuestas de defensa  al interor de cada caso en concreto y/o por falta de actualizacion de las normas y jurisprudencia aplicable a cada caso concreto.</t>
  </si>
  <si>
    <t xml:space="preserve">EFECTUAR SEGUIMIENTO AL CUMPLIMIENTO DEL FALLO CONDENATORIO  PRO-GJ-001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</si>
  <si>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</si>
  <si>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De acuerdo a lo previsto durante el monitoreo y revisión del Mapa de riesgos de gestión de la Oficina Jurídica, durante el periodo de ENERO Y FEBRERO, se evidencia Comité Jurídico, realzado el 18 de febrero de 2025, convocado mediante memorando No. 1030-07094 del 17/02/2025, a todo el personal adscrito a la oficina, para llevar a cabo la socialización de los lineamientos del funcionamiento de la oficina.</t>
  </si>
  <si>
    <t>falta de actualizacion de las normas y jurisprudencia aplicable a cada caso concreto.</t>
  </si>
  <si>
    <t xml:space="preserve">
EJERCER LA REPRESENTACIÓN DEL MUNICIPIO EN EL PROCESO JUDICIAL  PRO-GJ-001 </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</si>
  <si>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</si>
  <si>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 xml:space="preserve">Frente a la presente Actividad y De acuerdo a lo previsto durante el monitoreo y revisión del Mapa de riesgos de gestion  de la Oficina Jurídica, el jefe de oficina mediante   MEMORANDO No. 2025-005588 del 06/02/2024 - solicito a los asesores de la oficina jurídica realizar la valoración de probabilidad de perdida de los procesos que tienen cada uno a su cargo y actualizacion a la plataforma softcon. </t>
  </si>
  <si>
    <t>Económico</t>
  </si>
  <si>
    <t>multas y/o sanciones de despachos judiciales y/o de entes de control</t>
  </si>
  <si>
    <t>Intereses moratorios por pago tardío de sentencias y conciliaciones</t>
  </si>
  <si>
    <t xml:space="preserve">que el apoderado judicial, no informe a tiempo sobre el pago de las condenas y/o acuerdos conciliatorios </t>
  </si>
  <si>
    <t>posibilidad de riesgo economico debido a las multas y/o sanciones de despachos judiciales y/o de entes de control, por Intereses moratorios por pago tardío de sentencias y conciliaciones</t>
  </si>
  <si>
    <t xml:space="preserve">EFECTUAR SEGUIMIENTO AL CUMPLIMIENTO DEL FALLO CONDENATORIO  PRO-GJ-001 </t>
  </si>
  <si>
    <t>La jefe de oficina jurídica mediante  un técnico operativo, validara en la plataforma PISAMI, una vez al mes, las solicitudes de pago por concepto de condenas y/o acuerdos conciliatorios, verificando que la documentación radicada por parte del demandante o apoderado, cumpla con lo establecido en el Decreto 607 de 2013, de igual manera se verificara en la plataforma PISAMI,  la radicación de sentencias ejecutoriadas, en la que se ordene el pago por condenas o acuerdos conciliatorios, por parte del juzgado de conocimiento.</t>
  </si>
  <si>
    <r>
      <t xml:space="preserve">De acuerdo a lo previsto durante el monitoreo y revisión del Mapa de riesgos de gestion  de la Oficina Jurídica:
- </t>
    </r>
    <r>
      <rPr>
        <b/>
        <u/>
        <sz val="10"/>
        <color theme="1"/>
        <rFont val="Arial"/>
        <family val="2"/>
      </rPr>
      <t xml:space="preserve">ENERO
</t>
    </r>
    <r>
      <rPr>
        <b/>
        <sz val="10"/>
        <color theme="1"/>
        <rFont val="Arial"/>
        <family val="2"/>
      </rPr>
      <t xml:space="preserve">1. </t>
    </r>
    <r>
      <rPr>
        <sz val="10"/>
        <color theme="1"/>
        <rFont val="Arial"/>
        <family val="2"/>
      </rPr>
      <t xml:space="preserve">se evidencia petición bajo el radicado No.  2025-002506 del 13/01/2025, en la que se solicito el pago y cumplimiento de providencia judicial. dentro del medio de control nulidad y restablecimiento del derecho. radicacion  73001333300420180027700 demandante CORPORACIÓN COLOMBIA demandado MUNICIPIO DE IBAGUÉ, a el cual se le dio respuesta mediante el oficio No. 15421 del 28 de febrero de 2025. 
2. Peticion bajo el radicado No. 2025-005492 del 17/01/2025, la señora LUZ ANGELA ROMERO, solicito el pago y desembolso de costas, dentro del proceso ordinario laboral de COASINTOL demandante: JUAN CARLOS DUARTE APONTE radicacion: 73001310500520040055000, se da respuesta mediante el oficio No. 17873 del 08/03/2025.
</t>
    </r>
    <r>
      <rPr>
        <b/>
        <u/>
        <sz val="10"/>
        <color theme="1"/>
        <rFont val="Arial"/>
        <family val="2"/>
      </rPr>
      <t>- FEBRERO</t>
    </r>
    <r>
      <rPr>
        <sz val="10"/>
        <color theme="1"/>
        <rFont val="Arial"/>
        <family val="2"/>
      </rPr>
      <t xml:space="preserve">
1. Mediantte el radicado Pisami 2025-022520 del 27/02/2025, se da respuesta al Oficio No. 1030-14473 del 16 de febrero de 2025, radicacion de documentos para el pago de la sentencia judicial, dentro del medio de control de nulidad y restablecimiento del derecho adelantado por el señor CAMPO ELIAS OLARTE SACHICA 73001333301120210005000. </t>
    </r>
  </si>
  <si>
    <t xml:space="preserve">perdida de recursos financieros </t>
  </si>
  <si>
    <t>Caducidad de la acción de repetición o falencias en el ejercicio de esta acción, generando la imposibilidad de recuperar los recursos pagados por el Estado</t>
  </si>
  <si>
    <t xml:space="preserve">que el apoderado judicial, no inice frente al comité de conciliacion el estudio pertinente para determinar la procedencia de iniciar acción de repetición </t>
  </si>
  <si>
    <t xml:space="preserve">Posibilidad de riesgo económico por perdida de recursos financieros debido  a la Caducidad de la acción de repetición o falencias en el ejercicio de esta acción, generando la imposibilidad de recuperar los recursos pagados por la Administración Municipal. </t>
  </si>
  <si>
    <t>El jefe de oficina juridica mediante  el secretario del comite de conciliacion validara  que una vez, se hayan realizado   pagos por concepto de sentencias judiciales y/o conciliaciones judiciales o extrajudiciales y que sean consecuencia de conductas dolososas o culposas,  mediante memorando, requerira a los abogados que deberan inciar el estudio pertinente para determinar la procedencia de accion de repeticion, cada vez que  la admisnistracion realice un pago total por concepto de condena y/o acuerdo conciliatorio.</t>
  </si>
  <si>
    <t xml:space="preserve">De acuerdo a lo previsto durante el monitoreo y revisión del Mapa de riesgos de gestion  de la Oficina Jurídica,: para esta actividad de control, durante los meses de ENERO - FEBRERO, no se evidencia memorando, en el que se requiera a los abogados determinar la procedencia de acción de repetición.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</si>
  <si>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</si>
  <si>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</si>
  <si>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</si>
  <si>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Tipo de Riesgo</t>
  </si>
  <si>
    <t>Seguimiento enero - febrero</t>
  </si>
  <si>
    <t xml:space="preserve">Acciones legales (sanciones disciplinarias, demandas y demás acciones jurídicas) y/o hallazgos de los entes de control </t>
  </si>
  <si>
    <t xml:space="preserve">Incumplimiento a la oportunidad de respuesta de los PQRSD clasificados como Derechos de Petición a la Entidad. </t>
  </si>
  <si>
    <t>Falta de seguimiento a los tiempos de respuestas de las PQRSD - Derechos de Petición formuladas a la entidad</t>
  </si>
  <si>
    <t xml:space="preserve">Posibilidad de perdida económica y reputacional por acciones legales (sanciones disciplinarias, demandas y demás acciones jurídicas) y/o hallazgos de los entes de control debido al incumplimiento a la oportunidad de respuesta de los PQRSD clasificados como Derechos de Petición a la Entidad. </t>
  </si>
  <si>
    <t>Seguimiento a la gestión de mejoramiento de la reducción de las PQRSD al interior de los Procesos</t>
  </si>
  <si>
    <t>El Profesional Universitario(a) de la Dirección de Atención al Ciudadano quincenalmente  verifica que las respuestas emitidas por las diferentes unidades administrativas de las PQRSD sean respondidas dentro delos términos establecidos por la ley y se genera un informe que se exporta de la plataforma PISAMI, donde se puede visualizar el estado de las respuestas de las PQRSD de cada unidad administrativa. En caso de encontrar PQRSD a las cuales no se les dio respuesta dentro de los términos establecidos por la ley, se remite un informe de lo ocurrido a la oficina de control disciplinario y se proyectan informes de seguimiento con los respectivos memorandos.</t>
  </si>
  <si>
    <t>Correctivo</t>
  </si>
  <si>
    <t>D14,15O3,6,7; Realizar visitas mensuales a las 
Dependencias con mayor cantidad de número de PQRSD vencidos evidenciando el término de respuesta dada a las peticiones, quejas y reclamos radicadas por los ciudadanos para cumplir con los parámetros establecidos en la ley .</t>
  </si>
  <si>
    <t>Directora de Atención al Ciudadano</t>
  </si>
  <si>
    <r>
      <rPr>
        <b/>
        <sz val="11"/>
        <rFont val="Arial Narrow"/>
        <family val="2"/>
      </rPr>
      <t>Memorando visita enero</t>
    </r>
    <r>
      <rPr>
        <sz val="11"/>
        <rFont val="Arial Narrow"/>
        <family val="2"/>
      </rPr>
      <t xml:space="preserve"> 2025-003453 del 27 de enero de 2025.                                                                                                                   Acta No. 01 del 28 de enero de 2025, acta No. 02 del 29 de enero de 2025, acta No. 03 del 29 de enero de 2025, acta No. 04 del 29 de enero de 2025, acta No. 05 del 28 de enero de 2025, acta No. 06 del 28 de enero de 2025.                    </t>
    </r>
    <r>
      <rPr>
        <b/>
        <sz val="11"/>
        <rFont val="Arial Narrow"/>
        <family val="2"/>
      </rPr>
      <t>Memorando visitas febrero</t>
    </r>
    <r>
      <rPr>
        <sz val="11"/>
        <rFont val="Arial Narrow"/>
        <family val="2"/>
      </rPr>
      <t xml:space="preserve"> 2025-008255 del 21 de febrero de 2025.                                                                                                                               Acta No. 07 del 26 de febrero de 2025, acta No. 08 del 25 de febrero de 2025, acta No. 09 del 25 de febrero de 2025, Acta No. 10 del 25 de enero de 2025, Acta No. 11 del 26 de febrero del 2025, Acta No. 12 del 25 de febrero de 2025. </t>
    </r>
  </si>
  <si>
    <t>Errores en la clasificación del tipo de petición - Derechos de Petición</t>
  </si>
  <si>
    <t>EL Profesional Universitaro(a) de la Dirección de Atención al Ciudadano y lider de cada unidad administrativa diariamente verifica y revisa que la clasificación y el direccionamiento del tipo de petición sea el correcto a través del seguimiento en PISAMI  
 mediante tres filtros; el primero son las ventanillas, el segundo es la Dirección de Atención al Ciudadano – Secretaría General y el tercero son las Unidades Administrativas que dan respuesta a las diferentes solicitudes de los ciudadanos según sea la competencia. Si las unidades administrativas detectan algún error lo pueden comunicar a la Dirección de Atención al Ciudadano para el respectivo cambio. Las unidades administrativas cuentan con un (2) días hábiles contados a partir del momento de la recepción de la correspondencia por parte de la Unidad Administrativa para realizar este proceso. En caso de encontrar tipos de peticiones mal clasificadas o direccionadas, se procede a realizar el cambio en la plataforma PISAMI.</t>
  </si>
  <si>
    <t>D16,17O6; Realizar informes consolidados mensuales de seguimiento a las ventanillas</t>
  </si>
  <si>
    <r>
      <t>I</t>
    </r>
    <r>
      <rPr>
        <b/>
        <sz val="11"/>
        <color theme="1"/>
        <rFont val="Arial Narrow"/>
        <family val="2"/>
      </rPr>
      <t>NFORMES CONSOLIDADOS DE VENTANILLA</t>
    </r>
    <r>
      <rPr>
        <sz val="11"/>
        <color theme="1"/>
        <rFont val="Arial Narrow"/>
        <family val="2"/>
      </rPr>
      <t>: informe del 07 al 10 de enero de 2025, enviado el 23 de enero de 2025. Informe del 13 al 17 de enero de 2025, enviado el 23 de enero de 2025. Informe del 20 al 24 de enero de 2025, enviado el  04 defebrero de 2025. Informe del 27 al 31 de enero de 2025, enviado el 05 de febrero de 2025. Informe del 03 al 07 de febrero de 2025, enviado el 19 de febrero de 2025. Informe del 10 al 14 de febrero del 2025, enviado el 22 de febrero de 2025, Informe del 17 al 22 de febrero del 2025, enviado el 04 de marzo de 2025. Informe del 24 al 28 de febrero del 2025, enviado el 04 de marzo de 2025.</t>
    </r>
  </si>
  <si>
    <t>D16,17O3; Realizar seguimiento  mensualmente a las diferentes Dependencias de la entidad por medio de informes de oportunidad de respuesta de los traslados por competencia</t>
  </si>
  <si>
    <r>
      <rPr>
        <b/>
        <sz val="11"/>
        <color theme="1"/>
        <rFont val="Arial Narrow"/>
        <family val="2"/>
      </rPr>
      <t xml:space="preserve">INFORME TRASLADO POR COMPETENCIA: </t>
    </r>
    <r>
      <rPr>
        <sz val="11"/>
        <color theme="1"/>
        <rFont val="Arial Narrow"/>
        <family val="2"/>
      </rPr>
      <t xml:space="preserve">                                      Informe mes de enero del 2025, enviado el 04 de febrero de 2025. Informe mes de febrero del 2025, enviado el 03 de marzo de 2025,</t>
    </r>
  </si>
  <si>
    <t>Falta de seguimiento a los tiempos de respuestas de los Reclamos - Derechos de Petición formulados a la entidad</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</si>
  <si>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</si>
  <si>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D16,17O7; Reportar trimestralmente en el Comité de Coordinación de Control Interno mediante informe el estado de respuestas de los Reclamos con el fin de que cada Dependencia implemente las acciones de mejora correspondientes.</t>
  </si>
  <si>
    <t xml:space="preserve">En este periodo no se tiene estipulado realizar esta actividad; ya que, el comité de Coordinación de Control Interno y el informe de Reclamos se  realiza de manera trimestral. </t>
  </si>
  <si>
    <t xml:space="preserve"> Insatisfacción de los  ciudadanos frente a los servicios, trámites que presta la Entidad y PQRSD. </t>
  </si>
  <si>
    <t>Orientación inadecuada en la prestación de los servicios, trámites que presta la Entidad y PQRSD</t>
  </si>
  <si>
    <t>Falta de socialización de los mecanismos de comunicación para con los ciudadanos</t>
  </si>
  <si>
    <t>Posibilidad de perdida reputacional por insatisfacción de los ciudadanos frente a los servicios y trámites que presta la Entidad debido a la orientación inadecuada en la prestación de los servicios, trámites de la Entidad y PQRSD.</t>
  </si>
  <si>
    <t>Seguimiento a la orientación en la prestación de los servicios, trámites que presta la Entidad y PQRSD.</t>
  </si>
  <si>
    <t>Usuarios, productos y practicas , organizacionales</t>
  </si>
  <si>
    <t>El Director (a) de Atención al Ciudadano y su equipo de trabajo mensualmente verifica y revisa las actividades de la estrategia de Atención al Ciudadano, plan de mejoramiento con la Oficina de Control Interno e informes gerenciales de chats y encuestas relacionados con los mecanismos de comunicación para con los ciudadanos y de la instatisfacción de los mismos frente a las respuesta de los PQRSD interpuestos a la Entidad. En caso de no encontrar implementados los mecanismos de comunicación entre la Entidad y los Ciudadanos, se procede a socializar en Comité Institucional de Gestión y Desempeño para que el Secretario comunique a la Alta Dirección las acciones de mejora a realizar, según sea el caso. Esta actividad se reporta mediante una presentación enviada al correo institucional de Fortalecimiento Institucional.</t>
  </si>
  <si>
    <t>D18O3; Socializar y difundir mensualmente información de los canales de atención, trámites, servicios y correos electrónicos de las Dependencias a los ciudadanos.</t>
  </si>
  <si>
    <t>Durante el periodo de enero y febrero se realizaron las siguientes piezas gráficas: 1.Banner de trámites y servicios en línea 2. banner de la cartilla de lenguaje claro,jueves 30 de enero de 2025 (se público en la página de la Alcaldía el 30 de enero de 2025); 3. Banner de trámites y servicios en línea 
4. Pieza gráfica y banner del horario de atención especial el sábado 
5. Piezas gráficas de los 5 pasos para la recepción y trámite de PQRSD</t>
  </si>
  <si>
    <t xml:space="preserve">Baja competencia del personal frente al manejo de las PQRSD, orientación y atención al ciudadano </t>
  </si>
  <si>
    <t xml:space="preserve"> </t>
  </si>
  <si>
    <t>D3O8; Adelantar bimestralmente jornadas de
capacitación o asesorías al personal de ventanilla.</t>
  </si>
  <si>
    <r>
      <rPr>
        <b/>
        <sz val="11"/>
        <color theme="1"/>
        <rFont val="Arial Narrow"/>
        <family val="2"/>
      </rPr>
      <t>Memorando</t>
    </r>
    <r>
      <rPr>
        <sz val="11"/>
        <color theme="1"/>
        <rFont val="Arial Narrow"/>
        <family val="2"/>
      </rPr>
      <t xml:space="preserve"> visita de ventanilla en el mes de enero, 2025-003456 del 27 de enero de 2025, </t>
    </r>
    <r>
      <rPr>
        <b/>
        <sz val="11"/>
        <color theme="1"/>
        <rFont val="Arial Narrow"/>
        <family val="2"/>
      </rPr>
      <t xml:space="preserve">Actas </t>
    </r>
    <r>
      <rPr>
        <sz val="11"/>
        <color theme="1"/>
        <rFont val="Arial Narrow"/>
        <family val="2"/>
      </rPr>
      <t xml:space="preserve">de la 01 a la 04 .                                                                                                                                  </t>
    </r>
    <r>
      <rPr>
        <b/>
        <sz val="11"/>
        <color theme="1"/>
        <rFont val="Arial Narrow"/>
        <family val="2"/>
      </rPr>
      <t>Memorando</t>
    </r>
    <r>
      <rPr>
        <sz val="11"/>
        <color theme="1"/>
        <rFont val="Arial Narrow"/>
        <family val="2"/>
      </rPr>
      <t xml:space="preserve"> visitas de ventanillas en el mes de febrero, 2025-008496 del 24 de febrero de 2025, </t>
    </r>
    <r>
      <rPr>
        <b/>
        <sz val="11"/>
        <color theme="1"/>
        <rFont val="Arial Narrow"/>
        <family val="2"/>
      </rPr>
      <t>Actas</t>
    </r>
    <r>
      <rPr>
        <sz val="11"/>
        <color theme="1"/>
        <rFont val="Arial Narrow"/>
        <family val="2"/>
      </rPr>
      <t xml:space="preserve"> de la 05 a la 08.</t>
    </r>
  </si>
  <si>
    <t>Acciones legales, civiles, fiscales, penales y disciplinarias (sanciones, demandasy/o hallazgos) de los entes de control</t>
  </si>
  <si>
    <t>Incumplimiento en la supervisión, vigilancia, control y ejecución de las actividades de los contratos</t>
  </si>
  <si>
    <t>Falta de seguimiento por parte de los supervisores a las actividades que desarrollan los contratistas</t>
  </si>
  <si>
    <t>Posibilidad de perdida económica y reputacional por acciones legales , civiles, fiscales, penales y disciplinarias (sanciones, demandas y/o hallazgos) de los entes de control debido al incumplimiento en la supervisión, vigilancia, control y ejecución de las actividades de los contratos.</t>
  </si>
  <si>
    <t>Fiscal</t>
  </si>
  <si>
    <t>Supervisión a la ejecución de los contratos</t>
  </si>
  <si>
    <t xml:space="preserve">     El riesgo afecta la imagen de la entidad internamente, de conocimiento general, nivel interno, de junta dircetiva y accionistas y/o de provedores</t>
  </si>
  <si>
    <t xml:space="preserve">Los supervisores de la Secretaría General y Dirección de Atención al Ciudadano mensualmente verifican el cargue en la plataforma del SECOP, que los informes de ejecución o actividades, informes de supervisión y todo documento soporte que haya sido generada para el trámite de pago por los contratistas se haya implementado. En caso de encontrar falta de ejecución en los contratosse debe requerir por escrito al contratista, llevar a cabo reuniones, integrar comités y desarrollar otras herramientas encaminadas a verificar la adecuada ejecución de los contratos </t>
  </si>
  <si>
    <t>D21,22O9,10,11; Realizar bimestralmente seguimiento mediante comité técnico a la ejecución de las actividades contractuales</t>
  </si>
  <si>
    <t xml:space="preserve">Acta 01 de comité Tecnico de la Secretaria General, del dia 07 de febrero de 2025. </t>
  </si>
  <si>
    <t>Incumplimiento de los supervisores del manual de contratación, manual de supervisión, documentación y normatividad aplicable del Proceso de Gestión Contractual</t>
  </si>
  <si>
    <t>Los supervisores de la Secretaría General y Dirección de Atención al Ciudadano mensualmente deben verificar la correcta ejecución técnica, administrativa, finánciera, contable y jurídica de los mismos y su observancia es de obligatorio cumplimiento para los servidores públicos del Municipio de Ibagué, para los interventores, supervisores, funcionarios y contratistas; cumpliendo con lo establecido en el manual de contratación, manual de supervisión e interventoria en los cuales se establecen los procedimientos y responsabilidades en el ejercicio del debido control y vigilancia.  En caso de encontrar desviaciones se debe informar a la Entidad Estatal cuando se presente incumplimiento contractual; así como entregar los soportes necesarios para que la Entidad Estatal desarrolle las actividades correspondientes</t>
  </si>
  <si>
    <t>D19,21,23O9,10,11; Realizar cuatrimestralmente capacitación a supervisores, funcionarios y contratistas en cuanto al manual de contratación y manual de supervisión</t>
  </si>
  <si>
    <t xml:space="preserve">En este periodo no se tiene estipulado realizar esta actividad; ya que,  la capacitacion a supervisores y contratistas  se  realiza de manera  cuatrimestral. </t>
  </si>
  <si>
    <t>Acción u omisión por amiguismo a la ejecución de algunas actividades de los contratos</t>
  </si>
  <si>
    <t>Los supervisores de la Secretaría General y Dirección de Atención al Ciudadano mensualmente verifican y validan en el informe mensual el cumplimiento de las actividades y el cargue de información de los informes y documentos relacionados con la ejecución de las actividades en la plataforma de contratación - PISAMI, para garantizar la alimentación de dicho sistema. En caso de encontrar falta de documentación, suscribir actas de la ejecución del contrato para dejar documentadas diversas situaciones (actas parciales, actas parciales de recibo y actas de recibo final)</t>
  </si>
  <si>
    <t>D23,24;A1,2,4,6; Realizar bimestralmente circular o memorando con las obligaciones contractuales a los supervisores y contratistas</t>
  </si>
  <si>
    <t>Se realizo memorando 2025-08176 del 21 de febrero del 2025, donde se socializó las funciones y obligaciones de los supervisores.</t>
  </si>
  <si>
    <t>Inadecuada aplicación del principio de Planeación e Insuficiencia de estudios previos</t>
  </si>
  <si>
    <t xml:space="preserve">Falta de articulación y desconocimiento de Secretaría General y Dirección de Atención al Ciudadano por parte de los supervisores al definir las actividades de los contratistas </t>
  </si>
  <si>
    <t>Posibilidad de perdida económica y reputacional por acciones legales, fiscales, penales y disciplinarias (sanciones, demandas y/o hallazgos) de los entes de control debido a la inadecuada aplicación del principio de Planeación e Insuficiencia de estudios previos</t>
  </si>
  <si>
    <t>En la elaboración de los estudios previos a la planeación de las actividades de los contratos , según las necesidades de la Dependencia</t>
  </si>
  <si>
    <t>La Secretaria General y/o Director(a) de Atencion al Ciudadano, cada vez que se elabora los estudios previos, verifican y cotejan que las obligaciones mencionadas contribuyan al ejecución de las actividades de los proyectos para el cumplimiento del plan de acción y/o plan de desarrollo, dejando como evidencia la firma de documentos previos; si se encuentra una desviación se devuelve al abogado formulador para que se corrija.</t>
  </si>
  <si>
    <t xml:space="preserve">D20O9,10,11; Realizar cuatrimestralmente mesa de trabajo con el fin de identificar las necesidades de la Dependencia y las posibles actividades en las que pueden apoyar los contratistas </t>
  </si>
  <si>
    <t xml:space="preserve">En este periodo no se tiene estipulado realizar esta actividad; ya que,  la mesa de trabajo para identificar las necesidades de la dependencia  se  realiza de manera  cuatrimestral. </t>
  </si>
  <si>
    <t xml:space="preserve">GESTION CONTRACTUAL </t>
  </si>
  <si>
    <t>CONTRIBUIR ANUALMENTE EN LA GESTION DE ADQUISICION DE BIENES Y SERVICIOS REQUERIDOS EN LA OPERACIÓN DE LOS PROCESOS DE LA ENTIDAD CUMPLIENDO LA NORMATIVIDAD CONTRACTUAL VIGENTE</t>
  </si>
  <si>
    <t>INICIA CON LA IDENTIFICACION DE LA NECESIDAD DEL BIEN O SERVICIO A CONTRATAR Y FINALIZA CON LA LIQUIDACION DEL PROCESO</t>
  </si>
  <si>
    <t>Plan de Accion</t>
  </si>
  <si>
    <t>Fecha de Implementacion</t>
  </si>
  <si>
    <t>Fecha de Seguimiento</t>
  </si>
  <si>
    <t>Sanción del ente de control</t>
  </si>
  <si>
    <t>Incumplmiento de la normatividad vigente Ley 594/2000</t>
  </si>
  <si>
    <t>No allegar de manera oportuna la documentacón de la etapa contractual de los contratos y/o convenios por parte de los supervisores ( informes de ejecución)</t>
  </si>
  <si>
    <t>Posibilidad de perdida economica y reputacional por afectación administrativa de los entes de control debido al Incumplimiento de la ley 594 de 2000</t>
  </si>
  <si>
    <t>Custodia de los expedientes contractuales</t>
  </si>
  <si>
    <t xml:space="preserve">     Entre 50 y 100 SMLMV </t>
  </si>
  <si>
    <t>Circular trimestral para los supervisores reiterando la  responsabilidad que rige la contratación estatal</t>
  </si>
  <si>
    <t>Aceptar</t>
  </si>
  <si>
    <t>Revisión semestral  mediante el método de muestreo del universo de la contratación suscrita del primer semestre de cada vigencia, identificando el cumplimiento de la ley de archivo en los expedientes contractuales, una vez identificada la documentación faltante, se comunicará mediante memorando a los supervisores, para que alleguen la documentación y esta repose en el expediente contractual. Los supervisores que persistan en el incumplimiento de no allegar de manera oportuna la documentación de los expedientes, serán remitidos ante la oficina de Control Disciplinario</t>
  </si>
  <si>
    <t>Desorganización de los archivos de gestión</t>
  </si>
  <si>
    <t>Desconocimiento de los lineamientos del Manual de Contratacón y Supervisión de la Alcaldia Municipal de Ibagué y  la normatividad legal vigente</t>
  </si>
  <si>
    <t xml:space="preserve">Dificultad en la unificación de criterios para la realización de los procesos contractuales </t>
  </si>
  <si>
    <t xml:space="preserve">Posibilidad  de perdida economica por demora en los procesos contractuales  para la  adquisición de los bienes y servicios, debido al  desconocimiento  de la
normatividad  en la elaboracion de la etapa precontractual  </t>
  </si>
  <si>
    <t xml:space="preserve">Adquisición de Bienes y Servicios </t>
  </si>
  <si>
    <t xml:space="preserve">     Entre 10 y 50 SMLMV </t>
  </si>
  <si>
    <t xml:space="preserve">Realizar una capacitación semestral con el equipo de trabajo de la oficina de contratación con el fin de  unificar criterios en los procesos contractuales ,fortalecer el trabajo en equipo, y los valores institucionales </t>
  </si>
  <si>
    <t>Falta de conocimiento en la elaboración de la etapa precontractual por parte de los estructurados de procesos en las secretarias ejecutoras</t>
  </si>
  <si>
    <t xml:space="preserve">Realizar circular trimestral para los ordenadores del gasto, supervisores e instructuradores, con los lineamientos para la estructuracion de los estudios previos  </t>
  </si>
  <si>
    <t xml:space="preserve">Realizar una capacitación semestral  con los lideres de los procesos, para el fortalecimiento y la toma de conciencia del proceso gestión contractual, especificamente de como elaborar la etapa precontractual de cada proceso </t>
  </si>
  <si>
    <t>Incumplimiento en el  envio de la información y documentación  en razón de tiempo y calidad</t>
  </si>
  <si>
    <t>Fallas Tecnologicas</t>
  </si>
  <si>
    <t xml:space="preserve">Posibilidad de Incumplimiento en el envio oportuno ante los entes de control de los  contratos suscritos por urgencia manifiesta, u otro tipo de contratacion derivado de otros riesgos naturales que puedan surgir    </t>
  </si>
  <si>
    <t xml:space="preserve">     Afectación menor a 10 SMLMV .</t>
  </si>
  <si>
    <t xml:space="preserve"> Remitir por correo electrónico semanalmente al ente de control,los contratos que se suscriban por urgencia manifiesta, u otros desastres naturales que puedan surgir en su eventualidad </t>
  </si>
  <si>
    <t>GESTION DE INFRAESTRUCTURA TECNOLÓGICA</t>
  </si>
  <si>
    <t xml:space="preserve">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</si>
  <si>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Inicia con la planeación del proceso e incluye las actividades relacionadas con la gestión de la infraestructura tecnológica (software y hardware), gestión de la seguridad de la información y culmina con el seguimiento y evaluación del proceso.</t>
  </si>
  <si>
    <t>Seguimiento 28/02/2025</t>
  </si>
  <si>
    <t xml:space="preserve"> Indisponibilidad  de  recurso tecnológico para el funcionamiento de los procesos</t>
  </si>
  <si>
    <t>perdida, daño o desaprovechamiento de  recurso tecnológico</t>
  </si>
  <si>
    <t>Personal de planta es insuficiente o sin la capacitación o actualización  necesaria para el proceso</t>
  </si>
  <si>
    <t>Posible perdida reputacional y económica por Indisponibilidad  de  recurso tecnológico para el funcionamiento de los procesos, debido a que el personal de planta es insuficiente o sin la capacitación o actualización  necesaria para el proceso,  Insuficiente Presupuesto para cumplir con el correcto funcionamiento de los procesos de la entidad,Sistema de información de desarrollo propio sin estabilizar, Infraestructura Tecnológica Deficiente  para garantizar el rendimiento de la plataforma PISAMI</t>
  </si>
  <si>
    <t xml:space="preserve">Uso de recurso Tecnológico </t>
  </si>
  <si>
    <t>La Secretaria de TIC, anualmente cuando se realice la evaluación al PIC, con el propósito de garantizar el mejoramiento de las competencias de los servidores públicos del proceso, verifica que en el Plan Institucional de Capacitación se incluyan los proyectos de aprendizaje relacionados con las temáticas que garanticen el adecuado uso y apropiación de las plataforma tecnológicas.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</si>
  <si>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t>Aleatoria</t>
  </si>
  <si>
    <t>Secretaría de las TIC</t>
  </si>
  <si>
    <t>del 01/03/2025 al 31/12/2025</t>
  </si>
  <si>
    <t>Solicitud de capacitaciones para incluir en el PIC</t>
  </si>
  <si>
    <t>Insuficiente Presupuesto para cumplir con el correcto funcionamiento de los procesos de la entidad</t>
  </si>
  <si>
    <t>La Secretaria de TIC, cuando formule el PETI, verifica que se hayan incluido las necesidades tecnológicas identificadas mediante la aplicación de la metodología establecida por el DAFP, y formularel  proyecto de inversión que garantice los recursos necesarios para el normal funcionamiento de las plataforma tecnológica. Si en las evaluaciones al plan de acción del PETI identifica baja ejecución por falta de recursos presupuestales, solicita  al Secretario de Hacienda la asignación de recursos. Las evidencias de estas acciones deben reposar en PISAMI Gestión Documental y en el módulo de presupuesto</t>
  </si>
  <si>
    <t>F6,7 A4  Difundir y aplicar las políticas de seguridad de la información de equipos</t>
  </si>
  <si>
    <t>del 01/02/2025 al 31/12/2025</t>
  </si>
  <si>
    <t>Sistema de información de desarrollo propio sin estabilizar</t>
  </si>
  <si>
    <t>La Dirección de Contratación cada vez que se inicie un proceso precontractual que incluya adquisición de recurso tecnológico, con el propósito de garantizar el cumplimiento de la política de seguridad, verifica que cuente con el aval de la Secretaria de las TIC, en caso de omisión  solicitará a la secretaria Ejecutora el aval técnico de la Secretaria de las TIC. La Secretaria de las TIC cuando identifique procesos contractuales sin el aval de la Secretaria, socializará nuevamente la política e interpondrá la queja ante la oficina de control único disciplinario. Las evidencias de estas acciones deben reposar en PISAMI Gestión Documental.</t>
  </si>
  <si>
    <t>Secretaria de las TIC</t>
  </si>
  <si>
    <t>Infraestructura Tecnológica Deficiente  para garantizar el rendimiento de la plataforma PISAMI</t>
  </si>
  <si>
    <t>La Secretaría de las TIC cuando formule el anteproyecto del presupuesto, verifica que en el plan de compras se encuentre incluido los servicios tecnológicos necesarios para el el normal funcionamiento de la plataforma PISAMI, tales como  el internet, el almacenamiento en la nube para las copias de seguridad, los certificados de seguridad, el firewall y demás servicios de seguridad. En caso de no encontrarse contemplado alguno de estos servicios, incluirlos en el plan de compras para que se le asignen recursos y de manera oportuna iniciar los procesos contractuales. Las evidencias son el plan de compras y los documentos de la etapa precontractual.</t>
  </si>
  <si>
    <t>Probabilidad</t>
  </si>
  <si>
    <t>Sin Registro</t>
  </si>
  <si>
    <t>GESTIÓN ESTRATÉGICA DE LAS COMUNICACIONES</t>
  </si>
  <si>
    <t>DIFUNDIR DE MANERA PERMANENTE LA GESTIÓN INSTITUCIONAL Y EL DESARROLLO ORGANIZACIONAL A TRAVÉS DE LAS VOCERÍAS OFICIALES EN EL PORTAL WEB, REDES SOCIALES Y MEDIOS DE COMUNICACIÓN, IMPLEMENTANDO ESTRATEGIAS DE COMUNICACIÓN TRANSMEDIA Y MULTIPLATAFORMAS QUE HAGAN USO ADECUADO DE LA IDENTIDAD VISUAL, PARA PROVEER INFORMACIÓN EN UN LENGUAJE CLARO, ACCESIBLE, CONFIABLE, OPORTUNO, EFICIENTE Y
TRANSPARENTE COMO HERRAMIENTA DE INNOVACIÓN PÚBLICA, MECANISMO DE PARTICIPACIÓN CIUDADANA Y RENDICIÓN DE CUENTAS</t>
  </si>
  <si>
    <t>INICIA CON LA PLANEACIÓN DE LAS ESTRATEGIAS DE COMUNICACIÓN TRANSMEDIA Y MULTIPLATAFORMAS, CONTINÚA CON LA EJECUCIÓN DEL PLAN ESTRATÉGICO INSTITUCIONAL DE COMUNICACIONES (PEICO), LA PRODUCCIÓN DE INFORMACIÓN PERIODÍSTICA PARA DIFUSIÓN EN LAS VOCERÍAS OFICIALES DE LA ENTIDAD EN EL PORTAL WEB, REDES SOCIALES Y DISTINTOS MEDIOS DE COMUNICACIÓN, LA ADMINISTRACIÓN DE LA IDENTIDAD VISUAL, EL MANTENIMIENTO Y ACTUALIZACIÓN DE LAS BASES DE DATOS DE GRUPOS DE INTERÉS, LA RENDICIÓN DE CUENTAS Y FINALIZA CON EL SEGUIMIENTO Y EVALUACIÓN DEL PROCESO.</t>
  </si>
  <si>
    <t>Incumplimiento en las metas del plan de desarrollo municipall</t>
  </si>
  <si>
    <t>Deficiencia en la planeación, ejecución y seguimiento de las metas</t>
  </si>
  <si>
    <t xml:space="preserve">Desconocimiento de los instrumentos de planeación para un adecuado seguimiento a la ejecución a las metas del plan de desarrollo municipal. </t>
  </si>
  <si>
    <t>Posibilidad de perdida economica y reputacional por el incumplimiento en las metas del plan de desarrollo municipal, debio a la deficiencia en la planeación, ejecución y seguimiento de las metas</t>
  </si>
  <si>
    <t>EN LA PLANEACIÓN, EJECUCIÓN Y SEGUIMIENTO A LOS DIFERENTES INSTRUMENTOS DE PLANEACIÓN DE LA ALCALDÍA DE IBAGUÉ Y SEGUIMIENTO A LAS PLATAFORMAS QUE SE IMPLEMENTEN PARA TAL FIN</t>
  </si>
  <si>
    <t>Realizar la documentación para fortalecer los controles establecidos, según quede en la caracterización de acuerdo a las necesidades del proceso, incluyendo: 1. cronograma y responsables para el cumplimiento de los instrumentos y articulación con el proyecto de inversión. 2. Seguimiento mensual a la ejecución fisíca y financiera del proyecto de inversión dejando evidenciado en el informe mensual que será cargado en el PIIP.</t>
  </si>
  <si>
    <t>Jefe Oficina Comunicaciones</t>
  </si>
  <si>
    <t xml:space="preserve">Falta de apliación  de la política de gestión del conocimiento cuándo se dan cambios de directivos y funcionarios </t>
  </si>
  <si>
    <t xml:space="preserve">Deficiencia en la ejecución presupuestal </t>
  </si>
  <si>
    <t>Control unico Disciplinario</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</si>
  <si>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</si>
  <si>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INICIA DE OFICIO ANTE UNA QUEJA O INFORME DE SERVIDOR PÚBLICO, LA EVALUACIÓN DE LA QUEJA, QUE PUEDE DAR LUGAR A UN AUTO INHIBITORIO, AUTO DE INDAGACIÓN PRELIMINAR, AUTO DE INVESTIGACIÓN DISCIPLINARIO, AUTO POR REMISIÓN DE COMPETENCIA, PARA TERMINAR Y/O ARCHIVAR, DE ACUERDO AL FALLO SANCIONATORIO O ABSOLUTORIO</t>
  </si>
  <si>
    <t>Reconstrucción de expedientes o sanciones por parte del ente regulardor</t>
  </si>
  <si>
    <t>Perdida de la informacion y/o expedientes disciplinarios</t>
  </si>
  <si>
    <t xml:space="preserve">Falta de continuidad del personal con las competencias administrativas idoneas </t>
  </si>
  <si>
    <t>Posibilidad de perdida reputacional debido a la Reconstrucción de expedientes o sanciones por parte del ente regulardor por perdida de la informacion y/o expedientes disciplinarios.</t>
  </si>
  <si>
    <t>Manejo y/o manipulacion de los archivos físicos y/o base de datos</t>
  </si>
  <si>
    <t>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</si>
  <si>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Reducir (compartir)</t>
  </si>
  <si>
    <t>El jefe de la oficina realizara memorando exponiendo la necesidad del personal a contratar</t>
  </si>
  <si>
    <t>Jefe de Oficina</t>
  </si>
  <si>
    <t>Febrero</t>
  </si>
  <si>
    <t>Se envio correo dirigido a la secretaria administrativa solicitando actualizacion del PAA para la contratacion de personal con fecha del 10 de enero de 2024</t>
  </si>
  <si>
    <t>Ausencia de archivadores y gondolas para el resguardo de los expedientes</t>
  </si>
  <si>
    <t>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</si>
  <si>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El jefe de la oficina solicitará, mediante un memorando a la secretaria administrativa, una vez identificada las necesidades, las herramientas, muebles y enseres, que son indispensables para el ejercicio y cumplimineto de las obligaciones y funciones de la oficina  para resguardar los expedientes.</t>
  </si>
  <si>
    <t xml:space="preserve"> Se envio un memorandos N° 003558 DEL 01/02/2024 y 003556 DEL 01/02/2024  con base en dar cumplimiento a las necesidades requeridas.</t>
  </si>
  <si>
    <t xml:space="preserve"> falta de una herramienta o sistema de información que permita registrar las etapas del proceso,  genere alertas y salvaguarde la información.</t>
  </si>
  <si>
    <t>La Asesora de la oficina controla a traves de una matriz en excel el cumplimiento  de las diferentes etapas del proceso y estado en que se encuentra, si se presenta información erronea se deja la anotación.</t>
  </si>
  <si>
    <t>El Tecnico operativo, diariamente realizara control y seguimiento a la base de datos dejando como registro el ingreso al DRIVE con la que tendra acceso el Jefe y Asesora.</t>
  </si>
  <si>
    <t>Tecnico Operativo</t>
  </si>
  <si>
    <t>febrero</t>
  </si>
  <si>
    <t>Reporte aplicativo DRIVE, en dias habiles cuantos actualizaciones se realizan. Por motivos de reserva legal no se puede compartir dicha informacion - soporte pantallazo de ingreso al DRIVE</t>
  </si>
  <si>
    <t xml:space="preserve">Desatención al procedimiento que busca los fines del derecho disciplinario. </t>
  </si>
  <si>
    <t xml:space="preserve">Desacato de los  terminos de Ley. </t>
  </si>
  <si>
    <t>Desconocimiento por parte de los servidores publicos de la oficina de control unico disciplinario respecto al procedimiento Unico Disciplinario</t>
  </si>
  <si>
    <t xml:space="preserve"> Posibilidad de perdida reputacional debido a Desatención al procedimiento que busca los fines del derecho disciplinario. Por Desacato de los términos de Ley. </t>
  </si>
  <si>
    <t xml:space="preserve">en Comité Juridico, se realiza la revisión del estado de los procesos Activos, para efectuar un impulso procesal, donde queda como videnacia el Acta de Comité Juridico.
</t>
  </si>
  <si>
    <t xml:space="preserve">El jefe de la Oficina de Control Unico Disciplinario cada vez que se va a contratar personal, verifica el perfíl de la persona y lo compara frente a las necesidades reales del personal en la oficina. Dejando como evidencia la aprobación para la contratación. </t>
  </si>
  <si>
    <t xml:space="preserve">El jefe de la Oficina de Control Unico Disciplinario realiza capacitaciones a los funcionarios nuevos dentro de los tiempos establecidos dejando como evidencia un acta de reunión. </t>
  </si>
  <si>
    <t>Se dió cumplimiento con la actividad capacitando a los nuevos funcionarios adscritos a la Oficina de Control Único Disciplinario dando así cumplimiento a este control.</t>
  </si>
  <si>
    <t xml:space="preserve">Ausencia de material probatorio. </t>
  </si>
  <si>
    <t>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</si>
  <si>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Mediante la Plataforma PISAMI se verificara la respuesta oportuna por parte de la Secretaria</t>
  </si>
  <si>
    <t>Se realiza monitoreo por la plataforma PISAMI, dejando evidencia consolidado Excel de las peticiones que se han contestado o no.</t>
  </si>
  <si>
    <t>Falta de control en la recepción de quejas y desorganización en reparto.</t>
  </si>
  <si>
    <t>desconocimietno por parte del personal responsable de efectuar el reparto de las PQR´s</t>
  </si>
  <si>
    <t>Ausencia de controles en el traslado o designación de las quejas a la oficina de control unico disciplinario por parte de la oficina de radicación.</t>
  </si>
  <si>
    <t>Posibilidad de perdida reputacional debido a la Falta de control en la recepción de quejas y desorganización en reparto, por desconocimiento por parte del personal responsable de efectuar el reparto de las PQR´s</t>
  </si>
  <si>
    <t>Verificar en plataforma PISAMI, mediante el numero radicado las PQR´s recibidas en la entidad y revisar el traslado a la Oficina de Control Unico Disciplinario. Diligenciando matriz en archivo Excel el reparto.</t>
  </si>
  <si>
    <t>Pérdida Reputacional</t>
  </si>
  <si>
    <t xml:space="preserve">El tecnico Operativo , realizará, un archivo en excel donde incluira las quejas allegadas  con la información completa, con el fin de tener un control de las quejas allegadas, de manera mensual, dejando como evidencias la actualizacion de la basa de datos.
</t>
  </si>
  <si>
    <t xml:space="preserve"> El técnico operativo se encargará de la elaboración de un cuadro en archivo excel y una base de datos en drive donde se consigne la información completa de las quejas recibidas y la entrega de las mismas.</t>
  </si>
  <si>
    <t>se realizó el seguimiento a la base de datos la cual reposa en el drive, donde se alimenta la información de los expedientes ya existentes y los nuevos que se incorporan.</t>
  </si>
  <si>
    <t>Las quejas son radicadas en diferentes entes de control, quienes remiten por competencia a la O.C.U.D las quejas a destiempo.</t>
  </si>
  <si>
    <t>El Asesor de la Oficina de Control Unico Disciplinario, revisará  el reparto a los abogados sustanciadores el cual se debe consultar en la base de datos cada 15 dias para corroborar si la queja anticipadamente fue asignada.</t>
  </si>
  <si>
    <t>GESTIÓN CATASTRAL</t>
  </si>
  <si>
    <t>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</si>
  <si>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INICIA DESDE LA PLANEACIÓN DE LAS ACTIVIDADES DE FORMACIÓN, ACTUALIZACIÓN, CONSERVACIÓN Y
DIFUSIÓN DE LA INFORMACIÓN CATASTRAL HASTA LA REALIZACIÓN DE LAS VERIFICACIONES DEL PROCESO</t>
  </si>
  <si>
    <r>
      <rPr>
        <sz val="12"/>
        <color theme="6" tint="-0.249977111117893"/>
        <rFont val="Arial Narrow"/>
        <family val="2"/>
      </rPr>
      <t xml:space="preserve">*Sanciones por parte de los entes rectores (IGAC-SNR)   </t>
    </r>
    <r>
      <rPr>
        <sz val="12"/>
        <color theme="1"/>
        <rFont val="Arial Narrow"/>
        <family val="2"/>
      </rPr>
      <t xml:space="preserve">                      </t>
    </r>
  </si>
  <si>
    <t>*Inoportunidad en los tiempos de  respuesta a los usuarios</t>
  </si>
  <si>
    <t>Insuficiencia del personal de planta o contratistas para el adecuado cumplimiento de los tiempos de respuesta de los tramites</t>
  </si>
  <si>
    <t xml:space="preserve">Posibilidad de Impacto Economico y Reputacional, por sanciones por parte de los entes rectores (IGAC-SNR, ect) debido a la Inoportunidad de respuesta a las solicitudes de tramites y productos catastrales, lo que conllevaria a constantes quejas de usuarios                                                                                          </t>
  </si>
  <si>
    <t xml:space="preserve">Desde la Radicación, cuando el usuario realiza la radicación o solicitud del tramite en oficinas diferentes a las de catastro y/o por Pisami como PQR; y cuando estos son remitidos a catastro, llegan fuera de los tiempos de respuesta. En el seguimiento y  la ejecución, debido que cuando llegan los tramites a los ejecutores estos al realizar el analisis o verificación de docuementos se pueden detectar falta de documentación, para lo cual se debe requerir al usuario para que entregue dicha documentación dentro del tiempo establecido. </t>
  </si>
  <si>
    <t xml:space="preserve">La Directora verifica el personal que se requiere en la Dirección con el fin de solicitar su contratación, para desarrollar las actividades propias del proceso. Esta actividad deberá realizarce dos veces al año. En caso de no contar con el personal requerido, La Directora de Planeación Multipropósito, verifica los planes de choque  delegados de los rezagos de tramites, esto con el fin de ir evacuando los que están fuera de tiempos de respuesta, delegando por metas a cada uno de los contratistas con los que cuenta en el momento la dirección, todos los tramites deben realizarce siguiendo los controles y el flujo documental y los tiempos de respuesta que se implemente para cada mutación catastral conforme se describe dentro de las hojas de vida de los tramites; los seguimientosse realizaran mediante reunión por lo menos una vez al mes. </t>
  </si>
  <si>
    <t>El Grupo tecnico, administrativo y de radicación siguen los pasos aprobados para la radicación y realización de un tramite o producto catastral.  Realizar  seguimiento al  por pare de la directora donde se consignan las respuestas brindadas a las solicitudes de los usuarios de PQR (Pisamis) y/o solicitudes radicadas en el Cam</t>
  </si>
  <si>
    <t>Directora de Planeación Multipropósito y su equipo de trabajo</t>
  </si>
  <si>
    <t>24/feb/2025 al 30/Dic/2025</t>
  </si>
  <si>
    <t>Plan de adquisiciones y actas de reuniones de segumiento realizadas a la fecha</t>
  </si>
  <si>
    <t xml:space="preserve">Falta del sistema de información catastral adecuado y robusto que permita dar respuesta oportuna y llevar trazabilidad de los tramites </t>
  </si>
  <si>
    <t>Se analiza la contratación de un sistema catastral que cumpla con la normatividad actual, el cual debe contar con un sistema de alertas que indique el estado del tramite, este proceso es realizado por la Secretaria de planeación junto a la Dirección de Planeación Multipropósito. Asi mismo cada vez que se requiera validar el funcionamiento del sistema de información catastral, según los requerimientos de los ejecutores y/o usuarios, se solicitara a los administradores de la plataforma la necesidad de revisar y validar el cumplimiento del servicio y fortalecer el software o los módulos de este si es necesario, dejando como evidencia, actas de reunión y/o solicitudes escritas y/o informes presentados por la empresa contratada, esta acción será realizada por la Directora de Planeación Multiproposito o a quien ella Delegue para esta actividad.</t>
  </si>
  <si>
    <t>Cuando se presenten fallas o  haya dudas en el manejo de la plataforma o se requiera actualización de algun modulo de la misma se realizara solicitud mediante solicitudes expresas y/o mesas técnicas e informes de ejecución del contrato</t>
  </si>
  <si>
    <t>Directora de Planeación Multipropósito y/o su equipo de trabajo</t>
  </si>
  <si>
    <t>Asistencia a mesas tecnicas y/o solicitud realizada y/o informes</t>
  </si>
  <si>
    <t>Falta de Ventanilla Unica para la Gestión Catastral, debido al desconocimiento de las demás ventanillas de la administración para poder orientar de forma acertada a los usuarios en cuanto a tramites catastrales</t>
  </si>
  <si>
    <t>La Dirección de Planeación Multipropósito, requiere la creación de ventanilla unica de gestión catastral, con el fin de brindar la asesoria y la recepción de los tramites catastrales en un solo lugar. Teniendo en cuenta que la gestión catastral es un servicio público único especial, que requiere del conocimiento de los requisitos de cada tramite y asi evitar errores en la solicitud, esto deberá realizarce dentro de los siguientes 2 meses. Dado el caso que la respuesta sea negativa, se solicitará la capacitación al personal de las demás ventanillas (Planeación, ventanilla alcaldia, pqr y pisami) para que puedan guiar a los usuarios y/o puedan remitirlo a las oficinas de catastro para que realicen su solicitud personalmente en el cam de la pola o por medio del enlace de la plataforma catastral que existirá para los usuarios, ademas se solicitará la inclusión de los tramites y el boton de la pagina de la plataforma dentro del sitio web de la alcaldía, esto se deberá realizar en los proximos 3 meses</t>
  </si>
  <si>
    <t>Solicitar información y/o respuesta al memorando o correo electronico enviado al grupo de gestión documental para la creación de la ventanilla unica de la gestión catastral. De no poderse crear la ventanilla única,  La Directora Solicitará una capacitación para orientar a las demas ventanillas y requerira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</si>
  <si>
    <t>Correo electronico o memorando o actas de mesas tecnicas o asistencias a estas</t>
  </si>
  <si>
    <t>GESTIÓN DEL TRANSITO Y LA MOVILIDAD</t>
  </si>
  <si>
    <t>REGULAR, ORGANIZAR Y CONTROLAR EL EJERCICIO DEL TRÁNSITO Y EL TRANSPORTE MEJORANDO LAS CONDICIONES DE LA MOVILIDAD, APLICANDO EL CÓDIGO NACIONAL DE TRANSITO Y ADMINISTRANDO EL REGISTRO AUTOMOTOR Y DEL CONDUCTOR, PRESTANDO UN SERVICIO EFICIENTE, OPORTUNO Y DE CALIDAD A LA CIUDADANÍA TANTO EN LA GESTIÓN DE LOS TRÁMITES COMO A LOS USUARIOS DE LAS VÍAS EN EL MUNICIPIO DE IBAGUÉ.</t>
  </si>
  <si>
    <t>INICIA CON LA PLANEACIÓN DEL PROCESO, CONTINUA CON EL SEGUIMIENTO A LA EJECUCIÓN DEL PLAN MAESTRO DE  MOVILIDAD Y ESPACIO PÚBLICO Y PLAN LOCAL DE SEGURIDAD VIAL, LA GESTIÓN DE LA IMPLEMENTACIÓN DEL SISTEMAINTEGRADO DE TRANSPORTE PÚBLICO, LAS ACTIVIDADES DE LIQUIDACIÓN, RADICACIÓN, APROBACIÓN Y EXPEDICIÓN DE LOS DOCUMENTOS RELACIONADOS CON LOS TRÁMITES PREVISTOS EN MATERIA DE TRÁNSITO Y TRANSPORTE Y FINALIZA CON EL SEGUIMIENTO Y EVALUACIÓN DEL PROCESO.</t>
  </si>
  <si>
    <t xml:space="preserve">Sanciones e investigaciones de los entes de control </t>
  </si>
  <si>
    <t xml:space="preserve">Respuesta  fuera  de los términos de tiempo   establecidos por la ley </t>
  </si>
  <si>
    <t>La entrega no oportuna y reparto a las respectivas áreas de las solicitudes radicadas</t>
  </si>
  <si>
    <t>Posibilidad de perdida económica y reputacional debido a sanciones e investigaciones de los entes de control por respuesta fuera de los términos de tiempo establecidos por la Ley</t>
  </si>
  <si>
    <t>Gestiòn</t>
  </si>
  <si>
    <t>Recepción de solicitudes, trámites y PQRS</t>
  </si>
  <si>
    <t>Los directores validan el reporte remitido por la Dirección, atención al ciudadano y los PQRS que están fuera de término, los cuales son remitidos via memorando a los responsables para su revisión y finalización, dejando como evidencia el memorando y la terminación del PQRS</t>
  </si>
  <si>
    <t xml:space="preserve">Generar una matriz de PQRS  y direccionar por cada direcciòn a los contratistas encargados. Realizar controles por medio de comitès periodicos </t>
  </si>
  <si>
    <t>Secretario y Directores</t>
  </si>
  <si>
    <t>Enero de 2025</t>
  </si>
  <si>
    <t>Falta de seguimiento a la información que se proporciona en la plataforma web PISAMI</t>
  </si>
  <si>
    <t>Los directores realizan reunión bimestral con los responsables de cada proceso o encargados de área , para la verificación de solicitudes pendientes, dejando como evidencia el acta y la asistencia</t>
  </si>
  <si>
    <t>Reduccción de presupuesto y deterioro de la imagen hacía la ciudadanía</t>
  </si>
  <si>
    <t>Falta de planeación,   seguimiento y control a la ejecución de los planes, programas y proyectos</t>
  </si>
  <si>
    <t>Insuficiencia presupuestal para dar cumplimiento a los planes, programas y proyectos establecidos</t>
  </si>
  <si>
    <t>Posibilidad de perdida económica y reputacional, debido a la reducción del presupuesto y deterioro de la imagen hacía a la ciudadanía por falta de planeación, seguimiento y control de los planes, programas y proyectos</t>
  </si>
  <si>
    <t>Elaboración y seguimiento del plan de desarrollo y los instrumentos de seguimiento</t>
  </si>
  <si>
    <t>Los directores realizan monitoreo, seguimiento y control  trimestral en la ejecución de los planes, programas y proyectos, dejando como evidencias informes de ejecución</t>
  </si>
  <si>
    <t>Automático</t>
  </si>
  <si>
    <t>Realizar comités técnicos periodicos, donde se evalua el cumplimiento de las metas que tiene la dependencia con sus respectivos compromisos de cumplimiento</t>
  </si>
  <si>
    <t xml:space="preserve">Secretario y Directores </t>
  </si>
  <si>
    <t xml:space="preserve">Falta de viabilización y actualización de los proyectos ante la Secretaria de Planeación </t>
  </si>
  <si>
    <t xml:space="preserve">El responsable delegado por la dirección , realiza anualmente  la verificación ante Planeación Municipal  de la viabilidad y actualización del proyecto , dejando como evidencia el certificado de viabilidad del proyecto </t>
  </si>
  <si>
    <t>Actualización de proyectos. Durante este año se estàn ejecutando 6 proyectos, 4 de la direcciòn operativa y 2 de la direcciòn de tramites. Mensualmente se reporta el avance en la plataforma PIIP.</t>
  </si>
  <si>
    <t>FORMATO MAPA DE RIESGOS</t>
  </si>
  <si>
    <t>GESTION DE RECURSOS FISICOS</t>
  </si>
  <si>
    <t>GESTIONAR OPORTUNAMENTE EL FUNCIONAMIENTO DE LA ADMINISTRACION CENTRAL MEDIANTE LA ADQUISICIÓN Y MANTENIMIENTO DE BIENES Y SERVICIOS, EJECUTANDO EL 80% DEL PRESUPUESTO ASIGNADO CONTRIBUYENDO A LA GESTIÓN DE LOS PROCESOS Y AL LOGRO DE LOS OBJETIVOS INSTITUCIONALES,</t>
  </si>
  <si>
    <t>INICIA CON LA PLANEACIÓN DEL PROCESO, GESTIONANDO LOS BIENES Y SERVICIOS REQUERIDOS PARA GARANTIZAR EL FUNCIONAMIENTO DE LA ADMINISTRACIÓN, DESARROLLANDO LAS ACTIVIDADES DE MANEJO Y CONTROL DEL INVENTARIO DE LOS BIENES MUEBLES DEL MUNICIPIO, IDENTIFICAR, LEGALIZAR Y TITULAR LOS BIENES FISCALES Y DE USO PUBLICO Y EL MANTENIMIENTO PREVENTIVO Y CORRECTIVO DE VEHICULOS Y BIENES DEL MUNICIPIO, CULMINANDO CON EL SEGUIMIENTO Y EVALUACIÓN DEL PROCESO.</t>
  </si>
  <si>
    <t>Seguimiento  y evaluacion a 31  de marzo de 2025</t>
  </si>
  <si>
    <t>Sancion del ente regulador</t>
  </si>
  <si>
    <t>Deficiente gestion de la Programacion Contractual Para el Funcionamiento de la Administracion Central</t>
  </si>
  <si>
    <r>
      <rPr>
        <b/>
        <sz val="12"/>
        <rFont val="Arial Narrow"/>
        <family val="2"/>
      </rPr>
      <t xml:space="preserve">Posibildad de afectacion economica y reputacional por </t>
    </r>
    <r>
      <rPr>
        <sz val="12"/>
        <color theme="3" tint="-0.499984740745262"/>
        <rFont val="Arial Narrow"/>
        <family val="2"/>
      </rPr>
      <t>las sanciones del ente regulador</t>
    </r>
    <r>
      <rPr>
        <b/>
        <sz val="12"/>
        <rFont val="Arial Narrow"/>
        <family val="2"/>
      </rPr>
      <t xml:space="preserve"> debido</t>
    </r>
    <r>
      <rPr>
        <b/>
        <sz val="12"/>
        <color rgb="FFFF0000"/>
        <rFont val="Arial Narrow"/>
        <family val="2"/>
      </rPr>
      <t xml:space="preserve"> a</t>
    </r>
    <r>
      <rPr>
        <sz val="12"/>
        <color rgb="FFFF0000"/>
        <rFont val="Arial Narrow"/>
        <family val="2"/>
      </rPr>
      <t xml:space="preserve"> la deficiente gestion de la programacion contractual para el funcionamiento de le Administracion Central</t>
    </r>
  </si>
  <si>
    <t>Plan anual de adquisiciones ejecuciones de las actividades propias del proceso.</t>
  </si>
  <si>
    <t>El Director (a) de Recursos Fisicos junto con su equipo de trabajo - Abogados  contratistas y el profesional Universitario,se reune trimestralmente  o cuando sea necesario, con el fin de revisar y hacer seguimiento y control al Plan de Accion presentado; actividades vs su ejecucion para tomar acciones en caso de desviacion.</t>
  </si>
  <si>
    <t>Director (a) Recursos Fisicos</t>
  </si>
  <si>
    <t xml:space="preserve">1. Dando cumplimiento, por medio del Acta 004 del 29 de febrero de 2024, la Directora de Recursos Fisicos se reunio con los Abogados contratistas que llevan a cabo los procesos de la Contratación de Bienes y Servicios de la D.R.F.Con el fin de hacer seguimiento y control a la contratación que se tiene programada y que se ha ejecutado a la fecha segun lo programado y ejecutado en el Plan de Accion del 2024.Informe presentado a 29 de febrero de 2024.                                                                                                                                                                                                          4.  Dando cumplimiento a esta actividad la Directora de Recursos Fisicos, hace seguimiento y control de los bienes serviicios , segun la programacion que se realizo en el plan de accion vigencia 2025, segun Acta N° 00004  del 25 de febrero de 2025, de acuerdo a lo programado y ejecutado en el plan de accion 2024.                                                                                                                                                                                                                5. Dando cumplimiento al seguimiento y control, la Directora de Recursos Fisicos, realiza convocatoria y se reunion con los abogados contratistas para revisar los avances a los procesos contractuales, segun Acta N° 00013 del 27 de marzo de 2025, segun lo programada y ejecutado en el plan de accion 2025.                                                                                                                                                                                                                                                                                                                                                                                                         </t>
  </si>
  <si>
    <t>El Director (a) de Recursos Fisicos elabora anualmente la programacion  presupuestal  de la actividades realizadas y se plasma la ejecucion en el Plan de Accion.</t>
  </si>
  <si>
    <t>Multas y/o sanciones</t>
  </si>
  <si>
    <t>Posible perdida, extravio, hurto,daños, robo o declaratoria irregular de bienes faltantes pertenecientes a la entidad.</t>
  </si>
  <si>
    <r>
      <rPr>
        <b/>
        <sz val="11"/>
        <rFont val="Arial Narrow"/>
        <family val="2"/>
      </rPr>
      <t>Posibildad de afectacion economica</t>
    </r>
    <r>
      <rPr>
        <sz val="11"/>
        <rFont val="Arial Narrow"/>
        <family val="2"/>
      </rPr>
      <t xml:space="preserve"> </t>
    </r>
    <r>
      <rPr>
        <b/>
        <sz val="11"/>
        <rFont val="Arial Narrow"/>
        <family val="2"/>
      </rPr>
      <t>por</t>
    </r>
    <r>
      <rPr>
        <sz val="11"/>
        <rFont val="Arial Narrow"/>
        <family val="2"/>
      </rPr>
      <t xml:space="preserve"> </t>
    </r>
    <r>
      <rPr>
        <sz val="11"/>
        <color theme="3"/>
        <rFont val="Arial Narrow"/>
        <family val="2"/>
      </rPr>
      <t>multas y/sanciones</t>
    </r>
    <r>
      <rPr>
        <sz val="11"/>
        <rFont val="Arial Narrow"/>
        <family val="2"/>
      </rPr>
      <t xml:space="preserve"> </t>
    </r>
    <r>
      <rPr>
        <b/>
        <sz val="11"/>
        <rFont val="Arial Narrow"/>
        <family val="2"/>
      </rPr>
      <t xml:space="preserve">debido a </t>
    </r>
    <r>
      <rPr>
        <sz val="11"/>
        <color rgb="FFFF0000"/>
        <rFont val="Arial Narrow"/>
        <family val="2"/>
      </rPr>
      <t>perdida, extravio, hurto, daños, robo o declaratoria irregular de bienes faltantes pertenecientes a la entidad.</t>
    </r>
  </si>
  <si>
    <t>Ejecuciones y Actividades Propias del Proceso.</t>
  </si>
  <si>
    <t>El Director (a) de Recursos Fisicos emite circulares semestralmente para socializar la Correcta apliacion al MANUAL PARA EL MANEJO Y CONTROL DE LOS BIENES DEL  MUNICIPIO.</t>
  </si>
  <si>
    <t>Almacenista General</t>
  </si>
  <si>
    <t xml:space="preserve">1. Cumpliendo con la Actividad de Control, desde la Oficina de Almacen se realizo socializacion de la Politica de Uso Adecuado de los Bienes, Esta politica fue Socializada por medio de la Circular N° 0005 del 10 de enero del 2025.            
2. Por medio de la Circular N° 00006 del 10 de enero de 2025 el Almacen General, socializo la correcta verificacion de muebles y enseres a cargo de cada funcionario publico. 3. Por medio del Circular N° 00008 del 14 de enero de 2025 el Almacen General socializo las responsabilidades de los funcionarios en caso de traslado o desvinculacion de la administracion central. 4. Por medio de PELHUSA se  socializo video   y se divulgo por el Facebook el dia 29/03/2025  el USO ADECUADO DE LOS BIENES DEL MPIO.                  </t>
  </si>
  <si>
    <t>El Director (a)  Recursos Fisicos junto con el Almacenista, realizan programacion del cronograma para el seguimiento a las tomas fisicas, con el fin de validar si existe perdida o no perdida, extravio, hurto, daños, robo o declaratoria irregular de bienes faltantes pertenecientes a la entidad.</t>
  </si>
  <si>
    <t>El Almacenista General cada vez que se presente un traslado o retiro de un funcionario, asigna un responsable para verificar la informaicon contenida en el acta de entrega y traspaso de bienes muebles, coincida con la informacion que reposa en la BDD del aplicativo de inventarios a no coincidir la informacion se remite correo electronico al responsable y sean ubicados los bienes muebles. Siguiendo los procedimientos establecidos.</t>
  </si>
  <si>
    <t xml:space="preserve">1.  El Almacen General  por medio del FORMATO: ACTA DE ENTREGA Y  TRASPASO DE BIENES MUEBLES Y ENSERES (VERSION 03, 31/07/2024) y la generacion de los PAZ Y SALVO  de  Almacen General, que reposan en los archivos y registos del CGI de la actualizacion, realizan las actividades de control y seguimiento a los movimientos de los inventarios de los bienes muebles a cargo de los funcionarios y   ex funcionarios que son de propiedad de la Administracion Central.    2. Por medio del memorando 1423-2024-055636 el Almacen Gral convoco una mesa de trabajo a las dependecias de talento humano, Control disciplinario e Interno, para tratar el tema para del seguimiento de aquellos funcionarios que se retiran de la Administracion Central y no hace la debida entrega al almacen de aquellos elementos que tenian a cargo, con la evidencia de esta activdad el Acta de reunion N° 0014 del 02/12/2024.                                                                                                                                                                                                                                    3. Por medio del memorando 1423-2024-058041 del 09/12/2024, el Almacen Gral realiza convocatoria de segunda mesa de trabajo a las dependecias de Talento Humano, Control Interno y Disciplinarios y se fortalezcan las actividades de controles del Almacen Gral para emitor paz y salvos a aquellos funcionarios que se desvinculan de la Alcaldia de ibague, como evidencia el Acta de Reunion N° 0015 del 16/12/2024. 4. Por medio del correo electronico institucional del Almacen Gral en el mes de diciembre/2024 les  remite  a los funcionarios Maria Margarita Abraham, Sary Ibeth Santos Moreno, Shirley Lorena, Angela Ximena Charcas y a otros, que se acerquen al almacen y hagan el proceso de entrega la Almacen Gral y revisan su respectivo PAZ Y SALVO.                                                                                                                                                                                                         5. Por medio de comunicacion externa el almacen gral el dia 19/12/2024, remite por 472 oficio a la Señora Maria Margarita Rueda Abraham, solicitandole que haga entrega de los bienes muebles que aun tiene bajo su responsabilidad en el sistema de informacion de esta oficina ( se anbexa formato de correspondencia- Oficina de Atencion al Ciudadano).                                                                                                                                                                                                                                                                                                 </t>
  </si>
  <si>
    <t>Perdida o deficiencias en las identificacion de los bienes inmuebles o cedidos de propiedad del Municipio de Ibague</t>
  </si>
  <si>
    <r>
      <rPr>
        <b/>
        <sz val="11"/>
        <rFont val="Arial Narrow"/>
        <family val="2"/>
      </rPr>
      <t>Posibilidad de perdida economica por</t>
    </r>
    <r>
      <rPr>
        <sz val="11"/>
        <rFont val="Arial Narrow"/>
        <family val="2"/>
      </rPr>
      <t xml:space="preserve"> </t>
    </r>
    <r>
      <rPr>
        <sz val="11"/>
        <color theme="3"/>
        <rFont val="Arial Narrow"/>
        <family val="2"/>
      </rPr>
      <t>multas y/o sanciones</t>
    </r>
    <r>
      <rPr>
        <sz val="11"/>
        <rFont val="Arial Narrow"/>
        <family val="2"/>
      </rPr>
      <t xml:space="preserve"> </t>
    </r>
    <r>
      <rPr>
        <b/>
        <sz val="11"/>
        <rFont val="Arial Narrow"/>
        <family val="2"/>
      </rPr>
      <t>debido a</t>
    </r>
    <r>
      <rPr>
        <sz val="11"/>
        <rFont val="Arial Narrow"/>
        <family val="2"/>
      </rPr>
      <t xml:space="preserve">  </t>
    </r>
    <r>
      <rPr>
        <sz val="11"/>
        <color rgb="FFFF0000"/>
        <rFont val="Arial Narrow"/>
        <family val="2"/>
      </rPr>
      <t>deficiencias en las identificacion de los bienes inmuebles o cedidos de propiedad del Municipio de Ibague</t>
    </r>
  </si>
  <si>
    <t>Ejecuciones  y Acitividades Propias del Proceso.</t>
  </si>
  <si>
    <t>El profesional Universitario Especializado, realiza mensualmentes seguimieto aleatorios a la BDD a los expedientes que reposan en el archivo gestion de la Direccion de Recursos Fisicos, para identificar posibles fallos en el registro de la informacion  que reposa en las BBD de los Bienes fiscales y de uso publicos del Municipio de Ibague, como tambien se programan mesas de trabajo para el seguimiento de este control.</t>
  </si>
  <si>
    <t xml:space="preserve">1. Dando cumplimiento a la socializacion del manual de bienes fiscales y de uso publico y pactar confidencialidad y responsabilidad de la manejo e informacion de las BBD, se realizo una capacitacion a los contratistas que ingresaron en el primer trimestre de 2025 al grupo de predios. Evidencias Actas N° 0005 del 28/02/2025 y N° 0014 del 31/03/2025.  1. Por medio de correo electronico institucional el dia 12/02/2025, el grupo de Bienes Fiscales remite a la Directora de Recursos Fisicos reporte del muestreo aleatorio del mes de enero de 2025 de la revision de los expedientes que reposan en el archivo gestion, donde realizan la verificacion y corraborar la infiornacion de la BDD  de  grupo de Bienes Fiscales y Uso Publico conforme a  los expedientes fisicos.                                                                                                                                                                                        2..   Por medio de correo electronico institucional el dia 26/02/2025, el grupo de Bienes Fiscales remite a la Directora de Recursos Fisicos reporte del muestreo aleatorio del mes de febrero de 2025 de la revision de los expedientes que reposan en el archivo gestion, donde realizan la verificacion y corraborar la infiornacion de la BDD  de  grupo de Bienes Fiscales y Uso Publico conforme a  los expedientes fisicos. 3. Por medio de correo electronico institucional el dia 31/03/2025, el grupo de Bienes Fiscales remite a la Directora de Recursos Fisicos reporte del muestreo aleatorio del mes de marzo de 2025 de la revision de los expedientes que reposan en el archivo gestion, donde realizan la verificacion y corraborar la infiornacion de la BDD  de  grupo de Bienes Fiscales y Uso Publico conforme a  los expedientes fisicos                                                                                  </t>
  </si>
  <si>
    <t>Cuando ingresen personal de apoyo al proceso de gestion de Recursos Fisicos al Grupo de Bienes Fiscales y de Uso Publico, se les realiza una socializacion del MANUAL ADMINISTRACION DE BIENES FISCALES Y DE USO PUBLICO,</t>
  </si>
  <si>
    <t xml:space="preserve">1. Cumpliendo con la Actividad de Control, la Directora de Recursos Fisicos cita a comite de Seguimiento el dia 22 de marzo de 2024, con la finalidad de socializar el manual y el procedimiento de Bienes Fiscales y Titulacion y tener un compromiso de confidencialidad y responsabilidad del manejo y control de la infirmacion de las BDD de esta area Acta 0008 del 22/03/2024. 2. Dando cumplimiento a la socializacion del manual de bienes fiscales y de uso publico y pactar confidencialidad y responsabilidad de la manejo e informacion de las BBD, se realizo una capacitacion a los contratistas que ingresaron en  el segundo trimestre al grupo de predios. Evidencia Acta N° 0026 del 20/06/2024.  3.Dando cumplimiento a esta actividad el dia 03/12/2024, por medio de correo electronico institucional se realizo convocatoria al personal de apoyo que ingresaron en los meses de septiembre, octubre,  noviembre y diciembre  de 2024 al grupo de titulaciones, para realizar el proceso de sociliazion del manual de ADMINSITRACION AL GRUPO DE BIENES FISCALES Y DE USO PUBLICO Y PACTAR COMPROMISO DE CONFIDENCIALIDAD DE LAS BDD que reposan en la Direccion de Recursos Fisicos.                                                                                                                                                                                                                                                                                             </t>
  </si>
  <si>
    <t>Deficiencia  en la planeacion y control de los contratos</t>
  </si>
  <si>
    <t>Falta de Presupuesto para cumplir con el correcto funcionamiento de los procesos de la entidad y metas del plan de desarrollo</t>
  </si>
  <si>
    <t>Deficiencia de la aplicación correcta al MANUAL PARA EL MANEJO Y CONTROL DE LOS BIENES DEL MUNICIPIO</t>
  </si>
  <si>
    <t>Deficiencia en el control de los inventarios periodicos.</t>
  </si>
  <si>
    <t>Deficiente control al momentos de la desvinculacion o traslado de los Funcionarios</t>
  </si>
  <si>
    <t>Inadecuado manejo de la informacion en la base de datos asociada al proceso de identificacion de los Bienes Fiscales y de uso Publico</t>
  </si>
  <si>
    <t>Presiones externas o de un superior jerárquico, para manipular informacion de los Bienes Fiscales y de uso Publico del Municipio de Ibague.</t>
  </si>
  <si>
    <t>Deficiente articulacion de la informacion entre procesos para la identificación de los predios de propiedad del Municipio.</t>
  </si>
  <si>
    <t>SISTEMA INTEGRADO DE GESTIÓN Y MIPG</t>
  </si>
  <si>
    <t>DESARROLLAR ACCIONES PARA LA IMPLEMENTACIÓN, SOSTENIBILIDAD Y MEJORA CONTINUA DEL SISTEMA INTEGRADO DE GESTIÓN DE LA ADMINISTRACIÓN MUNICIPAL DE IBAGUÉ “SIGAMI”, COMO HERRAMIENTA PARA LA TOMA DE DECISIONES Y EL CUMPLIMIENTO DE LA MISIÓN Y OBJETIVOS INSTITUCIONALES.</t>
  </si>
  <si>
    <t>INICIA DESDE LA PLANEACION DEL PROCESO, EL AFIANZAMIENTO DE LA CULTURA Y COMPROMISO ORGANIZACIONAL CON EL SIGAMI, HASTA LA CONSOLIDACIÓN DE LOS RESULTADOS DE LA MEDICIÓN Y SEGUIMIENTO DEL SISTEMA.</t>
  </si>
  <si>
    <t>Causa Raíz (EVENTO)</t>
  </si>
  <si>
    <t>Subcausas (CAUSAS) - FACTORES</t>
  </si>
  <si>
    <t xml:space="preserve">Tipo de Riesgos </t>
  </si>
  <si>
    <t>MONITOREO ENERO -FEBRERO</t>
  </si>
  <si>
    <t>MONITOREO MARZO  - ABRIL</t>
  </si>
  <si>
    <t xml:space="preserve">MONITOREO MAYO - JUNIO </t>
  </si>
  <si>
    <t xml:space="preserve">MONITOREO JULIO - AGOSTO </t>
  </si>
  <si>
    <t>MONITOREO SEPTIEMBRE - OCTUBRE</t>
  </si>
  <si>
    <t>MONITOREO NOVIEMBRE - DICIEMBRE</t>
  </si>
  <si>
    <t xml:space="preserve">cancelación o retiro de las certificaciones obtenidas </t>
  </si>
  <si>
    <t>Incumplimiento de los requisitos de las normas HSEQ</t>
  </si>
  <si>
    <t>Incumplimiento de los indicadores de Gestión</t>
  </si>
  <si>
    <r>
      <t>Posibilidad de perdida</t>
    </r>
    <r>
      <rPr>
        <sz val="10"/>
        <color theme="4"/>
        <rFont val="Arial Narrow"/>
        <family val="2"/>
      </rPr>
      <t xml:space="preserve"> </t>
    </r>
    <r>
      <rPr>
        <sz val="10"/>
        <color rgb="FF00B050"/>
        <rFont val="Arial Narrow"/>
        <family val="2"/>
      </rPr>
      <t xml:space="preserve">reputacional </t>
    </r>
    <r>
      <rPr>
        <sz val="10"/>
        <rFont val="Arial Narrow"/>
        <family val="2"/>
      </rPr>
      <t xml:space="preserve">por la </t>
    </r>
    <r>
      <rPr>
        <sz val="10"/>
        <color rgb="FFFF0000"/>
        <rFont val="Arial Narrow"/>
        <family val="2"/>
      </rPr>
      <t>cancelación o retiro de las certificaciones obtenidas</t>
    </r>
    <r>
      <rPr>
        <sz val="10"/>
        <rFont val="Arial Narrow"/>
        <family val="2"/>
      </rPr>
      <t xml:space="preserve"> debido al </t>
    </r>
    <r>
      <rPr>
        <sz val="10"/>
        <color rgb="FF002060"/>
        <rFont val="Arial Narrow"/>
        <family val="2"/>
      </rPr>
      <t>incumplimiento de los requisitos de las normas HSEQ.</t>
    </r>
  </si>
  <si>
    <t>Gestion</t>
  </si>
  <si>
    <t xml:space="preserve">Consolidación de Indicadores del Sistema Integrado de Gestión SIGAMI
Auditorías Internas - Seguimiento al cumplimiento de los requisitos de las Normas HSEQ
Consolidación y monitoreo a mapas de riesgos
Consolidación y seguimiento a normogramas </t>
  </si>
  <si>
    <t>El (la) directora (a) de Fortalecimiento Institucional  junto con su equipo de trabajo trimestralmente consolida el reporte de indicadores y revisa el cumplimiento de las metas. Dejando como evidencia el tablero de indicadores de SIGAMI.</t>
  </si>
  <si>
    <t xml:space="preserve">La director(a) de Fortalecimiento Institucional presentará el reporte o semaforización de las entregas con el fin de los procesos que no hayan cumplido a cabalidad con las directrices impartidas realizcen las acciones correctivas necesarias. </t>
  </si>
  <si>
    <t>La director(a) de Fortalecimiento Institucional</t>
  </si>
  <si>
    <t>1 de enero de 2025</t>
  </si>
  <si>
    <t>30 de Agosto de 2025</t>
  </si>
  <si>
    <t>Semaforización presentada en comité SIGAMI</t>
  </si>
  <si>
    <t>En Curso</t>
  </si>
  <si>
    <t xml:space="preserve">Durante este periodo no se entrega semaforizacion ya que las entregas del seguimiento a  indicadores, normograma, salidas no conformes y acciones correctivas se hacen de manera trimestral. </t>
  </si>
  <si>
    <t>Inadecuada Gestión del Conocimiento</t>
  </si>
  <si>
    <r>
      <t xml:space="preserve">Los Líderes de los Sistemas de Gestión y sus equipos de trabajo, (anualmente) verifican la apropaición del conocimiento sobre las normas, cada vez que haya vinculacion del personal, dejando como evidencia el informe del </t>
    </r>
    <r>
      <rPr>
        <b/>
        <sz val="10"/>
        <rFont val="Arial Narrow"/>
        <family val="2"/>
      </rPr>
      <t>PLAN DE ACCION DEBILIDADES GESTIÓN DEL CONOCIMIENTO</t>
    </r>
    <r>
      <rPr>
        <sz val="10"/>
        <rFont val="Arial Narrow"/>
        <family val="2"/>
      </rPr>
      <t xml:space="preserve">.  Asi mismo en los  Sistema Integrado de Gestión a través de las evaluación de impacto de los procesos de Inducción y reinducción a fin de identificar las fortalezas y debilidades del personal.  Dejando como evidencia el informe  de resultados. </t>
    </r>
  </si>
  <si>
    <t>Incumplimiento de la estructura documental del instrutivo de Elaboración de Documentos del SIGAMI</t>
  </si>
  <si>
    <t xml:space="preserve">El (la) directora (a) de Fortalecimiento Institucional junto con su equipo de trabajo de manera permanente  antes de eliminar, actualizar o crear un documento SIGAMI, verifica que dichos documentos cumplna con la estructura documental determinada en el  procedimiento de control de documentos e instrutivo de Elaboración de Documentos del SIGAMI, con el proposito de Verificar el cumplimiento de los requisitos establecidos para tal fin, Dejando como evidencia correos electrónicos o el listado maestro de documentos. Si un documento no cumple con los criterios establecidos, es devuelto para realizar las correcciones pertinentes </t>
  </si>
  <si>
    <t>Auditorías  NO PLANEADAS DENTRO DEL PAA. (internas fuera de los parametros estabelcidos)</t>
  </si>
  <si>
    <t xml:space="preserve">El (la) directora (a) de Fortalecimiento Institucional cada vez que se requiera, revisa que la Oficina de Control Interno dentro de su Programa Anual de Auditoría determinando las fechas previstas de las auditorias, con el fin de realizar adecuadamente la planeación de las mismas. </t>
  </si>
  <si>
    <t xml:space="preserve">Constantes cambios en la normatividad </t>
  </si>
  <si>
    <t>El (la) directora (a) de Fortalecimiento Institucional  junto con su equipo de trabajo trimestralmente consolida el reporte de normograma y realiza el seguimiento del cumplimiento de la normatividad externa. Dejando como evidencia actas de reunión y correos eléctronicos de retrolimentación del mismo para posteriores correcciones de los hallazgos.</t>
  </si>
  <si>
    <t>multa o sanción de los entes reguladores</t>
  </si>
  <si>
    <t>debido al incumplimiento de la normatividad vigente en Seguridad y Salud en el Trabajo y ambiente.</t>
  </si>
  <si>
    <t>Incumplimiento del plan de trabajo</t>
  </si>
  <si>
    <r>
      <t xml:space="preserve">
Posibilidad de perdida reputacional y afectación económica por </t>
    </r>
    <r>
      <rPr>
        <sz val="10"/>
        <color rgb="FFFF0000"/>
        <rFont val="Arial Narrow"/>
        <family val="2"/>
      </rPr>
      <t xml:space="preserve">multa o sanción de los entes reguladores </t>
    </r>
    <r>
      <rPr>
        <sz val="10"/>
        <color rgb="FF002060"/>
        <rFont val="Arial Narrow"/>
        <family val="2"/>
      </rPr>
      <t>debido al incumplimiento de la normatividad vigente en Seguridad y Salud en el Trabajo y ambiente.</t>
    </r>
  </si>
  <si>
    <t>Desarrollo, implementación y seguimiento al plan de trabajo del Sistema de Salud y Seguridad en el Trabajo y Sistema de Gestión Ambiental.</t>
  </si>
  <si>
    <t>Los líderes de los Sistemas de Seguridad y Salud en el Trabajo y el Sistema de Gestión Ambiental  mensualmente verifican el cumplimiento al plan de trabajo  respectivo, con el proposito de controlar las actividades definidas, dejando como evidencia las actas de reunión y el Plan de Trabjo   y los indicadores de Gestión del Sistema de Gestión de SST y Gestión Ambiental. Si se determinan actividades que ha pasado su fecha de ejecución, se realiza plan de choque para cumplir lo establecido.</t>
  </si>
  <si>
    <t>Semestralmente el grupo de SST y/o el equipo líder del Sistema de Gestión Ambiental junto con la Dirección de Fortalecimiento Institucional realizarán seguimiento al plan anual de trabajo y a las acciones correctivas de las auditorías al Sistema Sistema de Seguridad y Salud en el Trabajo y del Sistema de gestión Ambiental para Verificar la eficacia de las mismas.</t>
  </si>
  <si>
    <t>Lider del Sistema de Seguridad y Salud en el trabajo y Líder del Sistema de Gestión Ambiental</t>
  </si>
  <si>
    <t>1 enero de 2025</t>
  </si>
  <si>
    <t>30 de Diciembre de 2025</t>
  </si>
  <si>
    <t>Actas de reunion, Matriz de seguimiento a no conformidades de la auditoria Externa.</t>
  </si>
  <si>
    <t>29/03/2025 se realizo mesa de trabajo con el equipo HSEQ, para realizar Monitoreo y seguimiento al mapa de riesgos y acciones correctivas resultantes de la auditoria externa</t>
  </si>
  <si>
    <t xml:space="preserve">Insuficiencia en el talento humano </t>
  </si>
  <si>
    <t xml:space="preserve">Los líderes de los Sistemas de Seguridad y Salud en el Trabajo y el Sistema de Gestión Ambiental con los Profesionales designados, anualmente verifican la necesidad del talento humano en misión con el proposito de determinar los perfiles  requeridos para el buen funcionamiento de los Sistemas de SST y Gestión Ambiental y se incluye en el plan anual de adquisiciones de las dependencias, dejando como evidencia el plan anual de adquisiones. Si se presentan desviaciones, se solicitará actualización del plan de adquisiciones. </t>
  </si>
  <si>
    <t>deficiente priorización en la gestión para el cumplimiento de los requisitos o necesidades en SST y Sistema de Gestión Ambiental</t>
  </si>
  <si>
    <t>Los líderes de los Sistemas de Seguridad y Salud en el Trabajo y el Sistema de Gestión Ambiental con los Profesionales designados, trimestralmente mensualmente realizan seguimiento al cumplimiento del Plan de Acción, con el propósito de validar el cumplimiento de las actividades definidas, dejando como evidencia  el Plan de Trabajo actas de reunión. Si se determinan actividades que ha pasado su fecha de ejecución, se debe actualizar el  Plan de Trabajo con la respectiva fecha programada para ejecutar las actividades pendientes se realiza plan de choque para cumplir lo establecido. SE EVIODENCIA EN EL FORMATO DE ACCIONES CORRECTIVAS Y DE MEJORA</t>
  </si>
  <si>
    <t>Falta de compromiso, gestión y liderazgo en los diferentes sistemas que componen SIGAMI</t>
  </si>
  <si>
    <t>El comité Institucional de Gestión y Desempeño, semestralmente verifica el cumplimiento de los planes de trabajo y revisan el cumplimiento de los indicadores de los objetivos, dejando como evidencia las actas de comité, con el propósito de validar el avance y mejora contínua del Sistema de Gestión HSEQ. Si se presentan desviaciones se generará un plan de acción con el fin de dar cumplimiento a lo establecido.</t>
  </si>
  <si>
    <t>1. Se realizó el cronograma en donde se delega las responsabilidades de cada uno de los instrumentos de planeación. 2. Se le hizo seguimiento a la ejecución con los informes mensuales cargados.</t>
  </si>
  <si>
    <t>Finalizado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</si>
</sst>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_-\$* #,##0_-;&quot;-$&quot;* #,##0_-;_-\$* \-_-;_-@_-"/>
    <numFmt numFmtId="166" formatCode="d/m/yyyy"/>
  </numFmts>
  <fonts count="8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0"/>
      <color theme="1"/>
      <name val="Calibri"/>
      <family val="2"/>
    </font>
    <font>
      <sz val="12"/>
      <color rgb="FF000000"/>
      <name val="Arial"/>
      <family val="2"/>
    </font>
    <font>
      <sz val="11"/>
      <color rgb="FF000000"/>
      <name val="Arial"/>
      <family val="2"/>
    </font>
    <font>
      <sz val="11"/>
      <color theme="1"/>
      <name val="Arial"/>
      <family val="2"/>
    </font>
    <font>
      <sz val="11"/>
      <color theme="1"/>
      <name val="Calibri"/>
      <family val="2"/>
      <scheme val="minor"/>
    </font>
    <font>
      <sz val="10"/>
      <color theme="1"/>
      <name val="Arial Narrow"/>
      <family val="2"/>
    </font>
    <font>
      <b/>
      <sz val="18"/>
      <color theme="1"/>
      <name val="Arial Narrow"/>
      <family val="2"/>
    </font>
    <font>
      <sz val="12"/>
      <color theme="1"/>
      <name val="Arial Narrow"/>
      <family val="2"/>
    </font>
    <font>
      <sz val="11"/>
      <color theme="1"/>
      <name val="Arial Narrow"/>
      <family val="2"/>
    </font>
    <font>
      <b/>
      <sz val="11"/>
      <color theme="1"/>
      <name val="Arial Narrow"/>
      <family val="2"/>
    </font>
    <font>
      <b/>
      <sz val="14"/>
      <color theme="1"/>
      <name val="Arial Narrow"/>
      <family val="2"/>
    </font>
    <font>
      <sz val="11"/>
      <name val="Arial Narrow"/>
      <family val="2"/>
    </font>
    <font>
      <sz val="12"/>
      <name val="Arial Narrow"/>
      <family val="2"/>
    </font>
    <font>
      <sz val="11"/>
      <color rgb="FFFF0000"/>
      <name val="Arial Narrow"/>
      <family val="2"/>
    </font>
    <font>
      <sz val="11"/>
      <color rgb="FF000000"/>
      <name val="Calibri"/>
      <family val="2"/>
      <charset val="1"/>
    </font>
    <font>
      <b/>
      <sz val="22"/>
      <color theme="1"/>
      <name val="Arial Narrow"/>
      <family val="2"/>
    </font>
    <font>
      <u/>
      <sz val="11"/>
      <color theme="10"/>
      <name val="Calibri"/>
      <family val="2"/>
      <scheme val="minor"/>
    </font>
    <font>
      <sz val="11"/>
      <color theme="1"/>
      <name val="Calibri"/>
      <family val="2"/>
      <scheme val="minor"/>
    </font>
    <font>
      <b/>
      <sz val="12"/>
      <color theme="1"/>
      <name val="Arial Narrow"/>
      <family val="2"/>
    </font>
    <font>
      <b/>
      <sz val="10"/>
      <color theme="1"/>
      <name val="Arial"/>
      <family val="2"/>
    </font>
    <font>
      <sz val="10"/>
      <name val="Arial"/>
      <family val="2"/>
    </font>
    <font>
      <sz val="10"/>
      <color rgb="FFFF0000"/>
      <name val="Arial"/>
      <family val="2"/>
    </font>
    <font>
      <b/>
      <sz val="10"/>
      <color rgb="FF002060"/>
      <name val="Arial Narrow"/>
      <family val="2"/>
    </font>
    <font>
      <b/>
      <sz val="10"/>
      <color rgb="FF00B050"/>
      <name val="Arial Narrow"/>
      <family val="2"/>
    </font>
    <font>
      <b/>
      <sz val="10"/>
      <color theme="1"/>
      <name val="Arial Narrow"/>
      <family val="2"/>
    </font>
    <font>
      <b/>
      <sz val="10"/>
      <name val="Arial Narrow"/>
      <family val="2"/>
    </font>
    <font>
      <b/>
      <sz val="10"/>
      <color rgb="FFFF0000"/>
      <name val="Arial Narrow"/>
      <family val="2"/>
    </font>
    <font>
      <b/>
      <sz val="10"/>
      <color rgb="FFFF9900"/>
      <name val="Arial Narrow"/>
      <family val="2"/>
    </font>
    <font>
      <b/>
      <sz val="10"/>
      <color rgb="FF0070C0"/>
      <name val="Arial Narrow"/>
      <family val="2"/>
    </font>
    <font>
      <sz val="10"/>
      <name val="Arial Narrow"/>
      <family val="2"/>
    </font>
    <font>
      <b/>
      <sz val="10"/>
      <color rgb="FF00B0F0"/>
      <name val="Arial Narrow"/>
      <family val="2"/>
    </font>
    <font>
      <b/>
      <sz val="10"/>
      <color theme="9" tint="-0.249977111117893"/>
      <name val="Arial Narrow"/>
      <family val="2"/>
    </font>
    <font>
      <b/>
      <sz val="10"/>
      <color rgb="FFFFC000"/>
      <name val="Arial Narrow"/>
      <family val="2"/>
    </font>
    <font>
      <b/>
      <sz val="11"/>
      <color rgb="FF0070C0"/>
      <name val="Arial Narrow"/>
      <family val="2"/>
    </font>
    <font>
      <b/>
      <sz val="11"/>
      <color rgb="FF00B050"/>
      <name val="Arial Narrow"/>
      <family val="2"/>
    </font>
    <font>
      <b/>
      <sz val="11"/>
      <color theme="9" tint="-0.249977111117893"/>
      <name val="Arial Narrow"/>
      <family val="2"/>
    </font>
    <font>
      <sz val="11"/>
      <color theme="9" tint="-0.249977111117893"/>
      <name val="Arial Narrow"/>
      <family val="2"/>
    </font>
    <font>
      <b/>
      <sz val="9"/>
      <color indexed="81"/>
      <name val="Tahoma"/>
      <family val="2"/>
    </font>
    <font>
      <sz val="9"/>
      <color indexed="81"/>
      <name val="Tahoma"/>
      <family val="2"/>
    </font>
    <font>
      <sz val="9"/>
      <name val="Arial Narrow"/>
      <family val="2"/>
    </font>
    <font>
      <sz val="8"/>
      <color theme="1"/>
      <name val="Arial Narrow"/>
      <family val="2"/>
    </font>
    <font>
      <b/>
      <u/>
      <sz val="10"/>
      <color theme="1"/>
      <name val="Arial"/>
      <family val="2"/>
    </font>
    <font>
      <b/>
      <sz val="12"/>
      <name val="Arial Narrow"/>
      <family val="2"/>
    </font>
    <font>
      <b/>
      <sz val="11"/>
      <name val="Arial Narrow"/>
      <family val="2"/>
    </font>
    <font>
      <sz val="12"/>
      <color theme="1"/>
      <name val="Arial"/>
      <family val="2"/>
    </font>
    <font>
      <sz val="12"/>
      <name val="Arial"/>
      <family val="2"/>
    </font>
    <font>
      <sz val="12"/>
      <color rgb="FFFF0000"/>
      <name val="Arial"/>
      <family val="2"/>
    </font>
    <font>
      <b/>
      <sz val="22"/>
      <color rgb="FF000000"/>
      <name val="Arial Narrow"/>
      <family val="2"/>
      <charset val="1"/>
    </font>
    <font>
      <sz val="11"/>
      <color rgb="FF000000"/>
      <name val="Arial Narrow"/>
      <family val="2"/>
      <charset val="1"/>
    </font>
    <font>
      <b/>
      <sz val="18"/>
      <color rgb="FF000000"/>
      <name val="Arial Narrow"/>
      <family val="2"/>
      <charset val="1"/>
    </font>
    <font>
      <sz val="12"/>
      <color rgb="FF000000"/>
      <name val="Arial Narrow"/>
      <family val="2"/>
      <charset val="1"/>
    </font>
    <font>
      <b/>
      <sz val="11"/>
      <color rgb="FF000000"/>
      <name val="Arial Narrow"/>
      <family val="2"/>
      <charset val="1"/>
    </font>
    <font>
      <b/>
      <sz val="14"/>
      <color rgb="FF000000"/>
      <name val="Arial Narrow"/>
      <family val="2"/>
      <charset val="1"/>
    </font>
    <font>
      <b/>
      <sz val="11"/>
      <color rgb="FFFF0000"/>
      <name val="Arial Narrow"/>
      <family val="2"/>
    </font>
    <font>
      <b/>
      <sz val="12"/>
      <color rgb="FF000000"/>
      <name val="Arial Narrow"/>
      <family val="2"/>
      <charset val="1"/>
    </font>
    <font>
      <sz val="10"/>
      <color rgb="FF000000"/>
      <name val="Arial Narrow"/>
      <family val="2"/>
    </font>
    <font>
      <sz val="11"/>
      <name val="Arial Narrow"/>
      <family val="2"/>
      <charset val="1"/>
    </font>
    <font>
      <sz val="11"/>
      <color rgb="FFFF0000"/>
      <name val="Arial Narrow"/>
      <family val="2"/>
      <charset val="1"/>
    </font>
    <font>
      <sz val="12"/>
      <color theme="6" tint="-0.249977111117893"/>
      <name val="Arial Narrow"/>
      <family val="2"/>
    </font>
    <font>
      <sz val="12"/>
      <color theme="3" tint="-0.499984740745262"/>
      <name val="Arial Narrow"/>
      <family val="2"/>
    </font>
    <font>
      <sz val="12"/>
      <color rgb="FFFF0000"/>
      <name val="Arial Narrow"/>
      <family val="2"/>
    </font>
    <font>
      <b/>
      <sz val="12"/>
      <color rgb="FFFF0000"/>
      <name val="Arial Narrow"/>
      <family val="2"/>
    </font>
    <font>
      <sz val="11"/>
      <color theme="3"/>
      <name val="Arial Narrow"/>
      <family val="2"/>
    </font>
    <font>
      <sz val="10"/>
      <color rgb="FF00B050"/>
      <name val="Arial Narrow"/>
      <family val="2"/>
    </font>
    <font>
      <sz val="10"/>
      <color rgb="FFFF0000"/>
      <name val="Arial Narrow"/>
      <family val="2"/>
    </font>
    <font>
      <sz val="10"/>
      <color rgb="FF002060"/>
      <name val="Arial Narrow"/>
      <family val="2"/>
    </font>
    <font>
      <sz val="10"/>
      <color theme="4"/>
      <name val="Arial Narrow"/>
      <family val="2"/>
    </font>
  </fonts>
  <fills count="2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theme="9" tint="0.59999389629810485"/>
        <bgColor indexed="64"/>
      </patternFill>
    </fill>
    <fill>
      <patternFill patternType="solid">
        <fgColor theme="0"/>
        <bgColor indexed="64"/>
      </patternFill>
    </fill>
    <fill>
      <patternFill patternType="solid">
        <fgColor rgb="FFFBD4B4"/>
        <bgColor rgb="FFFBD4B4"/>
      </patternFill>
    </fill>
    <fill>
      <patternFill patternType="solid">
        <fgColor theme="0"/>
        <bgColor theme="0"/>
      </patternFill>
    </fill>
    <fill>
      <patternFill patternType="solid">
        <fgColor rgb="FFFFFF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CD5B5"/>
        <bgColor rgb="FFFFC7CE"/>
      </patternFill>
    </fill>
    <fill>
      <patternFill patternType="solid">
        <fgColor rgb="FFFFFFFF"/>
        <bgColor rgb="FFFDEADA"/>
      </patternFill>
    </fill>
  </fills>
  <borders count="1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thin">
        <color rgb="FFE36C09"/>
      </left>
      <right style="thin">
        <color rgb="FFE36C09"/>
      </right>
      <top style="thin">
        <color rgb="FFE36C09"/>
      </top>
      <bottom style="dotted">
        <color rgb="FFE36C09"/>
      </bottom>
      <diagonal/>
    </border>
    <border>
      <left style="dotted">
        <color rgb="FFE36C09"/>
      </left>
      <right style="dotted">
        <color rgb="FFE36C09"/>
      </right>
      <top/>
      <bottom style="dotted">
        <color rgb="FFE36C09"/>
      </bottom>
      <diagonal/>
    </border>
    <border>
      <left style="dotted">
        <color rgb="FFE36C09"/>
      </left>
      <right style="dotted">
        <color rgb="FFE36C09"/>
      </right>
      <top style="dotted">
        <color rgb="FFE36C09"/>
      </top>
      <bottom style="dotted">
        <color rgb="FFE36C09"/>
      </bottom>
      <diagonal/>
    </border>
    <border>
      <left style="thin">
        <color rgb="FFE36C09"/>
      </left>
      <right style="thin">
        <color rgb="FFE36C09"/>
      </right>
      <top style="dotted">
        <color rgb="FFE36C09"/>
      </top>
      <bottom style="thin">
        <color rgb="FFE36C09"/>
      </bottom>
      <diagonal/>
    </border>
    <border>
      <left style="dotted">
        <color rgb="FFE36C09"/>
      </left>
      <right style="dotted">
        <color rgb="FFE36C09"/>
      </right>
      <top style="thin">
        <color rgb="FF000000"/>
      </top>
      <bottom/>
      <diagonal/>
    </border>
    <border>
      <left/>
      <right style="dotted">
        <color rgb="FFE36C09"/>
      </right>
      <top/>
      <bottom/>
      <diagonal/>
    </border>
    <border>
      <left style="thin">
        <color rgb="FFE36C09"/>
      </left>
      <right/>
      <top style="thin">
        <color rgb="FFE36C09"/>
      </top>
      <bottom/>
      <diagonal/>
    </border>
    <border>
      <left style="thin">
        <color rgb="FFE36C09"/>
      </left>
      <right/>
      <top/>
      <bottom style="thin">
        <color rgb="FFE36C09"/>
      </bottom>
      <diagonal/>
    </border>
    <border>
      <left style="dashed">
        <color theme="9" tint="-0.24994659260841701"/>
      </left>
      <right style="dashed">
        <color theme="9" tint="-0.249977111117893"/>
      </right>
      <top style="dashed">
        <color theme="9" tint="-0.24994659260841701"/>
      </top>
      <bottom/>
      <diagonal/>
    </border>
    <border>
      <left style="dashed">
        <color theme="9" tint="-0.249977111117893"/>
      </left>
      <right style="dashed">
        <color theme="9" tint="-0.24994659260841701"/>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4659260841701"/>
      </right>
      <top/>
      <bottom style="dashed">
        <color theme="9" tint="-0.249977111117893"/>
      </bottom>
      <diagonal/>
    </border>
    <border>
      <left style="dashed">
        <color theme="9" tint="-0.249977111117893"/>
      </left>
      <right/>
      <top/>
      <bottom/>
      <diagonal/>
    </border>
    <border>
      <left style="thin">
        <color indexed="64"/>
      </left>
      <right style="thin">
        <color indexed="64"/>
      </right>
      <top style="thin">
        <color indexed="64"/>
      </top>
      <bottom/>
      <diagonal/>
    </border>
    <border>
      <left style="dashed">
        <color theme="9" tint="-0.24994659260841701"/>
      </left>
      <right/>
      <top style="dashed">
        <color theme="9" tint="-0.249977111117893"/>
      </top>
      <bottom style="dashed">
        <color theme="9" tint="-0.24994659260841701"/>
      </bottom>
      <diagonal/>
    </border>
    <border>
      <left/>
      <right/>
      <top style="dashed">
        <color theme="9" tint="-0.249977111117893"/>
      </top>
      <bottom style="dashed">
        <color theme="9" tint="-0.24994659260841701"/>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style="dashed">
        <color rgb="FFE46C0A"/>
      </left>
      <right style="dashed">
        <color rgb="FFE46C0A"/>
      </right>
      <top style="dashed">
        <color rgb="FFE46C0A"/>
      </top>
      <bottom style="dashed">
        <color rgb="FFE46C0A"/>
      </bottom>
      <diagonal/>
    </border>
    <border>
      <left style="dashed">
        <color rgb="FFE46C0A"/>
      </left>
      <right/>
      <top style="dashed">
        <color rgb="FFE46C0A"/>
      </top>
      <bottom style="dashed">
        <color rgb="FFE46C0A"/>
      </bottom>
      <diagonal/>
    </border>
    <border>
      <left style="dashed">
        <color rgb="FFE46C0A"/>
      </left>
      <right style="dashed">
        <color rgb="FFE46C0A"/>
      </right>
      <top/>
      <bottom style="dashed">
        <color rgb="FFE46C0A"/>
      </bottom>
      <diagonal/>
    </border>
    <border>
      <left style="dashed">
        <color rgb="FFE46C0A"/>
      </left>
      <right style="dashed">
        <color rgb="FFE46C0A"/>
      </right>
      <top style="dashed">
        <color rgb="FFE46C0A"/>
      </top>
      <bottom/>
      <diagonal/>
    </border>
    <border>
      <left style="dashed">
        <color rgb="FFE46C0A"/>
      </left>
      <right style="dashed">
        <color rgb="FFE46C0A"/>
      </right>
      <top/>
      <bottom/>
      <diagonal/>
    </border>
    <border>
      <left style="dashed">
        <color rgb="FFE46C0A"/>
      </left>
      <right/>
      <top/>
      <bottom style="dashed">
        <color rgb="FFE46C0A"/>
      </bottom>
      <diagonal/>
    </border>
    <border>
      <left style="dashed">
        <color rgb="FFE46C0A"/>
      </left>
      <right style="dashed">
        <color rgb="FFE46C0A"/>
      </right>
      <top style="dotted">
        <color rgb="FFE36C09"/>
      </top>
      <bottom/>
      <diagonal/>
    </border>
    <border>
      <left/>
      <right style="dashed">
        <color rgb="FFE46C0A"/>
      </right>
      <top style="dashed">
        <color rgb="FFE46C0A"/>
      </top>
      <bottom style="dashed">
        <color rgb="FFE46C0A"/>
      </bottom>
      <diagonal/>
    </border>
    <border>
      <left style="dashed">
        <color theme="9" tint="-0.24994659260841701"/>
      </left>
      <right style="thin">
        <color theme="9" tint="-0.249977111117893"/>
      </right>
      <top style="dashed">
        <color theme="9" tint="-0.24994659260841701"/>
      </top>
      <bottom/>
      <diagonal/>
    </border>
    <border>
      <left style="thin">
        <color theme="9" tint="-0.249977111117893"/>
      </left>
      <right style="dashed">
        <color theme="9" tint="-0.24994659260841701"/>
      </right>
      <top style="dashed">
        <color theme="9" tint="-0.24994659260841701"/>
      </top>
      <bottom style="dashed">
        <color theme="9" tint="-0.24994659260841701"/>
      </bottom>
      <diagonal/>
    </border>
    <border>
      <left style="dashed">
        <color theme="9" tint="-0.24994659260841701"/>
      </left>
      <right style="thin">
        <color theme="9" tint="-0.249977111117893"/>
      </right>
      <top/>
      <bottom style="dashed">
        <color theme="9" tint="-0.24994659260841701"/>
      </bottom>
      <diagonal/>
    </border>
    <border>
      <left style="dashed">
        <color theme="9" tint="-0.249977111117893"/>
      </left>
      <right/>
      <top style="dashed">
        <color theme="9" tint="-0.249977111117893"/>
      </top>
      <bottom/>
      <diagonal/>
    </border>
    <border>
      <left style="dashed">
        <color theme="9" tint="-0.249977111117893"/>
      </left>
      <right/>
      <top/>
      <bottom style="dashed">
        <color theme="9" tint="-0.249977111117893"/>
      </bottom>
      <diagonal/>
    </border>
    <border>
      <left style="dashed">
        <color theme="9" tint="-0.24994659260841701"/>
      </left>
      <right style="thin">
        <color indexed="64"/>
      </right>
      <top/>
      <bottom style="dashed">
        <color theme="9" tint="-0.24994659260841701"/>
      </bottom>
      <diagonal/>
    </border>
    <border>
      <left style="thin">
        <color indexed="64"/>
      </left>
      <right style="thin">
        <color indexed="64"/>
      </right>
      <top/>
      <bottom/>
      <diagonal/>
    </border>
    <border>
      <left style="dashed">
        <color theme="9" tint="-0.24994659260841701"/>
      </left>
      <right style="thin">
        <color indexed="64"/>
      </right>
      <top style="dashed">
        <color theme="9" tint="-0.24994659260841701"/>
      </top>
      <bottom style="dashed">
        <color theme="9" tint="-0.24994659260841701"/>
      </bottom>
      <diagonal/>
    </border>
    <border>
      <left style="thin">
        <color indexed="64"/>
      </left>
      <right style="thin">
        <color indexed="64"/>
      </right>
      <top/>
      <bottom style="dashed">
        <color theme="9" tint="-0.24994659260841701"/>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thin">
        <color indexed="64"/>
      </left>
      <right style="thin">
        <color indexed="64"/>
      </right>
      <top style="dashed">
        <color theme="9" tint="-0.24994659260841701"/>
      </top>
      <bottom/>
      <diagonal/>
    </border>
    <border>
      <left style="thin">
        <color indexed="64"/>
      </left>
      <right style="thin">
        <color indexed="64"/>
      </right>
      <top/>
      <bottom style="thin">
        <color indexed="64"/>
      </bottom>
      <diagonal/>
    </border>
  </borders>
  <cellStyleXfs count="22">
    <xf numFmtId="0" fontId="0" fillId="0" borderId="0"/>
    <xf numFmtId="0" fontId="21" fillId="0" borderId="37"/>
    <xf numFmtId="0" fontId="7" fillId="0" borderId="37"/>
    <xf numFmtId="0" fontId="22" fillId="0" borderId="37"/>
    <xf numFmtId="0" fontId="6" fillId="0" borderId="37"/>
    <xf numFmtId="0" fontId="5" fillId="0" borderId="37"/>
    <xf numFmtId="44" fontId="16" fillId="0" borderId="37" applyFont="0" applyFill="0" applyBorder="0" applyAlignment="0" applyProtection="0"/>
    <xf numFmtId="0" fontId="4" fillId="0" borderId="37"/>
    <xf numFmtId="9" fontId="4" fillId="0" borderId="37" applyFont="0" applyFill="0" applyBorder="0" applyAlignment="0" applyProtection="0"/>
    <xf numFmtId="165" fontId="32" fillId="0" borderId="37" applyBorder="0" applyProtection="0"/>
    <xf numFmtId="0" fontId="32" fillId="0" borderId="37"/>
    <xf numFmtId="9" fontId="32" fillId="0" borderId="37" applyBorder="0" applyProtection="0"/>
    <xf numFmtId="0" fontId="4" fillId="0" borderId="37"/>
    <xf numFmtId="0" fontId="34" fillId="0" borderId="37" applyNumberFormat="0" applyFill="0" applyBorder="0" applyAlignment="0" applyProtection="0"/>
    <xf numFmtId="0" fontId="3" fillId="0" borderId="37"/>
    <xf numFmtId="9" fontId="3" fillId="0" borderId="37" applyFont="0" applyFill="0" applyBorder="0" applyAlignment="0" applyProtection="0"/>
    <xf numFmtId="9" fontId="35" fillId="0" borderId="0" applyFont="0" applyFill="0" applyBorder="0" applyAlignment="0" applyProtection="0"/>
    <xf numFmtId="0" fontId="2" fillId="0" borderId="37"/>
    <xf numFmtId="9" fontId="2" fillId="0" borderId="37" applyFont="0" applyFill="0" applyBorder="0" applyAlignment="0" applyProtection="0"/>
    <xf numFmtId="0" fontId="35" fillId="0" borderId="37"/>
    <xf numFmtId="0" fontId="1" fillId="0" borderId="37"/>
    <xf numFmtId="9" fontId="1" fillId="0" borderId="37" applyFont="0" applyFill="0" applyBorder="0" applyAlignment="0" applyProtection="0"/>
  </cellStyleXfs>
  <cellXfs count="1072">
    <xf numFmtId="0" fontId="0" fillId="0" borderId="0" xfId="0"/>
    <xf numFmtId="0" fontId="8" fillId="0" borderId="0" xfId="0" applyFont="1"/>
    <xf numFmtId="0" fontId="11" fillId="0" borderId="4" xfId="0" applyFont="1" applyBorder="1" applyAlignment="1">
      <alignment vertical="center" wrapTex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4" xfId="0" applyFont="1" applyFill="1" applyBorder="1" applyAlignment="1">
      <alignment horizontal="center" vertical="center" wrapText="1"/>
    </xf>
    <xf numFmtId="0" fontId="12" fillId="3" borderId="15" xfId="0" applyFont="1" applyFill="1" applyBorder="1" applyAlignment="1">
      <alignment wrapText="1"/>
    </xf>
    <xf numFmtId="0" fontId="12" fillId="0" borderId="16" xfId="0" applyFont="1" applyBorder="1"/>
    <xf numFmtId="0" fontId="12" fillId="0" borderId="17" xfId="0" applyFont="1" applyBorder="1"/>
    <xf numFmtId="0" fontId="14" fillId="0" borderId="0" xfId="0" applyFont="1" applyAlignment="1">
      <alignment wrapText="1"/>
    </xf>
    <xf numFmtId="0" fontId="12" fillId="0" borderId="4" xfId="0" applyFont="1" applyBorder="1"/>
    <xf numFmtId="0" fontId="12" fillId="0" borderId="18" xfId="0" applyFont="1" applyBorder="1"/>
    <xf numFmtId="0" fontId="12" fillId="3" borderId="19" xfId="0" applyFont="1" applyFill="1" applyBorder="1" applyAlignment="1">
      <alignment wrapText="1"/>
    </xf>
    <xf numFmtId="0" fontId="12" fillId="0" borderId="6" xfId="0" applyFont="1" applyBorder="1"/>
    <xf numFmtId="0" fontId="12" fillId="0" borderId="20" xfId="0" applyFont="1" applyBorder="1"/>
    <xf numFmtId="0" fontId="16" fillId="0" borderId="16" xfId="0" applyFont="1" applyBorder="1" applyAlignment="1">
      <alignment vertical="center" wrapText="1"/>
    </xf>
    <xf numFmtId="0" fontId="16" fillId="0" borderId="4" xfId="0" applyFont="1" applyBorder="1" applyAlignment="1">
      <alignment vertical="center" wrapText="1"/>
    </xf>
    <xf numFmtId="0" fontId="16" fillId="0" borderId="14" xfId="0" applyFont="1" applyBorder="1" applyAlignment="1">
      <alignment vertical="center" wrapText="1"/>
    </xf>
    <xf numFmtId="0" fontId="17" fillId="4" borderId="33"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4" xfId="0" applyFont="1" applyFill="1" applyBorder="1" applyAlignment="1">
      <alignment vertical="center"/>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xf>
    <xf numFmtId="0" fontId="12" fillId="3" borderId="4" xfId="0" applyFont="1" applyFill="1" applyBorder="1"/>
    <xf numFmtId="0" fontId="18" fillId="0" borderId="0" xfId="0" applyFont="1"/>
    <xf numFmtId="0" fontId="12" fillId="3" borderId="37" xfId="0" applyFont="1" applyFill="1" applyBorder="1" applyAlignment="1">
      <alignment vertical="center"/>
    </xf>
    <xf numFmtId="0" fontId="18" fillId="0" borderId="0" xfId="0" applyFont="1" applyAlignment="1">
      <alignment vertical="top" wrapText="1"/>
    </xf>
    <xf numFmtId="0" fontId="12" fillId="0" borderId="0" xfId="0" applyFont="1" applyAlignment="1">
      <alignment vertical="center" wrapText="1"/>
    </xf>
    <xf numFmtId="0" fontId="18" fillId="0" borderId="0" xfId="0" applyFont="1" applyAlignment="1">
      <alignment wrapText="1"/>
    </xf>
    <xf numFmtId="0" fontId="12" fillId="0" borderId="0" xfId="0" applyFont="1" applyAlignment="1">
      <alignment vertical="center"/>
    </xf>
    <xf numFmtId="0" fontId="12" fillId="0" borderId="0" xfId="0" applyFont="1" applyAlignment="1">
      <alignment wrapText="1"/>
    </xf>
    <xf numFmtId="0" fontId="18" fillId="5" borderId="37" xfId="0" applyFont="1" applyFill="1" applyBorder="1"/>
    <xf numFmtId="0" fontId="12" fillId="3" borderId="37" xfId="0" applyFont="1" applyFill="1" applyBorder="1"/>
    <xf numFmtId="0" fontId="16" fillId="0" borderId="0" xfId="0" applyFont="1"/>
    <xf numFmtId="0" fontId="14" fillId="0" borderId="0" xfId="0" applyFont="1" applyAlignment="1">
      <alignment horizontal="left" vertical="center" wrapText="1"/>
    </xf>
    <xf numFmtId="0" fontId="23" fillId="0" borderId="37" xfId="7" applyFont="1"/>
    <xf numFmtId="0" fontId="23" fillId="0" borderId="37" xfId="7" applyFont="1" applyAlignment="1">
      <alignment horizontal="center" vertical="center"/>
    </xf>
    <xf numFmtId="0" fontId="23" fillId="0" borderId="37" xfId="7" applyFont="1" applyAlignment="1">
      <alignment horizontal="center"/>
    </xf>
    <xf numFmtId="0" fontId="27" fillId="6" borderId="51" xfId="0" applyFont="1" applyFill="1" applyBorder="1" applyAlignment="1">
      <alignment horizontal="center" vertical="center"/>
    </xf>
    <xf numFmtId="0" fontId="27" fillId="6" borderId="49" xfId="0" applyFont="1" applyFill="1" applyBorder="1" applyAlignment="1">
      <alignment horizontal="center" vertical="center" textRotation="90"/>
    </xf>
    <xf numFmtId="0" fontId="26" fillId="0" borderId="37" xfId="17" applyFont="1"/>
    <xf numFmtId="0" fontId="26" fillId="7" borderId="0" xfId="0" applyFont="1" applyFill="1"/>
    <xf numFmtId="0" fontId="26" fillId="7" borderId="0" xfId="0" applyFont="1" applyFill="1" applyAlignment="1">
      <alignment horizontal="center" vertical="center"/>
    </xf>
    <xf numFmtId="0" fontId="26" fillId="7" borderId="0" xfId="0" applyFont="1" applyFill="1" applyAlignment="1">
      <alignment horizontal="left" vertical="center"/>
    </xf>
    <xf numFmtId="0" fontId="26" fillId="7" borderId="0" xfId="0" applyFont="1" applyFill="1" applyAlignment="1">
      <alignment horizontal="center"/>
    </xf>
    <xf numFmtId="9" fontId="26" fillId="0" borderId="48" xfId="0" applyNumberFormat="1" applyFont="1" applyBorder="1" applyAlignment="1" applyProtection="1">
      <alignment horizontal="center" vertical="top" wrapText="1"/>
      <protection hidden="1"/>
    </xf>
    <xf numFmtId="0" fontId="26" fillId="9" borderId="37" xfId="0" applyFont="1" applyFill="1" applyBorder="1"/>
    <xf numFmtId="0" fontId="26" fillId="9" borderId="37" xfId="0" applyFont="1" applyFill="1" applyBorder="1" applyAlignment="1">
      <alignment horizontal="center" vertical="center"/>
    </xf>
    <xf numFmtId="0" fontId="26" fillId="9" borderId="37" xfId="0" applyFont="1" applyFill="1" applyBorder="1" applyAlignment="1">
      <alignment horizontal="left" vertical="center"/>
    </xf>
    <xf numFmtId="0" fontId="26" fillId="9" borderId="37" xfId="0" applyFont="1" applyFill="1" applyBorder="1" applyAlignment="1">
      <alignment horizontal="center"/>
    </xf>
    <xf numFmtId="0" fontId="27" fillId="8" borderId="66" xfId="0" applyFont="1" applyFill="1" applyBorder="1" applyAlignment="1">
      <alignment horizontal="center" vertical="center"/>
    </xf>
    <xf numFmtId="0" fontId="27" fillId="8" borderId="70" xfId="0" applyFont="1" applyFill="1" applyBorder="1" applyAlignment="1">
      <alignment horizontal="center" vertical="center" textRotation="90"/>
    </xf>
    <xf numFmtId="0" fontId="26" fillId="0" borderId="65" xfId="0" applyFont="1" applyBorder="1" applyAlignment="1">
      <alignment horizontal="center" vertical="center"/>
    </xf>
    <xf numFmtId="0" fontId="26" fillId="10" borderId="70" xfId="0" applyFont="1" applyFill="1" applyBorder="1" applyAlignment="1">
      <alignment horizontal="left" vertical="top" wrapText="1"/>
    </xf>
    <xf numFmtId="0" fontId="25" fillId="0" borderId="70" xfId="0" applyFont="1" applyBorder="1" applyAlignment="1">
      <alignment vertical="top" wrapText="1"/>
    </xf>
    <xf numFmtId="0" fontId="25" fillId="0" borderId="58" xfId="0" applyFont="1" applyBorder="1" applyAlignment="1">
      <alignment vertical="top" wrapText="1"/>
    </xf>
    <xf numFmtId="0" fontId="26" fillId="0" borderId="70" xfId="0" applyFont="1" applyBorder="1" applyAlignment="1">
      <alignment horizontal="center" vertical="top"/>
    </xf>
    <xf numFmtId="0" fontId="25" fillId="0" borderId="65" xfId="0" applyFont="1" applyBorder="1" applyAlignment="1">
      <alignment horizontal="center" vertical="top" textRotation="90"/>
    </xf>
    <xf numFmtId="9" fontId="25" fillId="0" borderId="65" xfId="0" applyNumberFormat="1" applyFont="1" applyBorder="1" applyAlignment="1">
      <alignment horizontal="center" vertical="top"/>
    </xf>
    <xf numFmtId="0" fontId="26" fillId="9" borderId="69" xfId="0" applyFont="1" applyFill="1" applyBorder="1" applyAlignment="1">
      <alignment vertical="center" wrapText="1"/>
    </xf>
    <xf numFmtId="0" fontId="26" fillId="10" borderId="70" xfId="0" applyFont="1" applyFill="1" applyBorder="1" applyAlignment="1">
      <alignment vertical="center" wrapText="1"/>
    </xf>
    <xf numFmtId="0" fontId="25" fillId="0" borderId="73" xfId="0" applyFont="1" applyBorder="1" applyAlignment="1">
      <alignment vertical="top" wrapText="1"/>
    </xf>
    <xf numFmtId="0" fontId="26" fillId="9" borderId="70" xfId="0" applyFont="1" applyFill="1" applyBorder="1" applyAlignment="1">
      <alignment vertical="center"/>
    </xf>
    <xf numFmtId="0" fontId="26" fillId="0" borderId="66" xfId="0" applyFont="1" applyBorder="1" applyAlignment="1">
      <alignment vertical="center"/>
    </xf>
    <xf numFmtId="0" fontId="25" fillId="0" borderId="66" xfId="0" applyFont="1" applyBorder="1" applyAlignment="1">
      <alignment vertical="top" wrapText="1"/>
    </xf>
    <xf numFmtId="0" fontId="25" fillId="11" borderId="70" xfId="0" applyFont="1" applyFill="1" applyBorder="1" applyAlignment="1">
      <alignment horizontal="left" vertical="top" wrapText="1"/>
    </xf>
    <xf numFmtId="9" fontId="25" fillId="0" borderId="66" xfId="0" applyNumberFormat="1" applyFont="1" applyBorder="1" applyAlignment="1">
      <alignment vertical="top" wrapText="1"/>
    </xf>
    <xf numFmtId="0" fontId="23" fillId="0" borderId="70" xfId="0" applyFont="1" applyBorder="1" applyAlignment="1">
      <alignment horizontal="left" vertical="top" wrapText="1"/>
    </xf>
    <xf numFmtId="164" fontId="26" fillId="0" borderId="70" xfId="0" applyNumberFormat="1" applyFont="1" applyBorder="1" applyAlignment="1">
      <alignment horizontal="center" vertical="top"/>
    </xf>
    <xf numFmtId="0" fontId="36" fillId="0" borderId="70" xfId="0" applyFont="1" applyBorder="1" applyAlignment="1">
      <alignment horizontal="center" vertical="top" textRotation="90" wrapText="1"/>
    </xf>
    <xf numFmtId="0" fontId="36" fillId="0" borderId="70" xfId="0" applyFont="1" applyBorder="1" applyAlignment="1">
      <alignment horizontal="center" vertical="top" textRotation="90"/>
    </xf>
    <xf numFmtId="0" fontId="25" fillId="12" borderId="70" xfId="0" applyFont="1" applyFill="1" applyBorder="1" applyAlignment="1">
      <alignment horizontal="left" vertical="top" wrapText="1"/>
    </xf>
    <xf numFmtId="0" fontId="25" fillId="0" borderId="70" xfId="0" applyFont="1" applyBorder="1" applyAlignment="1">
      <alignment horizontal="center" vertical="top" textRotation="90"/>
    </xf>
    <xf numFmtId="9" fontId="25" fillId="0" borderId="70" xfId="0" applyNumberFormat="1" applyFont="1" applyBorder="1" applyAlignment="1">
      <alignment horizontal="center" vertical="top"/>
    </xf>
    <xf numFmtId="0" fontId="26" fillId="0" borderId="70" xfId="0" applyFont="1" applyBorder="1" applyAlignment="1">
      <alignment horizontal="center" vertical="top" wrapText="1"/>
    </xf>
    <xf numFmtId="166" fontId="26" fillId="0" borderId="70" xfId="0" applyNumberFormat="1" applyFont="1" applyBorder="1" applyAlignment="1">
      <alignment horizontal="center" vertical="center" wrapText="1"/>
    </xf>
    <xf numFmtId="0" fontId="26" fillId="0" borderId="70" xfId="0" applyFont="1" applyBorder="1" applyAlignment="1">
      <alignment horizontal="center" vertical="center" wrapText="1"/>
    </xf>
    <xf numFmtId="0" fontId="26" fillId="9" borderId="70" xfId="0" applyFont="1" applyFill="1" applyBorder="1" applyAlignment="1">
      <alignment vertical="center" wrapText="1"/>
    </xf>
    <xf numFmtId="0" fontId="26" fillId="0" borderId="69" xfId="0" applyFont="1" applyBorder="1" applyAlignment="1">
      <alignment vertical="center"/>
    </xf>
    <xf numFmtId="0" fontId="23" fillId="12" borderId="70" xfId="0" applyFont="1" applyFill="1" applyBorder="1" applyAlignment="1">
      <alignment horizontal="left" vertical="top" wrapText="1"/>
    </xf>
    <xf numFmtId="9" fontId="25" fillId="0" borderId="69" xfId="0" applyNumberFormat="1" applyFont="1" applyBorder="1" applyAlignment="1">
      <alignment vertical="top" wrapText="1"/>
    </xf>
    <xf numFmtId="166" fontId="26" fillId="0" borderId="70" xfId="0" applyNumberFormat="1" applyFont="1" applyBorder="1" applyAlignment="1">
      <alignment horizontal="center" vertical="top"/>
    </xf>
    <xf numFmtId="0" fontId="26" fillId="12" borderId="70" xfId="0" applyFont="1" applyFill="1" applyBorder="1" applyAlignment="1">
      <alignment horizontal="left" vertical="top" wrapText="1"/>
    </xf>
    <xf numFmtId="9" fontId="26" fillId="0" borderId="65" xfId="0" applyNumberFormat="1" applyFont="1" applyBorder="1" applyAlignment="1">
      <alignment vertical="top" wrapText="1"/>
    </xf>
    <xf numFmtId="0" fontId="27" fillId="0" borderId="65" xfId="0" applyFont="1" applyBorder="1" applyAlignment="1">
      <alignment vertical="top"/>
    </xf>
    <xf numFmtId="9" fontId="26" fillId="0" borderId="65" xfId="0" applyNumberFormat="1" applyFont="1" applyBorder="1" applyAlignment="1">
      <alignment horizontal="center" vertical="top" wrapText="1"/>
    </xf>
    <xf numFmtId="0" fontId="25" fillId="0" borderId="49" xfId="0" applyFont="1" applyBorder="1" applyAlignment="1" applyProtection="1">
      <alignment horizontal="center" vertical="top" textRotation="90"/>
      <protection locked="0"/>
    </xf>
    <xf numFmtId="9" fontId="25" fillId="0" borderId="49" xfId="0" applyNumberFormat="1" applyFont="1" applyBorder="1" applyAlignment="1" applyProtection="1">
      <alignment horizontal="center" vertical="top"/>
      <protection hidden="1"/>
    </xf>
    <xf numFmtId="0" fontId="36" fillId="0" borderId="49" xfId="0" applyFont="1" applyBorder="1" applyAlignment="1" applyProtection="1">
      <alignment horizontal="center" vertical="top" textRotation="90" wrapText="1"/>
      <protection hidden="1"/>
    </xf>
    <xf numFmtId="9" fontId="25" fillId="0" borderId="48" xfId="0" applyNumberFormat="1" applyFont="1" applyBorder="1" applyAlignment="1" applyProtection="1">
      <alignment horizontal="center" vertical="top"/>
      <protection hidden="1"/>
    </xf>
    <xf numFmtId="0" fontId="36" fillId="0" borderId="49" xfId="0" applyFont="1" applyBorder="1" applyAlignment="1" applyProtection="1">
      <alignment horizontal="center" vertical="top" textRotation="90"/>
      <protection hidden="1"/>
    </xf>
    <xf numFmtId="0" fontId="25" fillId="0" borderId="48" xfId="0" applyFont="1" applyBorder="1" applyAlignment="1" applyProtection="1">
      <alignment horizontal="center" vertical="top" textRotation="90"/>
      <protection locked="0"/>
    </xf>
    <xf numFmtId="0" fontId="30" fillId="0" borderId="54" xfId="0" applyFont="1" applyBorder="1" applyAlignment="1" applyProtection="1">
      <alignment horizontal="center" vertical="top" wrapText="1"/>
      <protection locked="0"/>
    </xf>
    <xf numFmtId="0" fontId="26" fillId="0" borderId="49" xfId="0" applyFont="1" applyBorder="1" applyAlignment="1" applyProtection="1">
      <alignment horizontal="justify" vertical="top" wrapText="1"/>
      <protection locked="0"/>
    </xf>
    <xf numFmtId="0" fontId="26" fillId="0" borderId="49" xfId="0" applyFont="1" applyBorder="1" applyAlignment="1" applyProtection="1">
      <alignment horizontal="center" vertical="top"/>
      <protection hidden="1"/>
    </xf>
    <xf numFmtId="164" fontId="26" fillId="0" borderId="49" xfId="16" applyNumberFormat="1" applyFont="1" applyBorder="1" applyAlignment="1">
      <alignment horizontal="center" vertical="top"/>
    </xf>
    <xf numFmtId="0" fontId="14" fillId="7" borderId="47" xfId="0" applyFont="1" applyFill="1" applyBorder="1" applyAlignment="1">
      <alignment horizontal="justify" vertical="top" wrapText="1"/>
    </xf>
    <xf numFmtId="0" fontId="14" fillId="0" borderId="48" xfId="0" applyFont="1" applyBorder="1" applyAlignment="1" applyProtection="1">
      <alignment horizontal="center" vertical="top"/>
      <protection locked="0"/>
    </xf>
    <xf numFmtId="0" fontId="14" fillId="0" borderId="48" xfId="0" applyFont="1" applyBorder="1" applyAlignment="1" applyProtection="1">
      <alignment vertical="top" wrapText="1"/>
      <protection hidden="1"/>
    </xf>
    <xf numFmtId="9" fontId="14" fillId="0" borderId="48" xfId="0" applyNumberFormat="1" applyFont="1" applyBorder="1" applyAlignment="1" applyProtection="1">
      <alignment horizontal="center" vertical="top" wrapText="1"/>
      <protection hidden="1"/>
    </xf>
    <xf numFmtId="9" fontId="14" fillId="0" borderId="48" xfId="0" applyNumberFormat="1" applyFont="1" applyBorder="1" applyAlignment="1" applyProtection="1">
      <alignment horizontal="justify" vertical="top" wrapText="1"/>
      <protection locked="0"/>
    </xf>
    <xf numFmtId="9" fontId="14" fillId="0" borderId="48" xfId="0" applyNumberFormat="1" applyFont="1" applyBorder="1" applyAlignment="1" applyProtection="1">
      <alignment horizontal="justify" vertical="top" wrapText="1"/>
      <protection hidden="1"/>
    </xf>
    <xf numFmtId="9" fontId="14" fillId="0" borderId="48" xfId="0" applyNumberFormat="1" applyFont="1" applyBorder="1" applyAlignment="1" applyProtection="1">
      <alignment vertical="top" wrapText="1"/>
      <protection hidden="1"/>
    </xf>
    <xf numFmtId="0" fontId="14" fillId="0" borderId="48" xfId="0" applyFont="1" applyBorder="1" applyAlignment="1" applyProtection="1">
      <alignment vertical="top"/>
      <protection hidden="1"/>
    </xf>
    <xf numFmtId="0" fontId="37" fillId="0" borderId="49" xfId="0" applyFont="1" applyBorder="1" applyAlignment="1">
      <alignment horizontal="center" vertical="top"/>
    </xf>
    <xf numFmtId="0" fontId="14" fillId="0" borderId="49" xfId="0" applyFont="1" applyBorder="1" applyAlignment="1" applyProtection="1">
      <alignment horizontal="justify" vertical="center" wrapText="1"/>
      <protection locked="0"/>
    </xf>
    <xf numFmtId="0" fontId="14" fillId="0" borderId="49" xfId="0" applyFont="1" applyBorder="1" applyAlignment="1" applyProtection="1">
      <alignment horizontal="justify" vertical="top"/>
      <protection hidden="1"/>
    </xf>
    <xf numFmtId="0" fontId="14" fillId="0" borderId="49" xfId="0" applyFont="1" applyBorder="1" applyAlignment="1" applyProtection="1">
      <alignment horizontal="justify" vertical="top" textRotation="90"/>
      <protection locked="0"/>
    </xf>
    <xf numFmtId="9" fontId="14" fillId="0" borderId="49" xfId="0" applyNumberFormat="1" applyFont="1" applyBorder="1" applyAlignment="1" applyProtection="1">
      <alignment horizontal="justify" vertical="top"/>
      <protection hidden="1"/>
    </xf>
    <xf numFmtId="164" fontId="14" fillId="0" borderId="49" xfId="16" applyNumberFormat="1" applyFont="1" applyBorder="1" applyAlignment="1">
      <alignment horizontal="center" vertical="top"/>
    </xf>
    <xf numFmtId="0" fontId="14" fillId="0" borderId="49" xfId="0" applyFont="1" applyBorder="1" applyAlignment="1" applyProtection="1">
      <alignment horizontal="center" vertical="top" textRotation="90" wrapText="1"/>
      <protection hidden="1"/>
    </xf>
    <xf numFmtId="9" fontId="14" fillId="0" borderId="48" xfId="0" applyNumberFormat="1" applyFont="1" applyBorder="1" applyAlignment="1" applyProtection="1">
      <alignment horizontal="center" vertical="top"/>
      <protection hidden="1"/>
    </xf>
    <xf numFmtId="0" fontId="14" fillId="0" borderId="49" xfId="0" applyFont="1" applyBorder="1" applyAlignment="1" applyProtection="1">
      <alignment horizontal="justify" vertical="top" wrapText="1"/>
      <protection locked="0"/>
    </xf>
    <xf numFmtId="0" fontId="14" fillId="0" borderId="49" xfId="0" applyFont="1" applyBorder="1" applyAlignment="1" applyProtection="1">
      <alignment horizontal="center" vertical="top" wrapText="1"/>
      <protection locked="0"/>
    </xf>
    <xf numFmtId="14" fontId="14" fillId="0" borderId="49" xfId="0" applyNumberFormat="1" applyFont="1" applyBorder="1" applyAlignment="1" applyProtection="1">
      <alignment horizontal="justify" vertical="top"/>
      <protection locked="0"/>
    </xf>
    <xf numFmtId="14" fontId="14" fillId="0" borderId="49" xfId="0" applyNumberFormat="1" applyFont="1" applyBorder="1" applyAlignment="1" applyProtection="1">
      <alignment horizontal="justify" vertical="top" wrapText="1"/>
      <protection locked="0"/>
    </xf>
    <xf numFmtId="0" fontId="14" fillId="0" borderId="49" xfId="0" applyFont="1" applyBorder="1" applyAlignment="1" applyProtection="1">
      <alignment horizontal="justify" vertical="top"/>
      <protection locked="0"/>
    </xf>
    <xf numFmtId="0" fontId="14" fillId="0" borderId="47" xfId="0" applyFont="1" applyBorder="1" applyAlignment="1" applyProtection="1">
      <alignment horizontal="justify" vertical="top" wrapText="1"/>
      <protection locked="0"/>
    </xf>
    <xf numFmtId="0" fontId="27" fillId="0" borderId="48" xfId="0" applyFont="1" applyBorder="1" applyAlignment="1">
      <alignment horizontal="center" vertical="top"/>
    </xf>
    <xf numFmtId="0" fontId="26" fillId="0" borderId="48" xfId="0" applyFont="1" applyBorder="1" applyAlignment="1" applyProtection="1">
      <alignment horizontal="justify" vertical="top" wrapText="1"/>
      <protection locked="0"/>
    </xf>
    <xf numFmtId="0" fontId="26" fillId="0" borderId="39" xfId="0" applyFont="1" applyBorder="1" applyAlignment="1" applyProtection="1">
      <alignment horizontal="justify" vertical="top" wrapText="1"/>
      <protection locked="0"/>
    </xf>
    <xf numFmtId="0" fontId="26" fillId="0" borderId="54" xfId="0" applyFont="1" applyBorder="1" applyAlignment="1" applyProtection="1">
      <alignment horizontal="justify" vertical="top" wrapText="1"/>
      <protection locked="0"/>
    </xf>
    <xf numFmtId="0" fontId="29" fillId="0" borderId="47" xfId="0" applyFont="1" applyBorder="1" applyAlignment="1" applyProtection="1">
      <alignment horizontal="justify" vertical="top" wrapText="1"/>
      <protection locked="0"/>
    </xf>
    <xf numFmtId="0" fontId="29" fillId="0" borderId="54" xfId="0" applyFont="1" applyBorder="1" applyAlignment="1" applyProtection="1">
      <alignment horizontal="justify" vertical="top" wrapText="1"/>
      <protection locked="0"/>
    </xf>
    <xf numFmtId="0" fontId="26" fillId="0" borderId="41" xfId="0" applyFont="1" applyBorder="1" applyAlignment="1" applyProtection="1">
      <alignment horizontal="justify" vertical="top" wrapText="1"/>
      <protection locked="0"/>
    </xf>
    <xf numFmtId="0" fontId="26" fillId="0" borderId="48" xfId="0" applyFont="1" applyBorder="1" applyAlignment="1" applyProtection="1">
      <alignment horizontal="center" vertical="top"/>
      <protection locked="0"/>
    </xf>
    <xf numFmtId="0" fontId="27" fillId="0" borderId="48" xfId="0" applyFont="1" applyBorder="1" applyAlignment="1" applyProtection="1">
      <alignment horizontal="justify" vertical="top" wrapText="1"/>
      <protection hidden="1"/>
    </xf>
    <xf numFmtId="9" fontId="26" fillId="0" borderId="48" xfId="0" applyNumberFormat="1" applyFont="1" applyBorder="1" applyAlignment="1" applyProtection="1">
      <alignment horizontal="justify" vertical="top" wrapText="1"/>
      <protection locked="0"/>
    </xf>
    <xf numFmtId="9" fontId="26" fillId="0" borderId="48" xfId="0" applyNumberFormat="1" applyFont="1" applyBorder="1" applyAlignment="1" applyProtection="1">
      <alignment horizontal="justify" vertical="top" wrapText="1"/>
      <protection hidden="1"/>
    </xf>
    <xf numFmtId="0" fontId="26" fillId="0" borderId="48" xfId="0" applyFont="1" applyBorder="1" applyAlignment="1" applyProtection="1">
      <alignment horizontal="justify" vertical="top" wrapText="1"/>
      <protection hidden="1"/>
    </xf>
    <xf numFmtId="0" fontId="26" fillId="0" borderId="48" xfId="0" applyFont="1" applyBorder="1" applyAlignment="1" applyProtection="1">
      <alignment horizontal="justify" vertical="top"/>
      <protection hidden="1"/>
    </xf>
    <xf numFmtId="0" fontId="23" fillId="0" borderId="48" xfId="0" applyFont="1" applyBorder="1" applyAlignment="1" applyProtection="1">
      <alignment horizontal="justify" vertical="top" wrapText="1"/>
      <protection locked="0"/>
    </xf>
    <xf numFmtId="14" fontId="26" fillId="0" borderId="49" xfId="0" applyNumberFormat="1" applyFont="1" applyBorder="1" applyAlignment="1" applyProtection="1">
      <alignment horizontal="left" vertical="top" wrapText="1"/>
      <protection locked="0"/>
    </xf>
    <xf numFmtId="0" fontId="26" fillId="9" borderId="59" xfId="0" applyFont="1" applyFill="1" applyBorder="1" applyAlignment="1">
      <alignment vertical="center" wrapText="1"/>
    </xf>
    <xf numFmtId="0" fontId="31" fillId="9" borderId="62" xfId="0" applyFont="1" applyFill="1" applyBorder="1" applyAlignment="1">
      <alignment vertical="top" wrapText="1"/>
    </xf>
    <xf numFmtId="0" fontId="26" fillId="9" borderId="62" xfId="0" applyFont="1" applyFill="1" applyBorder="1" applyAlignment="1">
      <alignment wrapText="1"/>
    </xf>
    <xf numFmtId="0" fontId="26" fillId="9" borderId="38" xfId="0" applyFont="1" applyFill="1" applyBorder="1" applyAlignment="1">
      <alignment horizontal="center" vertical="center" wrapText="1"/>
    </xf>
    <xf numFmtId="0" fontId="26" fillId="9" borderId="38" xfId="0" applyFont="1" applyFill="1" applyBorder="1" applyAlignment="1">
      <alignment horizontal="center" vertical="center"/>
    </xf>
    <xf numFmtId="0" fontId="26" fillId="9" borderId="38" xfId="0" applyFont="1" applyFill="1" applyBorder="1" applyAlignment="1">
      <alignment horizontal="center" vertical="top" wrapText="1"/>
    </xf>
    <xf numFmtId="0" fontId="26" fillId="9" borderId="38" xfId="0" applyFont="1" applyFill="1" applyBorder="1" applyAlignment="1">
      <alignment horizontal="center" wrapText="1"/>
    </xf>
    <xf numFmtId="0" fontId="26" fillId="7" borderId="0" xfId="0" applyFont="1" applyFill="1" applyAlignment="1">
      <alignment horizontal="left" vertical="top"/>
    </xf>
    <xf numFmtId="0" fontId="26" fillId="7" borderId="0" xfId="0" applyFont="1" applyFill="1" applyAlignment="1">
      <alignment horizontal="left"/>
    </xf>
    <xf numFmtId="0" fontId="26" fillId="7" borderId="0" xfId="0" applyFont="1" applyFill="1" applyAlignment="1">
      <alignment textRotation="180"/>
    </xf>
    <xf numFmtId="0" fontId="27" fillId="6" borderId="51" xfId="0" applyFont="1" applyFill="1" applyBorder="1" applyAlignment="1">
      <alignment horizontal="center" vertical="center" textRotation="180"/>
    </xf>
    <xf numFmtId="0" fontId="23" fillId="13" borderId="48" xfId="0" applyFont="1" applyFill="1" applyBorder="1" applyAlignment="1" applyProtection="1">
      <alignment horizontal="justify" vertical="top" wrapText="1"/>
      <protection locked="0"/>
    </xf>
    <xf numFmtId="0" fontId="42" fillId="14" borderId="47" xfId="0" applyFont="1" applyFill="1" applyBorder="1" applyAlignment="1">
      <alignment horizontal="justify" vertical="top" wrapText="1"/>
    </xf>
    <xf numFmtId="9" fontId="23" fillId="0" borderId="48" xfId="0" applyNumberFormat="1" applyFont="1" applyBorder="1" applyAlignment="1" applyProtection="1">
      <alignment horizontal="justify" vertical="top" wrapText="1"/>
      <protection hidden="1"/>
    </xf>
    <xf numFmtId="0" fontId="23" fillId="0" borderId="49" xfId="0" applyFont="1" applyBorder="1" applyAlignment="1">
      <alignment horizontal="justify" vertical="top"/>
    </xf>
    <xf numFmtId="0" fontId="23" fillId="14" borderId="49" xfId="0" applyFont="1" applyFill="1" applyBorder="1" applyAlignment="1" applyProtection="1">
      <alignment horizontal="justify" vertical="top" wrapText="1"/>
      <protection locked="0"/>
    </xf>
    <xf numFmtId="0" fontId="23" fillId="14" borderId="49" xfId="0" applyFont="1" applyFill="1" applyBorder="1" applyAlignment="1" applyProtection="1">
      <alignment horizontal="justify" vertical="top"/>
      <protection hidden="1"/>
    </xf>
    <xf numFmtId="0" fontId="23" fillId="14" borderId="49" xfId="0" applyFont="1" applyFill="1" applyBorder="1" applyAlignment="1" applyProtection="1">
      <alignment horizontal="justify" vertical="top" textRotation="90"/>
      <protection locked="0"/>
    </xf>
    <xf numFmtId="9" fontId="23" fillId="14" borderId="49" xfId="0" applyNumberFormat="1" applyFont="1" applyFill="1" applyBorder="1" applyAlignment="1" applyProtection="1">
      <alignment horizontal="justify" vertical="top"/>
      <protection hidden="1"/>
    </xf>
    <xf numFmtId="164" fontId="23" fillId="14" borderId="49" xfId="16" applyNumberFormat="1" applyFont="1" applyFill="1" applyBorder="1" applyAlignment="1">
      <alignment horizontal="justify" vertical="top"/>
    </xf>
    <xf numFmtId="0" fontId="42" fillId="0" borderId="49" xfId="0" applyFont="1" applyBorder="1" applyAlignment="1" applyProtection="1">
      <alignment horizontal="justify" vertical="top" textRotation="90" wrapText="1"/>
      <protection hidden="1"/>
    </xf>
    <xf numFmtId="9" fontId="23" fillId="14" borderId="48" xfId="0" applyNumberFormat="1" applyFont="1" applyFill="1" applyBorder="1" applyAlignment="1" applyProtection="1">
      <alignment horizontal="justify" vertical="top"/>
      <protection hidden="1"/>
    </xf>
    <xf numFmtId="0" fontId="42" fillId="0" borderId="49" xfId="0" applyFont="1" applyBorder="1" applyAlignment="1" applyProtection="1">
      <alignment horizontal="justify" vertical="top" textRotation="90"/>
      <protection hidden="1"/>
    </xf>
    <xf numFmtId="0" fontId="23" fillId="14" borderId="48" xfId="0" applyFont="1" applyFill="1" applyBorder="1" applyAlignment="1" applyProtection="1">
      <alignment horizontal="justify" vertical="top" textRotation="90"/>
      <protection locked="0"/>
    </xf>
    <xf numFmtId="14" fontId="23" fillId="14" borderId="49" xfId="0" applyNumberFormat="1" applyFont="1" applyFill="1" applyBorder="1" applyAlignment="1" applyProtection="1">
      <alignment horizontal="justify" vertical="top" textRotation="180"/>
      <protection locked="0"/>
    </xf>
    <xf numFmtId="14" fontId="23" fillId="14" borderId="49" xfId="0" applyNumberFormat="1" applyFont="1" applyFill="1" applyBorder="1" applyAlignment="1" applyProtection="1">
      <alignment horizontal="justify" vertical="top"/>
      <protection locked="0"/>
    </xf>
    <xf numFmtId="0" fontId="23" fillId="14" borderId="45" xfId="0" applyFont="1" applyFill="1" applyBorder="1" applyAlignment="1" applyProtection="1">
      <alignment horizontal="justify" vertical="top"/>
      <protection locked="0"/>
    </xf>
    <xf numFmtId="0" fontId="23" fillId="0" borderId="49" xfId="0" applyFont="1" applyBorder="1" applyAlignment="1" applyProtection="1">
      <alignment horizontal="justify" vertical="top" wrapText="1"/>
      <protection locked="0"/>
    </xf>
    <xf numFmtId="0" fontId="42" fillId="16" borderId="47" xfId="0" applyFont="1" applyFill="1" applyBorder="1" applyAlignment="1" applyProtection="1">
      <alignment horizontal="justify" vertical="top" wrapText="1"/>
      <protection locked="0"/>
    </xf>
    <xf numFmtId="0" fontId="43" fillId="16" borderId="47" xfId="0" applyFont="1" applyFill="1" applyBorder="1" applyAlignment="1" applyProtection="1">
      <alignment horizontal="justify" vertical="top" wrapText="1"/>
      <protection locked="0"/>
    </xf>
    <xf numFmtId="0" fontId="23" fillId="16" borderId="49" xfId="0" applyFont="1" applyFill="1" applyBorder="1" applyAlignment="1">
      <alignment horizontal="justify" vertical="top"/>
    </xf>
    <xf numFmtId="0" fontId="23" fillId="16" borderId="49" xfId="0" applyFont="1" applyFill="1" applyBorder="1" applyAlignment="1" applyProtection="1">
      <alignment horizontal="justify" vertical="top" wrapText="1"/>
      <protection locked="0"/>
    </xf>
    <xf numFmtId="0" fontId="23" fillId="16" borderId="49" xfId="0" applyFont="1" applyFill="1" applyBorder="1" applyAlignment="1" applyProtection="1">
      <alignment horizontal="justify" vertical="top"/>
      <protection hidden="1"/>
    </xf>
    <xf numFmtId="0" fontId="23" fillId="16" borderId="49" xfId="0" applyFont="1" applyFill="1" applyBorder="1" applyAlignment="1" applyProtection="1">
      <alignment horizontal="justify" vertical="top" textRotation="90"/>
      <protection locked="0"/>
    </xf>
    <xf numFmtId="9" fontId="23" fillId="16" borderId="49" xfId="0" applyNumberFormat="1" applyFont="1" applyFill="1" applyBorder="1" applyAlignment="1" applyProtection="1">
      <alignment horizontal="justify" vertical="top"/>
      <protection hidden="1"/>
    </xf>
    <xf numFmtId="164" fontId="23" fillId="16" borderId="49" xfId="16" applyNumberFormat="1" applyFont="1" applyFill="1" applyBorder="1" applyAlignment="1">
      <alignment horizontal="justify" vertical="top"/>
    </xf>
    <xf numFmtId="9" fontId="23" fillId="16" borderId="48" xfId="0" applyNumberFormat="1" applyFont="1" applyFill="1" applyBorder="1" applyAlignment="1" applyProtection="1">
      <alignment horizontal="justify" vertical="top"/>
      <protection hidden="1"/>
    </xf>
    <xf numFmtId="0" fontId="23" fillId="16" borderId="48" xfId="0" applyFont="1" applyFill="1" applyBorder="1" applyAlignment="1" applyProtection="1">
      <alignment horizontal="justify" vertical="top" textRotation="90"/>
      <protection locked="0"/>
    </xf>
    <xf numFmtId="14" fontId="23" fillId="16" borderId="49" xfId="0" applyNumberFormat="1" applyFont="1" applyFill="1" applyBorder="1" applyAlignment="1" applyProtection="1">
      <alignment horizontal="justify" vertical="top" textRotation="180"/>
      <protection locked="0"/>
    </xf>
    <xf numFmtId="14" fontId="23" fillId="16" borderId="49" xfId="0" applyNumberFormat="1" applyFont="1" applyFill="1" applyBorder="1" applyAlignment="1" applyProtection="1">
      <alignment horizontal="justify" vertical="top"/>
      <protection locked="0"/>
    </xf>
    <xf numFmtId="0" fontId="23" fillId="16" borderId="45" xfId="0" applyFont="1" applyFill="1" applyBorder="1" applyAlignment="1" applyProtection="1">
      <alignment horizontal="justify" vertical="top"/>
      <protection locked="0"/>
    </xf>
    <xf numFmtId="0" fontId="48" fillId="13" borderId="48" xfId="0" applyFont="1" applyFill="1" applyBorder="1" applyAlignment="1" applyProtection="1">
      <alignment horizontal="justify" vertical="top" wrapText="1"/>
      <protection locked="0"/>
    </xf>
    <xf numFmtId="0" fontId="41" fillId="13" borderId="39" xfId="0" applyFont="1" applyFill="1" applyBorder="1" applyAlignment="1" applyProtection="1">
      <alignment horizontal="justify" vertical="top" wrapText="1"/>
      <protection locked="0"/>
    </xf>
    <xf numFmtId="0" fontId="42" fillId="17" borderId="47" xfId="0" applyFont="1" applyFill="1" applyBorder="1" applyAlignment="1" applyProtection="1">
      <alignment horizontal="justify" vertical="top" wrapText="1"/>
      <protection locked="0"/>
    </xf>
    <xf numFmtId="0" fontId="43" fillId="13" borderId="47" xfId="0" applyFont="1" applyFill="1" applyBorder="1" applyAlignment="1" applyProtection="1">
      <alignment horizontal="justify" vertical="top" wrapText="1"/>
      <protection locked="0"/>
    </xf>
    <xf numFmtId="0" fontId="43" fillId="17" borderId="47" xfId="0" applyFont="1" applyFill="1" applyBorder="1" applyAlignment="1" applyProtection="1">
      <alignment horizontal="justify" vertical="top" wrapText="1"/>
      <protection locked="0"/>
    </xf>
    <xf numFmtId="0" fontId="23" fillId="17" borderId="49" xfId="0" applyFont="1" applyFill="1" applyBorder="1" applyAlignment="1">
      <alignment horizontal="justify" vertical="top"/>
    </xf>
    <xf numFmtId="0" fontId="23" fillId="17" borderId="49" xfId="0" applyFont="1" applyFill="1" applyBorder="1" applyAlignment="1" applyProtection="1">
      <alignment horizontal="justify" vertical="top" wrapText="1"/>
      <protection locked="0"/>
    </xf>
    <xf numFmtId="0" fontId="23" fillId="17" borderId="49" xfId="0" applyFont="1" applyFill="1" applyBorder="1" applyAlignment="1" applyProtection="1">
      <alignment horizontal="justify" vertical="top"/>
      <protection hidden="1"/>
    </xf>
    <xf numFmtId="0" fontId="23" fillId="17" borderId="49" xfId="0" applyFont="1" applyFill="1" applyBorder="1" applyAlignment="1" applyProtection="1">
      <alignment horizontal="justify" vertical="top" textRotation="90"/>
      <protection locked="0"/>
    </xf>
    <xf numFmtId="9" fontId="23" fillId="17" borderId="49" xfId="0" applyNumberFormat="1" applyFont="1" applyFill="1" applyBorder="1" applyAlignment="1" applyProtection="1">
      <alignment horizontal="justify" vertical="top"/>
      <protection hidden="1"/>
    </xf>
    <xf numFmtId="164" fontId="23" fillId="17" borderId="49" xfId="16" applyNumberFormat="1" applyFont="1" applyFill="1" applyBorder="1" applyAlignment="1">
      <alignment horizontal="justify" vertical="top"/>
    </xf>
    <xf numFmtId="9" fontId="23" fillId="17" borderId="48" xfId="0" applyNumberFormat="1" applyFont="1" applyFill="1" applyBorder="1" applyAlignment="1" applyProtection="1">
      <alignment horizontal="justify" vertical="top"/>
      <protection hidden="1"/>
    </xf>
    <xf numFmtId="0" fontId="23" fillId="17" borderId="48" xfId="0" applyFont="1" applyFill="1" applyBorder="1" applyAlignment="1" applyProtection="1">
      <alignment horizontal="justify" vertical="top" textRotation="90"/>
      <protection locked="0"/>
    </xf>
    <xf numFmtId="14" fontId="23" fillId="17" borderId="49" xfId="0" applyNumberFormat="1" applyFont="1" applyFill="1" applyBorder="1" applyAlignment="1" applyProtection="1">
      <alignment horizontal="justify" vertical="top" textRotation="180"/>
      <protection locked="0"/>
    </xf>
    <xf numFmtId="14" fontId="23" fillId="17" borderId="49" xfId="0" applyNumberFormat="1" applyFont="1" applyFill="1" applyBorder="1" applyAlignment="1" applyProtection="1">
      <alignment horizontal="justify" vertical="top"/>
      <protection locked="0"/>
    </xf>
    <xf numFmtId="0" fontId="23" fillId="17" borderId="45" xfId="0" applyFont="1" applyFill="1" applyBorder="1" applyAlignment="1" applyProtection="1">
      <alignment horizontal="justify" vertical="top"/>
      <protection locked="0"/>
    </xf>
    <xf numFmtId="0" fontId="23" fillId="0" borderId="48" xfId="0" applyFont="1" applyBorder="1" applyAlignment="1">
      <alignment vertical="top"/>
    </xf>
    <xf numFmtId="0" fontId="23" fillId="15" borderId="48" xfId="0" applyFont="1" applyFill="1" applyBorder="1" applyAlignment="1" applyProtection="1">
      <alignment vertical="top" wrapText="1"/>
      <protection locked="0"/>
    </xf>
    <xf numFmtId="0" fontId="48" fillId="15" borderId="48" xfId="0" applyFont="1" applyFill="1" applyBorder="1" applyAlignment="1" applyProtection="1">
      <alignment vertical="top" wrapText="1"/>
      <protection locked="0"/>
    </xf>
    <xf numFmtId="0" fontId="23" fillId="15" borderId="39" xfId="0" applyFont="1" applyFill="1" applyBorder="1" applyAlignment="1" applyProtection="1">
      <alignment vertical="top" wrapText="1"/>
      <protection locked="0"/>
    </xf>
    <xf numFmtId="0" fontId="43" fillId="15" borderId="47" xfId="0" applyFont="1" applyFill="1" applyBorder="1" applyAlignment="1" applyProtection="1">
      <alignment vertical="top" wrapText="1"/>
      <protection locked="0"/>
    </xf>
    <xf numFmtId="0" fontId="47" fillId="16" borderId="54" xfId="0" applyFont="1" applyFill="1" applyBorder="1" applyAlignment="1" applyProtection="1">
      <alignment vertical="top" textRotation="180" wrapText="1"/>
      <protection locked="0"/>
    </xf>
    <xf numFmtId="0" fontId="23" fillId="16" borderId="41" xfId="0" applyFont="1" applyFill="1" applyBorder="1" applyAlignment="1" applyProtection="1">
      <alignment vertical="top" wrapText="1"/>
      <protection locked="0"/>
    </xf>
    <xf numFmtId="0" fontId="23" fillId="16" borderId="48" xfId="0" applyFont="1" applyFill="1" applyBorder="1" applyAlignment="1" applyProtection="1">
      <alignment vertical="top"/>
      <protection locked="0"/>
    </xf>
    <xf numFmtId="0" fontId="42" fillId="0" borderId="48" xfId="0" applyFont="1" applyBorder="1" applyAlignment="1" applyProtection="1">
      <alignment vertical="top" textRotation="180" wrapText="1"/>
      <protection hidden="1"/>
    </xf>
    <xf numFmtId="9" fontId="23" fillId="16" borderId="48" xfId="0" applyNumberFormat="1" applyFont="1" applyFill="1" applyBorder="1" applyAlignment="1" applyProtection="1">
      <alignment vertical="top" wrapText="1"/>
      <protection hidden="1"/>
    </xf>
    <xf numFmtId="9" fontId="23" fillId="16" borderId="48" xfId="0" applyNumberFormat="1" applyFont="1" applyFill="1" applyBorder="1" applyAlignment="1" applyProtection="1">
      <alignment vertical="top" wrapText="1"/>
      <protection locked="0"/>
    </xf>
    <xf numFmtId="9" fontId="23" fillId="0" borderId="48" xfId="0" applyNumberFormat="1" applyFont="1" applyBorder="1" applyAlignment="1" applyProtection="1">
      <alignment vertical="top" wrapText="1"/>
      <protection hidden="1"/>
    </xf>
    <xf numFmtId="0" fontId="42" fillId="0" borderId="48" xfId="0" applyFont="1" applyBorder="1" applyAlignment="1" applyProtection="1">
      <alignment vertical="top" textRotation="180"/>
      <protection hidden="1"/>
    </xf>
    <xf numFmtId="0" fontId="23" fillId="16" borderId="49" xfId="0" applyFont="1" applyFill="1" applyBorder="1" applyAlignment="1" applyProtection="1">
      <alignment horizontal="justify" vertical="top"/>
      <protection locked="0"/>
    </xf>
    <xf numFmtId="0" fontId="23" fillId="0" borderId="51" xfId="0" applyFont="1" applyBorder="1" applyAlignment="1">
      <alignment vertical="top"/>
    </xf>
    <xf numFmtId="0" fontId="23" fillId="0" borderId="50" xfId="0" applyFont="1" applyBorder="1" applyAlignment="1" applyProtection="1">
      <alignment vertical="top" wrapText="1"/>
      <protection locked="0"/>
    </xf>
    <xf numFmtId="0" fontId="42" fillId="18" borderId="47" xfId="0" applyFont="1" applyFill="1" applyBorder="1" applyAlignment="1" applyProtection="1">
      <alignment horizontal="justify" vertical="top" wrapText="1"/>
      <protection locked="0"/>
    </xf>
    <xf numFmtId="0" fontId="43" fillId="18" borderId="47" xfId="0" applyFont="1" applyFill="1" applyBorder="1" applyAlignment="1" applyProtection="1">
      <alignment horizontal="justify" vertical="top" wrapText="1"/>
      <protection locked="0"/>
    </xf>
    <xf numFmtId="0" fontId="23" fillId="18" borderId="48" xfId="0" applyFont="1" applyFill="1" applyBorder="1" applyAlignment="1" applyProtection="1">
      <alignment horizontal="justify" vertical="top"/>
      <protection locked="0"/>
    </xf>
    <xf numFmtId="0" fontId="42" fillId="0" borderId="48" xfId="0" applyFont="1" applyBorder="1" applyAlignment="1" applyProtection="1">
      <alignment horizontal="justify" vertical="top" textRotation="180" wrapText="1"/>
      <protection hidden="1"/>
    </xf>
    <xf numFmtId="9" fontId="23" fillId="18" borderId="48" xfId="0" applyNumberFormat="1" applyFont="1" applyFill="1" applyBorder="1" applyAlignment="1" applyProtection="1">
      <alignment horizontal="justify" vertical="top" wrapText="1"/>
      <protection hidden="1"/>
    </xf>
    <xf numFmtId="9" fontId="23" fillId="18" borderId="48" xfId="0" applyNumberFormat="1" applyFont="1" applyFill="1" applyBorder="1" applyAlignment="1" applyProtection="1">
      <alignment horizontal="justify" vertical="top" wrapText="1"/>
      <protection locked="0"/>
    </xf>
    <xf numFmtId="0" fontId="42" fillId="0" borderId="48" xfId="0" applyFont="1" applyBorder="1" applyAlignment="1" applyProtection="1">
      <alignment horizontal="justify" vertical="top" textRotation="180"/>
      <protection hidden="1"/>
    </xf>
    <xf numFmtId="0" fontId="23" fillId="18" borderId="49" xfId="0" applyFont="1" applyFill="1" applyBorder="1" applyAlignment="1">
      <alignment horizontal="justify" vertical="top"/>
    </xf>
    <xf numFmtId="0" fontId="23" fillId="18" borderId="49" xfId="0" applyFont="1" applyFill="1" applyBorder="1" applyAlignment="1" applyProtection="1">
      <alignment horizontal="justify" vertical="top" wrapText="1"/>
      <protection locked="0"/>
    </xf>
    <xf numFmtId="0" fontId="23" fillId="18" borderId="49" xfId="0" applyFont="1" applyFill="1" applyBorder="1" applyAlignment="1" applyProtection="1">
      <alignment horizontal="justify" vertical="top"/>
      <protection hidden="1"/>
    </xf>
    <xf numFmtId="0" fontId="23" fillId="18" borderId="49" xfId="0" applyFont="1" applyFill="1" applyBorder="1" applyAlignment="1" applyProtection="1">
      <alignment horizontal="justify" vertical="top" textRotation="90"/>
      <protection locked="0"/>
    </xf>
    <xf numFmtId="9" fontId="23" fillId="18" borderId="49" xfId="0" applyNumberFormat="1" applyFont="1" applyFill="1" applyBorder="1" applyAlignment="1" applyProtection="1">
      <alignment horizontal="justify" vertical="top"/>
      <protection hidden="1"/>
    </xf>
    <xf numFmtId="164" fontId="23" fillId="18" borderId="49" xfId="16" applyNumberFormat="1" applyFont="1" applyFill="1" applyBorder="1" applyAlignment="1">
      <alignment horizontal="justify" vertical="top"/>
    </xf>
    <xf numFmtId="9" fontId="23" fillId="18" borderId="48" xfId="0" applyNumberFormat="1" applyFont="1" applyFill="1" applyBorder="1" applyAlignment="1" applyProtection="1">
      <alignment horizontal="justify" vertical="top"/>
      <protection hidden="1"/>
    </xf>
    <xf numFmtId="0" fontId="23" fillId="18" borderId="48" xfId="0" applyFont="1" applyFill="1" applyBorder="1" applyAlignment="1" applyProtection="1">
      <alignment horizontal="justify" vertical="top" textRotation="90"/>
      <protection locked="0"/>
    </xf>
    <xf numFmtId="0" fontId="23" fillId="18" borderId="49" xfId="0" applyFont="1" applyFill="1" applyBorder="1" applyAlignment="1" applyProtection="1">
      <alignment horizontal="justify" vertical="top"/>
      <protection locked="0"/>
    </xf>
    <xf numFmtId="14" fontId="23" fillId="18" borderId="49" xfId="0" applyNumberFormat="1" applyFont="1" applyFill="1" applyBorder="1" applyAlignment="1" applyProtection="1">
      <alignment horizontal="justify" vertical="top" textRotation="180"/>
      <protection locked="0"/>
    </xf>
    <xf numFmtId="14" fontId="23" fillId="18" borderId="49" xfId="0" applyNumberFormat="1" applyFont="1" applyFill="1" applyBorder="1" applyAlignment="1" applyProtection="1">
      <alignment horizontal="justify" vertical="top"/>
      <protection locked="0"/>
    </xf>
    <xf numFmtId="0" fontId="23" fillId="18" borderId="45" xfId="0" applyFont="1" applyFill="1" applyBorder="1" applyAlignment="1" applyProtection="1">
      <alignment horizontal="justify" vertical="top"/>
      <protection locked="0"/>
    </xf>
    <xf numFmtId="0" fontId="23" fillId="19" borderId="47" xfId="0" applyFont="1" applyFill="1" applyBorder="1" applyAlignment="1" applyProtection="1">
      <alignment horizontal="justify" vertical="top" wrapText="1"/>
      <protection locked="0"/>
    </xf>
    <xf numFmtId="0" fontId="47" fillId="19" borderId="47" xfId="0" applyFont="1" applyFill="1" applyBorder="1" applyAlignment="1" applyProtection="1">
      <alignment horizontal="justify" vertical="top" wrapText="1"/>
      <protection locked="0"/>
    </xf>
    <xf numFmtId="0" fontId="23" fillId="6" borderId="48" xfId="0" applyFont="1" applyFill="1" applyBorder="1" applyAlignment="1" applyProtection="1">
      <alignment horizontal="justify" vertical="top"/>
      <protection locked="0"/>
    </xf>
    <xf numFmtId="9" fontId="23" fillId="6" borderId="48" xfId="0" applyNumberFormat="1" applyFont="1" applyFill="1" applyBorder="1" applyAlignment="1" applyProtection="1">
      <alignment horizontal="justify" vertical="top" wrapText="1"/>
      <protection hidden="1"/>
    </xf>
    <xf numFmtId="9" fontId="23" fillId="6" borderId="51" xfId="0" applyNumberFormat="1" applyFont="1" applyFill="1" applyBorder="1" applyAlignment="1" applyProtection="1">
      <alignment horizontal="justify" vertical="top" wrapText="1"/>
      <protection locked="0"/>
    </xf>
    <xf numFmtId="0" fontId="23" fillId="6" borderId="49" xfId="0" applyFont="1" applyFill="1" applyBorder="1" applyAlignment="1">
      <alignment horizontal="justify" vertical="top"/>
    </xf>
    <xf numFmtId="0" fontId="23" fillId="6" borderId="49" xfId="0" applyFont="1" applyFill="1" applyBorder="1" applyAlignment="1" applyProtection="1">
      <alignment horizontal="justify" vertical="top" wrapText="1"/>
      <protection locked="0"/>
    </xf>
    <xf numFmtId="0" fontId="23" fillId="6" borderId="49" xfId="0" applyFont="1" applyFill="1" applyBorder="1" applyAlignment="1" applyProtection="1">
      <alignment horizontal="justify" vertical="top"/>
      <protection hidden="1"/>
    </xf>
    <xf numFmtId="0" fontId="23" fillId="6" borderId="49" xfId="0" applyFont="1" applyFill="1" applyBorder="1" applyAlignment="1" applyProtection="1">
      <alignment horizontal="justify" vertical="top" textRotation="90"/>
      <protection locked="0"/>
    </xf>
    <xf numFmtId="9" fontId="23" fillId="6" borderId="49" xfId="0" applyNumberFormat="1" applyFont="1" applyFill="1" applyBorder="1" applyAlignment="1" applyProtection="1">
      <alignment horizontal="justify" vertical="top"/>
      <protection hidden="1"/>
    </xf>
    <xf numFmtId="164" fontId="23" fillId="6" borderId="49" xfId="16" applyNumberFormat="1" applyFont="1" applyFill="1" applyBorder="1" applyAlignment="1">
      <alignment horizontal="justify" vertical="top"/>
    </xf>
    <xf numFmtId="9" fontId="23" fillId="6" borderId="48" xfId="0" applyNumberFormat="1" applyFont="1" applyFill="1" applyBorder="1" applyAlignment="1" applyProtection="1">
      <alignment horizontal="justify" vertical="top"/>
      <protection hidden="1"/>
    </xf>
    <xf numFmtId="0" fontId="42" fillId="6" borderId="49" xfId="0" applyFont="1" applyFill="1" applyBorder="1" applyAlignment="1" applyProtection="1">
      <alignment horizontal="justify" vertical="top" textRotation="90" wrapText="1"/>
      <protection hidden="1"/>
    </xf>
    <xf numFmtId="0" fontId="23" fillId="6" borderId="48" xfId="0" applyFont="1" applyFill="1" applyBorder="1" applyAlignment="1" applyProtection="1">
      <alignment horizontal="justify" vertical="top" textRotation="90"/>
      <protection locked="0"/>
    </xf>
    <xf numFmtId="0" fontId="23" fillId="6" borderId="49" xfId="0" applyFont="1" applyFill="1" applyBorder="1" applyAlignment="1" applyProtection="1">
      <alignment horizontal="justify" vertical="top"/>
      <protection locked="0"/>
    </xf>
    <xf numFmtId="14" fontId="23" fillId="6" borderId="49" xfId="0" applyNumberFormat="1" applyFont="1" applyFill="1" applyBorder="1" applyAlignment="1" applyProtection="1">
      <alignment horizontal="justify" vertical="top" textRotation="180"/>
      <protection locked="0"/>
    </xf>
    <xf numFmtId="14" fontId="23" fillId="6" borderId="49" xfId="0" applyNumberFormat="1" applyFont="1" applyFill="1" applyBorder="1" applyAlignment="1" applyProtection="1">
      <alignment horizontal="justify" vertical="top"/>
      <protection locked="0"/>
    </xf>
    <xf numFmtId="0" fontId="26" fillId="0" borderId="48" xfId="0" applyFont="1" applyBorder="1" applyAlignment="1">
      <alignment horizontal="center" vertical="center"/>
    </xf>
    <xf numFmtId="0" fontId="42" fillId="14" borderId="47" xfId="0" applyFont="1" applyFill="1" applyBorder="1" applyAlignment="1" applyProtection="1">
      <alignment horizontal="justify" vertical="top" wrapText="1"/>
      <protection locked="0"/>
    </xf>
    <xf numFmtId="0" fontId="47" fillId="14" borderId="47" xfId="0" applyFont="1" applyFill="1" applyBorder="1" applyAlignment="1" applyProtection="1">
      <alignment horizontal="justify" vertical="top" wrapText="1"/>
      <protection locked="0"/>
    </xf>
    <xf numFmtId="0" fontId="23" fillId="14" borderId="49" xfId="0" applyFont="1" applyFill="1" applyBorder="1" applyAlignment="1">
      <alignment horizontal="justify" vertical="top"/>
    </xf>
    <xf numFmtId="0" fontId="23" fillId="14" borderId="49" xfId="0" applyFont="1" applyFill="1" applyBorder="1" applyAlignment="1" applyProtection="1">
      <alignment horizontal="justify" vertical="top"/>
      <protection locked="0"/>
    </xf>
    <xf numFmtId="0" fontId="26" fillId="0" borderId="51" xfId="0" applyFont="1" applyBorder="1" applyAlignment="1">
      <alignment horizontal="center" vertical="center"/>
    </xf>
    <xf numFmtId="0" fontId="29" fillId="0" borderId="47" xfId="0" applyFont="1" applyBorder="1" applyAlignment="1" applyProtection="1">
      <alignment horizontal="center" vertical="top" wrapText="1"/>
      <protection locked="0"/>
    </xf>
    <xf numFmtId="0" fontId="26" fillId="0" borderId="49" xfId="0" applyFont="1" applyBorder="1" applyAlignment="1">
      <alignment horizontal="center" vertical="top"/>
    </xf>
    <xf numFmtId="0" fontId="26" fillId="0" borderId="49" xfId="0" applyFont="1" applyBorder="1" applyAlignment="1" applyProtection="1">
      <alignment horizontal="center" vertical="top" wrapText="1"/>
      <protection locked="0"/>
    </xf>
    <xf numFmtId="0" fontId="26" fillId="0" borderId="49" xfId="0" applyFont="1" applyBorder="1" applyAlignment="1" applyProtection="1">
      <alignment horizontal="center" vertical="top"/>
      <protection locked="0"/>
    </xf>
    <xf numFmtId="14" fontId="26" fillId="0" borderId="49" xfId="0" applyNumberFormat="1" applyFont="1" applyBorder="1" applyAlignment="1" applyProtection="1">
      <alignment horizontal="center" vertical="top"/>
      <protection locked="0"/>
    </xf>
    <xf numFmtId="0" fontId="26" fillId="0" borderId="49" xfId="0" applyFont="1" applyBorder="1" applyAlignment="1" applyProtection="1">
      <alignment horizontal="justify" vertical="top"/>
      <protection locked="0"/>
    </xf>
    <xf numFmtId="0" fontId="23" fillId="0" borderId="48" xfId="0" applyFont="1" applyBorder="1" applyAlignment="1">
      <alignment horizontal="justify" vertical="top"/>
    </xf>
    <xf numFmtId="0" fontId="40" fillId="13" borderId="48" xfId="0" applyFont="1" applyFill="1" applyBorder="1" applyAlignment="1" applyProtection="1">
      <alignment horizontal="justify" vertical="top" wrapText="1"/>
      <protection locked="0"/>
    </xf>
    <xf numFmtId="0" fontId="41" fillId="13" borderId="76" xfId="0" applyFont="1" applyFill="1" applyBorder="1" applyAlignment="1" applyProtection="1">
      <alignment horizontal="justify" vertical="top" wrapText="1"/>
      <protection locked="0"/>
    </xf>
    <xf numFmtId="0" fontId="43" fillId="13" borderId="54" xfId="0" applyFont="1" applyFill="1" applyBorder="1" applyAlignment="1" applyProtection="1">
      <alignment horizontal="justify" vertical="top" wrapText="1"/>
      <protection locked="0"/>
    </xf>
    <xf numFmtId="0" fontId="47" fillId="14" borderId="54" xfId="0" applyFont="1" applyFill="1" applyBorder="1" applyAlignment="1" applyProtection="1">
      <alignment horizontal="justify" vertical="top" textRotation="180" wrapText="1"/>
      <protection locked="0"/>
    </xf>
    <xf numFmtId="0" fontId="47" fillId="14" borderId="54" xfId="0" applyFont="1" applyFill="1" applyBorder="1" applyAlignment="1" applyProtection="1">
      <alignment horizontal="justify" vertical="top" wrapText="1"/>
      <protection locked="0"/>
    </xf>
    <xf numFmtId="0" fontId="23" fillId="14" borderId="77" xfId="0" applyFont="1" applyFill="1" applyBorder="1" applyAlignment="1" applyProtection="1">
      <alignment horizontal="justify" vertical="top" wrapText="1"/>
      <protection locked="0"/>
    </xf>
    <xf numFmtId="0" fontId="23" fillId="14" borderId="48" xfId="0" applyFont="1" applyFill="1" applyBorder="1" applyAlignment="1" applyProtection="1">
      <alignment horizontal="justify" vertical="top"/>
      <protection locked="0"/>
    </xf>
    <xf numFmtId="9" fontId="23" fillId="14" borderId="48" xfId="0" applyNumberFormat="1" applyFont="1" applyFill="1" applyBorder="1" applyAlignment="1" applyProtection="1">
      <alignment horizontal="justify" vertical="top" wrapText="1"/>
      <protection hidden="1"/>
    </xf>
    <xf numFmtId="9" fontId="23" fillId="14" borderId="48" xfId="0" applyNumberFormat="1" applyFont="1" applyFill="1" applyBorder="1" applyAlignment="1" applyProtection="1">
      <alignment horizontal="justify" vertical="top" wrapText="1"/>
      <protection locked="0"/>
    </xf>
    <xf numFmtId="0" fontId="23" fillId="15" borderId="48" xfId="0" applyFont="1" applyFill="1" applyBorder="1" applyAlignment="1" applyProtection="1">
      <alignment horizontal="justify" vertical="top" wrapText="1"/>
      <protection locked="0"/>
    </xf>
    <xf numFmtId="0" fontId="46" fillId="15" borderId="48" xfId="0" applyFont="1" applyFill="1" applyBorder="1" applyAlignment="1" applyProtection="1">
      <alignment horizontal="justify" vertical="top" wrapText="1"/>
      <protection locked="0"/>
    </xf>
    <xf numFmtId="0" fontId="23" fillId="15" borderId="39" xfId="0" applyFont="1" applyFill="1" applyBorder="1" applyAlignment="1" applyProtection="1">
      <alignment horizontal="justify" vertical="top" wrapText="1"/>
      <protection locked="0"/>
    </xf>
    <xf numFmtId="0" fontId="43" fillId="15" borderId="47" xfId="0" applyFont="1" applyFill="1" applyBorder="1" applyAlignment="1" applyProtection="1">
      <alignment horizontal="justify" vertical="top" wrapText="1"/>
      <protection locked="0"/>
    </xf>
    <xf numFmtId="0" fontId="47" fillId="16" borderId="54" xfId="0" applyFont="1" applyFill="1" applyBorder="1" applyAlignment="1" applyProtection="1">
      <alignment horizontal="justify" vertical="top" textRotation="180" wrapText="1"/>
      <protection locked="0"/>
    </xf>
    <xf numFmtId="0" fontId="23" fillId="16" borderId="41" xfId="0" applyFont="1" applyFill="1" applyBorder="1" applyAlignment="1" applyProtection="1">
      <alignment horizontal="justify" vertical="top" wrapText="1"/>
      <protection locked="0"/>
    </xf>
    <xf numFmtId="0" fontId="23" fillId="16" borderId="48" xfId="0" applyFont="1" applyFill="1" applyBorder="1" applyAlignment="1" applyProtection="1">
      <alignment horizontal="justify" vertical="top"/>
      <protection locked="0"/>
    </xf>
    <xf numFmtId="9" fontId="23" fillId="16" borderId="48" xfId="0" applyNumberFormat="1" applyFont="1" applyFill="1" applyBorder="1" applyAlignment="1" applyProtection="1">
      <alignment horizontal="justify" vertical="top" wrapText="1"/>
      <protection hidden="1"/>
    </xf>
    <xf numFmtId="9" fontId="23" fillId="16" borderId="48" xfId="0" applyNumberFormat="1" applyFont="1" applyFill="1" applyBorder="1" applyAlignment="1" applyProtection="1">
      <alignment horizontal="justify" vertical="top" wrapText="1"/>
      <protection locked="0"/>
    </xf>
    <xf numFmtId="0" fontId="47" fillId="17" borderId="54" xfId="0" applyFont="1" applyFill="1" applyBorder="1" applyAlignment="1" applyProtection="1">
      <alignment horizontal="justify" vertical="top" textRotation="180" wrapText="1"/>
      <protection locked="0"/>
    </xf>
    <xf numFmtId="0" fontId="23" fillId="17" borderId="41" xfId="0" applyFont="1" applyFill="1" applyBorder="1" applyAlignment="1" applyProtection="1">
      <alignment horizontal="justify" vertical="top" wrapText="1"/>
      <protection locked="0"/>
    </xf>
    <xf numFmtId="0" fontId="23" fillId="17" borderId="48" xfId="0" applyFont="1" applyFill="1" applyBorder="1" applyAlignment="1" applyProtection="1">
      <alignment horizontal="justify" vertical="top"/>
      <protection locked="0"/>
    </xf>
    <xf numFmtId="9" fontId="23" fillId="17" borderId="48" xfId="0" applyNumberFormat="1" applyFont="1" applyFill="1" applyBorder="1" applyAlignment="1" applyProtection="1">
      <alignment horizontal="justify" vertical="top" wrapText="1"/>
      <protection hidden="1"/>
    </xf>
    <xf numFmtId="9" fontId="23" fillId="17" borderId="48" xfId="0" applyNumberFormat="1" applyFont="1" applyFill="1" applyBorder="1" applyAlignment="1" applyProtection="1">
      <alignment horizontal="justify" vertical="top" wrapText="1"/>
      <protection locked="0"/>
    </xf>
    <xf numFmtId="0" fontId="26" fillId="15" borderId="48" xfId="0" applyFont="1" applyFill="1" applyBorder="1" applyAlignment="1" applyProtection="1">
      <alignment horizontal="center" vertical="top" wrapText="1"/>
      <protection locked="0"/>
    </xf>
    <xf numFmtId="0" fontId="51" fillId="15" borderId="48" xfId="0" applyFont="1" applyFill="1" applyBorder="1" applyAlignment="1" applyProtection="1">
      <alignment horizontal="left" vertical="top" wrapText="1"/>
      <protection locked="0"/>
    </xf>
    <xf numFmtId="0" fontId="52" fillId="15" borderId="39" xfId="0" applyFont="1" applyFill="1" applyBorder="1" applyAlignment="1" applyProtection="1">
      <alignment horizontal="left" vertical="top" wrapText="1"/>
      <protection locked="0"/>
    </xf>
    <xf numFmtId="0" fontId="29" fillId="15" borderId="47" xfId="0" applyFont="1" applyFill="1" applyBorder="1" applyAlignment="1" applyProtection="1">
      <alignment horizontal="left" vertical="top" wrapText="1"/>
      <protection locked="0"/>
    </xf>
    <xf numFmtId="0" fontId="30" fillId="14" borderId="54" xfId="0" applyFont="1" applyFill="1" applyBorder="1" applyAlignment="1" applyProtection="1">
      <alignment horizontal="center" vertical="top" textRotation="180" wrapText="1"/>
      <protection locked="0"/>
    </xf>
    <xf numFmtId="0" fontId="26" fillId="14" borderId="41" xfId="0" applyFont="1" applyFill="1" applyBorder="1" applyAlignment="1" applyProtection="1">
      <alignment horizontal="center" vertical="top" wrapText="1"/>
      <protection locked="0"/>
    </xf>
    <xf numFmtId="0" fontId="26" fillId="14" borderId="48" xfId="0" applyFont="1" applyFill="1" applyBorder="1" applyAlignment="1" applyProtection="1">
      <alignment horizontal="center" vertical="top"/>
      <protection locked="0"/>
    </xf>
    <xf numFmtId="0" fontId="27" fillId="0" borderId="48" xfId="0" applyFont="1" applyBorder="1" applyAlignment="1" applyProtection="1">
      <alignment horizontal="center" vertical="top" textRotation="180" wrapText="1"/>
      <protection hidden="1"/>
    </xf>
    <xf numFmtId="9" fontId="26" fillId="14" borderId="48" xfId="0" applyNumberFormat="1" applyFont="1" applyFill="1" applyBorder="1" applyAlignment="1" applyProtection="1">
      <alignment horizontal="center" vertical="top" wrapText="1"/>
      <protection hidden="1"/>
    </xf>
    <xf numFmtId="9" fontId="26" fillId="14" borderId="48" xfId="0" applyNumberFormat="1" applyFont="1" applyFill="1" applyBorder="1" applyAlignment="1" applyProtection="1">
      <alignment horizontal="center" vertical="top" wrapText="1"/>
      <protection locked="0"/>
    </xf>
    <xf numFmtId="0" fontId="27" fillId="0" borderId="48" xfId="0" applyFont="1" applyBorder="1" applyAlignment="1" applyProtection="1">
      <alignment horizontal="center" vertical="top" textRotation="180"/>
      <protection hidden="1"/>
    </xf>
    <xf numFmtId="0" fontId="26" fillId="0" borderId="65" xfId="0" applyFont="1" applyBorder="1" applyAlignment="1">
      <alignment vertical="center"/>
    </xf>
    <xf numFmtId="0" fontId="25" fillId="0" borderId="48" xfId="0" applyFont="1" applyBorder="1" applyAlignment="1" applyProtection="1">
      <alignment horizontal="center" vertical="top" wrapText="1"/>
      <protection locked="0"/>
    </xf>
    <xf numFmtId="0" fontId="25" fillId="0" borderId="39" xfId="0" applyFont="1" applyBorder="1" applyAlignment="1" applyProtection="1">
      <alignment horizontal="center" vertical="top" wrapText="1"/>
      <protection locked="0"/>
    </xf>
    <xf numFmtId="0" fontId="23" fillId="0" borderId="48" xfId="0" applyFont="1" applyBorder="1" applyAlignment="1" applyProtection="1">
      <alignment vertical="center" wrapText="1"/>
      <protection locked="0"/>
    </xf>
    <xf numFmtId="0" fontId="30" fillId="0" borderId="47" xfId="0" applyFont="1" applyBorder="1" applyAlignment="1" applyProtection="1">
      <alignment horizontal="center" vertical="top" wrapText="1"/>
      <protection locked="0"/>
    </xf>
    <xf numFmtId="0" fontId="25" fillId="0" borderId="41" xfId="0" applyFont="1" applyBorder="1" applyAlignment="1" applyProtection="1">
      <alignment horizontal="center" vertical="top" wrapText="1"/>
      <protection locked="0"/>
    </xf>
    <xf numFmtId="0" fontId="25" fillId="0" borderId="48" xfId="0" applyFont="1" applyBorder="1" applyAlignment="1" applyProtection="1">
      <alignment horizontal="center" vertical="top"/>
      <protection locked="0"/>
    </xf>
    <xf numFmtId="0" fontId="36" fillId="0" borderId="48" xfId="0" applyFont="1" applyBorder="1" applyAlignment="1" applyProtection="1">
      <alignment horizontal="center" vertical="top" wrapText="1"/>
      <protection hidden="1"/>
    </xf>
    <xf numFmtId="9" fontId="25" fillId="0" borderId="48" xfId="0" applyNumberFormat="1" applyFont="1" applyBorder="1" applyAlignment="1" applyProtection="1">
      <alignment horizontal="center" vertical="top" wrapText="1"/>
      <protection hidden="1"/>
    </xf>
    <xf numFmtId="0" fontId="36" fillId="0" borderId="48" xfId="0" applyFont="1" applyBorder="1" applyAlignment="1" applyProtection="1">
      <alignment horizontal="center" vertical="top"/>
      <protection hidden="1"/>
    </xf>
    <xf numFmtId="0" fontId="23" fillId="0" borderId="49" xfId="0" applyFont="1" applyBorder="1" applyAlignment="1" applyProtection="1">
      <alignment horizontal="center" vertical="top" wrapText="1"/>
      <protection locked="0"/>
    </xf>
    <xf numFmtId="0" fontId="25" fillId="0" borderId="49" xfId="0" applyFont="1" applyBorder="1" applyAlignment="1" applyProtection="1">
      <alignment horizontal="center" vertical="top" wrapText="1"/>
      <protection locked="0"/>
    </xf>
    <xf numFmtId="14" fontId="25" fillId="0" borderId="49" xfId="0" applyNumberFormat="1" applyFont="1" applyBorder="1" applyAlignment="1" applyProtection="1">
      <alignment horizontal="center" vertical="top" wrapText="1"/>
      <protection locked="0"/>
    </xf>
    <xf numFmtId="0" fontId="25" fillId="0" borderId="45" xfId="0" applyFont="1" applyBorder="1" applyAlignment="1" applyProtection="1">
      <alignment horizontal="center" vertical="top"/>
      <protection locked="0"/>
    </xf>
    <xf numFmtId="0" fontId="14" fillId="7" borderId="38" xfId="0" applyFont="1" applyFill="1" applyBorder="1" applyAlignment="1">
      <alignment vertical="center" wrapText="1"/>
    </xf>
    <xf numFmtId="0" fontId="25" fillId="0" borderId="51" xfId="0" applyFont="1" applyBorder="1" applyAlignment="1" applyProtection="1">
      <alignment horizontal="center" vertical="top" wrapText="1"/>
      <protection locked="0"/>
    </xf>
    <xf numFmtId="0" fontId="25" fillId="0" borderId="52" xfId="0" applyFont="1" applyBorder="1" applyAlignment="1" applyProtection="1">
      <alignment horizontal="center" vertical="top" wrapText="1"/>
      <protection locked="0"/>
    </xf>
    <xf numFmtId="0" fontId="23" fillId="0" borderId="51" xfId="0" applyFont="1" applyBorder="1" applyAlignment="1" applyProtection="1">
      <alignment vertical="center" wrapText="1"/>
      <protection locked="0"/>
    </xf>
    <xf numFmtId="0" fontId="30" fillId="0" borderId="55" xfId="0" applyFont="1" applyBorder="1" applyAlignment="1" applyProtection="1">
      <alignment horizontal="center" vertical="top" wrapText="1"/>
      <protection locked="0"/>
    </xf>
    <xf numFmtId="0" fontId="25" fillId="0" borderId="53" xfId="0" applyFont="1" applyBorder="1" applyAlignment="1" applyProtection="1">
      <alignment horizontal="center" vertical="top" wrapText="1"/>
      <protection locked="0"/>
    </xf>
    <xf numFmtId="9" fontId="25" fillId="0" borderId="51" xfId="0" applyNumberFormat="1" applyFont="1" applyBorder="1" applyAlignment="1" applyProtection="1">
      <alignment horizontal="center" vertical="top" wrapText="1"/>
      <protection hidden="1"/>
    </xf>
    <xf numFmtId="0" fontId="26" fillId="0" borderId="45" xfId="0" applyFont="1" applyBorder="1" applyAlignment="1" applyProtection="1">
      <alignment horizontal="center" vertical="top"/>
      <protection locked="0"/>
    </xf>
    <xf numFmtId="0" fontId="14" fillId="7" borderId="38" xfId="0" applyFont="1" applyFill="1" applyBorder="1"/>
    <xf numFmtId="0" fontId="26" fillId="0" borderId="48" xfId="0" applyFont="1" applyBorder="1" applyAlignment="1" applyProtection="1">
      <alignment horizontal="center" vertical="top" wrapText="1"/>
      <protection locked="0"/>
    </xf>
    <xf numFmtId="0" fontId="26" fillId="0" borderId="39" xfId="0" applyFont="1" applyBorder="1" applyAlignment="1" applyProtection="1">
      <alignment horizontal="center" vertical="top" wrapText="1"/>
      <protection locked="0"/>
    </xf>
    <xf numFmtId="0" fontId="26" fillId="0" borderId="47" xfId="0" applyFont="1" applyBorder="1" applyAlignment="1" applyProtection="1">
      <alignment horizontal="center" vertical="top" wrapText="1"/>
      <protection locked="0"/>
    </xf>
    <xf numFmtId="0" fontId="57" fillId="0" borderId="47" xfId="0" applyFont="1" applyBorder="1" applyAlignment="1" applyProtection="1">
      <alignment horizontal="center" vertical="top" wrapText="1"/>
      <protection locked="0"/>
    </xf>
    <xf numFmtId="0" fontId="26" fillId="0" borderId="41" xfId="0" applyFont="1" applyBorder="1" applyAlignment="1" applyProtection="1">
      <alignment horizontal="center" vertical="top" wrapText="1"/>
      <protection locked="0"/>
    </xf>
    <xf numFmtId="0" fontId="27" fillId="0" borderId="48" xfId="0" applyFont="1" applyBorder="1" applyAlignment="1" applyProtection="1">
      <alignment horizontal="center" vertical="top" wrapText="1"/>
      <protection hidden="1"/>
    </xf>
    <xf numFmtId="9" fontId="26" fillId="0" borderId="48" xfId="0" applyNumberFormat="1" applyFont="1" applyBorder="1" applyAlignment="1" applyProtection="1">
      <alignment horizontal="center" vertical="top" wrapText="1"/>
      <protection locked="0"/>
    </xf>
    <xf numFmtId="0" fontId="27" fillId="0" borderId="48" xfId="0" applyFont="1" applyBorder="1" applyAlignment="1" applyProtection="1">
      <alignment horizontal="center" vertical="top"/>
      <protection hidden="1"/>
    </xf>
    <xf numFmtId="0" fontId="14" fillId="7" borderId="38" xfId="0" applyFont="1" applyFill="1" applyBorder="1" applyAlignment="1">
      <alignment wrapText="1"/>
    </xf>
    <xf numFmtId="0" fontId="23" fillId="0" borderId="47" xfId="0" applyFont="1" applyBorder="1" applyAlignment="1" applyProtection="1">
      <alignment horizontal="center" vertical="top" wrapText="1"/>
      <protection locked="0"/>
    </xf>
    <xf numFmtId="0" fontId="30" fillId="0" borderId="54"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58" fillId="0" borderId="39" xfId="0" applyFont="1" applyBorder="1" applyAlignment="1" applyProtection="1">
      <alignment vertical="center" wrapText="1"/>
      <protection locked="0"/>
    </xf>
    <xf numFmtId="0" fontId="26" fillId="0" borderId="38" xfId="0" applyFont="1" applyBorder="1" applyAlignment="1" applyProtection="1">
      <alignment vertical="center" wrapText="1"/>
      <protection locked="0"/>
    </xf>
    <xf numFmtId="14" fontId="26" fillId="0" borderId="38" xfId="0" applyNumberFormat="1" applyFont="1" applyBorder="1" applyAlignment="1" applyProtection="1">
      <alignment vertical="center" wrapText="1"/>
      <protection locked="0"/>
    </xf>
    <xf numFmtId="0" fontId="26" fillId="0" borderId="38" xfId="0" applyFont="1" applyBorder="1" applyAlignment="1" applyProtection="1">
      <alignment vertical="top" wrapText="1"/>
      <protection locked="0"/>
    </xf>
    <xf numFmtId="0" fontId="26" fillId="0" borderId="38" xfId="0" applyFont="1" applyBorder="1" applyAlignment="1" applyProtection="1">
      <alignment vertical="top"/>
      <protection locked="0"/>
    </xf>
    <xf numFmtId="0" fontId="14" fillId="7" borderId="38" xfId="0" applyFont="1" applyFill="1" applyBorder="1" applyAlignment="1">
      <alignment horizontal="left" vertical="center" wrapText="1"/>
    </xf>
    <xf numFmtId="0" fontId="25" fillId="0" borderId="45" xfId="0" applyFont="1" applyBorder="1" applyAlignment="1" applyProtection="1">
      <alignment horizontal="center" vertical="top" textRotation="90"/>
      <protection locked="0"/>
    </xf>
    <xf numFmtId="164" fontId="26" fillId="0" borderId="38" xfId="16" applyNumberFormat="1" applyFont="1" applyBorder="1" applyAlignment="1">
      <alignment horizontal="center" vertical="top"/>
    </xf>
    <xf numFmtId="0" fontId="36" fillId="0" borderId="38" xfId="0" applyFont="1" applyBorder="1" applyAlignment="1" applyProtection="1">
      <alignment horizontal="center" vertical="top" textRotation="90" wrapText="1"/>
      <protection hidden="1"/>
    </xf>
    <xf numFmtId="9" fontId="25" fillId="0" borderId="38" xfId="0" applyNumberFormat="1" applyFont="1" applyBorder="1" applyAlignment="1" applyProtection="1">
      <alignment horizontal="center" vertical="top"/>
      <protection hidden="1"/>
    </xf>
    <xf numFmtId="0" fontId="36" fillId="0" borderId="38" xfId="0" applyFont="1" applyBorder="1" applyAlignment="1" applyProtection="1">
      <alignment horizontal="center" vertical="top" textRotation="90"/>
      <protection hidden="1"/>
    </xf>
    <xf numFmtId="0" fontId="25" fillId="0" borderId="38" xfId="0" applyFont="1" applyBorder="1" applyAlignment="1" applyProtection="1">
      <alignment horizontal="center" vertical="top" textRotation="90"/>
      <protection locked="0"/>
    </xf>
    <xf numFmtId="0" fontId="23" fillId="0" borderId="38" xfId="0" applyFont="1" applyBorder="1" applyAlignment="1" applyProtection="1">
      <alignment vertical="top" wrapText="1"/>
      <protection locked="0"/>
    </xf>
    <xf numFmtId="0" fontId="26" fillId="0" borderId="76" xfId="0" applyFont="1" applyBorder="1" applyAlignment="1" applyProtection="1">
      <alignment horizontal="center" vertical="top" wrapText="1"/>
      <protection locked="0"/>
    </xf>
    <xf numFmtId="0" fontId="27" fillId="6" borderId="45" xfId="0" applyFont="1" applyFill="1" applyBorder="1" applyAlignment="1">
      <alignment vertical="center"/>
    </xf>
    <xf numFmtId="0" fontId="27" fillId="6" borderId="46" xfId="0" applyFont="1" applyFill="1" applyBorder="1" applyAlignment="1">
      <alignment vertical="center"/>
    </xf>
    <xf numFmtId="0" fontId="27" fillId="6" borderId="43" xfId="0" applyFont="1" applyFill="1" applyBorder="1" applyAlignment="1">
      <alignment vertical="center"/>
    </xf>
    <xf numFmtId="0" fontId="27" fillId="6" borderId="44" xfId="0" applyFont="1" applyFill="1" applyBorder="1" applyAlignment="1">
      <alignment vertical="center"/>
    </xf>
    <xf numFmtId="0" fontId="27" fillId="6" borderId="42" xfId="0" applyFont="1" applyFill="1" applyBorder="1" applyAlignment="1">
      <alignment vertical="center"/>
    </xf>
    <xf numFmtId="0" fontId="27" fillId="7" borderId="38" xfId="0" applyFont="1" applyFill="1" applyBorder="1" applyAlignment="1">
      <alignment horizontal="center" vertical="center"/>
    </xf>
    <xf numFmtId="0" fontId="25" fillId="7" borderId="47" xfId="0" applyFont="1" applyFill="1" applyBorder="1" applyAlignment="1">
      <alignment vertical="center" wrapText="1"/>
    </xf>
    <xf numFmtId="0" fontId="25" fillId="0" borderId="49" xfId="0" applyFont="1" applyBorder="1" applyAlignment="1">
      <alignment horizontal="center" vertical="top"/>
    </xf>
    <xf numFmtId="0" fontId="25" fillId="0" borderId="49" xfId="0" applyFont="1" applyBorder="1" applyAlignment="1" applyProtection="1">
      <alignment horizontal="justify" vertical="top" wrapText="1"/>
      <protection locked="0"/>
    </xf>
    <xf numFmtId="0" fontId="25" fillId="0" borderId="49" xfId="0" applyFont="1" applyBorder="1" applyAlignment="1" applyProtection="1">
      <alignment horizontal="center" vertical="top"/>
      <protection hidden="1"/>
    </xf>
    <xf numFmtId="164" fontId="25" fillId="0" borderId="49" xfId="16" applyNumberFormat="1" applyFont="1" applyBorder="1" applyAlignment="1">
      <alignment horizontal="center" vertical="top"/>
    </xf>
    <xf numFmtId="0" fontId="25" fillId="7" borderId="49" xfId="0" applyFont="1" applyFill="1" applyBorder="1" applyAlignment="1" applyProtection="1">
      <alignment horizontal="center" vertical="center" wrapText="1"/>
      <protection locked="0"/>
    </xf>
    <xf numFmtId="0" fontId="25" fillId="0" borderId="49" xfId="0" applyFont="1" applyBorder="1" applyAlignment="1" applyProtection="1">
      <alignment horizontal="center" vertical="center" wrapText="1"/>
      <protection locked="0"/>
    </xf>
    <xf numFmtId="14" fontId="25" fillId="0" borderId="49" xfId="0" applyNumberFormat="1"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9" fillId="7" borderId="38" xfId="0" applyFont="1" applyFill="1" applyBorder="1" applyAlignment="1">
      <alignment vertical="center" wrapText="1"/>
    </xf>
    <xf numFmtId="0" fontId="25" fillId="0" borderId="48" xfId="0" applyFont="1" applyBorder="1" applyAlignment="1" applyProtection="1">
      <alignment vertical="top"/>
      <protection hidden="1"/>
    </xf>
    <xf numFmtId="0" fontId="25" fillId="0" borderId="48" xfId="0" applyFont="1" applyBorder="1" applyAlignment="1" applyProtection="1">
      <alignment vertical="top" textRotation="90"/>
      <protection locked="0"/>
    </xf>
    <xf numFmtId="9" fontId="25" fillId="0" borderId="48" xfId="0" applyNumberFormat="1" applyFont="1" applyBorder="1" applyAlignment="1" applyProtection="1">
      <alignment vertical="top"/>
      <protection hidden="1"/>
    </xf>
    <xf numFmtId="0" fontId="25" fillId="7" borderId="48" xfId="0" applyFont="1" applyFill="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14" fontId="25" fillId="0" borderId="48" xfId="0" applyNumberFormat="1"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6" fillId="7" borderId="38" xfId="0" applyFont="1" applyFill="1" applyBorder="1" applyAlignment="1">
      <alignment vertical="center" wrapText="1"/>
    </xf>
    <xf numFmtId="0" fontId="26" fillId="7" borderId="83" xfId="0" applyFont="1" applyFill="1" applyBorder="1" applyAlignment="1">
      <alignment horizontal="left" vertical="center" wrapText="1"/>
    </xf>
    <xf numFmtId="0" fontId="25" fillId="0" borderId="47" xfId="0" applyFont="1" applyBorder="1" applyAlignment="1" applyProtection="1">
      <alignment horizontal="left" vertical="top" wrapText="1"/>
      <protection locked="0"/>
    </xf>
    <xf numFmtId="0" fontId="25" fillId="7" borderId="47" xfId="0" applyFont="1" applyFill="1" applyBorder="1" applyAlignment="1" applyProtection="1">
      <alignment horizontal="center" vertical="top" wrapText="1"/>
      <protection locked="0"/>
    </xf>
    <xf numFmtId="0" fontId="25" fillId="7" borderId="49" xfId="0" applyFont="1" applyFill="1" applyBorder="1" applyAlignment="1" applyProtection="1">
      <alignment horizontal="justify" vertical="top" wrapText="1"/>
      <protection locked="0"/>
    </xf>
    <xf numFmtId="0" fontId="25" fillId="7" borderId="47" xfId="0" applyFont="1" applyFill="1" applyBorder="1" applyAlignment="1" applyProtection="1">
      <alignment horizontal="left" vertical="top" wrapText="1"/>
      <protection locked="0"/>
    </xf>
    <xf numFmtId="0" fontId="25" fillId="20" borderId="47" xfId="0" applyFont="1" applyFill="1" applyBorder="1" applyAlignment="1" applyProtection="1">
      <alignment horizontal="left" vertical="top" wrapText="1"/>
      <protection locked="0"/>
    </xf>
    <xf numFmtId="0" fontId="25" fillId="20" borderId="49" xfId="0" applyFont="1" applyFill="1" applyBorder="1" applyAlignment="1" applyProtection="1">
      <alignment horizontal="justify" vertical="top"/>
      <protection locked="0"/>
    </xf>
    <xf numFmtId="0" fontId="26" fillId="7" borderId="38" xfId="0" applyFont="1" applyFill="1" applyBorder="1" applyAlignment="1">
      <alignment horizontal="left" vertical="center" wrapText="1"/>
    </xf>
    <xf numFmtId="0" fontId="25" fillId="0" borderId="47" xfId="0" applyFont="1" applyBorder="1" applyAlignment="1" applyProtection="1">
      <alignment horizontal="center" vertical="top" wrapText="1"/>
      <protection locked="0"/>
    </xf>
    <xf numFmtId="9" fontId="26" fillId="0" borderId="48" xfId="0" applyNumberFormat="1" applyFont="1" applyBorder="1" applyAlignment="1" applyProtection="1">
      <alignment vertical="top" wrapText="1"/>
      <protection locked="0"/>
    </xf>
    <xf numFmtId="0" fontId="62" fillId="7" borderId="0" xfId="0" applyFont="1" applyFill="1" applyAlignment="1">
      <alignment horizontal="center" vertical="center"/>
    </xf>
    <xf numFmtId="0" fontId="62" fillId="7" borderId="0" xfId="0" applyFont="1" applyFill="1" applyAlignment="1">
      <alignment horizontal="left" vertical="center"/>
    </xf>
    <xf numFmtId="0" fontId="62" fillId="7" borderId="0" xfId="0" applyFont="1" applyFill="1"/>
    <xf numFmtId="0" fontId="62" fillId="7" borderId="0" xfId="0" applyFont="1" applyFill="1" applyAlignment="1">
      <alignment horizontal="center"/>
    </xf>
    <xf numFmtId="0" fontId="17" fillId="6" borderId="51" xfId="0" applyFont="1" applyFill="1" applyBorder="1" applyAlignment="1">
      <alignment horizontal="center" vertical="center"/>
    </xf>
    <xf numFmtId="0" fontId="17" fillId="6" borderId="49" xfId="0" applyFont="1" applyFill="1" applyBorder="1" applyAlignment="1">
      <alignment horizontal="center" vertical="center" textRotation="90"/>
    </xf>
    <xf numFmtId="0" fontId="62" fillId="0" borderId="48" xfId="0" applyFont="1" applyBorder="1" applyAlignment="1" applyProtection="1">
      <alignment horizontal="center" vertical="center" wrapText="1"/>
      <protection locked="0"/>
    </xf>
    <xf numFmtId="0" fontId="63" fillId="0" borderId="48" xfId="0" applyFont="1" applyBorder="1" applyAlignment="1" applyProtection="1">
      <alignment horizontal="center" vertical="center" wrapText="1"/>
      <protection locked="0"/>
    </xf>
    <xf numFmtId="0" fontId="62" fillId="0" borderId="49" xfId="0" applyFont="1" applyBorder="1" applyAlignment="1">
      <alignment horizontal="center" vertical="center"/>
    </xf>
    <xf numFmtId="0" fontId="62" fillId="0" borderId="49" xfId="0" applyFont="1" applyBorder="1" applyAlignment="1" applyProtection="1">
      <alignment horizontal="justify" vertical="center" wrapText="1"/>
      <protection locked="0"/>
    </xf>
    <xf numFmtId="0" fontId="64" fillId="0" borderId="49" xfId="0" applyFont="1" applyBorder="1" applyAlignment="1" applyProtection="1">
      <alignment horizontal="center" vertical="center"/>
      <protection hidden="1"/>
    </xf>
    <xf numFmtId="0" fontId="62" fillId="0" borderId="49" xfId="0" applyFont="1" applyBorder="1" applyAlignment="1" applyProtection="1">
      <alignment horizontal="center" vertical="center" textRotation="90"/>
      <protection locked="0"/>
    </xf>
    <xf numFmtId="9" fontId="62" fillId="0" borderId="49" xfId="0" applyNumberFormat="1" applyFont="1" applyBorder="1" applyAlignment="1" applyProtection="1">
      <alignment horizontal="center" vertical="center"/>
      <protection hidden="1"/>
    </xf>
    <xf numFmtId="164" fontId="62" fillId="0" borderId="49" xfId="16" applyNumberFormat="1" applyFont="1" applyFill="1" applyBorder="1" applyAlignment="1">
      <alignment horizontal="center" vertical="center"/>
    </xf>
    <xf numFmtId="0" fontId="17" fillId="0" borderId="49" xfId="0" applyFont="1" applyBorder="1" applyAlignment="1" applyProtection="1">
      <alignment horizontal="center" vertical="center" textRotation="90" wrapText="1"/>
      <protection hidden="1"/>
    </xf>
    <xf numFmtId="9" fontId="62" fillId="0" borderId="48" xfId="0" applyNumberFormat="1" applyFont="1" applyBorder="1" applyAlignment="1" applyProtection="1">
      <alignment horizontal="center" vertical="center"/>
      <protection hidden="1"/>
    </xf>
    <xf numFmtId="0" fontId="17" fillId="0" borderId="49" xfId="0" applyFont="1" applyBorder="1" applyAlignment="1" applyProtection="1">
      <alignment horizontal="center" vertical="center" textRotation="90"/>
      <protection hidden="1"/>
    </xf>
    <xf numFmtId="0" fontId="62" fillId="0" borderId="48" xfId="0" applyFont="1" applyBorder="1" applyAlignment="1" applyProtection="1">
      <alignment horizontal="center" vertical="center" textRotation="90"/>
      <protection locked="0"/>
    </xf>
    <xf numFmtId="0" fontId="62" fillId="0" borderId="0" xfId="0" applyFont="1" applyAlignment="1">
      <alignment horizontal="justify" vertical="center"/>
    </xf>
    <xf numFmtId="9" fontId="62" fillId="0" borderId="51" xfId="0" applyNumberFormat="1" applyFont="1" applyBorder="1" applyAlignment="1" applyProtection="1">
      <alignment horizontal="center" vertical="center" wrapText="1"/>
      <protection hidden="1"/>
    </xf>
    <xf numFmtId="9" fontId="62" fillId="0" borderId="48" xfId="0" applyNumberFormat="1" applyFont="1" applyBorder="1" applyAlignment="1" applyProtection="1">
      <alignment vertical="center"/>
      <protection hidden="1"/>
    </xf>
    <xf numFmtId="0" fontId="62" fillId="0" borderId="48" xfId="0" applyFont="1" applyBorder="1" applyAlignment="1" applyProtection="1">
      <alignment vertical="center" wrapText="1"/>
      <protection locked="0"/>
    </xf>
    <xf numFmtId="0" fontId="64" fillId="0" borderId="48" xfId="0" applyFont="1" applyBorder="1" applyAlignment="1" applyProtection="1">
      <alignment vertical="center" wrapText="1"/>
      <protection locked="0"/>
    </xf>
    <xf numFmtId="0" fontId="62" fillId="0" borderId="48" xfId="0" applyFont="1" applyBorder="1" applyAlignment="1" applyProtection="1">
      <alignment vertical="center" textRotation="90"/>
      <protection locked="0"/>
    </xf>
    <xf numFmtId="0" fontId="17" fillId="0" borderId="48" xfId="0" applyFont="1" applyBorder="1" applyAlignment="1" applyProtection="1">
      <alignment vertical="center" textRotation="90" wrapText="1"/>
      <protection hidden="1"/>
    </xf>
    <xf numFmtId="0" fontId="17" fillId="0" borderId="48" xfId="0" applyFont="1" applyBorder="1" applyAlignment="1" applyProtection="1">
      <alignment vertical="center" textRotation="90"/>
      <protection hidden="1"/>
    </xf>
    <xf numFmtId="0" fontId="62" fillId="0" borderId="50" xfId="0" applyFont="1" applyBorder="1" applyAlignment="1" applyProtection="1">
      <alignment vertical="center" wrapText="1"/>
      <protection locked="0"/>
    </xf>
    <xf numFmtId="0" fontId="25" fillId="7" borderId="47" xfId="0" applyFont="1" applyFill="1" applyBorder="1" applyAlignment="1">
      <alignment horizontal="left" vertical="center" wrapText="1"/>
    </xf>
    <xf numFmtId="0" fontId="25" fillId="0" borderId="49" xfId="0" applyFont="1" applyBorder="1" applyAlignment="1" applyProtection="1">
      <alignment horizontal="left" vertical="top" wrapText="1"/>
      <protection locked="0"/>
    </xf>
    <xf numFmtId="0" fontId="25" fillId="0" borderId="49" xfId="0" applyFont="1" applyBorder="1" applyAlignment="1" applyProtection="1">
      <alignment horizontal="center" vertical="top"/>
      <protection locked="0"/>
    </xf>
    <xf numFmtId="14" fontId="25" fillId="0" borderId="49" xfId="0" applyNumberFormat="1" applyFont="1" applyBorder="1" applyAlignment="1" applyProtection="1">
      <alignment horizontal="center" vertical="top"/>
      <protection locked="0"/>
    </xf>
    <xf numFmtId="0" fontId="26" fillId="0" borderId="49" xfId="0" applyFont="1" applyBorder="1" applyAlignment="1" applyProtection="1">
      <alignment horizontal="left" vertical="top" wrapText="1"/>
      <protection locked="0"/>
    </xf>
    <xf numFmtId="14" fontId="26" fillId="0" borderId="49" xfId="0" applyNumberFormat="1" applyFont="1" applyBorder="1" applyAlignment="1" applyProtection="1">
      <alignment horizontal="center" vertical="top" wrapText="1"/>
      <protection locked="0"/>
    </xf>
    <xf numFmtId="0" fontId="27" fillId="7" borderId="47" xfId="0" applyFont="1" applyFill="1" applyBorder="1" applyAlignment="1">
      <alignment horizontal="center" vertical="center" wrapText="1"/>
    </xf>
    <xf numFmtId="0" fontId="25" fillId="0" borderId="48" xfId="0" applyFont="1" applyBorder="1" applyAlignment="1" applyProtection="1">
      <alignment horizontal="center" vertical="center" textRotation="90"/>
      <protection locked="0"/>
    </xf>
    <xf numFmtId="0" fontId="36" fillId="0" borderId="47" xfId="0" applyFont="1" applyBorder="1" applyAlignment="1" applyProtection="1">
      <alignment horizontal="center" vertical="center" wrapText="1"/>
      <protection locked="0"/>
    </xf>
    <xf numFmtId="0" fontId="66" fillId="22" borderId="0" xfId="0" applyFont="1" applyFill="1" applyAlignment="1">
      <alignment horizontal="center" vertical="center"/>
    </xf>
    <xf numFmtId="0" fontId="66" fillId="22" borderId="0" xfId="0" applyFont="1" applyFill="1" applyAlignment="1">
      <alignment horizontal="left" vertical="center"/>
    </xf>
    <xf numFmtId="0" fontId="66" fillId="22" borderId="0" xfId="0" applyFont="1" applyFill="1"/>
    <xf numFmtId="0" fontId="66" fillId="22" borderId="0" xfId="0" applyFont="1" applyFill="1" applyAlignment="1">
      <alignment horizontal="center"/>
    </xf>
    <xf numFmtId="0" fontId="69" fillId="21" borderId="93" xfId="0" applyFont="1" applyFill="1" applyBorder="1" applyAlignment="1">
      <alignment horizontal="center" vertical="center"/>
    </xf>
    <xf numFmtId="0" fontId="69" fillId="21" borderId="89" xfId="0" applyFont="1" applyFill="1" applyBorder="1" applyAlignment="1">
      <alignment horizontal="center" vertical="center" textRotation="90"/>
    </xf>
    <xf numFmtId="0" fontId="66" fillId="22" borderId="89" xfId="0" applyFont="1" applyFill="1" applyBorder="1" applyAlignment="1">
      <alignment vertical="center" wrapText="1"/>
    </xf>
    <xf numFmtId="0" fontId="66" fillId="0" borderId="89" xfId="0" applyFont="1" applyBorder="1" applyAlignment="1">
      <alignment horizontal="center" vertical="top"/>
    </xf>
    <xf numFmtId="0" fontId="73" fillId="0" borderId="89" xfId="0" applyFont="1" applyBorder="1" applyAlignment="1" applyProtection="1">
      <alignment horizontal="justify" vertical="center" wrapText="1"/>
      <protection locked="0"/>
    </xf>
    <xf numFmtId="0" fontId="66" fillId="0" borderId="89" xfId="0" applyFont="1" applyBorder="1" applyAlignment="1" applyProtection="1">
      <alignment horizontal="center" vertical="center"/>
      <protection hidden="1"/>
    </xf>
    <xf numFmtId="0" fontId="68" fillId="0" borderId="89" xfId="0" applyFont="1" applyBorder="1" applyAlignment="1" applyProtection="1">
      <alignment horizontal="center" vertical="center" textRotation="90"/>
      <protection locked="0"/>
    </xf>
    <xf numFmtId="9" fontId="68" fillId="0" borderId="89" xfId="0" applyNumberFormat="1" applyFont="1" applyBorder="1" applyAlignment="1" applyProtection="1">
      <alignment horizontal="center" vertical="center"/>
      <protection hidden="1"/>
    </xf>
    <xf numFmtId="164" fontId="66" fillId="0" borderId="89" xfId="11" applyNumberFormat="1" applyFont="1" applyBorder="1" applyAlignment="1" applyProtection="1">
      <alignment horizontal="center" vertical="top"/>
    </xf>
    <xf numFmtId="0" fontId="72" fillId="0" borderId="89" xfId="0" applyFont="1" applyBorder="1" applyAlignment="1" applyProtection="1">
      <alignment horizontal="center" vertical="top" textRotation="90" wrapText="1"/>
      <protection hidden="1"/>
    </xf>
    <xf numFmtId="9" fontId="68" fillId="0" borderId="92" xfId="0" applyNumberFormat="1" applyFont="1" applyBorder="1" applyAlignment="1" applyProtection="1">
      <alignment horizontal="center" vertical="top"/>
      <protection hidden="1"/>
    </xf>
    <xf numFmtId="0" fontId="72" fillId="0" borderId="89" xfId="0" applyFont="1" applyBorder="1" applyAlignment="1" applyProtection="1">
      <alignment horizontal="center" vertical="top" textRotation="90"/>
      <protection hidden="1"/>
    </xf>
    <xf numFmtId="0" fontId="66" fillId="22" borderId="89" xfId="0" applyFont="1" applyFill="1" applyBorder="1" applyAlignment="1" applyProtection="1">
      <alignment vertical="center" wrapText="1"/>
      <protection locked="0"/>
    </xf>
    <xf numFmtId="0" fontId="66" fillId="0" borderId="89" xfId="0" applyFont="1" applyBorder="1" applyAlignment="1" applyProtection="1">
      <alignment horizontal="center" vertical="center" wrapText="1"/>
      <protection locked="0"/>
    </xf>
    <xf numFmtId="14" fontId="66" fillId="0" borderId="92" xfId="0" applyNumberFormat="1" applyFont="1" applyBorder="1" applyAlignment="1" applyProtection="1">
      <alignment vertical="center" wrapText="1"/>
      <protection locked="0"/>
    </xf>
    <xf numFmtId="0" fontId="47" fillId="0" borderId="89" xfId="0" applyFont="1" applyBorder="1" applyAlignment="1" applyProtection="1">
      <alignment horizontal="justify" vertical="center" wrapText="1"/>
      <protection locked="0"/>
    </xf>
    <xf numFmtId="0" fontId="66" fillId="22" borderId="92" xfId="0" applyFont="1" applyFill="1" applyBorder="1" applyAlignment="1" applyProtection="1">
      <alignment vertical="center" wrapText="1"/>
      <protection locked="0"/>
    </xf>
    <xf numFmtId="14" fontId="68" fillId="0" borderId="92" xfId="0" applyNumberFormat="1" applyFont="1" applyBorder="1" applyAlignment="1" applyProtection="1">
      <alignment vertical="center" wrapText="1"/>
      <protection locked="0"/>
    </xf>
    <xf numFmtId="0" fontId="68" fillId="22" borderId="89" xfId="0" applyFont="1" applyFill="1" applyBorder="1" applyAlignment="1" applyProtection="1">
      <alignment horizontal="center" vertical="top" wrapText="1"/>
      <protection locked="0"/>
    </xf>
    <xf numFmtId="0" fontId="66" fillId="0" borderId="89" xfId="0" applyFont="1" applyBorder="1" applyAlignment="1" applyProtection="1">
      <alignment horizontal="center" vertical="top"/>
      <protection hidden="1"/>
    </xf>
    <xf numFmtId="9" fontId="68" fillId="0" borderId="89" xfId="0" applyNumberFormat="1" applyFont="1" applyBorder="1" applyAlignment="1" applyProtection="1">
      <alignment horizontal="center" vertical="top"/>
      <protection hidden="1"/>
    </xf>
    <xf numFmtId="0" fontId="68" fillId="0" borderId="92" xfId="0" applyFont="1" applyBorder="1" applyAlignment="1" applyProtection="1">
      <alignment horizontal="center" vertical="top" textRotation="90"/>
      <protection locked="0"/>
    </xf>
    <xf numFmtId="0" fontId="66" fillId="0" borderId="89" xfId="0" applyFont="1" applyBorder="1" applyAlignment="1" applyProtection="1">
      <alignment horizontal="center" vertical="top" wrapText="1"/>
      <protection locked="0"/>
    </xf>
    <xf numFmtId="0" fontId="66" fillId="0" borderId="89" xfId="0" applyFont="1" applyBorder="1" applyAlignment="1" applyProtection="1">
      <alignment horizontal="center" vertical="top"/>
      <protection locked="0"/>
    </xf>
    <xf numFmtId="14" fontId="66" fillId="0" borderId="89" xfId="0" applyNumberFormat="1" applyFont="1" applyBorder="1" applyAlignment="1" applyProtection="1">
      <alignment horizontal="center" vertical="top"/>
      <protection locked="0"/>
    </xf>
    <xf numFmtId="14" fontId="66" fillId="0" borderId="89" xfId="0" applyNumberFormat="1" applyFont="1" applyBorder="1" applyAlignment="1" applyProtection="1">
      <alignment horizontal="center" vertical="top" wrapText="1"/>
      <protection locked="0"/>
    </xf>
    <xf numFmtId="0" fontId="29" fillId="0" borderId="89" xfId="0" applyFont="1" applyBorder="1" applyAlignment="1" applyProtection="1">
      <alignment horizontal="justify" vertical="center" wrapText="1"/>
      <protection locked="0"/>
    </xf>
    <xf numFmtId="164" fontId="66" fillId="0" borderId="89" xfId="11" applyNumberFormat="1" applyFont="1" applyBorder="1" applyAlignment="1" applyProtection="1">
      <alignment horizontal="center" vertical="center"/>
    </xf>
    <xf numFmtId="0" fontId="72" fillId="0" borderId="89" xfId="0" applyFont="1" applyBorder="1" applyAlignment="1" applyProtection="1">
      <alignment horizontal="center" vertical="center" textRotation="90" wrapText="1"/>
      <protection hidden="1"/>
    </xf>
    <xf numFmtId="9" fontId="68" fillId="0" borderId="92" xfId="0" applyNumberFormat="1" applyFont="1" applyBorder="1" applyAlignment="1" applyProtection="1">
      <alignment horizontal="center" vertical="center"/>
      <protection hidden="1"/>
    </xf>
    <xf numFmtId="0" fontId="72" fillId="0" borderId="89" xfId="0" applyFont="1" applyBorder="1" applyAlignment="1" applyProtection="1">
      <alignment horizontal="center" vertical="center" textRotation="90"/>
      <protection hidden="1"/>
    </xf>
    <xf numFmtId="0" fontId="29" fillId="0" borderId="89" xfId="0" applyFont="1" applyBorder="1" applyAlignment="1" applyProtection="1">
      <alignment horizontal="left" vertical="center" wrapText="1"/>
      <protection locked="0"/>
    </xf>
    <xf numFmtId="0" fontId="68" fillId="0" borderId="89" xfId="0" applyFont="1" applyBorder="1" applyAlignment="1" applyProtection="1">
      <alignment horizontal="center" vertical="top" textRotation="90"/>
      <protection locked="0"/>
    </xf>
    <xf numFmtId="0" fontId="66" fillId="0" borderId="89" xfId="0" applyFont="1" applyBorder="1" applyAlignment="1" applyProtection="1">
      <alignment vertical="top" wrapText="1"/>
      <protection locked="0"/>
    </xf>
    <xf numFmtId="0" fontId="47" fillId="0" borderId="92" xfId="0" applyFont="1" applyBorder="1" applyAlignment="1" applyProtection="1">
      <alignment vertical="center" wrapText="1"/>
      <protection locked="0"/>
    </xf>
    <xf numFmtId="0" fontId="47" fillId="0" borderId="91" xfId="0" applyFont="1" applyBorder="1" applyAlignment="1" applyProtection="1">
      <alignment vertical="center" wrapText="1"/>
      <protection locked="0"/>
    </xf>
    <xf numFmtId="0" fontId="29" fillId="7" borderId="47" xfId="0" applyFont="1" applyFill="1" applyBorder="1" applyAlignment="1">
      <alignment vertical="center" wrapText="1"/>
    </xf>
    <xf numFmtId="0" fontId="29" fillId="0" borderId="49" xfId="0" applyFont="1" applyBorder="1" applyAlignment="1" applyProtection="1">
      <alignment horizontal="justify" vertical="top" wrapText="1"/>
      <protection locked="0"/>
    </xf>
    <xf numFmtId="0" fontId="25" fillId="0" borderId="48" xfId="0" applyFont="1" applyBorder="1" applyAlignment="1" applyProtection="1">
      <alignment vertical="top" wrapText="1"/>
      <protection locked="0"/>
    </xf>
    <xf numFmtId="14" fontId="25" fillId="0" borderId="48" xfId="0" applyNumberFormat="1" applyFont="1" applyBorder="1" applyAlignment="1" applyProtection="1">
      <alignment vertical="top" wrapText="1"/>
      <protection locked="0"/>
    </xf>
    <xf numFmtId="0" fontId="25" fillId="0" borderId="48" xfId="0" applyFont="1" applyBorder="1" applyAlignment="1" applyProtection="1">
      <alignment vertical="top"/>
      <protection locked="0"/>
    </xf>
    <xf numFmtId="0" fontId="29" fillId="0" borderId="49" xfId="0" applyFont="1" applyBorder="1" applyAlignment="1" applyProtection="1">
      <alignment horizontal="center" vertical="top" wrapText="1"/>
      <protection locked="0"/>
    </xf>
    <xf numFmtId="0" fontId="29" fillId="0" borderId="49" xfId="0" applyFont="1" applyBorder="1" applyAlignment="1" applyProtection="1">
      <alignment horizontal="justify" vertical="top"/>
      <protection locked="0"/>
    </xf>
    <xf numFmtId="0" fontId="26" fillId="0" borderId="0" xfId="0" applyFont="1" applyAlignment="1">
      <alignment vertical="center" wrapText="1"/>
    </xf>
    <xf numFmtId="0" fontId="25" fillId="7" borderId="47" xfId="0" applyFont="1" applyFill="1" applyBorder="1" applyAlignment="1">
      <alignment horizontal="center" vertical="center" wrapText="1"/>
    </xf>
    <xf numFmtId="0" fontId="25" fillId="0" borderId="98" xfId="0" applyFont="1" applyBorder="1" applyAlignment="1" applyProtection="1">
      <alignment horizontal="center" vertical="top"/>
      <protection locked="0"/>
    </xf>
    <xf numFmtId="0" fontId="26" fillId="0" borderId="98" xfId="0" applyFont="1" applyBorder="1" applyAlignment="1" applyProtection="1">
      <alignment horizontal="center" vertical="top"/>
      <protection locked="0"/>
    </xf>
    <xf numFmtId="14" fontId="26" fillId="0" borderId="45" xfId="0" applyNumberFormat="1" applyFont="1" applyBorder="1" applyAlignment="1" applyProtection="1">
      <alignment horizontal="center" vertical="top"/>
      <protection locked="0"/>
    </xf>
    <xf numFmtId="0" fontId="29" fillId="0" borderId="54" xfId="0" applyFont="1" applyBorder="1" applyAlignment="1" applyProtection="1">
      <alignment horizontal="center" vertical="top" wrapText="1"/>
      <protection locked="0"/>
    </xf>
    <xf numFmtId="0" fontId="47" fillId="0" borderId="49" xfId="0" applyFont="1" applyBorder="1" applyAlignment="1" applyProtection="1">
      <alignment horizontal="justify" vertical="top" wrapText="1"/>
      <protection locked="0"/>
    </xf>
    <xf numFmtId="0" fontId="29" fillId="0" borderId="55" xfId="0" applyFont="1" applyBorder="1" applyAlignment="1" applyProtection="1">
      <alignment horizontal="center" vertical="top" wrapText="1"/>
      <protection locked="0"/>
    </xf>
    <xf numFmtId="0" fontId="26" fillId="7" borderId="47" xfId="0" applyFont="1" applyFill="1" applyBorder="1" applyAlignment="1">
      <alignment vertical="center" wrapText="1"/>
    </xf>
    <xf numFmtId="0" fontId="26" fillId="0" borderId="49" xfId="0" applyFont="1" applyBorder="1" applyAlignment="1">
      <alignment horizontal="center" vertical="center"/>
    </xf>
    <xf numFmtId="0" fontId="26" fillId="0" borderId="49" xfId="0" applyFont="1" applyBorder="1" applyAlignment="1" applyProtection="1">
      <alignment horizontal="justify" vertical="center" wrapText="1"/>
      <protection locked="0"/>
    </xf>
    <xf numFmtId="0" fontId="26" fillId="0" borderId="49" xfId="0" applyFont="1" applyBorder="1" applyAlignment="1" applyProtection="1">
      <alignment horizontal="center" vertical="center"/>
      <protection hidden="1"/>
    </xf>
    <xf numFmtId="0" fontId="25" fillId="0" borderId="49" xfId="0" applyFont="1" applyBorder="1" applyAlignment="1" applyProtection="1">
      <alignment horizontal="center" vertical="center" textRotation="90"/>
      <protection locked="0"/>
    </xf>
    <xf numFmtId="9" fontId="25" fillId="0" borderId="49" xfId="0" applyNumberFormat="1" applyFont="1" applyBorder="1" applyAlignment="1" applyProtection="1">
      <alignment horizontal="center" vertical="center"/>
      <protection hidden="1"/>
    </xf>
    <xf numFmtId="164" fontId="26" fillId="0" borderId="49" xfId="16" applyNumberFormat="1" applyFont="1" applyBorder="1" applyAlignment="1">
      <alignment horizontal="center" vertical="center"/>
    </xf>
    <xf numFmtId="0" fontId="36" fillId="0" borderId="49" xfId="0" applyFont="1" applyBorder="1" applyAlignment="1" applyProtection="1">
      <alignment horizontal="center" vertical="center" textRotation="90" wrapText="1"/>
      <protection hidden="1"/>
    </xf>
    <xf numFmtId="9" fontId="25" fillId="0" borderId="48" xfId="0" applyNumberFormat="1" applyFont="1" applyBorder="1" applyAlignment="1" applyProtection="1">
      <alignment horizontal="center" vertical="center"/>
      <protection hidden="1"/>
    </xf>
    <xf numFmtId="0" fontId="36" fillId="0" borderId="49" xfId="0" applyFont="1" applyBorder="1" applyAlignment="1" applyProtection="1">
      <alignment horizontal="center" vertical="center" textRotation="90"/>
      <protection hidden="1"/>
    </xf>
    <xf numFmtId="0" fontId="26" fillId="0" borderId="49"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protection locked="0"/>
    </xf>
    <xf numFmtId="0" fontId="23" fillId="0" borderId="49" xfId="0" applyFont="1" applyBorder="1" applyAlignment="1" applyProtection="1">
      <alignment horizontal="justify" vertical="center" wrapText="1"/>
      <protection locked="0"/>
    </xf>
    <xf numFmtId="0" fontId="26" fillId="0" borderId="48" xfId="0" applyFont="1" applyBorder="1" applyAlignment="1" applyProtection="1">
      <alignment vertical="center" wrapText="1"/>
      <protection locked="0"/>
    </xf>
    <xf numFmtId="0" fontId="26" fillId="0" borderId="48" xfId="0" applyFont="1" applyBorder="1" applyAlignment="1" applyProtection="1">
      <alignment vertical="top" wrapText="1"/>
      <protection locked="0"/>
    </xf>
    <xf numFmtId="0" fontId="26" fillId="20" borderId="50" xfId="0" applyFont="1" applyFill="1" applyBorder="1" applyAlignment="1" applyProtection="1">
      <alignment horizontal="left" vertical="center" wrapText="1"/>
      <protection locked="0"/>
    </xf>
    <xf numFmtId="0" fontId="23" fillId="20" borderId="51" xfId="0" applyFont="1" applyFill="1" applyBorder="1" applyAlignment="1" applyProtection="1">
      <alignment vertical="center" wrapText="1"/>
      <protection locked="0"/>
    </xf>
    <xf numFmtId="0" fontId="23" fillId="0" borderId="50" xfId="0" applyFont="1" applyBorder="1" applyAlignment="1" applyProtection="1">
      <alignment vertical="center" wrapText="1"/>
      <protection locked="0"/>
    </xf>
    <xf numFmtId="0" fontId="26" fillId="0" borderId="47" xfId="0" applyFont="1" applyBorder="1" applyAlignment="1" applyProtection="1">
      <alignment horizontal="center" vertical="center" wrapText="1"/>
      <protection locked="0"/>
    </xf>
    <xf numFmtId="0" fontId="26" fillId="20" borderId="50" xfId="0" applyFont="1" applyFill="1" applyBorder="1" applyAlignment="1" applyProtection="1">
      <alignment vertical="center" wrapText="1"/>
      <protection locked="0"/>
    </xf>
    <xf numFmtId="0" fontId="26" fillId="0" borderId="0" xfId="0" applyFont="1" applyAlignment="1">
      <alignment horizontal="left" vertical="center" wrapText="1"/>
    </xf>
    <xf numFmtId="0" fontId="23" fillId="7" borderId="0" xfId="0" applyFont="1" applyFill="1"/>
    <xf numFmtId="0" fontId="23" fillId="7" borderId="0" xfId="0" applyFont="1" applyFill="1" applyAlignment="1">
      <alignment horizontal="center" vertical="center"/>
    </xf>
    <xf numFmtId="0" fontId="23" fillId="7" borderId="0" xfId="0" applyFont="1" applyFill="1" applyAlignment="1">
      <alignment horizontal="left" vertical="center"/>
    </xf>
    <xf numFmtId="0" fontId="23" fillId="7" borderId="0" xfId="0" applyFont="1" applyFill="1" applyAlignment="1">
      <alignment horizontal="center"/>
    </xf>
    <xf numFmtId="0" fontId="42" fillId="6" borderId="51" xfId="0" applyFont="1" applyFill="1" applyBorder="1" applyAlignment="1">
      <alignment horizontal="center" vertical="center"/>
    </xf>
    <xf numFmtId="0" fontId="42" fillId="6" borderId="49" xfId="0" applyFont="1" applyFill="1" applyBorder="1" applyAlignment="1">
      <alignment horizontal="center" vertical="center" textRotation="90"/>
    </xf>
    <xf numFmtId="0" fontId="23" fillId="0" borderId="47" xfId="0" applyFont="1" applyBorder="1" applyAlignment="1" applyProtection="1">
      <alignment horizontal="center" vertical="center" wrapText="1"/>
      <protection locked="0"/>
    </xf>
    <xf numFmtId="0" fontId="47" fillId="0" borderId="47" xfId="0" applyFont="1" applyBorder="1" applyAlignment="1" applyProtection="1">
      <alignment horizontal="center" vertical="center" wrapText="1"/>
      <protection locked="0"/>
    </xf>
    <xf numFmtId="0" fontId="23" fillId="0" borderId="49" xfId="0" applyFont="1" applyBorder="1" applyAlignment="1">
      <alignment horizontal="center" vertical="center"/>
    </xf>
    <xf numFmtId="0" fontId="23" fillId="0" borderId="49" xfId="0" applyFont="1" applyBorder="1" applyAlignment="1" applyProtection="1">
      <alignment horizontal="center" vertical="center"/>
      <protection hidden="1"/>
    </xf>
    <xf numFmtId="0" fontId="23" fillId="0" borderId="49" xfId="0" applyFont="1" applyBorder="1" applyAlignment="1" applyProtection="1">
      <alignment horizontal="center" vertical="center" textRotation="90"/>
      <protection locked="0"/>
    </xf>
    <xf numFmtId="9" fontId="23" fillId="0" borderId="49" xfId="0" applyNumberFormat="1" applyFont="1" applyBorder="1" applyAlignment="1" applyProtection="1">
      <alignment horizontal="center" vertical="center"/>
      <protection hidden="1"/>
    </xf>
    <xf numFmtId="164" fontId="23" fillId="0" borderId="49" xfId="16" applyNumberFormat="1" applyFont="1" applyBorder="1" applyAlignment="1">
      <alignment horizontal="center" vertical="center"/>
    </xf>
    <xf numFmtId="0" fontId="42" fillId="0" borderId="49" xfId="0" applyFont="1" applyBorder="1" applyAlignment="1" applyProtection="1">
      <alignment horizontal="center" vertical="center" textRotation="90" wrapText="1"/>
      <protection hidden="1"/>
    </xf>
    <xf numFmtId="9" fontId="23" fillId="0" borderId="48" xfId="0" applyNumberFormat="1" applyFont="1" applyBorder="1" applyAlignment="1" applyProtection="1">
      <alignment horizontal="center" vertical="center"/>
      <protection hidden="1"/>
    </xf>
    <xf numFmtId="0" fontId="42" fillId="0" borderId="49" xfId="0" applyFont="1" applyBorder="1" applyAlignment="1" applyProtection="1">
      <alignment horizontal="center" vertical="center" textRotation="90"/>
      <protection hidden="1"/>
    </xf>
    <xf numFmtId="0" fontId="47" fillId="0" borderId="49" xfId="0" applyFont="1" applyBorder="1" applyAlignment="1" applyProtection="1">
      <alignment horizontal="justify" vertical="center" wrapText="1"/>
      <protection locked="0"/>
    </xf>
    <xf numFmtId="0" fontId="23" fillId="0" borderId="49" xfId="0" applyFont="1" applyBorder="1" applyAlignment="1" applyProtection="1">
      <alignment horizontal="justify" vertical="center"/>
      <protection locked="0"/>
    </xf>
    <xf numFmtId="0" fontId="23" fillId="20" borderId="49" xfId="0" applyFont="1" applyFill="1" applyBorder="1" applyAlignment="1">
      <alignment horizontal="center" vertical="center"/>
    </xf>
    <xf numFmtId="0" fontId="23" fillId="20" borderId="49" xfId="0" applyFont="1" applyFill="1" applyBorder="1" applyAlignment="1" applyProtection="1">
      <alignment horizontal="justify" vertical="center" wrapText="1"/>
      <protection locked="0"/>
    </xf>
    <xf numFmtId="164" fontId="23" fillId="0" borderId="49" xfId="16" applyNumberFormat="1" applyFont="1" applyBorder="1" applyAlignment="1">
      <alignment horizontal="center" vertical="top"/>
    </xf>
    <xf numFmtId="0" fontId="42" fillId="0" borderId="49" xfId="0" applyFont="1" applyBorder="1" applyAlignment="1" applyProtection="1">
      <alignment horizontal="center" vertical="top" textRotation="90" wrapText="1"/>
      <protection hidden="1"/>
    </xf>
    <xf numFmtId="9" fontId="23" fillId="0" borderId="48" xfId="0" applyNumberFormat="1" applyFont="1" applyBorder="1" applyAlignment="1" applyProtection="1">
      <alignment horizontal="center" vertical="top"/>
      <protection hidden="1"/>
    </xf>
    <xf numFmtId="0" fontId="42" fillId="0" borderId="49" xfId="0" applyFont="1" applyBorder="1" applyAlignment="1" applyProtection="1">
      <alignment horizontal="center" vertical="top" textRotation="90"/>
      <protection hidden="1"/>
    </xf>
    <xf numFmtId="0" fontId="23" fillId="20" borderId="49" xfId="0" applyFont="1" applyFill="1" applyBorder="1" applyAlignment="1" applyProtection="1">
      <alignment horizontal="justify" vertical="center"/>
      <protection locked="0"/>
    </xf>
    <xf numFmtId="0" fontId="9" fillId="0" borderId="1" xfId="0" applyFont="1" applyBorder="1" applyAlignment="1">
      <alignment horizontal="center" vertical="center" wrapText="1"/>
    </xf>
    <xf numFmtId="0" fontId="10" fillId="0" borderId="6" xfId="0" applyFont="1" applyBorder="1"/>
    <xf numFmtId="0" fontId="10" fillId="0" borderId="9" xfId="0" applyFont="1" applyBorder="1"/>
    <xf numFmtId="0" fontId="9" fillId="0" borderId="2" xfId="0" applyFont="1" applyBorder="1" applyAlignment="1">
      <alignment horizontal="center" vertical="center" wrapText="1"/>
    </xf>
    <xf numFmtId="0" fontId="10" fillId="0" borderId="3" xfId="0" applyFont="1" applyBorder="1"/>
    <xf numFmtId="0" fontId="10" fillId="0" borderId="7" xfId="0" applyFont="1" applyBorder="1"/>
    <xf numFmtId="0" fontId="10" fillId="0" borderId="8" xfId="0" applyFont="1" applyBorder="1"/>
    <xf numFmtId="0" fontId="12" fillId="0" borderId="5" xfId="0" applyFont="1" applyBorder="1" applyAlignment="1">
      <alignment horizontal="center"/>
    </xf>
    <xf numFmtId="0" fontId="10" fillId="0" borderId="5" xfId="0" applyFont="1" applyBorder="1"/>
    <xf numFmtId="0" fontId="13" fillId="2" borderId="10" xfId="0" applyFont="1" applyFill="1" applyBorder="1" applyAlignment="1">
      <alignment horizontal="center" vertical="center"/>
    </xf>
    <xf numFmtId="0" fontId="10" fillId="0" borderId="11" xfId="0" applyFont="1" applyBorder="1"/>
    <xf numFmtId="0" fontId="10" fillId="0" borderId="12" xfId="0" applyFont="1" applyBorder="1"/>
    <xf numFmtId="0" fontId="12" fillId="0" borderId="36" xfId="0" applyFont="1" applyBorder="1" applyAlignment="1">
      <alignment horizontal="center"/>
    </xf>
    <xf numFmtId="0" fontId="10" fillId="0" borderId="25" xfId="0" applyFont="1" applyBorder="1"/>
    <xf numFmtId="0" fontId="10" fillId="0" borderId="28" xfId="0" applyFont="1" applyBorder="1"/>
    <xf numFmtId="0" fontId="9"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0" fillId="0" borderId="23" xfId="0" applyFont="1" applyBorder="1"/>
    <xf numFmtId="0" fontId="10" fillId="0" borderId="26" xfId="0" applyFont="1" applyBorder="1"/>
    <xf numFmtId="0" fontId="12" fillId="0" borderId="24" xfId="0" applyFont="1" applyBorder="1" applyAlignment="1">
      <alignment horizontal="center"/>
    </xf>
    <xf numFmtId="0" fontId="10" fillId="0" borderId="20" xfId="0" applyFont="1" applyBorder="1"/>
    <xf numFmtId="0" fontId="10" fillId="0" borderId="31" xfId="0" applyFont="1" applyBorder="1"/>
    <xf numFmtId="0" fontId="15" fillId="0" borderId="2" xfId="0" applyFont="1" applyBorder="1" applyAlignment="1">
      <alignment horizontal="center" vertical="center" wrapText="1"/>
    </xf>
    <xf numFmtId="0" fontId="10" fillId="0" borderId="27" xfId="0" applyFont="1" applyBorder="1"/>
    <xf numFmtId="0" fontId="10" fillId="0" borderId="29" xfId="0" applyFont="1" applyBorder="1"/>
    <xf numFmtId="0" fontId="10" fillId="0" borderId="30" xfId="0" applyFont="1" applyBorder="1"/>
    <xf numFmtId="0" fontId="17" fillId="4" borderId="10" xfId="0" applyFont="1" applyFill="1" applyBorder="1" applyAlignment="1">
      <alignment horizontal="center" vertical="center"/>
    </xf>
    <xf numFmtId="0" fontId="10" fillId="0" borderId="32" xfId="0" applyFont="1" applyBorder="1"/>
    <xf numFmtId="15" fontId="23" fillId="20" borderId="108" xfId="0" applyNumberFormat="1" applyFont="1" applyFill="1" applyBorder="1" applyAlignment="1">
      <alignment horizontal="center" vertical="center" wrapText="1"/>
    </xf>
    <xf numFmtId="15" fontId="23" fillId="20" borderId="103" xfId="0" applyNumberFormat="1" applyFont="1" applyFill="1" applyBorder="1" applyAlignment="1">
      <alignment horizontal="center" vertical="center" wrapText="1"/>
    </xf>
    <xf numFmtId="15" fontId="23" fillId="20" borderId="109" xfId="0" applyNumberFormat="1" applyFont="1" applyFill="1" applyBorder="1" applyAlignment="1">
      <alignment horizontal="center" vertical="center" wrapText="1"/>
    </xf>
    <xf numFmtId="0" fontId="23" fillId="20" borderId="108" xfId="0" applyFont="1" applyFill="1" applyBorder="1" applyAlignment="1">
      <alignment horizontal="center" vertical="center" wrapText="1"/>
    </xf>
    <xf numFmtId="0" fontId="23" fillId="20" borderId="103" xfId="0" applyFont="1" applyFill="1" applyBorder="1" applyAlignment="1">
      <alignment horizontal="center" vertical="center" wrapText="1"/>
    </xf>
    <xf numFmtId="0" fontId="23" fillId="20" borderId="109" xfId="0" applyFont="1" applyFill="1" applyBorder="1" applyAlignment="1">
      <alignment horizontal="center" vertical="center" wrapText="1"/>
    </xf>
    <xf numFmtId="0" fontId="23" fillId="0" borderId="48" xfId="0" applyFont="1" applyBorder="1" applyAlignment="1" applyProtection="1">
      <alignment horizontal="center" vertical="center" textRotation="90"/>
      <protection locked="0"/>
    </xf>
    <xf numFmtId="0" fontId="23" fillId="0" borderId="51" xfId="0" applyFont="1" applyBorder="1" applyAlignment="1" applyProtection="1">
      <alignment horizontal="center" vertical="center" textRotation="90"/>
      <protection locked="0"/>
    </xf>
    <xf numFmtId="0" fontId="23" fillId="0" borderId="48"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wrapText="1"/>
      <protection locked="0"/>
    </xf>
    <xf numFmtId="14" fontId="23" fillId="0" borderId="48" xfId="0" applyNumberFormat="1" applyFont="1" applyBorder="1" applyAlignment="1" applyProtection="1">
      <alignment horizontal="center" vertical="center" wrapText="1"/>
      <protection locked="0"/>
    </xf>
    <xf numFmtId="14" fontId="23" fillId="0" borderId="51" xfId="0" applyNumberFormat="1" applyFont="1" applyBorder="1" applyAlignment="1" applyProtection="1">
      <alignment horizontal="center" vertical="center" wrapText="1"/>
      <protection locked="0"/>
    </xf>
    <xf numFmtId="14" fontId="23" fillId="0" borderId="50" xfId="0" applyNumberFormat="1" applyFont="1" applyBorder="1" applyAlignment="1" applyProtection="1">
      <alignment horizontal="center" vertical="center" wrapText="1"/>
      <protection locked="0"/>
    </xf>
    <xf numFmtId="14" fontId="23" fillId="0" borderId="48" xfId="0" applyNumberFormat="1" applyFont="1" applyBorder="1" applyAlignment="1" applyProtection="1">
      <alignment horizontal="center" vertical="center"/>
      <protection locked="0"/>
    </xf>
    <xf numFmtId="14" fontId="23" fillId="0" borderId="51" xfId="0" applyNumberFormat="1" applyFont="1" applyBorder="1" applyAlignment="1" applyProtection="1">
      <alignment horizontal="center" vertical="center"/>
      <protection locked="0"/>
    </xf>
    <xf numFmtId="14" fontId="23" fillId="0" borderId="50" xfId="0" applyNumberFormat="1" applyFont="1" applyBorder="1" applyAlignment="1" applyProtection="1">
      <alignment horizontal="center" vertical="center"/>
      <protection locked="0"/>
    </xf>
    <xf numFmtId="0" fontId="23" fillId="0" borderId="50"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protection locked="0"/>
    </xf>
    <xf numFmtId="0" fontId="23" fillId="0" borderId="107" xfId="0" applyFont="1" applyBorder="1" applyAlignment="1" applyProtection="1">
      <alignment horizontal="center" vertical="center"/>
      <protection locked="0"/>
    </xf>
    <xf numFmtId="0" fontId="23" fillId="0" borderId="102" xfId="0" applyFont="1" applyBorder="1" applyAlignment="1" applyProtection="1">
      <alignment horizontal="center" vertical="center"/>
      <protection locked="0"/>
    </xf>
    <xf numFmtId="0" fontId="23" fillId="0" borderId="48" xfId="0" applyFont="1" applyBorder="1" applyAlignment="1">
      <alignment horizontal="center" vertical="center"/>
    </xf>
    <xf numFmtId="0" fontId="23" fillId="0" borderId="51" xfId="0" applyFont="1" applyBorder="1" applyAlignment="1">
      <alignment horizontal="center" vertical="center"/>
    </xf>
    <xf numFmtId="0" fontId="82" fillId="0" borderId="48" xfId="0" applyFont="1" applyBorder="1" applyAlignment="1" applyProtection="1">
      <alignment horizontal="center" vertical="center" wrapText="1"/>
      <protection locked="0"/>
    </xf>
    <xf numFmtId="0" fontId="82" fillId="0" borderId="51" xfId="0" applyFont="1" applyBorder="1" applyAlignment="1" applyProtection="1">
      <alignment horizontal="center" vertical="center" wrapText="1"/>
      <protection locked="0"/>
    </xf>
    <xf numFmtId="0" fontId="83" fillId="0" borderId="39" xfId="0" applyFont="1" applyBorder="1" applyAlignment="1" applyProtection="1">
      <alignment horizontal="center" vertical="center" wrapText="1"/>
      <protection locked="0"/>
    </xf>
    <xf numFmtId="0" fontId="83" fillId="0" borderId="52" xfId="0" applyFont="1" applyBorder="1" applyAlignment="1" applyProtection="1">
      <alignment horizontal="center" vertical="center" wrapText="1"/>
      <protection locked="0"/>
    </xf>
    <xf numFmtId="0" fontId="47" fillId="0" borderId="47" xfId="0" applyFont="1" applyBorder="1" applyAlignment="1" applyProtection="1">
      <alignment horizontal="center" vertical="center" wrapText="1"/>
      <protection locked="0"/>
    </xf>
    <xf numFmtId="0" fontId="47" fillId="0" borderId="54" xfId="0" applyFont="1" applyBorder="1" applyAlignment="1" applyProtection="1">
      <alignment horizontal="center" vertical="center" wrapText="1"/>
      <protection locked="0"/>
    </xf>
    <xf numFmtId="0" fontId="47" fillId="0" borderId="55" xfId="0" applyFont="1" applyBorder="1" applyAlignment="1" applyProtection="1">
      <alignment horizontal="center" vertical="center" wrapText="1"/>
      <protection locked="0"/>
    </xf>
    <xf numFmtId="0" fontId="47" fillId="0" borderId="80"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53"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42" fillId="0" borderId="48" xfId="0" applyFont="1" applyBorder="1" applyAlignment="1" applyProtection="1">
      <alignment horizontal="center" vertical="center" wrapText="1"/>
      <protection hidden="1"/>
    </xf>
    <xf numFmtId="0" fontId="42" fillId="0" borderId="51" xfId="0" applyFont="1" applyBorder="1" applyAlignment="1" applyProtection="1">
      <alignment horizontal="center" vertical="center" wrapText="1"/>
      <protection hidden="1"/>
    </xf>
    <xf numFmtId="9" fontId="23" fillId="0" borderId="48" xfId="0" applyNumberFormat="1" applyFont="1" applyBorder="1" applyAlignment="1" applyProtection="1">
      <alignment horizontal="center" vertical="center" wrapText="1"/>
      <protection hidden="1"/>
    </xf>
    <xf numFmtId="9" fontId="23" fillId="0" borderId="51" xfId="0" applyNumberFormat="1" applyFont="1" applyBorder="1" applyAlignment="1" applyProtection="1">
      <alignment horizontal="center" vertical="center" wrapText="1"/>
      <protection hidden="1"/>
    </xf>
    <xf numFmtId="9" fontId="23" fillId="0" borderId="48" xfId="0" applyNumberFormat="1" applyFont="1" applyBorder="1" applyAlignment="1" applyProtection="1">
      <alignment horizontal="center" vertical="center" wrapText="1"/>
      <protection locked="0"/>
    </xf>
    <xf numFmtId="9" fontId="23" fillId="0" borderId="51" xfId="0" applyNumberFormat="1" applyFont="1" applyBorder="1" applyAlignment="1" applyProtection="1">
      <alignment horizontal="center" vertical="center" wrapText="1"/>
      <protection locked="0"/>
    </xf>
    <xf numFmtId="0" fontId="42" fillId="0" borderId="48" xfId="0" applyFont="1" applyBorder="1" applyAlignment="1" applyProtection="1">
      <alignment horizontal="center" vertical="center"/>
      <protection hidden="1"/>
    </xf>
    <xf numFmtId="0" fontId="42" fillId="0" borderId="51" xfId="0" applyFont="1" applyBorder="1" applyAlignment="1" applyProtection="1">
      <alignment horizontal="center" vertical="center"/>
      <protection hidden="1"/>
    </xf>
    <xf numFmtId="0" fontId="42" fillId="6" borderId="103" xfId="0" applyFont="1" applyFill="1" applyBorder="1" applyAlignment="1">
      <alignment horizontal="center" vertical="center" wrapText="1"/>
    </xf>
    <xf numFmtId="0" fontId="42" fillId="6" borderId="105" xfId="0" applyFont="1" applyFill="1" applyBorder="1" applyAlignment="1">
      <alignment horizontal="center" vertical="center" wrapText="1"/>
    </xf>
    <xf numFmtId="0" fontId="81" fillId="0" borderId="48" xfId="0" applyFont="1" applyBorder="1" applyAlignment="1" applyProtection="1">
      <alignment horizontal="center" vertical="center" wrapText="1"/>
      <protection locked="0"/>
    </xf>
    <xf numFmtId="0" fontId="81" fillId="0" borderId="51" xfId="0" applyFont="1" applyBorder="1" applyAlignment="1" applyProtection="1">
      <alignment horizontal="center" vertical="center" wrapText="1"/>
      <protection locked="0"/>
    </xf>
    <xf numFmtId="0" fontId="23" fillId="0" borderId="50" xfId="0" applyFont="1" applyBorder="1" applyAlignment="1" applyProtection="1">
      <alignment horizontal="center" vertical="center" textRotation="90"/>
      <protection locked="0"/>
    </xf>
    <xf numFmtId="0" fontId="42" fillId="6" borderId="50" xfId="0" applyFont="1" applyFill="1" applyBorder="1" applyAlignment="1">
      <alignment horizontal="center" vertical="center" wrapText="1"/>
    </xf>
    <xf numFmtId="0" fontId="42" fillId="6" borderId="49" xfId="0" applyFont="1" applyFill="1" applyBorder="1" applyAlignment="1">
      <alignment horizontal="center" vertical="center" wrapText="1"/>
    </xf>
    <xf numFmtId="0" fontId="42" fillId="6" borderId="102" xfId="0" applyFont="1" applyFill="1" applyBorder="1" applyAlignment="1">
      <alignment horizontal="center" vertical="center" wrapText="1"/>
    </xf>
    <xf numFmtId="0" fontId="42" fillId="6" borderId="104"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42" fillId="6" borderId="49" xfId="0" applyFont="1" applyFill="1" applyBorder="1" applyAlignment="1">
      <alignment horizontal="center" vertical="center" textRotation="90" wrapText="1"/>
    </xf>
    <xf numFmtId="0" fontId="42" fillId="6" borderId="48" xfId="0" applyFont="1" applyFill="1" applyBorder="1" applyAlignment="1">
      <alignment horizontal="center" vertical="center" textRotation="90" wrapText="1"/>
    </xf>
    <xf numFmtId="0" fontId="42" fillId="6" borderId="50" xfId="0" applyFont="1" applyFill="1" applyBorder="1" applyAlignment="1">
      <alignment horizontal="center" vertical="center" textRotation="90" wrapText="1"/>
    </xf>
    <xf numFmtId="0" fontId="42" fillId="6" borderId="51" xfId="0" applyFont="1" applyFill="1" applyBorder="1" applyAlignment="1">
      <alignment horizontal="center" vertical="center" wrapText="1"/>
    </xf>
    <xf numFmtId="0" fontId="42" fillId="6" borderId="52" xfId="0" applyFont="1" applyFill="1" applyBorder="1" applyAlignment="1">
      <alignment horizontal="center" vertical="center"/>
    </xf>
    <xf numFmtId="0" fontId="42" fillId="6" borderId="42" xfId="0" applyFont="1" applyFill="1" applyBorder="1" applyAlignment="1">
      <alignment horizontal="center" vertical="center"/>
    </xf>
    <xf numFmtId="0" fontId="42" fillId="6" borderId="52" xfId="0" applyFont="1" applyFill="1" applyBorder="1" applyAlignment="1">
      <alignment horizontal="center" vertical="center" wrapText="1"/>
    </xf>
    <xf numFmtId="0" fontId="42" fillId="6" borderId="48" xfId="0" applyFont="1" applyFill="1" applyBorder="1" applyAlignment="1">
      <alignment horizontal="center" vertical="center" textRotation="90"/>
    </xf>
    <xf numFmtId="0" fontId="42" fillId="6" borderId="50" xfId="0" applyFont="1" applyFill="1" applyBorder="1" applyAlignment="1">
      <alignment horizontal="center" vertical="center" textRotation="90"/>
    </xf>
    <xf numFmtId="0" fontId="42" fillId="6" borderId="49" xfId="0" applyFont="1" applyFill="1" applyBorder="1" applyAlignment="1">
      <alignment horizontal="center" vertical="center"/>
    </xf>
    <xf numFmtId="0" fontId="42" fillId="6" borderId="50" xfId="0" applyFont="1" applyFill="1" applyBorder="1" applyAlignment="1">
      <alignment horizontal="center" vertical="center"/>
    </xf>
    <xf numFmtId="0" fontId="42" fillId="6" borderId="48" xfId="0" applyFont="1" applyFill="1" applyBorder="1" applyAlignment="1">
      <alignment horizontal="center" vertical="center"/>
    </xf>
    <xf numFmtId="0" fontId="42" fillId="6" borderId="81" xfId="0" applyFont="1" applyFill="1" applyBorder="1" applyAlignment="1">
      <alignment horizontal="center" vertical="center"/>
    </xf>
    <xf numFmtId="0" fontId="42" fillId="6" borderId="45" xfId="0" applyFont="1" applyFill="1" applyBorder="1" applyAlignment="1">
      <alignment horizontal="left" vertical="center"/>
    </xf>
    <xf numFmtId="0" fontId="42" fillId="6" borderId="46" xfId="0" applyFont="1" applyFill="1" applyBorder="1" applyAlignment="1">
      <alignment horizontal="left" vertical="center"/>
    </xf>
    <xf numFmtId="0" fontId="23" fillId="7" borderId="47" xfId="0" applyFont="1" applyFill="1" applyBorder="1" applyAlignment="1" applyProtection="1">
      <alignment horizontal="left" vertical="center"/>
      <protection locked="0"/>
    </xf>
    <xf numFmtId="0" fontId="23" fillId="7" borderId="47" xfId="0" applyFont="1" applyFill="1" applyBorder="1" applyAlignment="1" applyProtection="1">
      <alignment horizontal="left" vertical="center" wrapText="1"/>
      <protection locked="0"/>
    </xf>
    <xf numFmtId="0" fontId="23" fillId="7" borderId="54" xfId="0" applyFont="1" applyFill="1" applyBorder="1" applyAlignment="1" applyProtection="1">
      <alignment horizontal="left" vertical="center" wrapText="1"/>
      <protection locked="0"/>
    </xf>
    <xf numFmtId="0" fontId="42" fillId="6" borderId="45" xfId="0" applyFont="1" applyFill="1" applyBorder="1" applyAlignment="1">
      <alignment horizontal="center" vertical="center"/>
    </xf>
    <xf numFmtId="0" fontId="42" fillId="6" borderId="46" xfId="0" applyFont="1" applyFill="1" applyBorder="1" applyAlignment="1">
      <alignment horizontal="center" vertical="center"/>
    </xf>
    <xf numFmtId="0" fontId="42" fillId="6" borderId="43" xfId="0" applyFont="1" applyFill="1" applyBorder="1" applyAlignment="1">
      <alignment horizontal="center" vertical="center"/>
    </xf>
    <xf numFmtId="0" fontId="42" fillId="6" borderId="44" xfId="0" applyFont="1" applyFill="1" applyBorder="1" applyAlignment="1">
      <alignment horizontal="center" vertical="center"/>
    </xf>
    <xf numFmtId="0" fontId="42" fillId="6" borderId="38" xfId="0" applyFont="1" applyFill="1" applyBorder="1" applyAlignment="1">
      <alignment horizontal="center" vertical="center"/>
    </xf>
    <xf numFmtId="164" fontId="26" fillId="0" borderId="48" xfId="16" applyNumberFormat="1" applyFont="1" applyBorder="1" applyAlignment="1">
      <alignment horizontal="center" vertical="center"/>
    </xf>
    <xf numFmtId="164" fontId="26" fillId="0" borderId="50" xfId="16" applyNumberFormat="1" applyFont="1" applyBorder="1" applyAlignment="1">
      <alignment horizontal="center" vertical="center"/>
    </xf>
    <xf numFmtId="0" fontId="36" fillId="0" borderId="48" xfId="0" applyFont="1" applyBorder="1" applyAlignment="1" applyProtection="1">
      <alignment horizontal="center" vertical="center" textRotation="90" wrapText="1"/>
      <protection hidden="1"/>
    </xf>
    <xf numFmtId="0" fontId="36" fillId="0" borderId="50" xfId="0" applyFont="1" applyBorder="1" applyAlignment="1" applyProtection="1">
      <alignment horizontal="center" vertical="center" textRotation="90" wrapText="1"/>
      <protection hidden="1"/>
    </xf>
    <xf numFmtId="9" fontId="25" fillId="0" borderId="48" xfId="0" applyNumberFormat="1" applyFont="1" applyBorder="1" applyAlignment="1" applyProtection="1">
      <alignment horizontal="center" vertical="center"/>
      <protection hidden="1"/>
    </xf>
    <xf numFmtId="9" fontId="25" fillId="0" borderId="50" xfId="0" applyNumberFormat="1" applyFont="1" applyBorder="1" applyAlignment="1" applyProtection="1">
      <alignment horizontal="center" vertical="center"/>
      <protection hidden="1"/>
    </xf>
    <xf numFmtId="0" fontId="36" fillId="0" borderId="48" xfId="0" applyFont="1" applyBorder="1" applyAlignment="1" applyProtection="1">
      <alignment horizontal="center" vertical="center" textRotation="90"/>
      <protection hidden="1"/>
    </xf>
    <xf numFmtId="0" fontId="36" fillId="0" borderId="50" xfId="0" applyFont="1" applyBorder="1" applyAlignment="1" applyProtection="1">
      <alignment horizontal="center" vertical="center" textRotation="90"/>
      <protection hidden="1"/>
    </xf>
    <xf numFmtId="0" fontId="25" fillId="0" borderId="48" xfId="0" applyFont="1" applyBorder="1" applyAlignment="1" applyProtection="1">
      <alignment horizontal="center" vertical="center" textRotation="90"/>
      <protection locked="0"/>
    </xf>
    <xf numFmtId="0" fontId="25" fillId="0" borderId="50" xfId="0" applyFont="1" applyBorder="1" applyAlignment="1" applyProtection="1">
      <alignment horizontal="center" vertical="center" textRotation="90"/>
      <protection locked="0"/>
    </xf>
    <xf numFmtId="0" fontId="26" fillId="0" borderId="48" xfId="0" applyFont="1" applyBorder="1" applyAlignment="1" applyProtection="1">
      <alignment horizontal="left" vertical="top" wrapText="1"/>
      <protection locked="0"/>
    </xf>
    <xf numFmtId="0" fontId="26" fillId="0" borderId="51" xfId="0" applyFont="1" applyBorder="1" applyAlignment="1" applyProtection="1">
      <alignment horizontal="left" vertical="top" wrapText="1"/>
      <protection locked="0"/>
    </xf>
    <xf numFmtId="0" fontId="27" fillId="6" borderId="39" xfId="0" applyFont="1" applyFill="1" applyBorder="1" applyAlignment="1">
      <alignment horizontal="left" vertical="center"/>
    </xf>
    <xf numFmtId="0" fontId="27" fillId="6" borderId="40" xfId="0" applyFont="1" applyFill="1" applyBorder="1" applyAlignment="1">
      <alignment horizontal="left" vertical="center"/>
    </xf>
    <xf numFmtId="0" fontId="27" fillId="6" borderId="41" xfId="0" applyFont="1" applyFill="1" applyBorder="1" applyAlignment="1">
      <alignment horizontal="left" vertical="center"/>
    </xf>
    <xf numFmtId="0" fontId="27" fillId="6" borderId="42" xfId="0" applyFont="1" applyFill="1" applyBorder="1" applyAlignment="1">
      <alignment horizontal="left" vertical="center"/>
    </xf>
    <xf numFmtId="0" fontId="27" fillId="6" borderId="43" xfId="0" applyFont="1" applyFill="1" applyBorder="1" applyAlignment="1">
      <alignment horizontal="left" vertical="center"/>
    </xf>
    <xf numFmtId="0" fontId="27" fillId="6" borderId="44" xfId="0" applyFont="1" applyFill="1" applyBorder="1" applyAlignment="1">
      <alignment horizontal="left" vertical="center"/>
    </xf>
    <xf numFmtId="0" fontId="26" fillId="0" borderId="48" xfId="0" applyFont="1" applyBorder="1" applyAlignment="1">
      <alignment horizontal="center" vertical="center"/>
    </xf>
    <xf numFmtId="0" fontId="26" fillId="0" borderId="50" xfId="0" applyFont="1" applyBorder="1" applyAlignment="1">
      <alignment horizontal="center" vertical="center"/>
    </xf>
    <xf numFmtId="0" fontId="29" fillId="0" borderId="48" xfId="0" applyFont="1" applyBorder="1" applyAlignment="1" applyProtection="1">
      <alignment horizontal="center" vertical="center" wrapText="1"/>
      <protection locked="0"/>
    </xf>
    <xf numFmtId="0" fontId="29" fillId="0" borderId="50" xfId="0" applyFont="1" applyBorder="1" applyAlignment="1" applyProtection="1">
      <alignment horizontal="center" vertical="center" wrapText="1"/>
      <protection locked="0"/>
    </xf>
    <xf numFmtId="0" fontId="26" fillId="0" borderId="48" xfId="0" applyFont="1" applyBorder="1" applyAlignment="1" applyProtection="1">
      <alignment horizontal="center" vertical="center"/>
      <protection hidden="1"/>
    </xf>
    <xf numFmtId="0" fontId="26" fillId="0" borderId="50" xfId="0" applyFont="1" applyBorder="1" applyAlignment="1" applyProtection="1">
      <alignment horizontal="center" vertical="center"/>
      <protection hidden="1"/>
    </xf>
    <xf numFmtId="0" fontId="27" fillId="0" borderId="48" xfId="0" applyFont="1" applyBorder="1" applyAlignment="1" applyProtection="1">
      <alignment horizontal="center" vertical="top" wrapText="1"/>
      <protection hidden="1"/>
    </xf>
    <xf numFmtId="0" fontId="27" fillId="0" borderId="51" xfId="0" applyFont="1" applyBorder="1" applyAlignment="1" applyProtection="1">
      <alignment horizontal="center" vertical="top" wrapText="1"/>
      <protection hidden="1"/>
    </xf>
    <xf numFmtId="9" fontId="26" fillId="0" borderId="48" xfId="0" applyNumberFormat="1" applyFont="1" applyBorder="1" applyAlignment="1" applyProtection="1">
      <alignment horizontal="center" vertical="top" wrapText="1"/>
      <protection hidden="1"/>
    </xf>
    <xf numFmtId="9" fontId="26" fillId="0" borderId="51" xfId="0" applyNumberFormat="1" applyFont="1" applyBorder="1" applyAlignment="1" applyProtection="1">
      <alignment horizontal="center" vertical="top" wrapText="1"/>
      <protection hidden="1"/>
    </xf>
    <xf numFmtId="9" fontId="26" fillId="0" borderId="48" xfId="0" applyNumberFormat="1" applyFont="1" applyBorder="1" applyAlignment="1" applyProtection="1">
      <alignment horizontal="center" vertical="top" wrapText="1"/>
      <protection locked="0"/>
    </xf>
    <xf numFmtId="9" fontId="26" fillId="0" borderId="51" xfId="0" applyNumberFormat="1" applyFont="1" applyBorder="1" applyAlignment="1" applyProtection="1">
      <alignment horizontal="center" vertical="top" wrapText="1"/>
      <protection locked="0"/>
    </xf>
    <xf numFmtId="0" fontId="27" fillId="0" borderId="48" xfId="0" applyFont="1" applyBorder="1" applyAlignment="1" applyProtection="1">
      <alignment horizontal="center" vertical="top"/>
      <protection hidden="1"/>
    </xf>
    <xf numFmtId="0" fontId="27" fillId="0" borderId="51" xfId="0" applyFont="1" applyBorder="1" applyAlignment="1" applyProtection="1">
      <alignment horizontal="center" vertical="top"/>
      <protection hidden="1"/>
    </xf>
    <xf numFmtId="0" fontId="26" fillId="0" borderId="51" xfId="0" applyFont="1" applyBorder="1" applyAlignment="1">
      <alignment horizontal="center" vertical="center"/>
    </xf>
    <xf numFmtId="0" fontId="27" fillId="0" borderId="48" xfId="0" applyFont="1" applyBorder="1" applyAlignment="1" applyProtection="1">
      <alignment horizontal="center" vertical="top" wrapText="1"/>
      <protection locked="0"/>
    </xf>
    <xf numFmtId="0" fontId="27" fillId="0" borderId="51" xfId="0" applyFont="1" applyBorder="1" applyAlignment="1" applyProtection="1">
      <alignment horizontal="center" vertical="top" wrapText="1"/>
      <protection locked="0"/>
    </xf>
    <xf numFmtId="0" fontId="80" fillId="0" borderId="48" xfId="0" applyFont="1" applyBorder="1" applyAlignment="1" applyProtection="1">
      <alignment horizontal="center" vertical="top" wrapText="1"/>
      <protection locked="0"/>
    </xf>
    <xf numFmtId="0" fontId="80" fillId="0" borderId="51" xfId="0" applyFont="1" applyBorder="1" applyAlignment="1" applyProtection="1">
      <alignment horizontal="center" vertical="top" wrapText="1"/>
      <protection locked="0"/>
    </xf>
    <xf numFmtId="0" fontId="31" fillId="0" borderId="39" xfId="0" applyFont="1" applyBorder="1" applyAlignment="1" applyProtection="1">
      <alignment horizontal="center" vertical="top" wrapText="1"/>
      <protection locked="0"/>
    </xf>
    <xf numFmtId="0" fontId="31" fillId="0" borderId="52" xfId="0" applyFont="1" applyBorder="1" applyAlignment="1" applyProtection="1">
      <alignment horizontal="center" vertical="top" wrapText="1"/>
      <protection locked="0"/>
    </xf>
    <xf numFmtId="0" fontId="29" fillId="0" borderId="47" xfId="0" applyFont="1" applyBorder="1" applyAlignment="1" applyProtection="1">
      <alignment horizontal="center" vertical="center" wrapText="1"/>
      <protection locked="0"/>
    </xf>
    <xf numFmtId="0" fontId="30" fillId="0" borderId="54"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26" fillId="0" borderId="100"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41" xfId="0" applyFont="1" applyBorder="1" applyAlignment="1" applyProtection="1">
      <alignment horizontal="center" vertical="center" wrapText="1"/>
      <protection locked="0"/>
    </xf>
    <xf numFmtId="0" fontId="26" fillId="0" borderId="53" xfId="0" applyFont="1" applyBorder="1" applyAlignment="1" applyProtection="1">
      <alignment horizontal="center" vertical="center" wrapText="1"/>
      <protection locked="0"/>
    </xf>
    <xf numFmtId="0" fontId="26" fillId="0" borderId="48" xfId="0" applyFont="1" applyBorder="1" applyAlignment="1" applyProtection="1">
      <alignment horizontal="center" vertical="top"/>
      <protection locked="0"/>
    </xf>
    <xf numFmtId="0" fontId="26" fillId="0" borderId="51" xfId="0" applyFont="1" applyBorder="1" applyAlignment="1" applyProtection="1">
      <alignment horizontal="center" vertical="top"/>
      <protection locked="0"/>
    </xf>
    <xf numFmtId="0" fontId="27" fillId="0" borderId="48" xfId="0" applyFont="1" applyBorder="1" applyAlignment="1" applyProtection="1">
      <alignment horizontal="center" vertical="center" wrapText="1"/>
      <protection hidden="1"/>
    </xf>
    <xf numFmtId="0" fontId="27" fillId="0" borderId="51" xfId="0" applyFont="1" applyBorder="1" applyAlignment="1" applyProtection="1">
      <alignment horizontal="center" vertical="center" wrapText="1"/>
      <protection hidden="1"/>
    </xf>
    <xf numFmtId="9" fontId="26" fillId="0" borderId="48" xfId="0" applyNumberFormat="1" applyFont="1" applyBorder="1" applyAlignment="1" applyProtection="1">
      <alignment horizontal="center" vertical="center" wrapText="1"/>
      <protection hidden="1"/>
    </xf>
    <xf numFmtId="9" fontId="26" fillId="0" borderId="51" xfId="0" applyNumberFormat="1" applyFont="1" applyBorder="1" applyAlignment="1" applyProtection="1">
      <alignment horizontal="center" vertical="center" wrapText="1"/>
      <protection hidden="1"/>
    </xf>
    <xf numFmtId="9" fontId="26" fillId="0" borderId="48" xfId="0" applyNumberFormat="1" applyFont="1" applyBorder="1" applyAlignment="1" applyProtection="1">
      <alignment horizontal="center" vertical="center" wrapText="1"/>
      <protection locked="0"/>
    </xf>
    <xf numFmtId="9" fontId="26" fillId="0" borderId="51" xfId="0" applyNumberFormat="1" applyFont="1" applyBorder="1" applyAlignment="1" applyProtection="1">
      <alignment horizontal="center" vertical="center" wrapText="1"/>
      <protection locked="0"/>
    </xf>
    <xf numFmtId="0" fontId="27" fillId="0" borderId="48" xfId="0" applyFont="1" applyBorder="1" applyAlignment="1" applyProtection="1">
      <alignment horizontal="center" vertical="center"/>
      <protection hidden="1"/>
    </xf>
    <xf numFmtId="0" fontId="27" fillId="0" borderId="51" xfId="0" applyFont="1" applyBorder="1" applyAlignment="1" applyProtection="1">
      <alignment horizontal="center" vertical="center"/>
      <protection hidden="1"/>
    </xf>
    <xf numFmtId="0" fontId="27" fillId="0" borderId="48"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1" fillId="0" borderId="52"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29" fillId="0" borderId="55" xfId="0" applyFont="1" applyBorder="1" applyAlignment="1" applyProtection="1">
      <alignment horizontal="center" vertical="center" wrapText="1"/>
      <protection locked="0"/>
    </xf>
    <xf numFmtId="0" fontId="29" fillId="0" borderId="80" xfId="0" applyFont="1" applyBorder="1" applyAlignment="1" applyProtection="1">
      <alignment horizontal="center" vertical="center" wrapText="1"/>
      <protection locked="0"/>
    </xf>
    <xf numFmtId="0" fontId="27" fillId="6" borderId="49" xfId="0" applyFont="1" applyFill="1" applyBorder="1" applyAlignment="1">
      <alignment horizontal="center" vertical="center" wrapText="1"/>
    </xf>
    <xf numFmtId="0" fontId="36" fillId="0" borderId="48"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77" fillId="0" borderId="48" xfId="0" applyFont="1" applyBorder="1" applyAlignment="1" applyProtection="1">
      <alignment horizontal="center" vertical="center" wrapText="1"/>
      <protection locked="0"/>
    </xf>
    <xf numFmtId="0" fontId="77" fillId="0" borderId="51" xfId="0" applyFont="1" applyBorder="1" applyAlignment="1" applyProtection="1">
      <alignment horizontal="center" vertical="center" wrapText="1"/>
      <protection locked="0"/>
    </xf>
    <xf numFmtId="0" fontId="78" fillId="0" borderId="39" xfId="0" applyFont="1" applyBorder="1" applyAlignment="1" applyProtection="1">
      <alignment horizontal="center" vertical="center" wrapText="1"/>
      <protection locked="0"/>
    </xf>
    <xf numFmtId="0" fontId="78" fillId="0" borderId="52" xfId="0" applyFont="1" applyBorder="1" applyAlignment="1" applyProtection="1">
      <alignment horizontal="center" vertical="center" wrapText="1"/>
      <protection locked="0"/>
    </xf>
    <xf numFmtId="0" fontId="30" fillId="0" borderId="47" xfId="0" applyFont="1" applyBorder="1" applyAlignment="1" applyProtection="1">
      <alignment horizontal="center" vertical="center" wrapText="1"/>
      <protection locked="0"/>
    </xf>
    <xf numFmtId="0" fontId="25" fillId="0" borderId="41" xfId="0" applyFont="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36" fillId="0" borderId="48" xfId="0" applyFont="1" applyBorder="1" applyAlignment="1" applyProtection="1">
      <alignment horizontal="center" vertical="center" wrapText="1"/>
      <protection hidden="1"/>
    </xf>
    <xf numFmtId="0" fontId="36" fillId="0" borderId="51" xfId="0" applyFont="1" applyBorder="1" applyAlignment="1" applyProtection="1">
      <alignment horizontal="center" vertical="center" wrapText="1"/>
      <protection hidden="1"/>
    </xf>
    <xf numFmtId="9" fontId="25" fillId="0" borderId="48" xfId="0" applyNumberFormat="1" applyFont="1" applyBorder="1" applyAlignment="1" applyProtection="1">
      <alignment horizontal="center" vertical="center" wrapText="1"/>
      <protection hidden="1"/>
    </xf>
    <xf numFmtId="9" fontId="25" fillId="0" borderId="51" xfId="0" applyNumberFormat="1" applyFont="1" applyBorder="1" applyAlignment="1" applyProtection="1">
      <alignment horizontal="center" vertical="center" wrapText="1"/>
      <protection hidden="1"/>
    </xf>
    <xf numFmtId="9" fontId="25" fillId="0" borderId="48" xfId="0" applyNumberFormat="1" applyFont="1" applyBorder="1" applyAlignment="1" applyProtection="1">
      <alignment horizontal="center" vertical="center" wrapText="1"/>
      <protection locked="0"/>
    </xf>
    <xf numFmtId="9" fontId="25" fillId="0" borderId="51" xfId="0" applyNumberFormat="1" applyFont="1" applyBorder="1" applyAlignment="1" applyProtection="1">
      <alignment horizontal="center" vertical="center" wrapText="1"/>
      <protection locked="0"/>
    </xf>
    <xf numFmtId="0" fontId="36" fillId="0" borderId="48" xfId="0" applyFont="1" applyBorder="1" applyAlignment="1" applyProtection="1">
      <alignment horizontal="center" vertical="center"/>
      <protection hidden="1"/>
    </xf>
    <xf numFmtId="0" fontId="36" fillId="0" borderId="51" xfId="0" applyFont="1" applyBorder="1" applyAlignment="1" applyProtection="1">
      <alignment horizontal="center" vertical="center"/>
      <protection hidden="1"/>
    </xf>
    <xf numFmtId="0" fontId="26" fillId="0" borderId="50" xfId="0" applyFont="1" applyBorder="1" applyAlignment="1" applyProtection="1">
      <alignment horizontal="left" vertical="top" wrapText="1"/>
      <protection locked="0"/>
    </xf>
    <xf numFmtId="0" fontId="27" fillId="6" borderId="49" xfId="0" applyFont="1" applyFill="1" applyBorder="1" applyAlignment="1">
      <alignment horizontal="center" vertical="center" textRotation="90" wrapText="1"/>
    </xf>
    <xf numFmtId="0" fontId="27" fillId="6" borderId="48" xfId="0" applyFont="1" applyFill="1" applyBorder="1" applyAlignment="1">
      <alignment horizontal="center" vertical="center" textRotation="90" wrapText="1"/>
    </xf>
    <xf numFmtId="0" fontId="27" fillId="6" borderId="50" xfId="0" applyFont="1" applyFill="1" applyBorder="1" applyAlignment="1">
      <alignment horizontal="center" vertical="center" textRotation="90" wrapText="1"/>
    </xf>
    <xf numFmtId="0" fontId="27" fillId="6" borderId="52" xfId="0" applyFont="1" applyFill="1" applyBorder="1" applyAlignment="1">
      <alignment horizontal="center" vertical="center"/>
    </xf>
    <xf numFmtId="0" fontId="27" fillId="6" borderId="42" xfId="0" applyFont="1" applyFill="1" applyBorder="1" applyAlignment="1">
      <alignment horizontal="center" vertical="center"/>
    </xf>
    <xf numFmtId="0" fontId="27" fillId="6" borderId="48" xfId="0" applyFont="1" applyFill="1" applyBorder="1" applyAlignment="1">
      <alignment horizontal="center" vertical="center" wrapText="1"/>
    </xf>
    <xf numFmtId="0" fontId="27" fillId="6" borderId="50" xfId="0" applyFont="1" applyFill="1" applyBorder="1" applyAlignment="1">
      <alignment horizontal="center" vertical="center" wrapText="1"/>
    </xf>
    <xf numFmtId="0" fontId="27" fillId="6" borderId="52" xfId="0" applyFont="1" applyFill="1" applyBorder="1" applyAlignment="1">
      <alignment horizontal="center" vertical="center" wrapText="1"/>
    </xf>
    <xf numFmtId="0" fontId="28" fillId="6" borderId="48" xfId="0" applyFont="1" applyFill="1" applyBorder="1" applyAlignment="1">
      <alignment horizontal="center" vertical="center" textRotation="90"/>
    </xf>
    <xf numFmtId="0" fontId="28" fillId="6" borderId="50" xfId="0" applyFont="1" applyFill="1" applyBorder="1" applyAlignment="1">
      <alignment horizontal="center" vertical="center" textRotation="90"/>
    </xf>
    <xf numFmtId="0" fontId="27" fillId="6" borderId="49" xfId="0" applyFont="1" applyFill="1" applyBorder="1" applyAlignment="1">
      <alignment horizontal="center" vertical="center"/>
    </xf>
    <xf numFmtId="0" fontId="27" fillId="6" borderId="51" xfId="0" applyFont="1" applyFill="1" applyBorder="1" applyAlignment="1">
      <alignment horizontal="center" vertical="center" wrapText="1"/>
    </xf>
    <xf numFmtId="0" fontId="27" fillId="6" borderId="50" xfId="0" applyFont="1" applyFill="1" applyBorder="1" applyAlignment="1">
      <alignment horizontal="center" vertical="center"/>
    </xf>
    <xf numFmtId="0" fontId="27" fillId="6" borderId="48" xfId="0" applyFont="1" applyFill="1" applyBorder="1" applyAlignment="1">
      <alignment horizontal="center" vertical="center"/>
    </xf>
    <xf numFmtId="0" fontId="24" fillId="6" borderId="45" xfId="0" applyFont="1" applyFill="1" applyBorder="1" applyAlignment="1">
      <alignment horizontal="left" vertical="center"/>
    </xf>
    <xf numFmtId="0" fontId="24" fillId="6" borderId="46" xfId="0" applyFont="1" applyFill="1" applyBorder="1" applyAlignment="1">
      <alignment horizontal="left" vertical="center"/>
    </xf>
    <xf numFmtId="0" fontId="25" fillId="7" borderId="47" xfId="0" applyFont="1" applyFill="1" applyBorder="1" applyAlignment="1" applyProtection="1">
      <alignment horizontal="left" vertical="center" wrapText="1"/>
      <protection locked="0"/>
    </xf>
    <xf numFmtId="0" fontId="27" fillId="6" borderId="45" xfId="0" applyFont="1" applyFill="1" applyBorder="1" applyAlignment="1">
      <alignment horizontal="center" vertical="center"/>
    </xf>
    <xf numFmtId="0" fontId="27" fillId="6" borderId="46" xfId="0" applyFont="1" applyFill="1" applyBorder="1" applyAlignment="1">
      <alignment horizontal="center" vertical="center"/>
    </xf>
    <xf numFmtId="0" fontId="27" fillId="6" borderId="43" xfId="0" applyFont="1" applyFill="1" applyBorder="1" applyAlignment="1">
      <alignment horizontal="center" vertical="center"/>
    </xf>
    <xf numFmtId="0" fontId="27" fillId="6" borderId="44" xfId="0" applyFont="1" applyFill="1" applyBorder="1" applyAlignment="1">
      <alignment horizontal="center" vertical="center"/>
    </xf>
    <xf numFmtId="0" fontId="33" fillId="6" borderId="39" xfId="0" applyFont="1" applyFill="1" applyBorder="1" applyAlignment="1">
      <alignment horizontal="left" vertical="center"/>
    </xf>
    <xf numFmtId="0" fontId="33" fillId="6" borderId="40" xfId="0" applyFont="1" applyFill="1" applyBorder="1" applyAlignment="1">
      <alignment horizontal="left" vertical="center"/>
    </xf>
    <xf numFmtId="0" fontId="33" fillId="6" borderId="41" xfId="0" applyFont="1" applyFill="1" applyBorder="1" applyAlignment="1">
      <alignment horizontal="left" vertical="center"/>
    </xf>
    <xf numFmtId="0" fontId="33" fillId="6" borderId="42" xfId="0" applyFont="1" applyFill="1" applyBorder="1" applyAlignment="1">
      <alignment horizontal="left" vertical="center"/>
    </xf>
    <xf numFmtId="0" fontId="33" fillId="6" borderId="43" xfId="0" applyFont="1" applyFill="1" applyBorder="1" applyAlignment="1">
      <alignment horizontal="left" vertical="center"/>
    </xf>
    <xf numFmtId="0" fontId="33" fillId="6" borderId="44" xfId="0" applyFont="1" applyFill="1" applyBorder="1" applyAlignment="1">
      <alignment horizontal="left" vertical="center"/>
    </xf>
    <xf numFmtId="0" fontId="25" fillId="7" borderId="47" xfId="0" applyFont="1" applyFill="1" applyBorder="1" applyAlignment="1" applyProtection="1">
      <alignment horizontal="left" vertical="center"/>
      <protection locked="0"/>
    </xf>
    <xf numFmtId="0" fontId="26" fillId="0" borderId="48" xfId="0" applyFont="1" applyBorder="1" applyAlignment="1" applyProtection="1">
      <alignment horizontal="center" vertical="top" wrapText="1"/>
      <protection locked="0"/>
    </xf>
    <xf numFmtId="0" fontId="26" fillId="0" borderId="51" xfId="0" applyFont="1" applyBorder="1" applyAlignment="1" applyProtection="1">
      <alignment horizontal="center" vertical="top" wrapText="1"/>
      <protection locked="0"/>
    </xf>
    <xf numFmtId="0" fontId="26" fillId="0" borderId="39" xfId="0" applyFont="1" applyBorder="1" applyAlignment="1" applyProtection="1">
      <alignment horizontal="center" vertical="top" wrapText="1"/>
      <protection locked="0"/>
    </xf>
    <xf numFmtId="0" fontId="26" fillId="0" borderId="52" xfId="0" applyFont="1" applyBorder="1" applyAlignment="1" applyProtection="1">
      <alignment horizontal="center" vertical="top" wrapText="1"/>
      <protection locked="0"/>
    </xf>
    <xf numFmtId="0" fontId="29" fillId="0" borderId="47" xfId="0" applyFont="1" applyBorder="1" applyAlignment="1" applyProtection="1">
      <alignment horizontal="center" vertical="top" wrapText="1"/>
      <protection locked="0"/>
    </xf>
    <xf numFmtId="0" fontId="29" fillId="0" borderId="54" xfId="0" applyFont="1" applyBorder="1" applyAlignment="1" applyProtection="1">
      <alignment horizontal="center" vertical="top" wrapText="1"/>
      <protection locked="0"/>
    </xf>
    <xf numFmtId="0" fontId="29" fillId="0" borderId="55" xfId="0" applyFont="1" applyBorder="1" applyAlignment="1" applyProtection="1">
      <alignment horizontal="center" vertical="top" wrapText="1"/>
      <protection locked="0"/>
    </xf>
    <xf numFmtId="0" fontId="26" fillId="0" borderId="41" xfId="0" applyFont="1" applyBorder="1" applyAlignment="1" applyProtection="1">
      <alignment horizontal="center" vertical="top" wrapText="1"/>
      <protection locked="0"/>
    </xf>
    <xf numFmtId="0" fontId="26" fillId="0" borderId="53" xfId="0" applyFont="1" applyBorder="1" applyAlignment="1" applyProtection="1">
      <alignment horizontal="center" vertical="top" wrapText="1"/>
      <protection locked="0"/>
    </xf>
    <xf numFmtId="0" fontId="25" fillId="0" borderId="48" xfId="0" applyFont="1" applyBorder="1" applyAlignment="1" applyProtection="1">
      <alignment horizontal="center" vertical="top" wrapText="1"/>
      <protection locked="0"/>
    </xf>
    <xf numFmtId="0" fontId="25" fillId="0" borderId="51" xfId="0" applyFont="1" applyBorder="1" applyAlignment="1" applyProtection="1">
      <alignment horizontal="center" vertical="top" wrapText="1"/>
      <protection locked="0"/>
    </xf>
    <xf numFmtId="0" fontId="25" fillId="0" borderId="39" xfId="0" applyFont="1" applyBorder="1" applyAlignment="1" applyProtection="1">
      <alignment horizontal="center" vertical="top" wrapText="1"/>
      <protection locked="0"/>
    </xf>
    <xf numFmtId="0" fontId="25" fillId="0" borderId="52" xfId="0" applyFont="1" applyBorder="1" applyAlignment="1" applyProtection="1">
      <alignment horizontal="center" vertical="top" wrapText="1"/>
      <protection locked="0"/>
    </xf>
    <xf numFmtId="0" fontId="30" fillId="0" borderId="47" xfId="0" applyFont="1" applyBorder="1" applyAlignment="1" applyProtection="1">
      <alignment horizontal="center" vertical="top" wrapText="1"/>
      <protection locked="0"/>
    </xf>
    <xf numFmtId="0" fontId="25" fillId="0" borderId="41" xfId="0" applyFont="1" applyBorder="1" applyAlignment="1" applyProtection="1">
      <alignment horizontal="center" vertical="top" wrapText="1"/>
      <protection locked="0"/>
    </xf>
    <xf numFmtId="0" fontId="25" fillId="0" borderId="53" xfId="0" applyFont="1" applyBorder="1" applyAlignment="1" applyProtection="1">
      <alignment horizontal="center" vertical="top" wrapText="1"/>
      <protection locked="0"/>
    </xf>
    <xf numFmtId="0" fontId="25" fillId="0" borderId="48" xfId="0" applyFont="1" applyBorder="1" applyAlignment="1" applyProtection="1">
      <alignment horizontal="center" vertical="top"/>
      <protection locked="0"/>
    </xf>
    <xf numFmtId="0" fontId="25" fillId="0" borderId="51" xfId="0" applyFont="1" applyBorder="1" applyAlignment="1" applyProtection="1">
      <alignment horizontal="center" vertical="top"/>
      <protection locked="0"/>
    </xf>
    <xf numFmtId="0" fontId="36" fillId="0" borderId="48" xfId="0" applyFont="1" applyBorder="1" applyAlignment="1" applyProtection="1">
      <alignment horizontal="center" vertical="top" wrapText="1"/>
      <protection hidden="1"/>
    </xf>
    <xf numFmtId="0" fontId="36" fillId="0" borderId="51" xfId="0" applyFont="1" applyBorder="1" applyAlignment="1" applyProtection="1">
      <alignment horizontal="center" vertical="top" wrapText="1"/>
      <protection hidden="1"/>
    </xf>
    <xf numFmtId="9" fontId="25" fillId="0" borderId="48" xfId="0" applyNumberFormat="1" applyFont="1" applyBorder="1" applyAlignment="1" applyProtection="1">
      <alignment horizontal="center" vertical="top" wrapText="1"/>
      <protection hidden="1"/>
    </xf>
    <xf numFmtId="9" fontId="25" fillId="0" borderId="51" xfId="0" applyNumberFormat="1" applyFont="1" applyBorder="1" applyAlignment="1" applyProtection="1">
      <alignment horizontal="center" vertical="top" wrapText="1"/>
      <protection hidden="1"/>
    </xf>
    <xf numFmtId="9" fontId="25" fillId="0" borderId="48" xfId="0" applyNumberFormat="1" applyFont="1" applyBorder="1" applyAlignment="1" applyProtection="1">
      <alignment horizontal="center" vertical="top" wrapText="1"/>
      <protection locked="0"/>
    </xf>
    <xf numFmtId="9" fontId="25" fillId="0" borderId="51" xfId="0" applyNumberFormat="1" applyFont="1" applyBorder="1" applyAlignment="1" applyProtection="1">
      <alignment horizontal="center" vertical="top" wrapText="1"/>
      <protection locked="0"/>
    </xf>
    <xf numFmtId="0" fontId="36" fillId="0" borderId="48" xfId="0" applyFont="1" applyBorder="1" applyAlignment="1" applyProtection="1">
      <alignment horizontal="center" vertical="top"/>
      <protection hidden="1"/>
    </xf>
    <xf numFmtId="0" fontId="36" fillId="0" borderId="51" xfId="0" applyFont="1" applyBorder="1" applyAlignment="1" applyProtection="1">
      <alignment horizontal="center" vertical="top"/>
      <protection hidden="1"/>
    </xf>
    <xf numFmtId="0" fontId="25" fillId="0" borderId="48" xfId="0" applyFont="1" applyBorder="1" applyAlignment="1" applyProtection="1">
      <alignment horizontal="center" vertical="top" textRotation="90"/>
      <protection locked="0"/>
    </xf>
    <xf numFmtId="0" fontId="25" fillId="0" borderId="51" xfId="0" applyFont="1" applyBorder="1" applyAlignment="1" applyProtection="1">
      <alignment horizontal="center" vertical="top" textRotation="90"/>
      <protection locked="0"/>
    </xf>
    <xf numFmtId="0" fontId="25" fillId="0" borderId="50" xfId="0" applyFont="1" applyBorder="1" applyAlignment="1" applyProtection="1">
      <alignment horizontal="center" vertical="top" wrapText="1"/>
      <protection locked="0"/>
    </xf>
    <xf numFmtId="0" fontId="25" fillId="0" borderId="50" xfId="0" applyFont="1" applyBorder="1" applyAlignment="1" applyProtection="1">
      <alignment horizontal="center" vertical="top"/>
      <protection locked="0"/>
    </xf>
    <xf numFmtId="14" fontId="25" fillId="0" borderId="48" xfId="0" applyNumberFormat="1" applyFont="1" applyBorder="1" applyAlignment="1" applyProtection="1">
      <alignment horizontal="center" vertical="top"/>
      <protection locked="0"/>
    </xf>
    <xf numFmtId="14" fontId="25" fillId="0" borderId="50" xfId="0" applyNumberFormat="1" applyFont="1" applyBorder="1" applyAlignment="1" applyProtection="1">
      <alignment horizontal="center" vertical="top"/>
      <protection locked="0"/>
    </xf>
    <xf numFmtId="14" fontId="25" fillId="0" borderId="97" xfId="0" applyNumberFormat="1" applyFont="1" applyBorder="1" applyAlignment="1" applyProtection="1">
      <alignment vertical="top"/>
      <protection locked="0"/>
    </xf>
    <xf numFmtId="14" fontId="25" fillId="0" borderId="99" xfId="0" applyNumberFormat="1" applyFont="1" applyBorder="1" applyAlignment="1" applyProtection="1">
      <alignment vertical="top"/>
      <protection locked="0"/>
    </xf>
    <xf numFmtId="0" fontId="30" fillId="0" borderId="47" xfId="0" applyFont="1" applyBorder="1" applyAlignment="1" applyProtection="1">
      <alignment vertical="center" wrapText="1"/>
      <protection locked="0"/>
    </xf>
    <xf numFmtId="0" fontId="30" fillId="0" borderId="54" xfId="0" applyFont="1" applyBorder="1" applyAlignment="1" applyProtection="1">
      <alignment horizontal="center" vertical="top" wrapText="1"/>
      <protection locked="0"/>
    </xf>
    <xf numFmtId="0" fontId="30" fillId="0" borderId="55" xfId="0" applyFont="1" applyBorder="1" applyAlignment="1" applyProtection="1">
      <alignment horizontal="center" vertical="top" wrapText="1"/>
      <protection locked="0"/>
    </xf>
    <xf numFmtId="0" fontId="29" fillId="0" borderId="89" xfId="0" applyFont="1" applyBorder="1" applyAlignment="1" applyProtection="1">
      <alignment horizontal="center" vertical="center" wrapText="1"/>
      <protection locked="0"/>
    </xf>
    <xf numFmtId="0" fontId="66" fillId="0" borderId="89" xfId="0" applyFont="1" applyBorder="1" applyAlignment="1" applyProtection="1">
      <alignment horizontal="center" vertical="center" wrapText="1"/>
      <protection locked="0"/>
    </xf>
    <xf numFmtId="0" fontId="66" fillId="0" borderId="89" xfId="0" applyFont="1" applyBorder="1" applyAlignment="1" applyProtection="1">
      <alignment horizontal="center" vertical="center"/>
      <protection locked="0"/>
    </xf>
    <xf numFmtId="14" fontId="66" fillId="0" borderId="92" xfId="0" applyNumberFormat="1" applyFont="1" applyBorder="1" applyAlignment="1" applyProtection="1">
      <alignment horizontal="center" vertical="center" wrapText="1"/>
      <protection locked="0"/>
    </xf>
    <xf numFmtId="14" fontId="66" fillId="0" borderId="91" xfId="0" applyNumberFormat="1" applyFont="1" applyBorder="1" applyAlignment="1" applyProtection="1">
      <alignment horizontal="center" vertical="center" wrapText="1"/>
      <protection locked="0"/>
    </xf>
    <xf numFmtId="14" fontId="66" fillId="0" borderId="89" xfId="0" applyNumberFormat="1" applyFont="1" applyBorder="1" applyAlignment="1" applyProtection="1">
      <alignment horizontal="center" vertical="center" wrapText="1"/>
      <protection locked="0"/>
    </xf>
    <xf numFmtId="0" fontId="66" fillId="0" borderId="91" xfId="0" applyFont="1" applyBorder="1" applyAlignment="1" applyProtection="1">
      <alignment horizontal="center" vertical="center" wrapText="1"/>
      <protection locked="0"/>
    </xf>
    <xf numFmtId="0" fontId="69" fillId="0" borderId="89" xfId="0" applyFont="1" applyBorder="1" applyAlignment="1" applyProtection="1">
      <alignment horizontal="center" vertical="center" wrapText="1"/>
      <protection hidden="1"/>
    </xf>
    <xf numFmtId="9" fontId="66" fillId="0" borderId="89" xfId="0" applyNumberFormat="1" applyFont="1" applyBorder="1" applyAlignment="1" applyProtection="1">
      <alignment horizontal="center" vertical="center" wrapText="1"/>
      <protection hidden="1"/>
    </xf>
    <xf numFmtId="9" fontId="66" fillId="0" borderId="89" xfId="0" applyNumberFormat="1" applyFont="1" applyBorder="1" applyAlignment="1" applyProtection="1">
      <alignment horizontal="center" vertical="center" wrapText="1"/>
      <protection locked="0"/>
    </xf>
    <xf numFmtId="9" fontId="66" fillId="0" borderId="89" xfId="0" applyNumberFormat="1" applyFont="1" applyBorder="1" applyAlignment="1" applyProtection="1">
      <alignment horizontal="center" vertical="top" wrapText="1"/>
      <protection hidden="1"/>
    </xf>
    <xf numFmtId="0" fontId="69" fillId="0" borderId="89" xfId="0" applyFont="1" applyBorder="1" applyAlignment="1" applyProtection="1">
      <alignment horizontal="center" vertical="center"/>
      <protection hidden="1"/>
    </xf>
    <xf numFmtId="0" fontId="66" fillId="0" borderId="92" xfId="0" applyFont="1" applyBorder="1" applyAlignment="1">
      <alignment horizontal="center" vertical="top"/>
    </xf>
    <xf numFmtId="0" fontId="66" fillId="0" borderId="91" xfId="0" applyFont="1" applyBorder="1" applyAlignment="1">
      <alignment horizontal="center" vertical="top"/>
    </xf>
    <xf numFmtId="165" fontId="68" fillId="0" borderId="89" xfId="9" applyFont="1" applyBorder="1" applyAlignment="1" applyProtection="1">
      <alignment horizontal="center" vertical="top" textRotation="90" wrapText="1"/>
      <protection locked="0"/>
    </xf>
    <xf numFmtId="0" fontId="66" fillId="0" borderId="89" xfId="0" applyFont="1" applyBorder="1" applyAlignment="1">
      <alignment horizontal="center" vertical="center"/>
    </xf>
    <xf numFmtId="0" fontId="29" fillId="0" borderId="90" xfId="0" applyFont="1" applyBorder="1" applyAlignment="1" applyProtection="1">
      <alignment horizontal="center" vertical="center" wrapText="1"/>
      <protection locked="0"/>
    </xf>
    <xf numFmtId="0" fontId="75" fillId="0" borderId="90" xfId="0" applyFont="1" applyBorder="1" applyAlignment="1" applyProtection="1">
      <alignment horizontal="center" vertical="center" wrapText="1"/>
      <protection locked="0"/>
    </xf>
    <xf numFmtId="0" fontId="25" fillId="0" borderId="92" xfId="0" applyFont="1" applyBorder="1" applyAlignment="1">
      <alignment horizontal="center" vertical="center" wrapText="1"/>
    </xf>
    <xf numFmtId="0" fontId="25" fillId="0" borderId="93" xfId="0" applyFont="1" applyBorder="1" applyAlignment="1">
      <alignment horizontal="center" vertical="center" wrapText="1"/>
    </xf>
    <xf numFmtId="0" fontId="74" fillId="0" borderId="89" xfId="0" applyFont="1" applyBorder="1" applyAlignment="1" applyProtection="1">
      <alignment horizontal="center" vertical="center" wrapText="1"/>
      <protection locked="0"/>
    </xf>
    <xf numFmtId="0" fontId="66" fillId="0" borderId="96" xfId="0" applyFont="1" applyBorder="1" applyAlignment="1" applyProtection="1">
      <alignment horizontal="center" vertical="center" wrapText="1"/>
      <protection locked="0"/>
    </xf>
    <xf numFmtId="0" fontId="75" fillId="0" borderId="89" xfId="0" applyFont="1" applyBorder="1" applyAlignment="1" applyProtection="1">
      <alignment horizontal="center" vertical="center"/>
      <protection locked="0"/>
    </xf>
    <xf numFmtId="14" fontId="68" fillId="0" borderId="92" xfId="0" applyNumberFormat="1" applyFont="1" applyBorder="1" applyAlignment="1" applyProtection="1">
      <alignment horizontal="center" vertical="center" wrapText="1"/>
      <protection locked="0"/>
    </xf>
    <xf numFmtId="14" fontId="68" fillId="0" borderId="91" xfId="0" applyNumberFormat="1" applyFont="1" applyBorder="1" applyAlignment="1" applyProtection="1">
      <alignment horizontal="center" vertical="center" wrapText="1"/>
      <protection locked="0"/>
    </xf>
    <xf numFmtId="14" fontId="68" fillId="0" borderId="92" xfId="0" applyNumberFormat="1" applyFont="1" applyBorder="1" applyAlignment="1" applyProtection="1">
      <alignment horizontal="center" vertical="center"/>
      <protection locked="0"/>
    </xf>
    <xf numFmtId="14" fontId="68" fillId="0" borderId="91" xfId="0" applyNumberFormat="1" applyFont="1" applyBorder="1" applyAlignment="1" applyProtection="1">
      <alignment horizontal="center" vertical="center"/>
      <protection locked="0"/>
    </xf>
    <xf numFmtId="0" fontId="66" fillId="22" borderId="89" xfId="0" applyFont="1" applyFill="1" applyBorder="1" applyAlignment="1">
      <alignment horizontal="center" vertical="center" wrapText="1"/>
    </xf>
    <xf numFmtId="0" fontId="25" fillId="0" borderId="95" xfId="0" applyFont="1" applyBorder="1" applyAlignment="1">
      <alignment horizontal="center" vertical="center" wrapText="1"/>
    </xf>
    <xf numFmtId="0" fontId="68" fillId="0" borderId="89" xfId="0" applyFont="1" applyBorder="1" applyAlignment="1" applyProtection="1">
      <alignment horizontal="center" vertical="center" textRotation="90"/>
      <protection locked="0"/>
    </xf>
    <xf numFmtId="14" fontId="66" fillId="0" borderId="93" xfId="0" applyNumberFormat="1" applyFont="1" applyBorder="1" applyAlignment="1" applyProtection="1">
      <alignment horizontal="center" vertical="center" wrapText="1"/>
      <protection locked="0"/>
    </xf>
    <xf numFmtId="14" fontId="66" fillId="0" borderId="92" xfId="0" applyNumberFormat="1" applyFont="1" applyBorder="1" applyAlignment="1" applyProtection="1">
      <alignment horizontal="center" vertical="center"/>
      <protection locked="0"/>
    </xf>
    <xf numFmtId="14" fontId="66" fillId="0" borderId="91" xfId="0" applyNumberFormat="1" applyFont="1" applyBorder="1" applyAlignment="1" applyProtection="1">
      <alignment horizontal="center" vertical="center"/>
      <protection locked="0"/>
    </xf>
    <xf numFmtId="0" fontId="69" fillId="21" borderId="89" xfId="0" applyFont="1" applyFill="1" applyBorder="1" applyAlignment="1">
      <alignment horizontal="center" vertical="center" textRotation="90" wrapText="1"/>
    </xf>
    <xf numFmtId="0" fontId="69" fillId="21" borderId="89" xfId="0" applyFont="1" applyFill="1" applyBorder="1" applyAlignment="1">
      <alignment horizontal="center" vertical="center" wrapText="1"/>
    </xf>
    <xf numFmtId="0" fontId="68" fillId="22" borderId="89" xfId="0" applyFont="1" applyFill="1" applyBorder="1" applyAlignment="1" applyProtection="1">
      <alignment horizontal="center" vertical="center" wrapText="1"/>
      <protection locked="0"/>
    </xf>
    <xf numFmtId="0" fontId="29" fillId="22" borderId="91" xfId="0" applyFont="1" applyFill="1" applyBorder="1" applyAlignment="1">
      <alignment horizontal="center" vertical="center" wrapText="1"/>
    </xf>
    <xf numFmtId="0" fontId="29" fillId="22" borderId="89" xfId="0" applyFont="1" applyFill="1" applyBorder="1" applyAlignment="1" applyProtection="1">
      <alignment horizontal="center" vertical="center" wrapText="1"/>
      <protection locked="0"/>
    </xf>
    <xf numFmtId="0" fontId="71" fillId="22" borderId="89" xfId="0" applyFont="1" applyFill="1" applyBorder="1" applyAlignment="1" applyProtection="1">
      <alignment horizontal="center" vertical="center"/>
      <protection locked="0"/>
    </xf>
    <xf numFmtId="9" fontId="68" fillId="0" borderId="89" xfId="0" applyNumberFormat="1" applyFont="1" applyBorder="1" applyAlignment="1" applyProtection="1">
      <alignment horizontal="center" vertical="center" wrapText="1"/>
      <protection locked="0"/>
    </xf>
    <xf numFmtId="9" fontId="68" fillId="0" borderId="89" xfId="0" applyNumberFormat="1" applyFont="1" applyBorder="1" applyAlignment="1" applyProtection="1">
      <alignment horizontal="center" vertical="top" wrapText="1"/>
      <protection hidden="1"/>
    </xf>
    <xf numFmtId="0" fontId="72" fillId="0" borderId="89" xfId="0" applyFont="1" applyBorder="1" applyAlignment="1" applyProtection="1">
      <alignment horizontal="center" vertical="center" wrapText="1"/>
      <protection hidden="1"/>
    </xf>
    <xf numFmtId="9" fontId="68" fillId="0" borderId="89" xfId="0" applyNumberFormat="1" applyFont="1" applyBorder="1" applyAlignment="1" applyProtection="1">
      <alignment horizontal="center" vertical="center" wrapText="1"/>
      <protection hidden="1"/>
    </xf>
    <xf numFmtId="0" fontId="72" fillId="0" borderId="89" xfId="0" applyFont="1" applyBorder="1" applyAlignment="1" applyProtection="1">
      <alignment horizontal="center" vertical="center"/>
      <protection hidden="1"/>
    </xf>
    <xf numFmtId="0" fontId="67" fillId="21" borderId="90" xfId="0" applyFont="1" applyFill="1" applyBorder="1" applyAlignment="1">
      <alignment horizontal="left" vertical="center"/>
    </xf>
    <xf numFmtId="0" fontId="66" fillId="22" borderId="89" xfId="0" applyFont="1" applyFill="1" applyBorder="1" applyAlignment="1" applyProtection="1">
      <alignment horizontal="left" vertical="center" wrapText="1"/>
      <protection locked="0"/>
    </xf>
    <xf numFmtId="0" fontId="69" fillId="21" borderId="89" xfId="0" applyFont="1" applyFill="1" applyBorder="1" applyAlignment="1">
      <alignment horizontal="center" vertical="center"/>
    </xf>
    <xf numFmtId="0" fontId="69" fillId="21" borderId="91" xfId="0" applyFont="1" applyFill="1" applyBorder="1" applyAlignment="1">
      <alignment horizontal="center" vertical="center"/>
    </xf>
    <xf numFmtId="0" fontId="70" fillId="21" borderId="89" xfId="0" applyFont="1" applyFill="1" applyBorder="1" applyAlignment="1">
      <alignment horizontal="center" vertical="center" textRotation="90"/>
    </xf>
    <xf numFmtId="0" fontId="69" fillId="21" borderId="91" xfId="0" applyFont="1" applyFill="1" applyBorder="1" applyAlignment="1">
      <alignment horizontal="center" vertical="center" wrapText="1"/>
    </xf>
    <xf numFmtId="0" fontId="69" fillId="21" borderId="92" xfId="0" applyFont="1" applyFill="1" applyBorder="1" applyAlignment="1">
      <alignment horizontal="center" vertical="center" wrapText="1"/>
    </xf>
    <xf numFmtId="0" fontId="69" fillId="21" borderId="93" xfId="0" applyFont="1" applyFill="1" applyBorder="1" applyAlignment="1">
      <alignment horizontal="center" vertical="center"/>
    </xf>
    <xf numFmtId="0" fontId="69" fillId="21" borderId="94" xfId="0" applyFont="1" applyFill="1" applyBorder="1" applyAlignment="1">
      <alignment horizontal="center" vertical="center"/>
    </xf>
    <xf numFmtId="0" fontId="69" fillId="21" borderId="94" xfId="0" applyFont="1" applyFill="1" applyBorder="1" applyAlignment="1">
      <alignment horizontal="center" vertical="center" wrapText="1"/>
    </xf>
    <xf numFmtId="14" fontId="30" fillId="0" borderId="48" xfId="0" applyNumberFormat="1" applyFont="1" applyBorder="1" applyAlignment="1" applyProtection="1">
      <alignment horizontal="center" vertical="center"/>
      <protection locked="0"/>
    </xf>
    <xf numFmtId="14" fontId="30" fillId="0" borderId="51" xfId="0" applyNumberFormat="1" applyFont="1" applyBorder="1" applyAlignment="1" applyProtection="1">
      <alignment horizontal="center" vertical="center"/>
      <protection locked="0"/>
    </xf>
    <xf numFmtId="14" fontId="30" fillId="0" borderId="50" xfId="0" applyNumberFormat="1" applyFont="1" applyBorder="1" applyAlignment="1" applyProtection="1">
      <alignment horizontal="center" vertical="center"/>
      <protection locked="0"/>
    </xf>
    <xf numFmtId="0" fontId="30" fillId="0" borderId="48" xfId="0" applyFont="1" applyBorder="1" applyAlignment="1" applyProtection="1">
      <alignment horizontal="center" vertical="center" wrapText="1"/>
      <protection locked="0"/>
    </xf>
    <xf numFmtId="0" fontId="30" fillId="0" borderId="51"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48"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65" fillId="21" borderId="89" xfId="0" applyFont="1" applyFill="1" applyBorder="1" applyAlignment="1">
      <alignment horizontal="left" vertical="center"/>
    </xf>
    <xf numFmtId="0" fontId="68" fillId="22" borderId="89" xfId="0" applyFont="1" applyFill="1" applyBorder="1" applyAlignment="1" applyProtection="1">
      <alignment horizontal="left" vertical="center"/>
      <protection locked="0"/>
    </xf>
    <xf numFmtId="0" fontId="25" fillId="0" borderId="51" xfId="0" applyFont="1" applyBorder="1" applyAlignment="1" applyProtection="1">
      <alignment horizontal="center" vertical="center" textRotation="90"/>
      <protection locked="0"/>
    </xf>
    <xf numFmtId="0" fontId="25" fillId="7" borderId="86" xfId="0" applyFont="1" applyFill="1" applyBorder="1" applyAlignment="1" applyProtection="1">
      <alignment horizontal="left" vertical="center"/>
      <protection locked="0"/>
    </xf>
    <xf numFmtId="0" fontId="25" fillId="7" borderId="87" xfId="0" applyFont="1" applyFill="1" applyBorder="1" applyAlignment="1" applyProtection="1">
      <alignment horizontal="left" vertical="center"/>
      <protection locked="0"/>
    </xf>
    <xf numFmtId="0" fontId="25" fillId="7" borderId="88" xfId="0" applyFont="1" applyFill="1" applyBorder="1" applyAlignment="1" applyProtection="1">
      <alignment horizontal="left" vertical="center"/>
      <protection locked="0"/>
    </xf>
    <xf numFmtId="0" fontId="25" fillId="7" borderId="86" xfId="0" applyFont="1" applyFill="1" applyBorder="1" applyAlignment="1" applyProtection="1">
      <alignment horizontal="left" vertical="center" wrapText="1"/>
      <protection locked="0"/>
    </xf>
    <xf numFmtId="0" fontId="25" fillId="7" borderId="87" xfId="0" applyFont="1" applyFill="1" applyBorder="1" applyAlignment="1" applyProtection="1">
      <alignment horizontal="left" vertical="center" wrapText="1"/>
      <protection locked="0"/>
    </xf>
    <xf numFmtId="0" fontId="25" fillId="7" borderId="88" xfId="0" applyFont="1" applyFill="1" applyBorder="1" applyAlignment="1" applyProtection="1">
      <alignment horizontal="left" vertical="center" wrapText="1"/>
      <protection locked="0"/>
    </xf>
    <xf numFmtId="0" fontId="37" fillId="0" borderId="48" xfId="0" applyFont="1" applyBorder="1" applyAlignment="1">
      <alignment horizontal="justify" vertical="top"/>
    </xf>
    <xf numFmtId="0" fontId="37" fillId="0" borderId="51" xfId="0" applyFont="1" applyBorder="1" applyAlignment="1">
      <alignment horizontal="justify" vertical="top"/>
    </xf>
    <xf numFmtId="0" fontId="14" fillId="0" borderId="48" xfId="0" applyFont="1" applyBorder="1" applyAlignment="1" applyProtection="1">
      <alignment horizontal="justify" vertical="top" wrapText="1"/>
      <protection locked="0"/>
    </xf>
    <xf numFmtId="0" fontId="14" fillId="0" borderId="51" xfId="0" applyFont="1" applyBorder="1" applyAlignment="1" applyProtection="1">
      <alignment horizontal="justify" vertical="top" wrapText="1"/>
      <protection locked="0"/>
    </xf>
    <xf numFmtId="0" fontId="14" fillId="0" borderId="39" xfId="0" applyFont="1" applyBorder="1" applyAlignment="1" applyProtection="1">
      <alignment horizontal="justify" vertical="top" wrapText="1"/>
      <protection locked="0"/>
    </xf>
    <xf numFmtId="0" fontId="14" fillId="0" borderId="52" xfId="0" applyFont="1" applyBorder="1" applyAlignment="1" applyProtection="1">
      <alignment horizontal="justify" vertical="top" wrapText="1"/>
      <protection locked="0"/>
    </xf>
    <xf numFmtId="0" fontId="38" fillId="0" borderId="47" xfId="0" applyFont="1" applyBorder="1" applyAlignment="1" applyProtection="1">
      <alignment horizontal="justify" vertical="top" wrapText="1"/>
      <protection locked="0"/>
    </xf>
    <xf numFmtId="0" fontId="38" fillId="0" borderId="54" xfId="0" applyFont="1" applyBorder="1" applyAlignment="1" applyProtection="1">
      <alignment horizontal="center" vertical="top" wrapText="1"/>
      <protection locked="0"/>
    </xf>
    <xf numFmtId="0" fontId="38" fillId="0" borderId="55" xfId="0" applyFont="1" applyBorder="1" applyAlignment="1" applyProtection="1">
      <alignment horizontal="center" vertical="top" wrapText="1"/>
      <protection locked="0"/>
    </xf>
    <xf numFmtId="0" fontId="14" fillId="0" borderId="41" xfId="0" applyFont="1" applyBorder="1" applyAlignment="1" applyProtection="1">
      <alignment horizontal="justify" vertical="top" wrapText="1"/>
      <protection locked="0"/>
    </xf>
    <xf numFmtId="0" fontId="14" fillId="0" borderId="53" xfId="0" applyFont="1" applyBorder="1" applyAlignment="1" applyProtection="1">
      <alignment horizontal="justify" vertical="top" wrapText="1"/>
      <protection locked="0"/>
    </xf>
    <xf numFmtId="0" fontId="14" fillId="0" borderId="48" xfId="0" applyFont="1" applyBorder="1" applyAlignment="1" applyProtection="1">
      <alignment horizontal="center" vertical="top" textRotation="90" wrapText="1"/>
      <protection hidden="1"/>
    </xf>
    <xf numFmtId="0" fontId="14" fillId="0" borderId="51" xfId="0" applyFont="1" applyBorder="1" applyAlignment="1" applyProtection="1">
      <alignment horizontal="center" vertical="top" textRotation="90" wrapText="1"/>
      <protection hidden="1"/>
    </xf>
    <xf numFmtId="0" fontId="14" fillId="0" borderId="50" xfId="0" applyFont="1" applyBorder="1" applyAlignment="1" applyProtection="1">
      <alignment horizontal="center" vertical="top" textRotation="90" wrapText="1"/>
      <protection hidden="1"/>
    </xf>
    <xf numFmtId="0" fontId="14" fillId="0" borderId="48" xfId="0" applyFont="1" applyBorder="1" applyAlignment="1" applyProtection="1">
      <alignment horizontal="center" vertical="top" textRotation="90"/>
      <protection hidden="1"/>
    </xf>
    <xf numFmtId="0" fontId="14" fillId="0" borderId="51" xfId="0" applyFont="1" applyBorder="1" applyAlignment="1" applyProtection="1">
      <alignment horizontal="center" vertical="top" textRotation="90"/>
      <protection hidden="1"/>
    </xf>
    <xf numFmtId="0" fontId="14" fillId="0" borderId="50" xfId="0" applyFont="1" applyBorder="1" applyAlignment="1" applyProtection="1">
      <alignment horizontal="center" vertical="top" textRotation="90"/>
      <protection hidden="1"/>
    </xf>
    <xf numFmtId="0" fontId="25" fillId="0" borderId="76" xfId="0" applyFont="1" applyBorder="1" applyAlignment="1" applyProtection="1">
      <alignment horizontal="center" vertical="top" wrapText="1"/>
      <protection locked="0"/>
    </xf>
    <xf numFmtId="0" fontId="25" fillId="0" borderId="78" xfId="0" applyFont="1" applyBorder="1" applyAlignment="1" applyProtection="1">
      <alignment horizontal="center" vertical="top" wrapText="1"/>
      <protection locked="0"/>
    </xf>
    <xf numFmtId="0" fontId="30" fillId="0" borderId="80" xfId="0" applyFont="1" applyBorder="1" applyAlignment="1" applyProtection="1">
      <alignment horizontal="center" vertical="top" wrapText="1"/>
      <protection locked="0"/>
    </xf>
    <xf numFmtId="0" fontId="25" fillId="0" borderId="77" xfId="0" applyFont="1" applyBorder="1" applyAlignment="1" applyProtection="1">
      <alignment horizontal="center" vertical="top" wrapText="1"/>
      <protection locked="0"/>
    </xf>
    <xf numFmtId="0" fontId="25" fillId="0" borderId="79" xfId="0" applyFont="1" applyBorder="1" applyAlignment="1" applyProtection="1">
      <alignment horizontal="center" vertical="top" wrapText="1"/>
      <protection locked="0"/>
    </xf>
    <xf numFmtId="0" fontId="36" fillId="0" borderId="50" xfId="0" applyFont="1" applyBorder="1" applyAlignment="1" applyProtection="1">
      <alignment horizontal="center" vertical="top" wrapText="1"/>
      <protection hidden="1"/>
    </xf>
    <xf numFmtId="9" fontId="25" fillId="0" borderId="50" xfId="0" applyNumberFormat="1" applyFont="1" applyBorder="1" applyAlignment="1" applyProtection="1">
      <alignment horizontal="center" vertical="top" wrapText="1"/>
      <protection hidden="1"/>
    </xf>
    <xf numFmtId="9" fontId="25" fillId="0" borderId="50" xfId="0" applyNumberFormat="1" applyFont="1" applyBorder="1" applyAlignment="1" applyProtection="1">
      <alignment horizontal="center" vertical="top" wrapText="1"/>
      <protection locked="0"/>
    </xf>
    <xf numFmtId="0" fontId="36" fillId="0" borderId="50" xfId="0" applyFont="1" applyBorder="1" applyAlignment="1" applyProtection="1">
      <alignment horizontal="center" vertical="top"/>
      <protection hidden="1"/>
    </xf>
    <xf numFmtId="0" fontId="62" fillId="7" borderId="48" xfId="0" applyFont="1" applyFill="1" applyBorder="1" applyAlignment="1" applyProtection="1">
      <alignment horizontal="center" vertical="center" wrapText="1"/>
      <protection locked="0"/>
    </xf>
    <xf numFmtId="0" fontId="62" fillId="7" borderId="51" xfId="0" applyFont="1" applyFill="1" applyBorder="1" applyAlignment="1" applyProtection="1">
      <alignment horizontal="center" vertical="center" wrapText="1"/>
      <protection locked="0"/>
    </xf>
    <xf numFmtId="0" fontId="62" fillId="7" borderId="50" xfId="0" applyFont="1" applyFill="1" applyBorder="1" applyAlignment="1" applyProtection="1">
      <alignment horizontal="center" vertical="center" wrapText="1"/>
      <protection locked="0"/>
    </xf>
    <xf numFmtId="0" fontId="62" fillId="0" borderId="48" xfId="0" applyFont="1" applyBorder="1" applyAlignment="1" applyProtection="1">
      <alignment horizontal="center" vertical="center" wrapText="1"/>
      <protection locked="0"/>
    </xf>
    <xf numFmtId="0" fontId="62" fillId="0" borderId="51" xfId="0" applyFont="1" applyBorder="1" applyAlignment="1" applyProtection="1">
      <alignment horizontal="center" vertical="center" wrapText="1"/>
      <protection locked="0"/>
    </xf>
    <xf numFmtId="0" fontId="62" fillId="0" borderId="50" xfId="0" applyFont="1" applyBorder="1" applyAlignment="1" applyProtection="1">
      <alignment horizontal="center" vertical="center" wrapText="1"/>
      <protection locked="0"/>
    </xf>
    <xf numFmtId="0" fontId="62" fillId="0" borderId="48" xfId="0" applyFont="1" applyBorder="1" applyAlignment="1">
      <alignment horizontal="center" vertical="center"/>
    </xf>
    <xf numFmtId="0" fontId="62" fillId="0" borderId="51" xfId="0" applyFont="1" applyBorder="1" applyAlignment="1">
      <alignment horizontal="center" vertical="center"/>
    </xf>
    <xf numFmtId="0" fontId="62" fillId="0" borderId="50" xfId="0" applyFont="1" applyBorder="1" applyAlignment="1">
      <alignment horizontal="center" vertical="center"/>
    </xf>
    <xf numFmtId="0" fontId="33" fillId="6" borderId="39"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41" xfId="0" applyFont="1" applyFill="1" applyBorder="1" applyAlignment="1">
      <alignment horizontal="center" vertical="center"/>
    </xf>
    <xf numFmtId="0" fontId="33" fillId="6" borderId="42" xfId="0" applyFont="1" applyFill="1" applyBorder="1" applyAlignment="1">
      <alignment horizontal="center" vertical="center"/>
    </xf>
    <xf numFmtId="0" fontId="33" fillId="6" borderId="43" xfId="0" applyFont="1" applyFill="1" applyBorder="1" applyAlignment="1">
      <alignment horizontal="center" vertical="center"/>
    </xf>
    <xf numFmtId="0" fontId="33" fillId="6" borderId="44" xfId="0" applyFont="1" applyFill="1" applyBorder="1" applyAlignment="1">
      <alignment horizontal="center" vertical="center"/>
    </xf>
    <xf numFmtId="0" fontId="62" fillId="0" borderId="48" xfId="0" applyFont="1" applyBorder="1" applyAlignment="1" applyProtection="1">
      <alignment horizontal="center" vertical="center" textRotation="90"/>
      <protection locked="0"/>
    </xf>
    <xf numFmtId="0" fontId="62" fillId="0" borderId="51" xfId="0" applyFont="1" applyBorder="1" applyAlignment="1" applyProtection="1">
      <alignment horizontal="center" vertical="center" textRotation="90"/>
      <protection locked="0"/>
    </xf>
    <xf numFmtId="0" fontId="62" fillId="0" borderId="50" xfId="0" applyFont="1" applyBorder="1" applyAlignment="1" applyProtection="1">
      <alignment horizontal="center" vertical="center" textRotation="90"/>
      <protection locked="0"/>
    </xf>
    <xf numFmtId="164" fontId="62" fillId="0" borderId="48" xfId="16" applyNumberFormat="1" applyFont="1" applyFill="1" applyBorder="1" applyAlignment="1">
      <alignment horizontal="center" vertical="center"/>
    </xf>
    <xf numFmtId="164" fontId="62" fillId="0" borderId="51" xfId="16" applyNumberFormat="1" applyFont="1" applyFill="1" applyBorder="1" applyAlignment="1">
      <alignment horizontal="center" vertical="center"/>
    </xf>
    <xf numFmtId="164" fontId="62" fillId="0" borderId="50" xfId="16" applyNumberFormat="1" applyFont="1" applyFill="1" applyBorder="1" applyAlignment="1">
      <alignment horizontal="center" vertical="center"/>
    </xf>
    <xf numFmtId="0" fontId="17" fillId="0" borderId="48" xfId="0" applyFont="1" applyBorder="1" applyAlignment="1" applyProtection="1">
      <alignment horizontal="center" vertical="center" textRotation="90" wrapText="1"/>
      <protection hidden="1"/>
    </xf>
    <xf numFmtId="0" fontId="17" fillId="0" borderId="51" xfId="0" applyFont="1" applyBorder="1" applyAlignment="1" applyProtection="1">
      <alignment horizontal="center" vertical="center" textRotation="90" wrapText="1"/>
      <protection hidden="1"/>
    </xf>
    <xf numFmtId="0" fontId="17" fillId="0" borderId="50" xfId="0" applyFont="1" applyBorder="1" applyAlignment="1" applyProtection="1">
      <alignment horizontal="center" vertical="center" textRotation="90" wrapText="1"/>
      <protection hidden="1"/>
    </xf>
    <xf numFmtId="9" fontId="62" fillId="0" borderId="48" xfId="0" applyNumberFormat="1" applyFont="1" applyBorder="1" applyAlignment="1" applyProtection="1">
      <alignment horizontal="center" vertical="center"/>
      <protection hidden="1"/>
    </xf>
    <xf numFmtId="9" fontId="62" fillId="0" borderId="51" xfId="0" applyNumberFormat="1" applyFont="1" applyBorder="1" applyAlignment="1" applyProtection="1">
      <alignment horizontal="center" vertical="center"/>
      <protection hidden="1"/>
    </xf>
    <xf numFmtId="9" fontId="62" fillId="0" borderId="50" xfId="0" applyNumberFormat="1" applyFont="1" applyBorder="1" applyAlignment="1" applyProtection="1">
      <alignment horizontal="center" vertical="center"/>
      <protection hidden="1"/>
    </xf>
    <xf numFmtId="0" fontId="17" fillId="0" borderId="48" xfId="0" applyFont="1" applyBorder="1" applyAlignment="1" applyProtection="1">
      <alignment horizontal="center" vertical="center" textRotation="90"/>
      <protection hidden="1"/>
    </xf>
    <xf numFmtId="0" fontId="17" fillId="0" borderId="51" xfId="0" applyFont="1" applyBorder="1" applyAlignment="1" applyProtection="1">
      <alignment horizontal="center" vertical="center" textRotation="90"/>
      <protection hidden="1"/>
    </xf>
    <xf numFmtId="0" fontId="17" fillId="0" borderId="50" xfId="0" applyFont="1" applyBorder="1" applyAlignment="1" applyProtection="1">
      <alignment horizontal="center" vertical="center" textRotation="90"/>
      <protection hidden="1"/>
    </xf>
    <xf numFmtId="0" fontId="63" fillId="0" borderId="48" xfId="0" applyFont="1" applyBorder="1" applyAlignment="1" applyProtection="1">
      <alignment horizontal="center" vertical="center" wrapText="1"/>
      <protection locked="0"/>
    </xf>
    <xf numFmtId="0" fontId="63" fillId="0" borderId="51" xfId="0" applyFont="1" applyBorder="1" applyAlignment="1" applyProtection="1">
      <alignment horizontal="center" vertical="center" wrapText="1"/>
      <protection locked="0"/>
    </xf>
    <xf numFmtId="0" fontId="63" fillId="0" borderId="50" xfId="0" applyFont="1" applyBorder="1" applyAlignment="1" applyProtection="1">
      <alignment horizontal="center" vertical="center" wrapText="1"/>
      <protection locked="0"/>
    </xf>
    <xf numFmtId="0" fontId="63" fillId="0" borderId="81" xfId="0" applyFont="1" applyBorder="1" applyAlignment="1" applyProtection="1">
      <alignment horizontal="center" vertical="center" wrapText="1"/>
      <protection locked="0"/>
    </xf>
    <xf numFmtId="0" fontId="62" fillId="0" borderId="48" xfId="0" applyFont="1" applyBorder="1" applyAlignment="1" applyProtection="1">
      <alignment horizontal="center" vertical="center"/>
      <protection locked="0"/>
    </xf>
    <xf numFmtId="0" fontId="62" fillId="0" borderId="51" xfId="0" applyFont="1" applyBorder="1" applyAlignment="1" applyProtection="1">
      <alignment horizontal="center" vertical="center"/>
      <protection locked="0"/>
    </xf>
    <xf numFmtId="0" fontId="62" fillId="0" borderId="50" xfId="0" applyFont="1" applyBorder="1" applyAlignment="1" applyProtection="1">
      <alignment horizontal="center" vertical="center"/>
      <protection locked="0"/>
    </xf>
    <xf numFmtId="0" fontId="17" fillId="0" borderId="48" xfId="0" applyFont="1" applyBorder="1" applyAlignment="1" applyProtection="1">
      <alignment horizontal="center" vertical="center" wrapText="1"/>
      <protection hidden="1"/>
    </xf>
    <xf numFmtId="0" fontId="17" fillId="0" borderId="51" xfId="0" applyFont="1" applyBorder="1" applyAlignment="1" applyProtection="1">
      <alignment horizontal="center" vertical="center" wrapText="1"/>
      <protection hidden="1"/>
    </xf>
    <xf numFmtId="0" fontId="17" fillId="0" borderId="50" xfId="0" applyFont="1" applyBorder="1" applyAlignment="1" applyProtection="1">
      <alignment horizontal="center" vertical="center" wrapText="1"/>
      <protection hidden="1"/>
    </xf>
    <xf numFmtId="9" fontId="62" fillId="0" borderId="48" xfId="0" applyNumberFormat="1" applyFont="1" applyBorder="1" applyAlignment="1" applyProtection="1">
      <alignment horizontal="center" vertical="center" wrapText="1"/>
      <protection hidden="1"/>
    </xf>
    <xf numFmtId="9" fontId="62" fillId="0" borderId="51" xfId="0" applyNumberFormat="1" applyFont="1" applyBorder="1" applyAlignment="1" applyProtection="1">
      <alignment horizontal="center" vertical="center" wrapText="1"/>
      <protection hidden="1"/>
    </xf>
    <xf numFmtId="9" fontId="62" fillId="0" borderId="50" xfId="0" applyNumberFormat="1" applyFont="1" applyBorder="1" applyAlignment="1" applyProtection="1">
      <alignment horizontal="center" vertical="center" wrapText="1"/>
      <protection hidden="1"/>
    </xf>
    <xf numFmtId="9" fontId="62" fillId="0" borderId="48" xfId="0" applyNumberFormat="1" applyFont="1" applyBorder="1" applyAlignment="1" applyProtection="1">
      <alignment horizontal="center" vertical="center" wrapText="1"/>
      <protection locked="0"/>
    </xf>
    <xf numFmtId="9" fontId="62" fillId="0" borderId="51" xfId="0" applyNumberFormat="1" applyFont="1" applyBorder="1" applyAlignment="1" applyProtection="1">
      <alignment horizontal="center" vertical="center" wrapText="1"/>
      <protection locked="0"/>
    </xf>
    <xf numFmtId="9" fontId="62" fillId="0" borderId="50" xfId="0" applyNumberFormat="1" applyFont="1" applyBorder="1" applyAlignment="1" applyProtection="1">
      <alignment horizontal="center" vertical="center" wrapText="1"/>
      <protection locked="0"/>
    </xf>
    <xf numFmtId="0" fontId="17" fillId="0" borderId="48" xfId="0" applyFont="1" applyBorder="1" applyAlignment="1" applyProtection="1">
      <alignment horizontal="center" vertical="center"/>
      <protection hidden="1"/>
    </xf>
    <xf numFmtId="0" fontId="17" fillId="0" borderId="51" xfId="0" applyFont="1" applyBorder="1" applyAlignment="1" applyProtection="1">
      <alignment horizontal="center" vertical="center"/>
      <protection hidden="1"/>
    </xf>
    <xf numFmtId="0" fontId="17" fillId="0" borderId="50" xfId="0" applyFont="1" applyBorder="1" applyAlignment="1" applyProtection="1">
      <alignment horizontal="center" vertical="center"/>
      <protection hidden="1"/>
    </xf>
    <xf numFmtId="0" fontId="64" fillId="0" borderId="48" xfId="0" applyFont="1" applyBorder="1" applyAlignment="1" applyProtection="1">
      <alignment horizontal="center" vertical="center" wrapText="1"/>
      <protection locked="0"/>
    </xf>
    <xf numFmtId="0" fontId="64" fillId="0" borderId="51" xfId="0" applyFont="1" applyBorder="1" applyAlignment="1" applyProtection="1">
      <alignment horizontal="center" vertical="center" wrapText="1"/>
      <protection locked="0"/>
    </xf>
    <xf numFmtId="0" fontId="64" fillId="0" borderId="50" xfId="0" applyFont="1" applyBorder="1" applyAlignment="1" applyProtection="1">
      <alignment horizontal="center" vertical="center" wrapText="1"/>
      <protection locked="0"/>
    </xf>
    <xf numFmtId="0" fontId="62" fillId="7" borderId="51" xfId="0" applyFont="1" applyFill="1" applyBorder="1" applyAlignment="1" applyProtection="1">
      <alignment horizontal="left" vertical="center" wrapText="1"/>
      <protection locked="0"/>
    </xf>
    <xf numFmtId="0" fontId="62" fillId="7" borderId="50" xfId="0" applyFont="1" applyFill="1" applyBorder="1" applyAlignment="1" applyProtection="1">
      <alignment horizontal="left" vertical="center" wrapText="1"/>
      <protection locked="0"/>
    </xf>
    <xf numFmtId="9" fontId="62" fillId="0" borderId="48" xfId="0" applyNumberFormat="1" applyFont="1" applyBorder="1" applyAlignment="1" applyProtection="1">
      <alignment vertical="center"/>
      <protection hidden="1"/>
    </xf>
    <xf numFmtId="9" fontId="62" fillId="0" borderId="51" xfId="0" applyNumberFormat="1" applyFont="1" applyBorder="1" applyAlignment="1" applyProtection="1">
      <alignment vertical="center"/>
      <protection hidden="1"/>
    </xf>
    <xf numFmtId="9" fontId="62" fillId="0" borderId="50" xfId="0" applyNumberFormat="1" applyFont="1" applyBorder="1" applyAlignment="1" applyProtection="1">
      <alignment vertical="center"/>
      <protection hidden="1"/>
    </xf>
    <xf numFmtId="0" fontId="17" fillId="6" borderId="48"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64" fillId="0" borderId="48" xfId="0" applyFont="1" applyBorder="1" applyAlignment="1" applyProtection="1">
      <alignment horizontal="center" vertical="center"/>
      <protection hidden="1"/>
    </xf>
    <xf numFmtId="0" fontId="64" fillId="0" borderId="51" xfId="0" applyFont="1" applyBorder="1" applyAlignment="1" applyProtection="1">
      <alignment horizontal="center" vertical="center"/>
      <protection hidden="1"/>
    </xf>
    <xf numFmtId="0" fontId="64" fillId="0" borderId="50" xfId="0" applyFont="1" applyBorder="1" applyAlignment="1" applyProtection="1">
      <alignment horizontal="center" vertical="center"/>
      <protection hidden="1"/>
    </xf>
    <xf numFmtId="0" fontId="17" fillId="6" borderId="49" xfId="0" applyFont="1" applyFill="1" applyBorder="1" applyAlignment="1">
      <alignment horizontal="center" vertical="center" wrapText="1"/>
    </xf>
    <xf numFmtId="0" fontId="17" fillId="6" borderId="49" xfId="0" applyFont="1" applyFill="1" applyBorder="1" applyAlignment="1">
      <alignment horizontal="center" vertical="center" textRotation="90" wrapText="1"/>
    </xf>
    <xf numFmtId="0" fontId="17" fillId="6" borderId="48" xfId="0" applyFont="1" applyFill="1" applyBorder="1" applyAlignment="1">
      <alignment horizontal="center" vertical="center" textRotation="90" wrapText="1"/>
    </xf>
    <xf numFmtId="0" fontId="17" fillId="6" borderId="50" xfId="0" applyFont="1" applyFill="1" applyBorder="1" applyAlignment="1">
      <alignment horizontal="center" vertical="center" textRotation="90" wrapText="1"/>
    </xf>
    <xf numFmtId="0" fontId="17" fillId="6" borderId="52" xfId="0" applyFont="1" applyFill="1" applyBorder="1" applyAlignment="1">
      <alignment horizontal="center" vertical="center"/>
    </xf>
    <xf numFmtId="0" fontId="17" fillId="6" borderId="42" xfId="0" applyFont="1" applyFill="1" applyBorder="1" applyAlignment="1">
      <alignment horizontal="center" vertical="center"/>
    </xf>
    <xf numFmtId="0" fontId="17" fillId="6" borderId="52" xfId="0" applyFont="1" applyFill="1" applyBorder="1" applyAlignment="1">
      <alignment horizontal="center" vertical="center" wrapText="1"/>
    </xf>
    <xf numFmtId="0" fontId="17" fillId="6" borderId="48" xfId="0" applyFont="1" applyFill="1" applyBorder="1" applyAlignment="1">
      <alignment horizontal="center" vertical="center" textRotation="90"/>
    </xf>
    <xf numFmtId="0" fontId="17" fillId="6" borderId="50" xfId="0" applyFont="1" applyFill="1" applyBorder="1" applyAlignment="1">
      <alignment horizontal="center" vertical="center" textRotation="90"/>
    </xf>
    <xf numFmtId="0" fontId="17" fillId="6" borderId="49" xfId="0" applyFont="1" applyFill="1" applyBorder="1" applyAlignment="1">
      <alignment horizontal="center" vertical="center"/>
    </xf>
    <xf numFmtId="0" fontId="17" fillId="6" borderId="51" xfId="0" applyFont="1" applyFill="1" applyBorder="1" applyAlignment="1">
      <alignment horizontal="center" vertical="center" wrapText="1"/>
    </xf>
    <xf numFmtId="0" fontId="17" fillId="6" borderId="50" xfId="0" applyFont="1" applyFill="1" applyBorder="1" applyAlignment="1">
      <alignment horizontal="center" vertical="center"/>
    </xf>
    <xf numFmtId="0" fontId="17" fillId="6" borderId="48" xfId="0" applyFont="1" applyFill="1" applyBorder="1" applyAlignment="1">
      <alignment horizontal="center" vertical="center"/>
    </xf>
    <xf numFmtId="0" fontId="17" fillId="6" borderId="39" xfId="0" applyFont="1" applyFill="1" applyBorder="1" applyAlignment="1">
      <alignment horizontal="left" vertical="center"/>
    </xf>
    <xf numFmtId="0" fontId="17" fillId="6" borderId="40" xfId="0" applyFont="1" applyFill="1" applyBorder="1" applyAlignment="1">
      <alignment horizontal="left" vertical="center"/>
    </xf>
    <xf numFmtId="0" fontId="17" fillId="6" borderId="42" xfId="0" applyFont="1" applyFill="1" applyBorder="1" applyAlignment="1">
      <alignment horizontal="left" vertical="center"/>
    </xf>
    <xf numFmtId="0" fontId="17" fillId="6" borderId="43" xfId="0" applyFont="1" applyFill="1" applyBorder="1" applyAlignment="1">
      <alignment horizontal="left" vertical="center"/>
    </xf>
    <xf numFmtId="0" fontId="17" fillId="6" borderId="45" xfId="0" applyFont="1" applyFill="1" applyBorder="1" applyAlignment="1">
      <alignment horizontal="left" vertical="center"/>
    </xf>
    <xf numFmtId="0" fontId="17" fillId="6" borderId="46" xfId="0" applyFont="1" applyFill="1" applyBorder="1" applyAlignment="1">
      <alignment horizontal="left" vertical="center"/>
    </xf>
    <xf numFmtId="0" fontId="17" fillId="7" borderId="47" xfId="0" applyFont="1" applyFill="1" applyBorder="1" applyAlignment="1" applyProtection="1">
      <alignment horizontal="left" vertical="top"/>
      <protection locked="0"/>
    </xf>
    <xf numFmtId="0" fontId="62" fillId="7" borderId="47" xfId="0" applyFont="1" applyFill="1" applyBorder="1" applyAlignment="1" applyProtection="1">
      <alignment horizontal="left" vertical="top"/>
      <protection locked="0"/>
    </xf>
    <xf numFmtId="0" fontId="62" fillId="7" borderId="47" xfId="0" applyFont="1" applyFill="1" applyBorder="1" applyAlignment="1" applyProtection="1">
      <alignment horizontal="left" vertical="top" wrapText="1"/>
      <protection locked="0"/>
    </xf>
    <xf numFmtId="0" fontId="62" fillId="7" borderId="47" xfId="0" applyFont="1" applyFill="1" applyBorder="1" applyAlignment="1" applyProtection="1">
      <alignment horizontal="left" vertical="center" wrapText="1"/>
      <protection locked="0"/>
    </xf>
    <xf numFmtId="0" fontId="17" fillId="6" borderId="45" xfId="0" applyFont="1" applyFill="1" applyBorder="1" applyAlignment="1">
      <alignment horizontal="center" vertical="center"/>
    </xf>
    <xf numFmtId="0" fontId="17" fillId="6" borderId="46" xfId="0" applyFont="1" applyFill="1" applyBorder="1" applyAlignment="1">
      <alignment horizontal="center" vertical="center"/>
    </xf>
    <xf numFmtId="0" fontId="17" fillId="6" borderId="43" xfId="0" applyFont="1" applyFill="1" applyBorder="1" applyAlignment="1">
      <alignment horizontal="center" vertical="center"/>
    </xf>
    <xf numFmtId="0" fontId="17" fillId="6" borderId="44" xfId="0" applyFont="1" applyFill="1" applyBorder="1" applyAlignment="1">
      <alignment horizontal="center" vertical="center"/>
    </xf>
    <xf numFmtId="0" fontId="17" fillId="6" borderId="84" xfId="0" applyFont="1" applyFill="1" applyBorder="1" applyAlignment="1">
      <alignment horizontal="center" vertical="center"/>
    </xf>
    <xf numFmtId="0" fontId="17" fillId="6" borderId="85" xfId="0" applyFont="1" applyFill="1" applyBorder="1" applyAlignment="1">
      <alignment horizontal="center" vertical="center"/>
    </xf>
    <xf numFmtId="0" fontId="25" fillId="7" borderId="39" xfId="0" applyFont="1" applyFill="1" applyBorder="1" applyAlignment="1" applyProtection="1">
      <alignment horizontal="center" vertical="top" wrapText="1"/>
      <protection locked="0"/>
    </xf>
    <xf numFmtId="0" fontId="25" fillId="7" borderId="52" xfId="0" applyFont="1" applyFill="1" applyBorder="1" applyAlignment="1" applyProtection="1">
      <alignment horizontal="center" vertical="top" wrapText="1"/>
      <protection locked="0"/>
    </xf>
    <xf numFmtId="0" fontId="30" fillId="7" borderId="54" xfId="0" applyFont="1" applyFill="1" applyBorder="1" applyAlignment="1" applyProtection="1">
      <alignment horizontal="center" vertical="top" wrapText="1"/>
      <protection locked="0"/>
    </xf>
    <xf numFmtId="0" fontId="30" fillId="7" borderId="55" xfId="0" applyFont="1" applyFill="1" applyBorder="1" applyAlignment="1" applyProtection="1">
      <alignment horizontal="center" vertical="top" wrapText="1"/>
      <protection locked="0"/>
    </xf>
    <xf numFmtId="0" fontId="27" fillId="6" borderId="42" xfId="0" applyFont="1" applyFill="1" applyBorder="1" applyAlignment="1">
      <alignment horizontal="center" vertical="center" wrapText="1"/>
    </xf>
    <xf numFmtId="0" fontId="25" fillId="7" borderId="54" xfId="0" applyFont="1" applyFill="1" applyBorder="1" applyAlignment="1">
      <alignment horizontal="center" vertical="center" wrapText="1"/>
    </xf>
    <xf numFmtId="0" fontId="25" fillId="7" borderId="80" xfId="0" applyFont="1" applyFill="1" applyBorder="1" applyAlignment="1">
      <alignment horizontal="center" vertical="center" wrapText="1"/>
    </xf>
    <xf numFmtId="0" fontId="25" fillId="0" borderId="48" xfId="0" applyFont="1" applyBorder="1" applyAlignment="1">
      <alignment horizontal="center" vertical="top"/>
    </xf>
    <xf numFmtId="0" fontId="25" fillId="0" borderId="50" xfId="0" applyFont="1" applyBorder="1" applyAlignment="1">
      <alignment horizontal="center" vertical="top"/>
    </xf>
    <xf numFmtId="0" fontId="25" fillId="7" borderId="82" xfId="0" applyFont="1" applyFill="1" applyBorder="1" applyAlignment="1" applyProtection="1">
      <alignment horizontal="left" vertical="center" wrapText="1"/>
      <protection locked="0"/>
    </xf>
    <xf numFmtId="0" fontId="25" fillId="7" borderId="0" xfId="0" applyFont="1" applyFill="1" applyAlignment="1" applyProtection="1">
      <alignment horizontal="left" vertical="center" wrapText="1"/>
      <protection locked="0"/>
    </xf>
    <xf numFmtId="0" fontId="33" fillId="6" borderId="52" xfId="0" applyFont="1" applyFill="1" applyBorder="1" applyAlignment="1">
      <alignment horizontal="left" vertical="center"/>
    </xf>
    <xf numFmtId="0" fontId="33" fillId="6" borderId="0" xfId="0" applyFont="1" applyFill="1" applyAlignment="1">
      <alignment horizontal="left" vertical="center"/>
    </xf>
    <xf numFmtId="0" fontId="25" fillId="7" borderId="82" xfId="0" applyFont="1" applyFill="1" applyBorder="1" applyAlignment="1" applyProtection="1">
      <alignment horizontal="left" vertical="center"/>
      <protection locked="0"/>
    </xf>
    <xf numFmtId="0" fontId="25" fillId="7" borderId="0" xfId="0" applyFont="1" applyFill="1" applyAlignment="1" applyProtection="1">
      <alignment horizontal="left" vertical="center"/>
      <protection locked="0"/>
    </xf>
    <xf numFmtId="0" fontId="23" fillId="0" borderId="48" xfId="0" applyFont="1" applyBorder="1" applyAlignment="1" applyProtection="1">
      <alignment horizontal="center" vertical="top" wrapText="1"/>
      <protection locked="0"/>
    </xf>
    <xf numFmtId="0" fontId="23" fillId="0" borderId="50" xfId="0" applyFont="1" applyBorder="1" applyAlignment="1" applyProtection="1">
      <alignment horizontal="center" vertical="top" wrapText="1"/>
      <protection locked="0"/>
    </xf>
    <xf numFmtId="0" fontId="26" fillId="0" borderId="48" xfId="0" applyFont="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23" fillId="0" borderId="51" xfId="0" applyFont="1" applyBorder="1" applyAlignment="1" applyProtection="1">
      <alignment horizontal="center" vertical="top" wrapText="1"/>
      <protection locked="0"/>
    </xf>
    <xf numFmtId="0" fontId="23" fillId="0" borderId="81" xfId="0" applyFont="1" applyBorder="1" applyAlignment="1" applyProtection="1">
      <alignment horizontal="center" vertical="top" wrapText="1"/>
      <protection locked="0"/>
    </xf>
    <xf numFmtId="166" fontId="25" fillId="0" borderId="65" xfId="0" applyNumberFormat="1" applyFont="1" applyBorder="1" applyAlignment="1">
      <alignment horizontal="center" vertical="center" wrapText="1"/>
    </xf>
    <xf numFmtId="166" fontId="25" fillId="0" borderId="69" xfId="0" applyNumberFormat="1" applyFont="1" applyBorder="1" applyAlignment="1">
      <alignment horizontal="center" vertical="center" wrapText="1"/>
    </xf>
    <xf numFmtId="0" fontId="26" fillId="0" borderId="65" xfId="0" applyFont="1" applyBorder="1" applyAlignment="1">
      <alignment horizontal="center" vertical="center" wrapText="1"/>
    </xf>
    <xf numFmtId="0" fontId="26" fillId="0" borderId="69" xfId="0" applyFont="1" applyBorder="1" applyAlignment="1">
      <alignment horizontal="center" vertical="center" wrapText="1"/>
    </xf>
    <xf numFmtId="0" fontId="25" fillId="0" borderId="66" xfId="0" applyFont="1" applyBorder="1" applyAlignment="1">
      <alignment horizontal="center" vertical="top" wrapText="1"/>
    </xf>
    <xf numFmtId="0" fontId="10" fillId="0" borderId="66" xfId="0" applyFont="1" applyBorder="1"/>
    <xf numFmtId="0" fontId="23" fillId="0" borderId="65" xfId="0" applyFont="1" applyBorder="1" applyAlignment="1">
      <alignment horizontal="left" vertical="top" wrapText="1"/>
    </xf>
    <xf numFmtId="0" fontId="10" fillId="0" borderId="69" xfId="0" applyFont="1" applyBorder="1"/>
    <xf numFmtId="0" fontId="25" fillId="0" borderId="66" xfId="0" applyFont="1" applyBorder="1" applyAlignment="1">
      <alignment horizontal="center" vertical="center" wrapText="1"/>
    </xf>
    <xf numFmtId="0" fontId="25" fillId="0" borderId="65" xfId="0" applyFont="1" applyBorder="1" applyAlignment="1">
      <alignment horizontal="left" vertical="top" wrapText="1"/>
    </xf>
    <xf numFmtId="0" fontId="25" fillId="0" borderId="66" xfId="0" applyFont="1" applyBorder="1" applyAlignment="1">
      <alignment horizontal="center" vertical="top"/>
    </xf>
    <xf numFmtId="0" fontId="36" fillId="0" borderId="65" xfId="0" applyFont="1" applyBorder="1" applyAlignment="1">
      <alignment horizontal="center" vertical="top" wrapText="1"/>
    </xf>
    <xf numFmtId="9" fontId="25" fillId="0" borderId="65" xfId="0" applyNumberFormat="1" applyFont="1" applyBorder="1" applyAlignment="1">
      <alignment horizontal="center" vertical="top" wrapText="1"/>
    </xf>
    <xf numFmtId="9" fontId="25" fillId="0" borderId="66" xfId="0" applyNumberFormat="1" applyFont="1" applyBorder="1" applyAlignment="1">
      <alignment horizontal="center" vertical="top" wrapText="1"/>
    </xf>
    <xf numFmtId="0" fontId="27" fillId="0" borderId="66" xfId="0" applyFont="1" applyBorder="1" applyAlignment="1">
      <alignment horizontal="center" vertical="top" wrapText="1"/>
    </xf>
    <xf numFmtId="0" fontId="25" fillId="0" borderId="65" xfId="0" applyFont="1" applyBorder="1" applyAlignment="1">
      <alignment horizontal="center" vertical="center" wrapText="1"/>
    </xf>
    <xf numFmtId="0" fontId="25" fillId="0" borderId="69" xfId="0" applyFont="1" applyBorder="1" applyAlignment="1">
      <alignment horizontal="center" vertical="center" wrapText="1"/>
    </xf>
    <xf numFmtId="0" fontId="36" fillId="0" borderId="66" xfId="0" applyFont="1" applyBorder="1" applyAlignment="1">
      <alignment horizontal="center" vertical="top" wrapText="1"/>
    </xf>
    <xf numFmtId="0" fontId="26" fillId="0" borderId="65" xfId="0" applyFont="1" applyBorder="1" applyAlignment="1">
      <alignment horizontal="center" vertical="top"/>
    </xf>
    <xf numFmtId="0" fontId="25" fillId="0" borderId="65" xfId="0" applyFont="1" applyBorder="1" applyAlignment="1">
      <alignment horizontal="center" vertical="top" textRotation="90"/>
    </xf>
    <xf numFmtId="9" fontId="25" fillId="0" borderId="65" xfId="0" applyNumberFormat="1" applyFont="1" applyBorder="1" applyAlignment="1">
      <alignment horizontal="center" vertical="top"/>
    </xf>
    <xf numFmtId="0" fontId="26" fillId="0" borderId="65" xfId="0" applyFont="1" applyBorder="1" applyAlignment="1">
      <alignment horizontal="left" vertical="top" wrapText="1"/>
    </xf>
    <xf numFmtId="0" fontId="26" fillId="0" borderId="65" xfId="0" applyFont="1" applyBorder="1" applyAlignment="1">
      <alignment horizontal="center" vertical="top" wrapText="1"/>
    </xf>
    <xf numFmtId="164" fontId="26" fillId="0" borderId="65" xfId="0" applyNumberFormat="1" applyFont="1" applyBorder="1" applyAlignment="1">
      <alignment horizontal="center" vertical="top"/>
    </xf>
    <xf numFmtId="0" fontId="36" fillId="0" borderId="65" xfId="0" applyFont="1" applyBorder="1" applyAlignment="1">
      <alignment horizontal="center" vertical="top" textRotation="90" wrapText="1"/>
    </xf>
    <xf numFmtId="0" fontId="36" fillId="0" borderId="65" xfId="0" applyFont="1" applyBorder="1" applyAlignment="1">
      <alignment horizontal="center" vertical="top" textRotation="90"/>
    </xf>
    <xf numFmtId="0" fontId="27" fillId="8" borderId="65" xfId="0" applyFont="1" applyFill="1" applyBorder="1" applyAlignment="1">
      <alignment horizontal="center" vertical="center" wrapText="1"/>
    </xf>
    <xf numFmtId="0" fontId="27" fillId="8" borderId="56" xfId="0" applyFont="1" applyFill="1" applyBorder="1" applyAlignment="1">
      <alignment horizontal="center" vertical="center" wrapText="1"/>
    </xf>
    <xf numFmtId="0" fontId="10" fillId="0" borderId="59" xfId="0" applyFont="1" applyBorder="1"/>
    <xf numFmtId="0" fontId="26" fillId="0" borderId="65" xfId="0" applyFont="1" applyBorder="1" applyAlignment="1">
      <alignment horizontal="center" vertical="center"/>
    </xf>
    <xf numFmtId="0" fontId="25" fillId="0" borderId="65" xfId="0" applyFont="1" applyBorder="1" applyAlignment="1">
      <alignment horizontal="center" vertical="top" wrapText="1"/>
    </xf>
    <xf numFmtId="0" fontId="25" fillId="0" borderId="65" xfId="0" applyFont="1" applyBorder="1" applyAlignment="1">
      <alignment horizontal="center" vertical="top"/>
    </xf>
    <xf numFmtId="0" fontId="36" fillId="0" borderId="65" xfId="0" applyFont="1" applyBorder="1" applyAlignment="1">
      <alignment horizontal="center" vertical="top"/>
    </xf>
    <xf numFmtId="0" fontId="14" fillId="0" borderId="65" xfId="0" applyFont="1" applyBorder="1" applyAlignment="1">
      <alignment horizontal="center" vertical="center" wrapText="1"/>
    </xf>
    <xf numFmtId="0" fontId="14" fillId="0" borderId="69" xfId="0" applyFont="1" applyBorder="1" applyAlignment="1">
      <alignment horizontal="center" vertical="center" wrapText="1"/>
    </xf>
    <xf numFmtId="0" fontId="26" fillId="0" borderId="72" xfId="0" applyFont="1" applyBorder="1" applyAlignment="1">
      <alignment horizontal="center" vertical="top"/>
    </xf>
    <xf numFmtId="0" fontId="27" fillId="8" borderId="65" xfId="0" applyFont="1" applyFill="1" applyBorder="1" applyAlignment="1">
      <alignment horizontal="center" vertical="center" textRotation="90" wrapText="1"/>
    </xf>
    <xf numFmtId="0" fontId="27" fillId="8" borderId="62" xfId="0" applyFont="1" applyFill="1" applyBorder="1" applyAlignment="1">
      <alignment horizontal="center" vertical="center"/>
    </xf>
    <xf numFmtId="0" fontId="10" fillId="0" borderId="63" xfId="0" applyFont="1" applyBorder="1"/>
    <xf numFmtId="0" fontId="10" fillId="0" borderId="64" xfId="0" applyFont="1" applyBorder="1"/>
    <xf numFmtId="0" fontId="27" fillId="8" borderId="59" xfId="0" applyFont="1" applyFill="1" applyBorder="1" applyAlignment="1">
      <alignment horizontal="center" vertical="center"/>
    </xf>
    <xf numFmtId="0" fontId="10" fillId="0" borderId="60" xfId="0" applyFont="1" applyBorder="1"/>
    <xf numFmtId="0" fontId="10" fillId="0" borderId="61" xfId="0" applyFont="1" applyBorder="1"/>
    <xf numFmtId="0" fontId="28" fillId="8" borderId="65" xfId="0" applyFont="1" applyFill="1" applyBorder="1" applyAlignment="1">
      <alignment horizontal="center" vertical="center" textRotation="90"/>
    </xf>
    <xf numFmtId="0" fontId="27" fillId="8" borderId="65" xfId="0" applyFont="1" applyFill="1" applyBorder="1" applyAlignment="1">
      <alignment horizontal="center" vertical="center"/>
    </xf>
    <xf numFmtId="0" fontId="27" fillId="8" borderId="66" xfId="0" applyFont="1" applyFill="1" applyBorder="1" applyAlignment="1">
      <alignment horizontal="center" vertical="center" wrapText="1"/>
    </xf>
    <xf numFmtId="0" fontId="27" fillId="8" borderId="66" xfId="0" applyFont="1" applyFill="1" applyBorder="1" applyAlignment="1">
      <alignment horizontal="center" vertical="center"/>
    </xf>
    <xf numFmtId="0" fontId="27" fillId="8" borderId="67" xfId="0" applyFont="1" applyFill="1" applyBorder="1" applyAlignment="1">
      <alignment horizontal="center" vertical="center"/>
    </xf>
    <xf numFmtId="0" fontId="27" fillId="8" borderId="67" xfId="0" applyFont="1" applyFill="1" applyBorder="1" applyAlignment="1">
      <alignment horizontal="center" vertical="center" wrapText="1"/>
    </xf>
    <xf numFmtId="0" fontId="17" fillId="9" borderId="34" xfId="0" applyFont="1" applyFill="1" applyBorder="1" applyAlignment="1">
      <alignment horizontal="center" vertical="center" wrapText="1"/>
    </xf>
    <xf numFmtId="0" fontId="27" fillId="8" borderId="62" xfId="0" applyFont="1" applyFill="1" applyBorder="1" applyAlignment="1">
      <alignment horizontal="center" vertical="center" wrapText="1"/>
    </xf>
    <xf numFmtId="0" fontId="33" fillId="8" borderId="56" xfId="0" applyFont="1" applyFill="1" applyBorder="1" applyAlignment="1">
      <alignment horizontal="left" vertical="center"/>
    </xf>
    <xf numFmtId="0" fontId="10" fillId="0" borderId="57" xfId="0" applyFont="1" applyBorder="1" applyAlignment="1">
      <alignment horizontal="left"/>
    </xf>
    <xf numFmtId="0" fontId="10" fillId="0" borderId="58" xfId="0" applyFont="1" applyBorder="1" applyAlignment="1">
      <alignment horizontal="left"/>
    </xf>
    <xf numFmtId="0" fontId="10" fillId="0" borderId="59" xfId="0" applyFont="1" applyBorder="1" applyAlignment="1">
      <alignment horizontal="left"/>
    </xf>
    <xf numFmtId="0" fontId="10" fillId="0" borderId="60" xfId="0" applyFont="1" applyBorder="1" applyAlignment="1">
      <alignment horizontal="left"/>
    </xf>
    <xf numFmtId="0" fontId="10" fillId="0" borderId="61" xfId="0" applyFont="1" applyBorder="1" applyAlignment="1">
      <alignment horizontal="left"/>
    </xf>
    <xf numFmtId="0" fontId="24" fillId="8" borderId="62" xfId="0" applyFont="1" applyFill="1" applyBorder="1" applyAlignment="1">
      <alignment horizontal="left" vertical="center"/>
    </xf>
    <xf numFmtId="0" fontId="25" fillId="9" borderId="62" xfId="0" applyFont="1" applyFill="1" applyBorder="1" applyAlignment="1">
      <alignment horizontal="left" vertical="center"/>
    </xf>
    <xf numFmtId="0" fontId="10" fillId="0" borderId="63" xfId="0" applyFont="1" applyBorder="1" applyAlignment="1">
      <alignment horizontal="left"/>
    </xf>
    <xf numFmtId="0" fontId="10" fillId="0" borderId="64" xfId="0" applyFont="1" applyBorder="1" applyAlignment="1">
      <alignment horizontal="left"/>
    </xf>
    <xf numFmtId="0" fontId="12" fillId="0" borderId="63" xfId="0" applyFont="1" applyBorder="1" applyAlignment="1">
      <alignment horizontal="left" vertical="center"/>
    </xf>
    <xf numFmtId="0" fontId="12" fillId="0" borderId="57" xfId="0" applyFont="1" applyBorder="1" applyAlignment="1">
      <alignment horizontal="left" vertical="center"/>
    </xf>
    <xf numFmtId="0" fontId="10" fillId="0" borderId="57" xfId="0" applyFont="1" applyBorder="1"/>
    <xf numFmtId="0" fontId="10" fillId="0" borderId="58" xfId="0" applyFont="1" applyBorder="1"/>
    <xf numFmtId="0" fontId="23" fillId="13" borderId="48" xfId="0" applyFont="1" applyFill="1" applyBorder="1" applyAlignment="1" applyProtection="1">
      <alignment horizontal="justify" vertical="top" wrapText="1"/>
      <protection locked="0"/>
    </xf>
    <xf numFmtId="0" fontId="23" fillId="13" borderId="51" xfId="0" applyFont="1" applyFill="1" applyBorder="1" applyAlignment="1" applyProtection="1">
      <alignment horizontal="justify" vertical="top" wrapText="1"/>
      <protection locked="0"/>
    </xf>
    <xf numFmtId="0" fontId="48" fillId="13" borderId="48" xfId="0" applyFont="1" applyFill="1" applyBorder="1" applyAlignment="1" applyProtection="1">
      <alignment horizontal="justify" vertical="top" wrapText="1"/>
      <protection locked="0"/>
    </xf>
    <xf numFmtId="0" fontId="41" fillId="13" borderId="39" xfId="0" applyFont="1" applyFill="1" applyBorder="1" applyAlignment="1" applyProtection="1">
      <alignment horizontal="justify" vertical="top" wrapText="1"/>
      <protection locked="0"/>
    </xf>
    <xf numFmtId="0" fontId="23" fillId="13" borderId="52" xfId="0" applyFont="1" applyFill="1" applyBorder="1" applyAlignment="1" applyProtection="1">
      <alignment horizontal="justify" vertical="top" wrapText="1"/>
      <protection locked="0"/>
    </xf>
    <xf numFmtId="0" fontId="43" fillId="13" borderId="47" xfId="0" applyFont="1" applyFill="1" applyBorder="1" applyAlignment="1" applyProtection="1">
      <alignment horizontal="justify" vertical="top" wrapText="1"/>
      <protection locked="0"/>
    </xf>
    <xf numFmtId="0" fontId="43" fillId="13" borderId="54" xfId="0" applyFont="1" applyFill="1" applyBorder="1" applyAlignment="1" applyProtection="1">
      <alignment horizontal="justify" vertical="top" textRotation="180" wrapText="1"/>
      <protection locked="0"/>
    </xf>
    <xf numFmtId="0" fontId="43" fillId="13" borderId="55" xfId="0" applyFont="1" applyFill="1" applyBorder="1" applyAlignment="1" applyProtection="1">
      <alignment horizontal="justify" vertical="top" textRotation="180" wrapText="1"/>
      <protection locked="0"/>
    </xf>
    <xf numFmtId="0" fontId="23" fillId="13" borderId="41" xfId="0" applyFont="1" applyFill="1" applyBorder="1" applyAlignment="1" applyProtection="1">
      <alignment horizontal="justify" vertical="top" wrapText="1"/>
      <protection locked="0"/>
    </xf>
    <xf numFmtId="0" fontId="23" fillId="13" borderId="53" xfId="0" applyFont="1" applyFill="1" applyBorder="1" applyAlignment="1" applyProtection="1">
      <alignment horizontal="justify" vertical="top" wrapText="1"/>
      <protection locked="0"/>
    </xf>
    <xf numFmtId="9" fontId="23" fillId="0" borderId="48" xfId="0" applyNumberFormat="1" applyFont="1" applyBorder="1" applyAlignment="1" applyProtection="1">
      <alignment horizontal="justify" vertical="top" wrapText="1"/>
      <protection hidden="1"/>
    </xf>
    <xf numFmtId="9" fontId="23" fillId="0" borderId="51" xfId="0" applyNumberFormat="1" applyFont="1" applyBorder="1" applyAlignment="1" applyProtection="1">
      <alignment horizontal="justify" vertical="top" wrapText="1"/>
      <protection hidden="1"/>
    </xf>
    <xf numFmtId="0" fontId="27" fillId="6" borderId="49" xfId="0" applyFont="1" applyFill="1" applyBorder="1" applyAlignment="1">
      <alignment horizontal="center" vertical="center" textRotation="180" wrapText="1"/>
    </xf>
    <xf numFmtId="0" fontId="27" fillId="6" borderId="45" xfId="0" applyFont="1" applyFill="1" applyBorder="1" applyAlignment="1">
      <alignment horizontal="center" vertical="center" wrapText="1"/>
    </xf>
    <xf numFmtId="0" fontId="27" fillId="6" borderId="52" xfId="0" applyFont="1" applyFill="1" applyBorder="1" applyAlignment="1">
      <alignment horizontal="center" vertical="center" textRotation="180" wrapText="1"/>
    </xf>
    <xf numFmtId="0" fontId="27" fillId="6" borderId="42" xfId="0" applyFont="1" applyFill="1" applyBorder="1" applyAlignment="1">
      <alignment horizontal="center" vertical="center" textRotation="180"/>
    </xf>
    <xf numFmtId="0" fontId="27" fillId="6" borderId="50" xfId="0" applyFont="1" applyFill="1" applyBorder="1" applyAlignment="1">
      <alignment horizontal="center" vertical="center" textRotation="180" wrapText="1"/>
    </xf>
    <xf numFmtId="0" fontId="27" fillId="6" borderId="50" xfId="0" applyFont="1" applyFill="1" applyBorder="1" applyAlignment="1">
      <alignment horizontal="left" vertical="center" wrapText="1"/>
    </xf>
    <xf numFmtId="0" fontId="27" fillId="6" borderId="49" xfId="0" applyFont="1" applyFill="1" applyBorder="1" applyAlignment="1">
      <alignment horizontal="left" vertical="center" wrapText="1"/>
    </xf>
    <xf numFmtId="0" fontId="27" fillId="6" borderId="48" xfId="0" applyFont="1" applyFill="1" applyBorder="1" applyAlignment="1">
      <alignment horizontal="left" vertical="top" wrapText="1"/>
    </xf>
    <xf numFmtId="0" fontId="27" fillId="6" borderId="51" xfId="0" applyFont="1" applyFill="1" applyBorder="1" applyAlignment="1">
      <alignment horizontal="left" vertical="top" wrapText="1"/>
    </xf>
    <xf numFmtId="0" fontId="27" fillId="6" borderId="50" xfId="0" applyFont="1" applyFill="1" applyBorder="1" applyAlignment="1">
      <alignment horizontal="left" vertical="center"/>
    </xf>
    <xf numFmtId="0" fontId="27" fillId="6" borderId="48" xfId="0" applyFont="1" applyFill="1" applyBorder="1" applyAlignment="1">
      <alignment horizontal="left" vertical="center"/>
    </xf>
    <xf numFmtId="0" fontId="27" fillId="6" borderId="51" xfId="0" applyFont="1" applyFill="1" applyBorder="1" applyAlignment="1">
      <alignment horizontal="center" vertical="center" textRotation="180" wrapText="1"/>
    </xf>
    <xf numFmtId="0" fontId="26" fillId="9" borderId="38" xfId="0" applyFont="1" applyFill="1" applyBorder="1" applyAlignment="1">
      <alignment horizontal="center" vertical="center" wrapText="1"/>
    </xf>
    <xf numFmtId="0" fontId="26" fillId="9" borderId="38" xfId="0" applyFont="1" applyFill="1" applyBorder="1" applyAlignment="1">
      <alignment horizontal="center" vertical="center"/>
    </xf>
    <xf numFmtId="0" fontId="26" fillId="9" borderId="38" xfId="0" applyFont="1" applyFill="1" applyBorder="1" applyAlignment="1">
      <alignment horizontal="center" vertical="top" wrapText="1"/>
    </xf>
    <xf numFmtId="0" fontId="26" fillId="9" borderId="70" xfId="0" applyFont="1" applyFill="1" applyBorder="1" applyAlignment="1">
      <alignment horizontal="center" vertical="center" wrapText="1"/>
    </xf>
    <xf numFmtId="0" fontId="26" fillId="9" borderId="70" xfId="0" applyFont="1" applyFill="1" applyBorder="1" applyAlignment="1">
      <alignment horizontal="center" vertical="center"/>
    </xf>
    <xf numFmtId="0" fontId="26" fillId="9" borderId="62" xfId="0" applyFont="1" applyFill="1" applyBorder="1" applyAlignment="1">
      <alignment horizontal="center" vertical="top" wrapText="1"/>
    </xf>
    <xf numFmtId="0" fontId="26" fillId="9" borderId="68" xfId="0" applyFont="1" applyFill="1" applyBorder="1" applyAlignment="1">
      <alignment horizontal="center" vertical="center" wrapText="1"/>
    </xf>
    <xf numFmtId="0" fontId="26" fillId="9" borderId="71" xfId="0" applyFont="1" applyFill="1" applyBorder="1" applyAlignment="1">
      <alignment horizontal="center" vertical="center" wrapText="1"/>
    </xf>
    <xf numFmtId="0" fontId="27" fillId="9" borderId="74" xfId="0" applyFont="1" applyFill="1" applyBorder="1" applyAlignment="1">
      <alignment horizontal="center" vertical="center"/>
    </xf>
    <xf numFmtId="0" fontId="27" fillId="9" borderId="75" xfId="0" applyFont="1" applyFill="1" applyBorder="1" applyAlignment="1">
      <alignment horizontal="center" vertical="center"/>
    </xf>
    <xf numFmtId="0" fontId="27" fillId="9" borderId="38" xfId="0" applyFont="1" applyFill="1" applyBorder="1" applyAlignment="1">
      <alignment horizontal="center" vertical="center"/>
    </xf>
  </cellXfs>
  <cellStyles count="22">
    <cellStyle name="Excel Built-in Currency [0]" xfId="9" xr:uid="{FABAE853-1D2A-47CF-9121-0A06B10A31D0}"/>
    <cellStyle name="Hipervínculo 2" xfId="13" xr:uid="{7936C37B-FBD2-43EF-9FA1-16C2E1A2A185}"/>
    <cellStyle name="Moneda 2" xfId="6" xr:uid="{A70F239C-0687-4026-B631-59EE897BE17D}"/>
    <cellStyle name="Normal" xfId="0" builtinId="0"/>
    <cellStyle name="Normal 10" xfId="17" xr:uid="{3BDCE15E-3447-42F9-B475-F097EFEB374A}"/>
    <cellStyle name="Normal 11" xfId="19" xr:uid="{F1C2DAE2-3105-425D-969C-32259E01308A}"/>
    <cellStyle name="Normal 12" xfId="20" xr:uid="{6915762A-67FD-48E2-B4C8-92E88B96C094}"/>
    <cellStyle name="Normal 2" xfId="1" xr:uid="{00000000-0005-0000-0000-000001000000}"/>
    <cellStyle name="Normal 2 2" xfId="12" xr:uid="{D32F50AE-52CD-4911-8381-AA8F172F2179}"/>
    <cellStyle name="Normal 3" xfId="2" xr:uid="{9F39DA74-3561-45AB-A9F8-F0F1DF7F9137}"/>
    <cellStyle name="Normal 4" xfId="3" xr:uid="{39EBC8F5-15EC-4354-ACC3-AF6C96B4C436}"/>
    <cellStyle name="Normal 5" xfId="4" xr:uid="{3EB035AA-B078-4D8A-88F1-3F03164FF781}"/>
    <cellStyle name="Normal 6" xfId="5" xr:uid="{0EF03569-8475-465A-AB7F-2E2DEFC00DF7}"/>
    <cellStyle name="Normal 7" xfId="7" xr:uid="{277702CE-93D5-419F-B438-6F475D47B794}"/>
    <cellStyle name="Normal 8" xfId="10" xr:uid="{2E7E319C-D974-4499-B8DB-15470B08EFE5}"/>
    <cellStyle name="Normal 9" xfId="14" xr:uid="{B7C11B45-55AC-4D3C-A7AE-ED9CD5DD1CCA}"/>
    <cellStyle name="Porcentaje" xfId="16" builtinId="5"/>
    <cellStyle name="Porcentaje 2" xfId="8" xr:uid="{D5C6F6A0-1A75-4F98-B3F9-47CA5C193AAB}"/>
    <cellStyle name="Porcentaje 3" xfId="11" xr:uid="{96A515F3-A793-43AB-9A6A-E6B96DDDEA64}"/>
    <cellStyle name="Porcentaje 4" xfId="15" xr:uid="{3F965C8F-76B0-4B2E-86E8-5588F8CACA07}"/>
    <cellStyle name="Porcentaje 5" xfId="18" xr:uid="{11045511-3AF2-4F81-93D0-444188FD140D}"/>
    <cellStyle name="Porcentaje 6" xfId="21" xr:uid="{1071F6F4-E11D-402A-982F-53678D5AC56F}"/>
  </cellStyles>
  <dxfs count="503">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E46C0A"/>
        </patternFill>
      </fill>
    </dxf>
    <dxf>
      <fill>
        <patternFill>
          <bgColor rgb="FFC00000"/>
        </patternFill>
      </fill>
    </dxf>
    <dxf>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FFFFFFFF"/>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styles" Target="styles.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20SEC%20HACIENDA\MRG%20HACIENDA.xlsx" TargetMode="External"/><Relationship Id="rId1" Type="http://schemas.openxmlformats.org/officeDocument/2006/relationships/externalLinkPath" Target="1.%20BIM%20(EN-FEB-25)/1.%20SEC%20HACIENDA/MRG%20HACIENDA.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9.%20GEST%20CTRL%20DICIPLINARIO\MRG%20CTRL%20DISCIPL.xlsx" TargetMode="External"/><Relationship Id="rId1" Type="http://schemas.openxmlformats.org/officeDocument/2006/relationships/externalLinkPath" Target="1.%20BIM%20(EN-FEB-25)/9.%20GEST%20CTRL%20DICIPLINARIO/MRG%20CTRL%20DISCIPL.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0.%20GEST%20CATASTRAL\MRG%20CATASTRO.xlsx" TargetMode="External"/><Relationship Id="rId1" Type="http://schemas.openxmlformats.org/officeDocument/2006/relationships/externalLinkPath" Target="1.%20BIM%20(EN-FEB-25)/10.%20GEST%20CATASTRAL/MRG%20CATASTRO.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2.%20TRANSITO%20Y%20MOVIL\MRG%20TRANSITO.xlsx" TargetMode="External"/><Relationship Id="rId1" Type="http://schemas.openxmlformats.org/officeDocument/2006/relationships/externalLinkPath" Target="1.%20BIM%20(EN-FEB-25)/12.%20TRANSITO%20Y%20MOVIL/MRG%20TRANSITO.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9.%20RECURSO%20FISICO\MRG%20RECFIS.xlsx" TargetMode="External"/><Relationship Id="rId1" Type="http://schemas.openxmlformats.org/officeDocument/2006/relationships/externalLinkPath" Target="1.%20BIM%20(EN-FEB-25)/19.%20RECURSO%20FISICO/MRG%20RECFIS.xlsx" TargetMode="External"/></Relationships>
</file>

<file path=xl/externalLinks/_rels/externalLink14.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7.%20SIG%20Y%20MIPG\GESTION%20SIG.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17.%20SIG%20Y%20MIPG\GESTION%20SIG.xlsx?2B1115FA" TargetMode="External"/><Relationship Id="rId1" Type="http://schemas.openxmlformats.org/officeDocument/2006/relationships/externalLinkPath" Target="file:///\\2B1115FA\GESTION%20SIG.xlsx" TargetMode="External"/></Relationships>
</file>

<file path=xl/externalLinks/_rels/externalLink15.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2.%20SEC%20SALUD\MAP%20RX%20GEST%20SALUD.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2.%20SEC%20SALUD\MAP%20RX%20GEST%20SALUD.xlsx?4EC67560" TargetMode="External"/><Relationship Id="rId1" Type="http://schemas.openxmlformats.org/officeDocument/2006/relationships/externalLinkPath" Target="file:///\\4EC67560\MAP%20RX%20GEST%20SALUD.xlsx" TargetMode="External"/></Relationships>
</file>

<file path=xl/externalLinks/_rels/externalLink16.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7.%20CONTROL%20INTERNO\MR%20GEST%20CTRINTER.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7.%20CONTROL%20INTERNO\MR%20GEST%20CTRINTER.xlsx?2AD2F16A" TargetMode="External"/><Relationship Id="rId1" Type="http://schemas.openxmlformats.org/officeDocument/2006/relationships/externalLinkPath" Target="file:///\\2AD2F16A\MR%20GEST%20CTRINTER.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2.%20BIM%20(MARZ-ABRIL-25)\3.%20ESTRAT%20COMUNICACIONES\MRG%20GEC%20MARZO.xlsx" TargetMode="External"/><Relationship Id="rId1" Type="http://schemas.openxmlformats.org/officeDocument/2006/relationships/externalLinkPath" Target="2.%20BIM%20(MARZ-ABRIL-25)/3.%20ESTRAT%20COMUNICACIONES/MRG%20GEC%20MARZ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2.%20SEC%20SALUD\MAP%20RX%20GEST%20SALUD.xlsx" TargetMode="External"/><Relationship Id="rId1" Type="http://schemas.openxmlformats.org/officeDocument/2006/relationships/externalLinkPath" Target="1.%20BIM%20(EN-FEB-25)/2.%20SEC%20SALUD/MAP%20RX%20GEST%20SALU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3.%20GEST%20JURIDICA\MAP%20GEST%20JURIDICA.xlsx" TargetMode="External"/><Relationship Id="rId1" Type="http://schemas.openxmlformats.org/officeDocument/2006/relationships/externalLinkPath" Target="1.%20BIM%20(EN-FEB-25)/3.%20GEST%20JURIDICA/MAP%20GEST%20JURIDICA.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4.%20GEST%20SS%20AT%20CIUDADANO\MRG%20ATCIU.xlsx" TargetMode="External"/><Relationship Id="rId1" Type="http://schemas.openxmlformats.org/officeDocument/2006/relationships/externalLinkPath" Target="1.%20BIM%20(EN-FEB-25)/4.%20GEST%20SS%20AT%20CIUDADANO/MRG%20ATCI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Marcela/Downloads/MARCELA%20MAPA%20GESTION.xlsx%20a&#241;o%202023%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ORIS\Documents\riesgos\2024\MAPA%20RIESGOS%20GIT%20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6.%20GEST%20INFRA%20TECNOL\MR%20GIT%20GESTFISC.xlsx" TargetMode="External"/><Relationship Id="rId1" Type="http://schemas.openxmlformats.org/officeDocument/2006/relationships/externalLinkPath" Target="1.%20BIM%20(EN-FEB-25)/6.%20GEST%20INFRA%20TECNOL/MR%20GIT%20GESTFISC.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7.%20CONTROL%20INTERNO\MR%20GEST%20CTRINTER.xlsx" TargetMode="External"/><Relationship Id="rId1" Type="http://schemas.openxmlformats.org/officeDocument/2006/relationships/externalLinkPath" Target="1.%20BIM%20(EN-FEB-25)/7.%20CONTROL%20INTERNO/MR%20GEST%20CTRINTER.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8.%20GEST%20ESTRAT%20COMUNIC\MR%20GEST%20GEC.xlsx" TargetMode="External"/><Relationship Id="rId1" Type="http://schemas.openxmlformats.org/officeDocument/2006/relationships/externalLinkPath" Target="1.%20BIM%20(EN-FEB-25)/8.%20GEST%20ESTRAT%20COMUNIC/MR%20GEST%20G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Mapa final"/>
      <sheetName val="DOFA"/>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ow r="19">
          <cell r="B19" t="str">
            <v xml:space="preserve"> falta de actualización de los documentos de los procesos de gestión de la Secretaría de Hacienda.</v>
          </cell>
        </row>
        <row r="20">
          <cell r="B20" t="str">
            <v>Inconsistencia en los cruces entre bancos y las certificaciones</v>
          </cell>
        </row>
        <row r="34">
          <cell r="B34" t="str">
            <v>Inadecuada deducción de impuestos, tasas o contribuciones al contratista</v>
          </cell>
        </row>
        <row r="35">
          <cell r="B35" t="str">
            <v>Deficiente seguimiento por parte de los ordenadores del gasto  en la ejecución presupuestal</v>
          </cell>
        </row>
        <row r="36">
          <cell r="B36" t="str">
            <v>Falta de aplicación de las políticas del proceso de gestión docuemntal en el control y préstamo de la documentación.</v>
          </cell>
        </row>
        <row r="37">
          <cell r="B37" t="str">
            <v>1, Retraso en la entrega de información relacionada con actualización y/o conservación catastral por parte del Gestor catastral.  Notificación indebida y/o extemporanea</v>
          </cell>
        </row>
        <row r="38">
          <cell r="B38" t="str">
            <v xml:space="preserve">Debilidad de la Dirección de Tesorería-grupo Cobro Coactivo para efectuar el control de  los impulsos procesales de la cartera de cobro.  </v>
          </cell>
        </row>
      </sheetData>
      <sheetData sheetId="3" refreshError="1"/>
      <sheetData sheetId="4">
        <row r="39">
          <cell r="E39" t="str">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ell>
        </row>
        <row r="40">
          <cell r="E40" t="str">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ell>
        </row>
        <row r="41">
          <cell r="E41" t="str">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ell>
        </row>
        <row r="42">
          <cell r="E42" t="str">
            <v>D 13, D14. O10, F11 , A4. El Director de Tesoreria , anualmente, emitirá Certificado de superávit o déficit fiscal, dejando como evidencia dicha certificación. 
(PRO-GHP-010: PROCEDIMIENTO: CIERRE DEL EJERCICIO FISCAL)</v>
          </cell>
        </row>
        <row r="43">
          <cell r="E43" t="str">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ell>
        </row>
        <row r="44">
          <cell r="E44" t="str">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ell>
        </row>
        <row r="45">
          <cell r="E45" t="str">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ell>
        </row>
      </sheetData>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PRIORIZ CAUSA R CORUP TRÁMITE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òn de Causa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uctivo"/>
      <sheetName val="Contexto"/>
      <sheetName val="Priorizacion de Causa"/>
      <sheetName val="DOFA"/>
      <sheetName val="Mapa final"/>
      <sheetName val="Matriz Calor Inherente"/>
      <sheetName val="Matriz Calor Residual"/>
      <sheetName val="Tabla probabilidad"/>
      <sheetName val="Tabla Impacto"/>
      <sheetName val="Tabla Valoración controles"/>
      <sheetName val="Hoja2"/>
      <sheetName val="Hoja3"/>
      <sheetName val="Opciones Tratamiento"/>
      <sheetName val="Hoja1"/>
    </sheetNames>
    <sheetDataSet>
      <sheetData sheetId="0"/>
      <sheetData sheetId="1"/>
      <sheetData sheetId="2"/>
      <sheetData sheetId="3"/>
      <sheetData sheetId="4"/>
      <sheetData sheetId="5"/>
      <sheetData sheetId="6"/>
      <sheetData sheetId="7"/>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Tabla Impacto"/>
      <sheetName val="Mapa final"/>
      <sheetName val="Matriz Calor Inherente"/>
      <sheetName val="Matriz Calor Residual"/>
      <sheetName val="Tabla probabilidad"/>
      <sheetName val="Tabla Valoración controles"/>
      <sheetName val="Opciones Tratamiento"/>
      <sheetName val="Hoja1"/>
    </sheetNames>
    <sheetDataSet>
      <sheetData sheetId="0" refreshError="1"/>
      <sheetData sheetId="1"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sheetName val="PRIORIZACIÓN DE CAUSA"/>
      <sheetName val="DOFA "/>
      <sheetName val="Mapa final 2025"/>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ÓN DE CAUSA"/>
      <sheetName val="DOFA "/>
      <sheetName val="Mapa final 2025"/>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
      <sheetName val="DOFA"/>
      <sheetName val="Mapa final"/>
      <sheetName val="Matriz Calor Inherente"/>
      <sheetName val="Matriz Calor Residual"/>
      <sheetName val="Tabla probabilidad"/>
      <sheetName val="Tabla Impacto"/>
      <sheetName val="Tabla Valoración controles"/>
      <sheetName val="Hoja2"/>
      <sheetName val="Hoja3"/>
      <sheetName val="Opciones Tratamiento"/>
      <sheetName val="Hoja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Priorizacion de Causas"/>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c r="A4" s="1" t="s">
        <v>3</v>
      </c>
    </row>
    <row r="5" spans="1:1" ht="14.25" customHeight="1" x14ac:dyDescent="0.3"/>
    <row r="6" spans="1:1" ht="14.25" customHeight="1" x14ac:dyDescent="0.3">
      <c r="A6" s="1" t="s">
        <v>4</v>
      </c>
    </row>
    <row r="7" spans="1:1" ht="14.25" customHeight="1" x14ac:dyDescent="0.3">
      <c r="A7" s="1" t="s">
        <v>5</v>
      </c>
    </row>
    <row r="8" spans="1:1" ht="14.25" customHeight="1" x14ac:dyDescent="0.3">
      <c r="A8" s="1" t="s">
        <v>6</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5"/>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61</v>
      </c>
    </row>
    <row r="2" spans="1:1" ht="14.25" customHeight="1" x14ac:dyDescent="0.3">
      <c r="A2" s="1" t="s">
        <v>62</v>
      </c>
    </row>
    <row r="3" spans="1:1" ht="14.25" customHeight="1" x14ac:dyDescent="0.3">
      <c r="A3" s="1" t="s">
        <v>63</v>
      </c>
    </row>
    <row r="4" spans="1:1" ht="14.25" customHeight="1" x14ac:dyDescent="0.3">
      <c r="A4" s="1" t="s">
        <v>64</v>
      </c>
    </row>
    <row r="5" spans="1:1" ht="14.25" customHeight="1" x14ac:dyDescent="0.3">
      <c r="A5" s="1" t="s">
        <v>65</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90"/>
  <sheetViews>
    <sheetView workbookViewId="0"/>
  </sheetViews>
  <sheetFormatPr baseColWidth="10" defaultColWidth="14.44140625" defaultRowHeight="15" customHeight="1" x14ac:dyDescent="0.3"/>
  <cols>
    <col min="1" max="1" width="37.44140625" customWidth="1"/>
    <col min="2" max="2" width="72.33203125" customWidth="1"/>
    <col min="3" max="3" width="59.88671875" customWidth="1"/>
    <col min="4" max="26" width="11.44140625" customWidth="1"/>
  </cols>
  <sheetData>
    <row r="1" spans="1:1" ht="14.25" customHeight="1" x14ac:dyDescent="0.3">
      <c r="A1" s="23" t="s">
        <v>66</v>
      </c>
    </row>
    <row r="2" spans="1:1" ht="14.25" customHeight="1" x14ac:dyDescent="0.3">
      <c r="A2" s="10"/>
    </row>
    <row r="3" spans="1:1" ht="14.25" customHeight="1" x14ac:dyDescent="0.3">
      <c r="A3" s="10" t="s">
        <v>67</v>
      </c>
    </row>
    <row r="4" spans="1:1" ht="14.25" customHeight="1" x14ac:dyDescent="0.3">
      <c r="A4" s="10" t="s">
        <v>68</v>
      </c>
    </row>
    <row r="5" spans="1:1" ht="14.25" customHeight="1" x14ac:dyDescent="0.3"/>
    <row r="6" spans="1:1" ht="14.25" customHeight="1" x14ac:dyDescent="0.3">
      <c r="A6" s="23" t="s">
        <v>69</v>
      </c>
    </row>
    <row r="7" spans="1:1" ht="14.25" customHeight="1" x14ac:dyDescent="0.3">
      <c r="A7" s="1" t="s">
        <v>70</v>
      </c>
    </row>
    <row r="8" spans="1:1" ht="14.25" customHeight="1" x14ac:dyDescent="0.3">
      <c r="A8" s="1" t="s">
        <v>71</v>
      </c>
    </row>
    <row r="9" spans="1:1" ht="14.25" customHeight="1" x14ac:dyDescent="0.3">
      <c r="A9" s="1" t="s">
        <v>72</v>
      </c>
    </row>
    <row r="10" spans="1:1" ht="14.25" customHeight="1" x14ac:dyDescent="0.3">
      <c r="A10" s="1" t="s">
        <v>73</v>
      </c>
    </row>
    <row r="11" spans="1:1" ht="14.25" customHeight="1" x14ac:dyDescent="0.3">
      <c r="A11" s="1" t="s">
        <v>74</v>
      </c>
    </row>
    <row r="12" spans="1:1" ht="14.25" customHeight="1" x14ac:dyDescent="0.3">
      <c r="A12" s="1" t="s">
        <v>75</v>
      </c>
    </row>
    <row r="13" spans="1:1" ht="14.25" customHeight="1" x14ac:dyDescent="0.3">
      <c r="A13" s="1" t="s">
        <v>76</v>
      </c>
    </row>
    <row r="14" spans="1:1" ht="14.25" customHeight="1" x14ac:dyDescent="0.3">
      <c r="A14" s="1" t="s">
        <v>77</v>
      </c>
    </row>
    <row r="15" spans="1:1" ht="14.25" customHeight="1" x14ac:dyDescent="0.3">
      <c r="A15" s="1" t="s">
        <v>78</v>
      </c>
    </row>
    <row r="16" spans="1:1" ht="14.25" customHeight="1" x14ac:dyDescent="0.3">
      <c r="A16" s="1" t="s">
        <v>79</v>
      </c>
    </row>
    <row r="19" spans="1:3" ht="14.25" customHeight="1" x14ac:dyDescent="0.3">
      <c r="A19" s="23" t="s">
        <v>80</v>
      </c>
      <c r="C19" s="24"/>
    </row>
    <row r="20" spans="1:3" ht="14.25" customHeight="1" x14ac:dyDescent="0.3">
      <c r="A20" s="1" t="s">
        <v>81</v>
      </c>
      <c r="C20" s="24"/>
    </row>
    <row r="21" spans="1:3" ht="14.25" customHeight="1" x14ac:dyDescent="0.3">
      <c r="A21" s="1" t="s">
        <v>82</v>
      </c>
      <c r="C21" s="24"/>
    </row>
    <row r="22" spans="1:3" ht="14.25" customHeight="1" x14ac:dyDescent="0.3">
      <c r="A22" s="1" t="s">
        <v>83</v>
      </c>
      <c r="C22" s="24"/>
    </row>
    <row r="23" spans="1:3" ht="14.25" customHeight="1" x14ac:dyDescent="0.3">
      <c r="A23" s="1" t="s">
        <v>84</v>
      </c>
      <c r="C23" s="24"/>
    </row>
    <row r="24" spans="1:3" ht="14.25" customHeight="1" x14ac:dyDescent="0.3">
      <c r="A24" s="1" t="s">
        <v>85</v>
      </c>
      <c r="C24" s="24"/>
    </row>
    <row r="25" spans="1:3" ht="14.25" customHeight="1" x14ac:dyDescent="0.3">
      <c r="A25" s="1" t="s">
        <v>86</v>
      </c>
      <c r="C25" s="24"/>
    </row>
    <row r="26" spans="1:3" ht="14.25" customHeight="1" x14ac:dyDescent="0.3">
      <c r="C26" s="24"/>
    </row>
    <row r="27" spans="1:3" ht="14.25" customHeight="1" x14ac:dyDescent="0.3">
      <c r="C27" s="24"/>
    </row>
    <row r="28" spans="1:3" ht="141" customHeight="1" x14ac:dyDescent="0.3">
      <c r="A28" s="25" t="s">
        <v>87</v>
      </c>
      <c r="B28" s="26" t="s">
        <v>88</v>
      </c>
      <c r="C28" s="26" t="s">
        <v>89</v>
      </c>
    </row>
    <row r="29" spans="1:3" ht="144" customHeight="1" x14ac:dyDescent="0.3">
      <c r="A29" s="1" t="s">
        <v>90</v>
      </c>
      <c r="B29" s="27" t="s">
        <v>91</v>
      </c>
      <c r="C29" s="28" t="s">
        <v>92</v>
      </c>
    </row>
    <row r="30" spans="1:3" ht="14.25" customHeight="1" x14ac:dyDescent="0.3">
      <c r="A30" s="29" t="s">
        <v>93</v>
      </c>
      <c r="B30" s="30" t="s">
        <v>94</v>
      </c>
      <c r="C30" s="28" t="s">
        <v>95</v>
      </c>
    </row>
    <row r="31" spans="1:3" ht="14.25" customHeight="1" x14ac:dyDescent="0.3">
      <c r="A31" s="1" t="s">
        <v>96</v>
      </c>
      <c r="B31" s="30" t="s">
        <v>97</v>
      </c>
      <c r="C31" s="28" t="s">
        <v>98</v>
      </c>
    </row>
    <row r="32" spans="1:3" ht="14.25" customHeight="1" x14ac:dyDescent="0.3">
      <c r="A32" s="1" t="s">
        <v>99</v>
      </c>
      <c r="B32" s="30" t="s">
        <v>100</v>
      </c>
      <c r="C32" s="28" t="s">
        <v>101</v>
      </c>
    </row>
    <row r="34" spans="1:3" ht="14.25" customHeight="1" x14ac:dyDescent="0.3">
      <c r="A34" s="1" t="s">
        <v>102</v>
      </c>
      <c r="C34" s="31" t="s">
        <v>103</v>
      </c>
    </row>
    <row r="35" spans="1:3" ht="14.25" customHeight="1" x14ac:dyDescent="0.3">
      <c r="A35" s="1">
        <v>1</v>
      </c>
      <c r="B35" s="1" t="e">
        <f t="shared" ref="B35:B53" si="0">IF(#REF!="X",1,0)</f>
        <v>#REF!</v>
      </c>
      <c r="C35" s="24"/>
    </row>
    <row r="36" spans="1:3" ht="14.25" customHeight="1" x14ac:dyDescent="0.3">
      <c r="A36" s="1">
        <v>2</v>
      </c>
      <c r="B36" s="1" t="e">
        <f t="shared" si="0"/>
        <v>#REF!</v>
      </c>
      <c r="C36" s="24" t="s">
        <v>67</v>
      </c>
    </row>
    <row r="37" spans="1:3" ht="14.25" customHeight="1" x14ac:dyDescent="0.3">
      <c r="A37" s="1">
        <v>3</v>
      </c>
      <c r="B37" s="1" t="e">
        <f t="shared" si="0"/>
        <v>#REF!</v>
      </c>
      <c r="C37" s="24"/>
    </row>
    <row r="38" spans="1:3" ht="14.25" customHeight="1" x14ac:dyDescent="0.3">
      <c r="A38" s="1">
        <v>4</v>
      </c>
      <c r="B38" s="1" t="e">
        <f t="shared" si="0"/>
        <v>#REF!</v>
      </c>
      <c r="C38" s="24"/>
    </row>
    <row r="39" spans="1:3" ht="14.25" customHeight="1" x14ac:dyDescent="0.3">
      <c r="A39" s="1">
        <v>5</v>
      </c>
      <c r="B39" s="1" t="e">
        <f t="shared" si="0"/>
        <v>#REF!</v>
      </c>
      <c r="C39" s="24"/>
    </row>
    <row r="40" spans="1:3" ht="14.25" customHeight="1" x14ac:dyDescent="0.3">
      <c r="A40" s="1">
        <v>6</v>
      </c>
      <c r="B40" s="1" t="e">
        <f t="shared" si="0"/>
        <v>#REF!</v>
      </c>
      <c r="C40" s="24"/>
    </row>
    <row r="41" spans="1:3" ht="14.25" customHeight="1" x14ac:dyDescent="0.3">
      <c r="A41" s="1">
        <v>7</v>
      </c>
      <c r="B41" s="1" t="e">
        <f t="shared" si="0"/>
        <v>#REF!</v>
      </c>
      <c r="C41" s="24"/>
    </row>
    <row r="42" spans="1:3" ht="14.25" customHeight="1" x14ac:dyDescent="0.3">
      <c r="A42" s="1">
        <v>8</v>
      </c>
      <c r="B42" s="1" t="e">
        <f t="shared" si="0"/>
        <v>#REF!</v>
      </c>
      <c r="C42" s="24"/>
    </row>
    <row r="43" spans="1:3" ht="14.25" customHeight="1" x14ac:dyDescent="0.3">
      <c r="A43" s="1">
        <v>9</v>
      </c>
      <c r="B43" s="1" t="e">
        <f t="shared" si="0"/>
        <v>#REF!</v>
      </c>
      <c r="C43" s="24"/>
    </row>
    <row r="44" spans="1:3" ht="14.25" customHeight="1" x14ac:dyDescent="0.3">
      <c r="A44" s="1">
        <v>10</v>
      </c>
      <c r="B44" s="1" t="e">
        <f t="shared" si="0"/>
        <v>#REF!</v>
      </c>
      <c r="C44" s="24"/>
    </row>
    <row r="45" spans="1:3" ht="14.25" customHeight="1" x14ac:dyDescent="0.3">
      <c r="A45" s="1">
        <v>11</v>
      </c>
      <c r="B45" s="1" t="e">
        <f t="shared" si="0"/>
        <v>#REF!</v>
      </c>
      <c r="C45" s="24"/>
    </row>
    <row r="46" spans="1:3" ht="14.25" customHeight="1" x14ac:dyDescent="0.3">
      <c r="A46" s="1">
        <v>12</v>
      </c>
      <c r="B46" s="1" t="e">
        <f t="shared" si="0"/>
        <v>#REF!</v>
      </c>
      <c r="C46" s="24"/>
    </row>
    <row r="47" spans="1:3" ht="14.25" customHeight="1" x14ac:dyDescent="0.3">
      <c r="A47" s="1">
        <v>13</v>
      </c>
      <c r="B47" s="1" t="e">
        <f t="shared" si="0"/>
        <v>#REF!</v>
      </c>
      <c r="C47" s="24"/>
    </row>
    <row r="48" spans="1:3" ht="14.25" customHeight="1" x14ac:dyDescent="0.3">
      <c r="A48" s="1">
        <v>14</v>
      </c>
      <c r="B48" s="1" t="e">
        <f t="shared" si="0"/>
        <v>#REF!</v>
      </c>
      <c r="C48" s="24"/>
    </row>
    <row r="49" spans="1:3" ht="14.25" customHeight="1" x14ac:dyDescent="0.3">
      <c r="A49" s="1">
        <v>15</v>
      </c>
      <c r="B49" s="1" t="e">
        <f t="shared" si="0"/>
        <v>#REF!</v>
      </c>
      <c r="C49" s="24"/>
    </row>
    <row r="50" spans="1:3" ht="14.25" customHeight="1" x14ac:dyDescent="0.3">
      <c r="A50" s="1">
        <v>16</v>
      </c>
      <c r="B50" s="1" t="e">
        <f t="shared" si="0"/>
        <v>#REF!</v>
      </c>
      <c r="C50" s="24"/>
    </row>
    <row r="51" spans="1:3" ht="14.25" customHeight="1" x14ac:dyDescent="0.3">
      <c r="A51" s="1">
        <v>17</v>
      </c>
      <c r="B51" s="1" t="e">
        <f t="shared" si="0"/>
        <v>#REF!</v>
      </c>
      <c r="C51" s="24"/>
    </row>
    <row r="52" spans="1:3" ht="14.25" customHeight="1" x14ac:dyDescent="0.3">
      <c r="A52" s="1">
        <v>18</v>
      </c>
      <c r="B52" s="1" t="e">
        <f t="shared" si="0"/>
        <v>#REF!</v>
      </c>
      <c r="C52" s="24"/>
    </row>
    <row r="53" spans="1:3" ht="14.25" customHeight="1" x14ac:dyDescent="0.3">
      <c r="A53" s="1">
        <v>19</v>
      </c>
      <c r="B53" s="1" t="e">
        <f t="shared" si="0"/>
        <v>#REF!</v>
      </c>
      <c r="C53" s="24"/>
    </row>
    <row r="54" spans="1:3" ht="14.25" customHeight="1" x14ac:dyDescent="0.3">
      <c r="A54" s="1" t="s">
        <v>104</v>
      </c>
      <c r="B54" s="1" t="e">
        <f>SUM(B35:B53)</f>
        <v>#REF!</v>
      </c>
      <c r="C54" s="24"/>
    </row>
    <row r="55" spans="1:3" ht="14.25" customHeight="1" x14ac:dyDescent="0.3">
      <c r="C55" s="24"/>
    </row>
    <row r="56" spans="1:3" ht="14.25" customHeight="1" x14ac:dyDescent="0.3">
      <c r="C56" s="24"/>
    </row>
    <row r="57" spans="1:3" ht="14.25" customHeight="1" x14ac:dyDescent="0.3">
      <c r="A57" s="1" t="s">
        <v>105</v>
      </c>
      <c r="C57" s="24"/>
    </row>
    <row r="58" spans="1:3" ht="14.25" customHeight="1" x14ac:dyDescent="0.3">
      <c r="A58" s="1">
        <v>1</v>
      </c>
      <c r="B58" s="1" t="e">
        <f t="shared" ref="B58:B76" si="1">IF(#REF!="X",1,0)</f>
        <v>#REF!</v>
      </c>
      <c r="C58" s="24"/>
    </row>
    <row r="59" spans="1:3" ht="14.25" customHeight="1" x14ac:dyDescent="0.3">
      <c r="A59" s="1">
        <v>2</v>
      </c>
      <c r="B59" s="1" t="e">
        <f t="shared" si="1"/>
        <v>#REF!</v>
      </c>
      <c r="C59" s="24"/>
    </row>
    <row r="60" spans="1:3" ht="14.25" customHeight="1" x14ac:dyDescent="0.3">
      <c r="A60" s="1">
        <v>3</v>
      </c>
      <c r="B60" s="1" t="e">
        <f t="shared" si="1"/>
        <v>#REF!</v>
      </c>
      <c r="C60" s="24"/>
    </row>
    <row r="61" spans="1:3" ht="14.25" customHeight="1" x14ac:dyDescent="0.3">
      <c r="A61" s="1">
        <v>4</v>
      </c>
      <c r="B61" s="1" t="e">
        <f t="shared" si="1"/>
        <v>#REF!</v>
      </c>
      <c r="C61" s="24"/>
    </row>
    <row r="62" spans="1:3" ht="14.25" customHeight="1" x14ac:dyDescent="0.3">
      <c r="A62" s="1">
        <v>5</v>
      </c>
      <c r="B62" s="1" t="e">
        <f t="shared" si="1"/>
        <v>#REF!</v>
      </c>
      <c r="C62" s="24"/>
    </row>
    <row r="63" spans="1:3" ht="14.25" customHeight="1" x14ac:dyDescent="0.3">
      <c r="A63" s="1">
        <v>6</v>
      </c>
      <c r="B63" s="1" t="e">
        <f t="shared" si="1"/>
        <v>#REF!</v>
      </c>
      <c r="C63" s="24"/>
    </row>
    <row r="64" spans="1:3" ht="14.25" customHeight="1" x14ac:dyDescent="0.3">
      <c r="A64" s="1">
        <v>7</v>
      </c>
      <c r="B64" s="1" t="e">
        <f t="shared" si="1"/>
        <v>#REF!</v>
      </c>
      <c r="C64" s="24"/>
    </row>
    <row r="65" spans="1:2" ht="14.25" customHeight="1" x14ac:dyDescent="0.3">
      <c r="A65" s="1">
        <v>8</v>
      </c>
      <c r="B65" s="1" t="e">
        <f t="shared" si="1"/>
        <v>#REF!</v>
      </c>
    </row>
    <row r="66" spans="1:2" ht="14.25" customHeight="1" x14ac:dyDescent="0.3">
      <c r="A66" s="1">
        <v>9</v>
      </c>
      <c r="B66" s="1" t="e">
        <f t="shared" si="1"/>
        <v>#REF!</v>
      </c>
    </row>
    <row r="67" spans="1:2" ht="14.25" customHeight="1" x14ac:dyDescent="0.3">
      <c r="A67" s="1">
        <v>10</v>
      </c>
      <c r="B67" s="1" t="e">
        <f t="shared" si="1"/>
        <v>#REF!</v>
      </c>
    </row>
    <row r="68" spans="1:2" ht="14.25" customHeight="1" x14ac:dyDescent="0.3">
      <c r="A68" s="1">
        <v>11</v>
      </c>
      <c r="B68" s="1" t="e">
        <f t="shared" si="1"/>
        <v>#REF!</v>
      </c>
    </row>
    <row r="69" spans="1:2" ht="14.25" customHeight="1" x14ac:dyDescent="0.3">
      <c r="A69" s="1">
        <v>12</v>
      </c>
      <c r="B69" s="1" t="e">
        <f t="shared" si="1"/>
        <v>#REF!</v>
      </c>
    </row>
    <row r="70" spans="1:2" ht="14.25" customHeight="1" x14ac:dyDescent="0.3">
      <c r="A70" s="1">
        <v>13</v>
      </c>
      <c r="B70" s="1" t="e">
        <f t="shared" si="1"/>
        <v>#REF!</v>
      </c>
    </row>
    <row r="71" spans="1:2" ht="14.25" customHeight="1" x14ac:dyDescent="0.3">
      <c r="A71" s="1">
        <v>14</v>
      </c>
      <c r="B71" s="1" t="e">
        <f t="shared" si="1"/>
        <v>#REF!</v>
      </c>
    </row>
    <row r="72" spans="1:2" ht="14.25" customHeight="1" x14ac:dyDescent="0.3">
      <c r="A72" s="1">
        <v>15</v>
      </c>
      <c r="B72" s="1" t="e">
        <f t="shared" si="1"/>
        <v>#REF!</v>
      </c>
    </row>
    <row r="73" spans="1:2" ht="14.25" customHeight="1" x14ac:dyDescent="0.3">
      <c r="A73" s="1">
        <v>16</v>
      </c>
      <c r="B73" s="1" t="e">
        <f t="shared" si="1"/>
        <v>#REF!</v>
      </c>
    </row>
    <row r="74" spans="1:2" ht="14.25" customHeight="1" x14ac:dyDescent="0.3">
      <c r="A74" s="1">
        <v>17</v>
      </c>
      <c r="B74" s="1" t="e">
        <f t="shared" si="1"/>
        <v>#REF!</v>
      </c>
    </row>
    <row r="75" spans="1:2" ht="14.25" customHeight="1" x14ac:dyDescent="0.3">
      <c r="A75" s="1">
        <v>18</v>
      </c>
      <c r="B75" s="1" t="e">
        <f t="shared" si="1"/>
        <v>#REF!</v>
      </c>
    </row>
    <row r="76" spans="1:2" ht="14.25" customHeight="1" x14ac:dyDescent="0.3">
      <c r="A76" s="1">
        <v>19</v>
      </c>
      <c r="B76" s="1" t="e">
        <f t="shared" si="1"/>
        <v>#REF!</v>
      </c>
    </row>
    <row r="77" spans="1:2" ht="14.25" customHeight="1" x14ac:dyDescent="0.3">
      <c r="A77" s="1" t="s">
        <v>104</v>
      </c>
      <c r="B77" s="1" t="e">
        <f>SUM(B58:B76)</f>
        <v>#REF!</v>
      </c>
    </row>
    <row r="78" spans="1:2" ht="14.25" customHeight="1" x14ac:dyDescent="0.3"/>
    <row r="79" spans="1:2" ht="14.25" customHeight="1" x14ac:dyDescent="0.3"/>
    <row r="80" spans="1:2" ht="14.25" customHeight="1" x14ac:dyDescent="0.3">
      <c r="A80" s="1" t="s">
        <v>106</v>
      </c>
    </row>
    <row r="81" spans="1:2" ht="14.25" customHeight="1" x14ac:dyDescent="0.3">
      <c r="A81" s="1">
        <v>1</v>
      </c>
      <c r="B81" s="1" t="e">
        <f t="shared" ref="B81:B99" si="2">IF(#REF!="X",1,0)</f>
        <v>#REF!</v>
      </c>
    </row>
    <row r="82" spans="1:2" ht="14.25" customHeight="1" x14ac:dyDescent="0.3">
      <c r="A82" s="1">
        <v>2</v>
      </c>
      <c r="B82" s="1" t="e">
        <f t="shared" si="2"/>
        <v>#REF!</v>
      </c>
    </row>
    <row r="83" spans="1:2" ht="14.25" customHeight="1" x14ac:dyDescent="0.3">
      <c r="A83" s="1">
        <v>3</v>
      </c>
      <c r="B83" s="1" t="e">
        <f t="shared" si="2"/>
        <v>#REF!</v>
      </c>
    </row>
    <row r="84" spans="1:2" ht="14.25" customHeight="1" x14ac:dyDescent="0.3">
      <c r="A84" s="1">
        <v>4</v>
      </c>
      <c r="B84" s="1" t="e">
        <f t="shared" si="2"/>
        <v>#REF!</v>
      </c>
    </row>
    <row r="85" spans="1:2" ht="14.25" customHeight="1" x14ac:dyDescent="0.3">
      <c r="A85" s="1">
        <v>5</v>
      </c>
      <c r="B85" s="1" t="e">
        <f t="shared" si="2"/>
        <v>#REF!</v>
      </c>
    </row>
    <row r="86" spans="1:2" ht="14.25" customHeight="1" x14ac:dyDescent="0.3">
      <c r="A86" s="1">
        <v>6</v>
      </c>
      <c r="B86" s="1" t="e">
        <f t="shared" si="2"/>
        <v>#REF!</v>
      </c>
    </row>
    <row r="87" spans="1:2" ht="14.25" customHeight="1" x14ac:dyDescent="0.3">
      <c r="A87" s="1">
        <v>7</v>
      </c>
      <c r="B87" s="1" t="e">
        <f t="shared" si="2"/>
        <v>#REF!</v>
      </c>
    </row>
    <row r="88" spans="1:2" ht="14.25" customHeight="1" x14ac:dyDescent="0.3">
      <c r="A88" s="1">
        <v>8</v>
      </c>
      <c r="B88" s="1" t="e">
        <f t="shared" si="2"/>
        <v>#REF!</v>
      </c>
    </row>
    <row r="89" spans="1:2" ht="14.25" customHeight="1" x14ac:dyDescent="0.3">
      <c r="A89" s="1">
        <v>9</v>
      </c>
      <c r="B89" s="1" t="e">
        <f t="shared" si="2"/>
        <v>#REF!</v>
      </c>
    </row>
    <row r="90" spans="1:2" ht="14.25" customHeight="1" x14ac:dyDescent="0.3">
      <c r="A90" s="1">
        <v>10</v>
      </c>
      <c r="B90" s="1" t="e">
        <f t="shared" si="2"/>
        <v>#REF!</v>
      </c>
    </row>
    <row r="91" spans="1:2" ht="14.25" customHeight="1" x14ac:dyDescent="0.3">
      <c r="A91" s="1">
        <v>11</v>
      </c>
      <c r="B91" s="1" t="e">
        <f t="shared" si="2"/>
        <v>#REF!</v>
      </c>
    </row>
    <row r="92" spans="1:2" ht="14.25" customHeight="1" x14ac:dyDescent="0.3">
      <c r="A92" s="1">
        <v>12</v>
      </c>
      <c r="B92" s="1" t="e">
        <f t="shared" si="2"/>
        <v>#REF!</v>
      </c>
    </row>
    <row r="93" spans="1:2" ht="14.25" customHeight="1" x14ac:dyDescent="0.3">
      <c r="A93" s="1">
        <v>13</v>
      </c>
      <c r="B93" s="1" t="e">
        <f t="shared" si="2"/>
        <v>#REF!</v>
      </c>
    </row>
    <row r="94" spans="1:2" ht="14.25" customHeight="1" x14ac:dyDescent="0.3">
      <c r="A94" s="1">
        <v>14</v>
      </c>
      <c r="B94" s="1" t="e">
        <f t="shared" si="2"/>
        <v>#REF!</v>
      </c>
    </row>
    <row r="95" spans="1:2" ht="14.25" customHeight="1" x14ac:dyDescent="0.3">
      <c r="A95" s="1">
        <v>15</v>
      </c>
      <c r="B95" s="1" t="e">
        <f t="shared" si="2"/>
        <v>#REF!</v>
      </c>
    </row>
    <row r="96" spans="1:2" ht="14.25" customHeight="1" x14ac:dyDescent="0.3">
      <c r="A96" s="1">
        <v>16</v>
      </c>
      <c r="B96" s="1" t="e">
        <f t="shared" si="2"/>
        <v>#REF!</v>
      </c>
    </row>
    <row r="97" spans="1:2" ht="14.25" customHeight="1" x14ac:dyDescent="0.3">
      <c r="A97" s="1">
        <v>17</v>
      </c>
      <c r="B97" s="1" t="e">
        <f t="shared" si="2"/>
        <v>#REF!</v>
      </c>
    </row>
    <row r="98" spans="1:2" ht="14.25" customHeight="1" x14ac:dyDescent="0.3">
      <c r="A98" s="1">
        <v>18</v>
      </c>
      <c r="B98" s="1" t="e">
        <f t="shared" si="2"/>
        <v>#REF!</v>
      </c>
    </row>
    <row r="99" spans="1:2" ht="14.25" customHeight="1" x14ac:dyDescent="0.3">
      <c r="A99" s="1">
        <v>19</v>
      </c>
      <c r="B99" s="1" t="e">
        <f t="shared" si="2"/>
        <v>#REF!</v>
      </c>
    </row>
    <row r="100" spans="1:2" ht="14.25" customHeight="1" x14ac:dyDescent="0.3">
      <c r="A100" s="1" t="s">
        <v>104</v>
      </c>
      <c r="B100" s="1" t="e">
        <f>SUM(B81:B99)</f>
        <v>#REF!</v>
      </c>
    </row>
    <row r="101" spans="1:2" ht="14.25" customHeight="1" x14ac:dyDescent="0.3"/>
    <row r="102" spans="1:2" ht="14.25" customHeight="1" x14ac:dyDescent="0.3"/>
    <row r="103" spans="1:2" ht="14.25" customHeight="1" x14ac:dyDescent="0.3">
      <c r="A103" s="1" t="s">
        <v>107</v>
      </c>
    </row>
    <row r="104" spans="1:2" ht="14.25" customHeight="1" x14ac:dyDescent="0.3">
      <c r="A104" s="1">
        <v>1</v>
      </c>
      <c r="B104" s="1" t="e">
        <f t="shared" ref="B104:B122" si="3">IF(#REF!="X",1,0)</f>
        <v>#REF!</v>
      </c>
    </row>
    <row r="105" spans="1:2" ht="14.25" customHeight="1" x14ac:dyDescent="0.3">
      <c r="A105" s="1">
        <v>2</v>
      </c>
      <c r="B105" s="1" t="e">
        <f t="shared" si="3"/>
        <v>#REF!</v>
      </c>
    </row>
    <row r="106" spans="1:2" ht="14.25" customHeight="1" x14ac:dyDescent="0.3">
      <c r="A106" s="1">
        <v>3</v>
      </c>
      <c r="B106" s="1" t="e">
        <f t="shared" si="3"/>
        <v>#REF!</v>
      </c>
    </row>
    <row r="107" spans="1:2" ht="14.25" customHeight="1" x14ac:dyDescent="0.3">
      <c r="A107" s="1">
        <v>4</v>
      </c>
      <c r="B107" s="1" t="e">
        <f t="shared" si="3"/>
        <v>#REF!</v>
      </c>
    </row>
    <row r="108" spans="1:2" ht="14.25" customHeight="1" x14ac:dyDescent="0.3">
      <c r="A108" s="1">
        <v>5</v>
      </c>
      <c r="B108" s="1" t="e">
        <f t="shared" si="3"/>
        <v>#REF!</v>
      </c>
    </row>
    <row r="109" spans="1:2" ht="14.25" customHeight="1" x14ac:dyDescent="0.3">
      <c r="A109" s="1">
        <v>6</v>
      </c>
      <c r="B109" s="1" t="e">
        <f t="shared" si="3"/>
        <v>#REF!</v>
      </c>
    </row>
    <row r="110" spans="1:2" ht="14.25" customHeight="1" x14ac:dyDescent="0.3">
      <c r="A110" s="1">
        <v>7</v>
      </c>
      <c r="B110" s="1" t="e">
        <f t="shared" si="3"/>
        <v>#REF!</v>
      </c>
    </row>
    <row r="111" spans="1:2" ht="14.25" customHeight="1" x14ac:dyDescent="0.3">
      <c r="A111" s="1">
        <v>8</v>
      </c>
      <c r="B111" s="1" t="e">
        <f t="shared" si="3"/>
        <v>#REF!</v>
      </c>
    </row>
    <row r="112" spans="1:2" ht="14.25" customHeight="1" x14ac:dyDescent="0.3">
      <c r="A112" s="1">
        <v>9</v>
      </c>
      <c r="B112" s="1" t="e">
        <f t="shared" si="3"/>
        <v>#REF!</v>
      </c>
    </row>
    <row r="113" spans="1:2" ht="14.25" customHeight="1" x14ac:dyDescent="0.3">
      <c r="A113" s="1">
        <v>10</v>
      </c>
      <c r="B113" s="1" t="e">
        <f t="shared" si="3"/>
        <v>#REF!</v>
      </c>
    </row>
    <row r="114" spans="1:2" ht="14.25" customHeight="1" x14ac:dyDescent="0.3">
      <c r="A114" s="1">
        <v>11</v>
      </c>
      <c r="B114" s="1" t="e">
        <f t="shared" si="3"/>
        <v>#REF!</v>
      </c>
    </row>
    <row r="115" spans="1:2" ht="14.25" customHeight="1" x14ac:dyDescent="0.3">
      <c r="A115" s="1">
        <v>12</v>
      </c>
      <c r="B115" s="1" t="e">
        <f t="shared" si="3"/>
        <v>#REF!</v>
      </c>
    </row>
    <row r="116" spans="1:2" ht="14.25" customHeight="1" x14ac:dyDescent="0.3">
      <c r="A116" s="1">
        <v>13</v>
      </c>
      <c r="B116" s="1" t="e">
        <f t="shared" si="3"/>
        <v>#REF!</v>
      </c>
    </row>
    <row r="117" spans="1:2" ht="14.25" customHeight="1" x14ac:dyDescent="0.3">
      <c r="A117" s="1">
        <v>14</v>
      </c>
      <c r="B117" s="1" t="e">
        <f t="shared" si="3"/>
        <v>#REF!</v>
      </c>
    </row>
    <row r="118" spans="1:2" ht="14.25" customHeight="1" x14ac:dyDescent="0.3">
      <c r="A118" s="1">
        <v>15</v>
      </c>
      <c r="B118" s="1" t="e">
        <f t="shared" si="3"/>
        <v>#REF!</v>
      </c>
    </row>
    <row r="119" spans="1:2" ht="14.25" customHeight="1" x14ac:dyDescent="0.3">
      <c r="A119" s="1">
        <v>16</v>
      </c>
      <c r="B119" s="1" t="e">
        <f t="shared" si="3"/>
        <v>#REF!</v>
      </c>
    </row>
    <row r="120" spans="1:2" ht="14.25" customHeight="1" x14ac:dyDescent="0.3">
      <c r="A120" s="1">
        <v>17</v>
      </c>
      <c r="B120" s="1" t="e">
        <f t="shared" si="3"/>
        <v>#REF!</v>
      </c>
    </row>
    <row r="121" spans="1:2" ht="14.25" customHeight="1" x14ac:dyDescent="0.3">
      <c r="A121" s="1">
        <v>18</v>
      </c>
      <c r="B121" s="1" t="e">
        <f t="shared" si="3"/>
        <v>#REF!</v>
      </c>
    </row>
    <row r="122" spans="1:2" ht="14.25" customHeight="1" x14ac:dyDescent="0.3">
      <c r="A122" s="1">
        <v>19</v>
      </c>
      <c r="B122" s="1" t="e">
        <f t="shared" si="3"/>
        <v>#REF!</v>
      </c>
    </row>
    <row r="123" spans="1:2" ht="14.25" customHeight="1" x14ac:dyDescent="0.3">
      <c r="A123" s="1" t="s">
        <v>104</v>
      </c>
      <c r="B123" s="1" t="e">
        <f>SUM(B104:B122)</f>
        <v>#REF!</v>
      </c>
    </row>
    <row r="124" spans="1:2" ht="14.25" customHeight="1" x14ac:dyDescent="0.3"/>
    <row r="125" spans="1:2" ht="14.25" customHeight="1" x14ac:dyDescent="0.3"/>
    <row r="126" spans="1:2" ht="14.25" customHeight="1" x14ac:dyDescent="0.3">
      <c r="A126" s="1" t="s">
        <v>107</v>
      </c>
    </row>
    <row r="127" spans="1:2" ht="14.25" customHeight="1" x14ac:dyDescent="0.3">
      <c r="A127" s="1">
        <v>1</v>
      </c>
      <c r="B127" s="1" t="e">
        <f t="shared" ref="B127:B145" si="4">IF(#REF!="X",1,0)</f>
        <v>#REF!</v>
      </c>
    </row>
    <row r="128" spans="1:2" ht="14.25" customHeight="1" x14ac:dyDescent="0.3">
      <c r="A128" s="1">
        <v>2</v>
      </c>
      <c r="B128" s="1" t="e">
        <f t="shared" si="4"/>
        <v>#REF!</v>
      </c>
    </row>
    <row r="129" spans="1:2" ht="14.25" customHeight="1" x14ac:dyDescent="0.3">
      <c r="A129" s="1">
        <v>3</v>
      </c>
      <c r="B129" s="1" t="e">
        <f t="shared" si="4"/>
        <v>#REF!</v>
      </c>
    </row>
    <row r="130" spans="1:2" ht="14.25" customHeight="1" x14ac:dyDescent="0.3">
      <c r="A130" s="1">
        <v>4</v>
      </c>
      <c r="B130" s="1" t="e">
        <f t="shared" si="4"/>
        <v>#REF!</v>
      </c>
    </row>
    <row r="131" spans="1:2" ht="14.25" customHeight="1" x14ac:dyDescent="0.3">
      <c r="A131" s="1">
        <v>5</v>
      </c>
      <c r="B131" s="1" t="e">
        <f t="shared" si="4"/>
        <v>#REF!</v>
      </c>
    </row>
    <row r="132" spans="1:2" ht="14.25" customHeight="1" x14ac:dyDescent="0.3">
      <c r="A132" s="1">
        <v>6</v>
      </c>
      <c r="B132" s="1" t="e">
        <f t="shared" si="4"/>
        <v>#REF!</v>
      </c>
    </row>
    <row r="133" spans="1:2" ht="14.25" customHeight="1" x14ac:dyDescent="0.3">
      <c r="A133" s="1">
        <v>7</v>
      </c>
      <c r="B133" s="1" t="e">
        <f t="shared" si="4"/>
        <v>#REF!</v>
      </c>
    </row>
    <row r="134" spans="1:2" ht="14.25" customHeight="1" x14ac:dyDescent="0.3">
      <c r="A134" s="1">
        <v>8</v>
      </c>
      <c r="B134" s="1" t="e">
        <f t="shared" si="4"/>
        <v>#REF!</v>
      </c>
    </row>
    <row r="135" spans="1:2" ht="14.25" customHeight="1" x14ac:dyDescent="0.3">
      <c r="A135" s="1">
        <v>9</v>
      </c>
      <c r="B135" s="1" t="e">
        <f t="shared" si="4"/>
        <v>#REF!</v>
      </c>
    </row>
    <row r="136" spans="1:2" ht="14.25" customHeight="1" x14ac:dyDescent="0.3">
      <c r="A136" s="1">
        <v>10</v>
      </c>
      <c r="B136" s="1" t="e">
        <f t="shared" si="4"/>
        <v>#REF!</v>
      </c>
    </row>
    <row r="137" spans="1:2" ht="14.25" customHeight="1" x14ac:dyDescent="0.3">
      <c r="A137" s="1">
        <v>11</v>
      </c>
      <c r="B137" s="1" t="e">
        <f t="shared" si="4"/>
        <v>#REF!</v>
      </c>
    </row>
    <row r="138" spans="1:2" ht="14.25" customHeight="1" x14ac:dyDescent="0.3">
      <c r="A138" s="1">
        <v>12</v>
      </c>
      <c r="B138" s="1" t="e">
        <f t="shared" si="4"/>
        <v>#REF!</v>
      </c>
    </row>
    <row r="139" spans="1:2" ht="14.25" customHeight="1" x14ac:dyDescent="0.3">
      <c r="A139" s="1">
        <v>13</v>
      </c>
      <c r="B139" s="1" t="e">
        <f t="shared" si="4"/>
        <v>#REF!</v>
      </c>
    </row>
    <row r="140" spans="1:2" ht="14.25" customHeight="1" x14ac:dyDescent="0.3">
      <c r="A140" s="1">
        <v>14</v>
      </c>
      <c r="B140" s="1" t="e">
        <f t="shared" si="4"/>
        <v>#REF!</v>
      </c>
    </row>
    <row r="141" spans="1:2" ht="14.25" customHeight="1" x14ac:dyDescent="0.3">
      <c r="A141" s="1">
        <v>15</v>
      </c>
      <c r="B141" s="1" t="e">
        <f t="shared" si="4"/>
        <v>#REF!</v>
      </c>
    </row>
    <row r="142" spans="1:2" ht="14.25" customHeight="1" x14ac:dyDescent="0.3">
      <c r="A142" s="1">
        <v>16</v>
      </c>
      <c r="B142" s="1" t="e">
        <f t="shared" si="4"/>
        <v>#REF!</v>
      </c>
    </row>
    <row r="143" spans="1:2" ht="14.25" customHeight="1" x14ac:dyDescent="0.3">
      <c r="A143" s="1">
        <v>17</v>
      </c>
      <c r="B143" s="1" t="e">
        <f t="shared" si="4"/>
        <v>#REF!</v>
      </c>
    </row>
    <row r="144" spans="1:2" ht="14.25" customHeight="1" x14ac:dyDescent="0.3">
      <c r="A144" s="1">
        <v>18</v>
      </c>
      <c r="B144" s="1" t="e">
        <f t="shared" si="4"/>
        <v>#REF!</v>
      </c>
    </row>
    <row r="145" spans="1:2" ht="14.25" customHeight="1" x14ac:dyDescent="0.3">
      <c r="A145" s="1">
        <v>19</v>
      </c>
      <c r="B145" s="1" t="e">
        <f t="shared" si="4"/>
        <v>#REF!</v>
      </c>
    </row>
    <row r="146" spans="1:2" ht="14.25" customHeight="1" x14ac:dyDescent="0.3">
      <c r="A146" s="1" t="s">
        <v>104</v>
      </c>
      <c r="B146" s="1" t="e">
        <f>SUM(B127:B145)</f>
        <v>#REF!</v>
      </c>
    </row>
    <row r="147" spans="1:2" ht="14.25" customHeight="1" x14ac:dyDescent="0.3"/>
    <row r="148" spans="1:2" ht="14.25" customHeight="1" x14ac:dyDescent="0.3"/>
    <row r="149" spans="1:2" ht="14.25" customHeight="1" x14ac:dyDescent="0.3"/>
    <row r="150" spans="1:2" ht="14.25" customHeight="1" x14ac:dyDescent="0.3">
      <c r="A150" s="1" t="s">
        <v>108</v>
      </c>
    </row>
    <row r="151" spans="1:2" ht="14.25" customHeight="1" x14ac:dyDescent="0.3">
      <c r="A151" s="32" t="s">
        <v>109</v>
      </c>
    </row>
    <row r="152" spans="1:2" ht="14.25" customHeight="1" x14ac:dyDescent="0.3">
      <c r="A152" s="1" t="s">
        <v>110</v>
      </c>
    </row>
    <row r="153" spans="1:2" ht="14.25" customHeight="1" x14ac:dyDescent="0.3">
      <c r="A153" s="1" t="s">
        <v>111</v>
      </c>
    </row>
    <row r="154" spans="1:2" ht="14.25" customHeight="1" x14ac:dyDescent="0.3">
      <c r="A154" s="1" t="s">
        <v>112</v>
      </c>
    </row>
    <row r="155" spans="1:2" ht="14.25" customHeight="1" x14ac:dyDescent="0.3">
      <c r="A155" s="1" t="s">
        <v>110</v>
      </c>
    </row>
    <row r="156" spans="1:2" ht="14.25" customHeight="1" x14ac:dyDescent="0.3">
      <c r="A156" s="1" t="s">
        <v>113</v>
      </c>
    </row>
    <row r="157" spans="1:2" ht="14.25" customHeight="1" x14ac:dyDescent="0.3">
      <c r="A157" s="1" t="s">
        <v>114</v>
      </c>
    </row>
    <row r="158" spans="1:2" ht="14.25" customHeight="1" x14ac:dyDescent="0.3"/>
    <row r="159" spans="1:2" ht="14.25" customHeight="1" x14ac:dyDescent="0.3">
      <c r="A159" s="32" t="s">
        <v>115</v>
      </c>
      <c r="B159" s="1" t="s">
        <v>68</v>
      </c>
    </row>
    <row r="160" spans="1:2" ht="14.25" customHeight="1" x14ac:dyDescent="0.3">
      <c r="A160" s="1" t="s">
        <v>110</v>
      </c>
    </row>
    <row r="161" spans="1:1" ht="14.25" customHeight="1" x14ac:dyDescent="0.3">
      <c r="A161" s="1" t="s">
        <v>116</v>
      </c>
    </row>
    <row r="162" spans="1:1" ht="14.25" customHeight="1" x14ac:dyDescent="0.3">
      <c r="A162" s="1" t="s">
        <v>117</v>
      </c>
    </row>
    <row r="163" spans="1:1" ht="14.25" customHeight="1" x14ac:dyDescent="0.3"/>
    <row r="164" spans="1:1" ht="14.25" customHeight="1" x14ac:dyDescent="0.3">
      <c r="A164" s="32" t="s">
        <v>118</v>
      </c>
    </row>
    <row r="165" spans="1:1" ht="14.25" customHeight="1" x14ac:dyDescent="0.3">
      <c r="A165" s="1" t="s">
        <v>110</v>
      </c>
    </row>
    <row r="166" spans="1:1" ht="14.25" customHeight="1" x14ac:dyDescent="0.3">
      <c r="A166" s="1" t="s">
        <v>119</v>
      </c>
    </row>
    <row r="167" spans="1:1" ht="14.25" customHeight="1" x14ac:dyDescent="0.3">
      <c r="A167" s="1" t="s">
        <v>120</v>
      </c>
    </row>
    <row r="168" spans="1:1" ht="14.25" customHeight="1" x14ac:dyDescent="0.3">
      <c r="A168" s="1" t="s">
        <v>121</v>
      </c>
    </row>
    <row r="169" spans="1:1" ht="14.25" customHeight="1" x14ac:dyDescent="0.3"/>
    <row r="170" spans="1:1" ht="14.25" customHeight="1" x14ac:dyDescent="0.3">
      <c r="A170" s="32" t="s">
        <v>122</v>
      </c>
    </row>
    <row r="171" spans="1:1" ht="14.25" customHeight="1" x14ac:dyDescent="0.3">
      <c r="A171" s="1" t="s">
        <v>110</v>
      </c>
    </row>
    <row r="172" spans="1:1" ht="14.25" customHeight="1" x14ac:dyDescent="0.3">
      <c r="A172" s="1" t="s">
        <v>123</v>
      </c>
    </row>
    <row r="173" spans="1:1" ht="14.25" customHeight="1" x14ac:dyDescent="0.3">
      <c r="A173" s="1" t="s">
        <v>124</v>
      </c>
    </row>
    <row r="174" spans="1:1" ht="14.25" customHeight="1" x14ac:dyDescent="0.3"/>
    <row r="175" spans="1:1" ht="14.25" customHeight="1" x14ac:dyDescent="0.3">
      <c r="A175" s="32" t="s">
        <v>125</v>
      </c>
    </row>
    <row r="176" spans="1:1" ht="14.25" customHeight="1" x14ac:dyDescent="0.3">
      <c r="A176" s="1" t="s">
        <v>110</v>
      </c>
    </row>
    <row r="177" spans="1:1" ht="14.25" customHeight="1" x14ac:dyDescent="0.3">
      <c r="A177" s="1" t="s">
        <v>126</v>
      </c>
    </row>
    <row r="178" spans="1:1" ht="14.25" customHeight="1" x14ac:dyDescent="0.3">
      <c r="A178" s="1" t="s">
        <v>127</v>
      </c>
    </row>
    <row r="179" spans="1:1" ht="14.25" customHeight="1" x14ac:dyDescent="0.3"/>
    <row r="180" spans="1:1" ht="14.25" customHeight="1" x14ac:dyDescent="0.3">
      <c r="A180" s="32" t="s">
        <v>128</v>
      </c>
    </row>
    <row r="181" spans="1:1" ht="14.25" customHeight="1" x14ac:dyDescent="0.3">
      <c r="A181" s="1" t="s">
        <v>110</v>
      </c>
    </row>
    <row r="182" spans="1:1" ht="14.25" customHeight="1" x14ac:dyDescent="0.3">
      <c r="A182" s="1" t="s">
        <v>129</v>
      </c>
    </row>
    <row r="183" spans="1:1" ht="14.25" customHeight="1" x14ac:dyDescent="0.3">
      <c r="A183" s="1" t="s">
        <v>130</v>
      </c>
    </row>
    <row r="184" spans="1:1" ht="14.25" customHeight="1" x14ac:dyDescent="0.3">
      <c r="A184" s="1" t="s">
        <v>131</v>
      </c>
    </row>
    <row r="185" spans="1:1" ht="14.25" customHeight="1" x14ac:dyDescent="0.3"/>
    <row r="186" spans="1:1" ht="14.25" customHeight="1" x14ac:dyDescent="0.3">
      <c r="A186" s="32" t="s">
        <v>132</v>
      </c>
    </row>
    <row r="187" spans="1:1" ht="14.25" customHeight="1" x14ac:dyDescent="0.3">
      <c r="A187" s="1" t="s">
        <v>110</v>
      </c>
    </row>
    <row r="188" spans="1:1" ht="14.25" customHeight="1" x14ac:dyDescent="0.3">
      <c r="A188" s="1" t="s">
        <v>133</v>
      </c>
    </row>
    <row r="189" spans="1:1" ht="14.25" customHeight="1" x14ac:dyDescent="0.3">
      <c r="A189" s="1" t="s">
        <v>134</v>
      </c>
    </row>
    <row r="190" spans="1:1" ht="14.25" customHeight="1" x14ac:dyDescent="0.3">
      <c r="A190" s="1" t="s">
        <v>135</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
  <sheetViews>
    <sheetView workbookViewId="0"/>
  </sheetViews>
  <sheetFormatPr baseColWidth="10" defaultColWidth="14.44140625" defaultRowHeight="15" customHeight="1" x14ac:dyDescent="0.3"/>
  <cols>
    <col min="1" max="26" width="10.6640625" customWidth="1"/>
  </cols>
  <sheetData>
    <row r="1" spans="1:3" ht="14.25" customHeight="1" x14ac:dyDescent="0.3">
      <c r="A1" s="1" t="s">
        <v>136</v>
      </c>
      <c r="C1" s="1" t="s">
        <v>61</v>
      </c>
    </row>
    <row r="2" spans="1:3" ht="14.25" customHeight="1" x14ac:dyDescent="0.3">
      <c r="A2" s="1" t="s">
        <v>137</v>
      </c>
      <c r="C2" s="1" t="s">
        <v>62</v>
      </c>
    </row>
    <row r="3" spans="1:3" ht="14.25" customHeight="1" x14ac:dyDescent="0.3">
      <c r="A3" s="1" t="s">
        <v>138</v>
      </c>
      <c r="C3" s="1" t="s">
        <v>63</v>
      </c>
    </row>
    <row r="4" spans="1:3" ht="14.25" customHeight="1" x14ac:dyDescent="0.3">
      <c r="A4" s="1" t="s">
        <v>139</v>
      </c>
      <c r="C4" s="1" t="s">
        <v>64</v>
      </c>
    </row>
    <row r="5" spans="1:3" ht="14.25" customHeight="1" x14ac:dyDescent="0.3">
      <c r="A5" s="1" t="s">
        <v>140</v>
      </c>
      <c r="C5" s="1" t="s">
        <v>65</v>
      </c>
    </row>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07AF-236B-46E5-BBD6-E6B074501E4F}">
  <dimension ref="A1:AS281"/>
  <sheetViews>
    <sheetView topLeftCell="A154" zoomScale="40" zoomScaleNormal="40" workbookViewId="0">
      <selection activeCell="F265" sqref="F265"/>
    </sheetView>
  </sheetViews>
  <sheetFormatPr baseColWidth="10" defaultColWidth="11.44140625" defaultRowHeight="13.8" x14ac:dyDescent="0.3"/>
  <cols>
    <col min="1" max="1" width="4" style="36" bestFit="1" customWidth="1"/>
    <col min="2" max="2" width="15.5546875" style="36" customWidth="1"/>
    <col min="3" max="3" width="31.109375" style="36" customWidth="1"/>
    <col min="4" max="4" width="38.109375" style="36" customWidth="1"/>
    <col min="5" max="5" width="57.33203125" style="36" customWidth="1"/>
    <col min="6" max="6" width="61.6640625" style="35" customWidth="1"/>
    <col min="7" max="7" width="18.77734375" style="35" customWidth="1"/>
    <col min="8" max="8" width="31.6640625" style="37" customWidth="1"/>
    <col min="9" max="9" width="32.21875" style="35" customWidth="1"/>
    <col min="10" max="10" width="33.6640625" style="35" bestFit="1" customWidth="1"/>
    <col min="11" max="11" width="11.33203125" style="35" customWidth="1"/>
    <col min="12" max="12" width="24.77734375" style="35" customWidth="1"/>
    <col min="13" max="13" width="28.33203125" style="35" customWidth="1"/>
    <col min="14" max="14" width="31.6640625" style="35" customWidth="1"/>
    <col min="15" max="15" width="23.88671875" style="35" customWidth="1"/>
    <col min="16" max="16" width="18.5546875" style="35" customWidth="1"/>
    <col min="17" max="17" width="14.33203125" style="35" customWidth="1"/>
    <col min="18" max="18" width="25.5546875" style="35" customWidth="1"/>
    <col min="19" max="19" width="73.44140625" style="35" customWidth="1"/>
    <col min="20" max="20" width="16.21875" style="35" customWidth="1"/>
    <col min="21" max="21" width="13.6640625" style="35" customWidth="1"/>
    <col min="22" max="22" width="12" style="35" customWidth="1"/>
    <col min="23" max="23" width="11.5546875" style="35" customWidth="1"/>
    <col min="24" max="24" width="6.6640625" style="35" customWidth="1"/>
    <col min="25" max="25" width="4.6640625" style="35" customWidth="1"/>
    <col min="26" max="26" width="16" style="35" customWidth="1"/>
    <col min="27" max="27" width="8.6640625" style="35" customWidth="1"/>
    <col min="28" max="28" width="10.44140625" style="35" customWidth="1"/>
    <col min="29" max="29" width="9.33203125" style="35" customWidth="1"/>
    <col min="30" max="30" width="9.109375" style="35" customWidth="1"/>
    <col min="31" max="31" width="8.44140625" style="35" customWidth="1"/>
    <col min="32" max="32" width="10" style="35" customWidth="1"/>
    <col min="33" max="33" width="28.6640625" style="35" customWidth="1"/>
    <col min="34" max="34" width="61.77734375" style="35" customWidth="1"/>
    <col min="35" max="35" width="47.21875" style="35" customWidth="1"/>
    <col min="36" max="36" width="29.44140625" style="35" customWidth="1"/>
    <col min="37" max="37" width="13.88671875" style="35" customWidth="1"/>
    <col min="38" max="38" width="33" style="35" customWidth="1"/>
    <col min="39" max="39" width="33.33203125" style="35" bestFit="1" customWidth="1"/>
    <col min="40" max="40" width="66.109375" style="35" customWidth="1"/>
    <col min="41" max="41" width="48.6640625" style="35" bestFit="1" customWidth="1"/>
    <col min="42" max="42" width="32.5546875" style="35" customWidth="1"/>
    <col min="43" max="43" width="19.5546875" style="35" customWidth="1"/>
    <col min="44" max="44" width="57.6640625" style="35" customWidth="1"/>
    <col min="45" max="45" width="22.88671875" style="35" customWidth="1"/>
    <col min="46" max="46" width="19.44140625" style="35" customWidth="1"/>
    <col min="47" max="47" width="27" style="35" customWidth="1"/>
    <col min="48" max="48" width="18.109375" style="35" customWidth="1"/>
    <col min="49" max="49" width="19.44140625" style="35" customWidth="1"/>
    <col min="50" max="16384" width="11.44140625" style="35"/>
  </cols>
  <sheetData>
    <row r="1" spans="1:39" x14ac:dyDescent="0.3">
      <c r="A1" s="718" t="s">
        <v>148</v>
      </c>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720"/>
    </row>
    <row r="2" spans="1:39" x14ac:dyDescent="0.3">
      <c r="A2" s="721"/>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3"/>
    </row>
    <row r="3" spans="1:39" ht="14.4" x14ac:dyDescent="0.3">
      <c r="A3" s="42"/>
      <c r="B3" s="43"/>
      <c r="C3" s="43"/>
      <c r="D3" s="43"/>
      <c r="E3" s="140"/>
      <c r="F3" s="141"/>
      <c r="G3" s="142"/>
      <c r="H3" s="41"/>
      <c r="I3" s="44"/>
      <c r="J3" s="41"/>
      <c r="K3" s="142"/>
      <c r="L3" s="41"/>
      <c r="M3" s="41"/>
      <c r="N3" s="41"/>
      <c r="O3" s="142"/>
      <c r="P3" s="41"/>
      <c r="Q3" s="142"/>
      <c r="R3" s="41"/>
      <c r="S3" s="41"/>
      <c r="T3" s="41"/>
      <c r="U3" s="41"/>
      <c r="V3" s="41"/>
      <c r="W3" s="41"/>
      <c r="X3" s="41"/>
      <c r="Y3" s="41"/>
      <c r="Z3" s="41"/>
      <c r="AA3" s="41"/>
      <c r="AB3" s="41"/>
      <c r="AC3" s="41"/>
      <c r="AD3" s="41"/>
      <c r="AE3" s="41"/>
      <c r="AF3" s="41"/>
      <c r="AG3" s="41"/>
      <c r="AH3" s="41"/>
      <c r="AI3" s="41"/>
      <c r="AJ3" s="142"/>
      <c r="AK3" s="41"/>
      <c r="AL3" s="41"/>
      <c r="AM3" s="41"/>
    </row>
    <row r="4" spans="1:39" ht="23.4" x14ac:dyDescent="0.3">
      <c r="A4" s="711" t="s">
        <v>149</v>
      </c>
      <c r="B4" s="712"/>
      <c r="C4" s="713" t="s">
        <v>289</v>
      </c>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row>
    <row r="5" spans="1:39" ht="23.4" x14ac:dyDescent="0.3">
      <c r="A5" s="711" t="s">
        <v>150</v>
      </c>
      <c r="B5" s="712"/>
      <c r="C5" s="724" t="s">
        <v>290</v>
      </c>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c r="AG5" s="724"/>
      <c r="AH5" s="724"/>
      <c r="AI5" s="724"/>
      <c r="AJ5" s="724"/>
      <c r="AK5" s="724"/>
      <c r="AL5" s="724"/>
      <c r="AM5" s="724"/>
    </row>
    <row r="6" spans="1:39" ht="23.4" x14ac:dyDescent="0.3">
      <c r="A6" s="711" t="s">
        <v>151</v>
      </c>
      <c r="B6" s="712"/>
      <c r="C6" s="713" t="s">
        <v>291</v>
      </c>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713"/>
      <c r="AI6" s="713"/>
      <c r="AJ6" s="713"/>
      <c r="AK6" s="713"/>
      <c r="AL6" s="713"/>
      <c r="AM6" s="713"/>
    </row>
    <row r="7" spans="1:39" x14ac:dyDescent="0.3">
      <c r="A7" s="714" t="s">
        <v>152</v>
      </c>
      <c r="B7" s="715"/>
      <c r="C7" s="716"/>
      <c r="D7" s="716"/>
      <c r="E7" s="716"/>
      <c r="F7" s="716"/>
      <c r="G7" s="716"/>
      <c r="H7" s="716"/>
      <c r="I7" s="716"/>
      <c r="J7" s="717"/>
      <c r="K7" s="701" t="s">
        <v>153</v>
      </c>
      <c r="L7" s="716"/>
      <c r="M7" s="716"/>
      <c r="N7" s="716"/>
      <c r="O7" s="716"/>
      <c r="P7" s="716"/>
      <c r="Q7" s="717"/>
      <c r="R7" s="701" t="s">
        <v>154</v>
      </c>
      <c r="S7" s="716"/>
      <c r="T7" s="716"/>
      <c r="U7" s="716"/>
      <c r="V7" s="716"/>
      <c r="W7" s="716"/>
      <c r="X7" s="716"/>
      <c r="Y7" s="716"/>
      <c r="Z7" s="717"/>
      <c r="AA7" s="701" t="s">
        <v>155</v>
      </c>
      <c r="AB7" s="716"/>
      <c r="AC7" s="716"/>
      <c r="AD7" s="716"/>
      <c r="AE7" s="716"/>
      <c r="AF7" s="716"/>
      <c r="AG7" s="717"/>
      <c r="AH7" s="701" t="s">
        <v>156</v>
      </c>
      <c r="AI7" s="716"/>
      <c r="AJ7" s="716"/>
      <c r="AK7" s="716"/>
      <c r="AL7" s="716"/>
      <c r="AM7" s="717"/>
    </row>
    <row r="8" spans="1:39" x14ac:dyDescent="0.3">
      <c r="A8" s="705" t="s">
        <v>157</v>
      </c>
      <c r="B8" s="707" t="s">
        <v>141</v>
      </c>
      <c r="C8" s="1054" t="s">
        <v>158</v>
      </c>
      <c r="D8" s="1054" t="s">
        <v>159</v>
      </c>
      <c r="E8" s="1056" t="s">
        <v>160</v>
      </c>
      <c r="F8" s="1058" t="s">
        <v>60</v>
      </c>
      <c r="G8" s="143"/>
      <c r="H8" s="38"/>
      <c r="I8" s="702" t="s">
        <v>161</v>
      </c>
      <c r="J8" s="703" t="s">
        <v>162</v>
      </c>
      <c r="K8" s="1060" t="s">
        <v>163</v>
      </c>
      <c r="L8" s="700" t="s">
        <v>164</v>
      </c>
      <c r="M8" s="702" t="s">
        <v>165</v>
      </c>
      <c r="N8" s="702" t="s">
        <v>166</v>
      </c>
      <c r="O8" s="1051" t="s">
        <v>167</v>
      </c>
      <c r="P8" s="700" t="s">
        <v>164</v>
      </c>
      <c r="Q8" s="1053" t="s">
        <v>168</v>
      </c>
      <c r="R8" s="698" t="s">
        <v>169</v>
      </c>
      <c r="S8" s="676" t="s">
        <v>170</v>
      </c>
      <c r="T8" s="702" t="s">
        <v>171</v>
      </c>
      <c r="U8" s="676" t="s">
        <v>172</v>
      </c>
      <c r="V8" s="676"/>
      <c r="W8" s="676"/>
      <c r="X8" s="676"/>
      <c r="Y8" s="676"/>
      <c r="Z8" s="676"/>
      <c r="AA8" s="697" t="s">
        <v>173</v>
      </c>
      <c r="AB8" s="697" t="s">
        <v>174</v>
      </c>
      <c r="AC8" s="697" t="s">
        <v>164</v>
      </c>
      <c r="AD8" s="697" t="s">
        <v>175</v>
      </c>
      <c r="AE8" s="697" t="s">
        <v>164</v>
      </c>
      <c r="AF8" s="697" t="s">
        <v>176</v>
      </c>
      <c r="AG8" s="698" t="s">
        <v>177</v>
      </c>
      <c r="AH8" s="676" t="s">
        <v>156</v>
      </c>
      <c r="AI8" s="676" t="s">
        <v>142</v>
      </c>
      <c r="AJ8" s="1049" t="s">
        <v>178</v>
      </c>
      <c r="AK8" s="676" t="s">
        <v>179</v>
      </c>
      <c r="AL8" s="676" t="s">
        <v>180</v>
      </c>
      <c r="AM8" s="1050" t="s">
        <v>181</v>
      </c>
    </row>
    <row r="9" spans="1:39" ht="75" x14ac:dyDescent="0.3">
      <c r="A9" s="706"/>
      <c r="B9" s="707"/>
      <c r="C9" s="1055"/>
      <c r="D9" s="1055"/>
      <c r="E9" s="1057"/>
      <c r="F9" s="1059"/>
      <c r="G9" s="143" t="s">
        <v>201</v>
      </c>
      <c r="H9" s="38" t="s">
        <v>182</v>
      </c>
      <c r="I9" s="703"/>
      <c r="J9" s="676"/>
      <c r="K9" s="1053"/>
      <c r="L9" s="701"/>
      <c r="M9" s="703"/>
      <c r="N9" s="703"/>
      <c r="O9" s="1052"/>
      <c r="P9" s="701"/>
      <c r="Q9" s="1049"/>
      <c r="R9" s="699"/>
      <c r="S9" s="676"/>
      <c r="T9" s="703"/>
      <c r="U9" s="39" t="s">
        <v>183</v>
      </c>
      <c r="V9" s="39" t="s">
        <v>184</v>
      </c>
      <c r="W9" s="39" t="s">
        <v>185</v>
      </c>
      <c r="X9" s="39" t="s">
        <v>186</v>
      </c>
      <c r="Y9" s="39" t="s">
        <v>187</v>
      </c>
      <c r="Z9" s="39" t="s">
        <v>188</v>
      </c>
      <c r="AA9" s="697"/>
      <c r="AB9" s="697"/>
      <c r="AC9" s="697"/>
      <c r="AD9" s="697"/>
      <c r="AE9" s="697"/>
      <c r="AF9" s="697"/>
      <c r="AG9" s="699"/>
      <c r="AH9" s="676"/>
      <c r="AI9" s="676"/>
      <c r="AJ9" s="1049"/>
      <c r="AK9" s="676"/>
      <c r="AL9" s="676"/>
      <c r="AM9" s="1050"/>
    </row>
    <row r="10" spans="1:39" ht="124.2" x14ac:dyDescent="0.3">
      <c r="A10" s="254">
        <v>1</v>
      </c>
      <c r="B10" s="144" t="s">
        <v>199</v>
      </c>
      <c r="C10" s="255" t="s">
        <v>292</v>
      </c>
      <c r="D10" s="256" t="s">
        <v>293</v>
      </c>
      <c r="E10" s="145" t="str">
        <f>'[1]Priorizacion de Causas'!B35</f>
        <v>Deficiente seguimiento por parte de los ordenadores del gasto  en la ejecución presupuestal</v>
      </c>
      <c r="F10" s="257" t="s">
        <v>294</v>
      </c>
      <c r="G10" s="258" t="s">
        <v>202</v>
      </c>
      <c r="H10" s="259" t="s">
        <v>295</v>
      </c>
      <c r="I10" s="260" t="s">
        <v>190</v>
      </c>
      <c r="J10" s="261">
        <f>11+3</f>
        <v>14</v>
      </c>
      <c r="K10" s="209" t="str">
        <f t="shared" ref="K10:K16" si="0">IF(J10&lt;=0,"",IF(J10&lt;=2,"Muy Baja",IF(J10&lt;=24,"Baja",IF(J10&lt;=500,"Media",IF(J10&lt;=5000,"Alta","Muy Alta")))))</f>
        <v>Baja</v>
      </c>
      <c r="L10" s="262">
        <f t="shared" ref="L10:L16" si="1">IF(K10="","",IF(K10="Muy Baja",0.2,IF(K10="Baja",0.4,IF(K10="Media",0.6,IF(K10="Alta",0.8,IF(K10="Muy Alta",1,))))))</f>
        <v>0.4</v>
      </c>
      <c r="M10" s="263" t="s">
        <v>296</v>
      </c>
      <c r="N10" s="146" t="str">
        <f>IF(NOT(ISERROR(MATCH(M10,'[1]Tabla Impacto'!$B$221:$B$223,0))),'[1]Tabla Impacto'!$F$223&amp;"Por favor no seleccionar los criterios de impacto(Afectación Económica o presupuestal y Pérdida Reputacional)",M10)</f>
        <v xml:space="preserve">     Mayor a 10000 SMLMV</v>
      </c>
      <c r="O10" s="209" t="str">
        <f>IF(OR(N10='[1]Tabla Impacto'!$C$11,N10='[1]Tabla Impacto'!$D$11),"Leve",IF(OR(N10='[1]Tabla Impacto'!$C$12,N10='[1]Tabla Impacto'!$D$12),"Menor",IF(OR(N10='[1]Tabla Impacto'!$C$13,N10='[1]Tabla Impacto'!$D$13),"Moderado",IF(OR(N10='[1]Tabla Impacto'!$C$14,N10='[1]Tabla Impacto'!$D$14),"Mayor",IF(OR(N10='[1]Tabla Impacto'!$C$15,N10='[1]Tabla Impacto'!$D$15),"Catastrófico","")))))</f>
        <v>Catastrófico</v>
      </c>
      <c r="P10" s="262">
        <f t="shared" ref="P10:P16" si="2">IF(O10="","",IF(O10="Leve",0.2,IF(O10="Menor",0.4,IF(O10="Moderado",0.6,IF(O10="Mayor",0.8,IF(O10="Catastrófico",1,))))))</f>
        <v>1</v>
      </c>
      <c r="Q10" s="212" t="str">
        <f t="shared" ref="Q10:Q16" si="3">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47">
        <v>1</v>
      </c>
      <c r="S10" s="148" t="str">
        <f>[1]DOFA!E39</f>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
      <c r="T10" s="149" t="str">
        <f t="shared" ref="T10:T16" si="4">IF(OR(U10="Preventivo",U10="Detectivo"),"Probabilidad",IF(U10="Correctivo","Impacto",""))</f>
        <v>Probabilidad</v>
      </c>
      <c r="U10" s="150" t="s">
        <v>197</v>
      </c>
      <c r="V10" s="150" t="s">
        <v>191</v>
      </c>
      <c r="W10" s="151" t="str">
        <f t="shared" ref="W10:W16" si="5">IF(AND(U10="Preventivo",V10="Automático"),"50%",IF(AND(U10="Preventivo",V10="Manual"),"40%",IF(AND(U10="Detectivo",V10="Automático"),"40%",IF(AND(U10="Detectivo",V10="Manual"),"30%",IF(AND(U10="Correctivo",V10="Automático"),"35%",IF(AND(U10="Correctivo",V10="Manual"),"25%",""))))))</f>
        <v>40%</v>
      </c>
      <c r="X10" s="150" t="s">
        <v>198</v>
      </c>
      <c r="Y10" s="150" t="s">
        <v>193</v>
      </c>
      <c r="Z10" s="150" t="s">
        <v>194</v>
      </c>
      <c r="AA10" s="152">
        <f>IFERROR(IF(T10="Probabilidad",(L10-(+L10*W10)),IF(T10="Impacto",L10,"")),"")</f>
        <v>0.24</v>
      </c>
      <c r="AB10" s="153" t="str">
        <f t="shared" ref="AB10:AB16" si="6">IFERROR(IF(AA10="","",IF(AA10&lt;=0.2,"Muy Baja",IF(AA10&lt;=0.4,"Baja",IF(AA10&lt;=0.6,"Media",IF(AA10&lt;=0.8,"Alta","Muy Alta"))))),"")</f>
        <v>Baja</v>
      </c>
      <c r="AC10" s="154">
        <f t="shared" ref="AC10:AC16" si="7">+AA10</f>
        <v>0.24</v>
      </c>
      <c r="AD10" s="153" t="str">
        <f t="shared" ref="AD10:AD16" si="8">IFERROR(IF(AE10="","",IF(AE10&lt;=0.2,"Leve",IF(AE10&lt;=0.4,"Menor",IF(AE10&lt;=0.6,"Moderado",IF(AE10&lt;=0.8,"Mayor","Catastrófico"))))),"")</f>
        <v>Catastrófico</v>
      </c>
      <c r="AE10" s="154">
        <f>IFERROR(IF(T10="Impacto",(P10-(+P10*W10)),IF(T10="Probabilidad",P10,"")),"")</f>
        <v>1</v>
      </c>
      <c r="AF10" s="155" t="str">
        <f t="shared" ref="AF10:AF16" si="9">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56" t="s">
        <v>195</v>
      </c>
      <c r="AH10" s="148" t="s">
        <v>297</v>
      </c>
      <c r="AI10" s="148" t="s">
        <v>298</v>
      </c>
      <c r="AJ10" s="157">
        <v>45658</v>
      </c>
      <c r="AK10" s="158"/>
      <c r="AL10" s="148"/>
      <c r="AM10" s="159" t="s">
        <v>196</v>
      </c>
    </row>
    <row r="11" spans="1:39" ht="96.6" x14ac:dyDescent="0.3">
      <c r="A11" s="254">
        <v>2</v>
      </c>
      <c r="B11" s="264" t="s">
        <v>199</v>
      </c>
      <c r="C11" s="265" t="s">
        <v>299</v>
      </c>
      <c r="D11" s="266" t="s">
        <v>300</v>
      </c>
      <c r="E11" s="161" t="str">
        <f>'[1]Priorizacion de Causas'!B36</f>
        <v>Falta de aplicación de las políticas del proceso de gestión docuemntal en el control y préstamo de la documentación.</v>
      </c>
      <c r="F11" s="267" t="s">
        <v>301</v>
      </c>
      <c r="G11" s="268" t="s">
        <v>202</v>
      </c>
      <c r="H11" s="162" t="s">
        <v>302</v>
      </c>
      <c r="I11" s="269" t="s">
        <v>190</v>
      </c>
      <c r="J11" s="270">
        <v>120000</v>
      </c>
      <c r="K11" s="209" t="str">
        <f t="shared" si="0"/>
        <v>Muy Alta</v>
      </c>
      <c r="L11" s="271">
        <f t="shared" si="1"/>
        <v>1</v>
      </c>
      <c r="M11" s="272" t="s">
        <v>200</v>
      </c>
      <c r="N11" s="146" t="str">
        <f>IF(NOT(ISERROR(MATCH(M11,'[1]Tabla Impacto'!$B$221:$B$223,0))),'[1]Tabla Impacto'!$F$223&amp;"Por favor no seleccionar los criterios de impacto(Afectación Económica o presupuestal y Pérdida Reputacional)",M11)</f>
        <v xml:space="preserve">     El riesgo afecta la imagen de la entidad con algunos usuarios de relevancia frente al logro de los objetivos</v>
      </c>
      <c r="O11" s="209" t="str">
        <f>IF(OR(N11='[1]Tabla Impacto'!$C$11,N11='[1]Tabla Impacto'!$D$11),"Leve",IF(OR(N11='[1]Tabla Impacto'!$C$12,N11='[1]Tabla Impacto'!$D$12),"Menor",IF(OR(N11='[1]Tabla Impacto'!$C$13,N11='[1]Tabla Impacto'!$D$13),"Moderado",IF(OR(N11='[1]Tabla Impacto'!$C$14,N11='[1]Tabla Impacto'!$D$14),"Mayor",IF(OR(N11='[1]Tabla Impacto'!$C$15,N11='[1]Tabla Impacto'!$D$15),"Catastrófico","")))))</f>
        <v>Moderado</v>
      </c>
      <c r="P11" s="271">
        <f t="shared" si="2"/>
        <v>0.6</v>
      </c>
      <c r="Q11" s="212" t="str">
        <f t="shared" si="3"/>
        <v>Alto</v>
      </c>
      <c r="R11" s="163">
        <v>1</v>
      </c>
      <c r="S11" s="164" t="str">
        <f>[1]DOFA!E40</f>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
      <c r="T11" s="165" t="str">
        <f t="shared" si="4"/>
        <v>Probabilidad</v>
      </c>
      <c r="U11" s="166" t="s">
        <v>197</v>
      </c>
      <c r="V11" s="166" t="s">
        <v>191</v>
      </c>
      <c r="W11" s="167" t="str">
        <f t="shared" si="5"/>
        <v>40%</v>
      </c>
      <c r="X11" s="166" t="s">
        <v>198</v>
      </c>
      <c r="Y11" s="166" t="s">
        <v>193</v>
      </c>
      <c r="Z11" s="166" t="s">
        <v>194</v>
      </c>
      <c r="AA11" s="168">
        <f>IFERROR(IF(T11="Probabilidad",(L11-(+L11*W11)),IF(T11="Impacto",L11,"")),"")</f>
        <v>0.6</v>
      </c>
      <c r="AB11" s="153" t="str">
        <f t="shared" si="6"/>
        <v>Media</v>
      </c>
      <c r="AC11" s="169">
        <f t="shared" si="7"/>
        <v>0.6</v>
      </c>
      <c r="AD11" s="153" t="str">
        <f t="shared" si="8"/>
        <v>Moderado</v>
      </c>
      <c r="AE11" s="169">
        <f>IFERROR(IF(T11="Impacto",(P11-(+P11*W11)),IF(T11="Probabilidad",P11,"")),"")</f>
        <v>0.6</v>
      </c>
      <c r="AF11" s="155" t="str">
        <f t="shared" si="9"/>
        <v>Moderado</v>
      </c>
      <c r="AG11" s="170" t="s">
        <v>195</v>
      </c>
      <c r="AH11" s="164" t="s">
        <v>303</v>
      </c>
      <c r="AI11" s="164" t="s">
        <v>304</v>
      </c>
      <c r="AJ11" s="171">
        <v>45658</v>
      </c>
      <c r="AK11" s="172"/>
      <c r="AL11" s="164"/>
      <c r="AM11" s="173" t="s">
        <v>196</v>
      </c>
    </row>
    <row r="12" spans="1:39" ht="96.6" x14ac:dyDescent="0.3">
      <c r="A12" s="254">
        <v>3</v>
      </c>
      <c r="B12" s="144" t="s">
        <v>189</v>
      </c>
      <c r="C12" s="174" t="s">
        <v>305</v>
      </c>
      <c r="D12" s="175" t="s">
        <v>306</v>
      </c>
      <c r="E12" s="176" t="str">
        <f>'[1]Priorizacion de Causas'!B19</f>
        <v xml:space="preserve"> falta de actualización de los documentos de los procesos de gestión de la Secretaría de Hacienda.</v>
      </c>
      <c r="F12" s="177" t="s">
        <v>307</v>
      </c>
      <c r="G12" s="273" t="s">
        <v>202</v>
      </c>
      <c r="H12" s="178" t="s">
        <v>308</v>
      </c>
      <c r="I12" s="274" t="s">
        <v>190</v>
      </c>
      <c r="J12" s="275">
        <v>5</v>
      </c>
      <c r="K12" s="209" t="str">
        <f t="shared" si="0"/>
        <v>Baja</v>
      </c>
      <c r="L12" s="276">
        <f t="shared" si="1"/>
        <v>0.4</v>
      </c>
      <c r="M12" s="277" t="s">
        <v>200</v>
      </c>
      <c r="N12" s="146" t="str">
        <f>IF(NOT(ISERROR(MATCH(M12,'[1]Tabla Impacto'!$B$221:$B$223,0))),'[1]Tabla Impacto'!$F$223&amp;"Por favor no seleccionar los criterios de impacto(Afectación Económica o presupuestal y Pérdida Reputacional)",M12)</f>
        <v xml:space="preserve">     El riesgo afecta la imagen de la entidad con algunos usuarios de relevancia frente al logro de los objetivos</v>
      </c>
      <c r="O12" s="209" t="str">
        <f>IF(OR(N12='[1]Tabla Impacto'!$C$11,N12='[1]Tabla Impacto'!$D$11),"Leve",IF(OR(N12='[1]Tabla Impacto'!$C$12,N12='[1]Tabla Impacto'!$D$12),"Menor",IF(OR(N12='[1]Tabla Impacto'!$C$13,N12='[1]Tabla Impacto'!$D$13),"Moderado",IF(OR(N12='[1]Tabla Impacto'!$C$14,N12='[1]Tabla Impacto'!$D$14),"Mayor",IF(OR(N12='[1]Tabla Impacto'!$C$15,N12='[1]Tabla Impacto'!$D$15),"Catastrófico","")))))</f>
        <v>Moderado</v>
      </c>
      <c r="P12" s="276">
        <f t="shared" si="2"/>
        <v>0.6</v>
      </c>
      <c r="Q12" s="212" t="str">
        <f t="shared" si="3"/>
        <v>Moderado</v>
      </c>
      <c r="R12" s="179">
        <v>1</v>
      </c>
      <c r="S12" s="180" t="str">
        <f>[1]DOFA!E41</f>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
      <c r="T12" s="181" t="str">
        <f t="shared" si="4"/>
        <v>Probabilidad</v>
      </c>
      <c r="U12" s="182" t="s">
        <v>197</v>
      </c>
      <c r="V12" s="182" t="s">
        <v>191</v>
      </c>
      <c r="W12" s="183" t="str">
        <f t="shared" si="5"/>
        <v>40%</v>
      </c>
      <c r="X12" s="182" t="s">
        <v>198</v>
      </c>
      <c r="Y12" s="182" t="s">
        <v>193</v>
      </c>
      <c r="Z12" s="182" t="s">
        <v>194</v>
      </c>
      <c r="AA12" s="184">
        <f>IFERROR(IF(T12="Probabilidad",(L12-(+L12*W12)),IF(T12="Impacto",L12,"")),"")</f>
        <v>0.24</v>
      </c>
      <c r="AB12" s="153" t="str">
        <f t="shared" si="6"/>
        <v>Baja</v>
      </c>
      <c r="AC12" s="185">
        <f t="shared" si="7"/>
        <v>0.24</v>
      </c>
      <c r="AD12" s="153" t="str">
        <f t="shared" si="8"/>
        <v>Moderado</v>
      </c>
      <c r="AE12" s="185">
        <f>IFERROR(IF(T12="Impacto",(P12-(+P12*W12)),IF(T12="Probabilidad",P12,"")),"")</f>
        <v>0.6</v>
      </c>
      <c r="AF12" s="155" t="str">
        <f t="shared" si="9"/>
        <v>Moderado</v>
      </c>
      <c r="AG12" s="186" t="s">
        <v>195</v>
      </c>
      <c r="AH12" s="180" t="s">
        <v>309</v>
      </c>
      <c r="AI12" s="180" t="s">
        <v>310</v>
      </c>
      <c r="AJ12" s="187">
        <v>45658</v>
      </c>
      <c r="AK12" s="188"/>
      <c r="AL12" s="180"/>
      <c r="AM12" s="189" t="s">
        <v>196</v>
      </c>
    </row>
    <row r="13" spans="1:39" ht="55.2" x14ac:dyDescent="0.3">
      <c r="A13" s="190">
        <v>4</v>
      </c>
      <c r="B13" s="191" t="s">
        <v>189</v>
      </c>
      <c r="C13" s="192" t="s">
        <v>311</v>
      </c>
      <c r="D13" s="193" t="s">
        <v>312</v>
      </c>
      <c r="E13" s="161" t="str">
        <f>'[1]Priorizacion de Causas'!B20</f>
        <v>Inconsistencia en los cruces entre bancos y las certificaciones</v>
      </c>
      <c r="F13" s="194" t="s">
        <v>313</v>
      </c>
      <c r="G13" s="195" t="s">
        <v>202</v>
      </c>
      <c r="H13" s="162" t="s">
        <v>314</v>
      </c>
      <c r="I13" s="196" t="s">
        <v>190</v>
      </c>
      <c r="J13" s="197">
        <v>1</v>
      </c>
      <c r="K13" s="198" t="str">
        <f t="shared" si="0"/>
        <v>Muy Baja</v>
      </c>
      <c r="L13" s="199">
        <f t="shared" si="1"/>
        <v>0.2</v>
      </c>
      <c r="M13" s="200" t="s">
        <v>315</v>
      </c>
      <c r="N13" s="201" t="str">
        <f>IF(NOT(ISERROR(MATCH(M13,'[1]Tabla Impacto'!$B$221:$B$223,0))),'[1]Tabla Impacto'!$F$223&amp;"Por favor no seleccionar los criterios de impacto(Afectación Económica o presupuestal y Pérdida Reputacional)",M13)</f>
        <v xml:space="preserve">     El riesgo afecta la imagen de alguna área de la organización</v>
      </c>
      <c r="O13" s="198" t="str">
        <f>IF(OR(N13='[1]Tabla Impacto'!$C$11,N13='[1]Tabla Impacto'!$D$11),"Leve",IF(OR(N13='[1]Tabla Impacto'!$C$12,N13='[1]Tabla Impacto'!$D$12),"Menor",IF(OR(N13='[1]Tabla Impacto'!$C$13,N13='[1]Tabla Impacto'!$D$13),"Moderado",IF(OR(N13='[1]Tabla Impacto'!$C$14,N13='[1]Tabla Impacto'!$D$14),"Mayor",IF(OR(N13='[1]Tabla Impacto'!$C$15,N13='[1]Tabla Impacto'!$D$15),"Catastrófico","")))))</f>
        <v>Leve</v>
      </c>
      <c r="P13" s="199">
        <f t="shared" si="2"/>
        <v>0.2</v>
      </c>
      <c r="Q13" s="202" t="str">
        <f t="shared" si="3"/>
        <v>Bajo</v>
      </c>
      <c r="R13" s="163">
        <v>1</v>
      </c>
      <c r="S13" s="164" t="str">
        <f>[1]DOFA!E42</f>
        <v>D 13, D14. O10, F11 , A4. El Director de Tesoreria , anualmente, emitirá Certificado de superávit o déficit fiscal, dejando como evidencia dicha certificación. 
(PRO-GHP-010: PROCEDIMIENTO: CIERRE DEL EJERCICIO FISCAL)</v>
      </c>
      <c r="T13" s="165" t="str">
        <f t="shared" si="4"/>
        <v>Probabilidad</v>
      </c>
      <c r="U13" s="166" t="s">
        <v>197</v>
      </c>
      <c r="V13" s="166" t="s">
        <v>191</v>
      </c>
      <c r="W13" s="167" t="str">
        <f t="shared" si="5"/>
        <v>40%</v>
      </c>
      <c r="X13" s="166" t="s">
        <v>192</v>
      </c>
      <c r="Y13" s="166" t="s">
        <v>193</v>
      </c>
      <c r="Z13" s="166" t="s">
        <v>194</v>
      </c>
      <c r="AA13" s="168">
        <f>IFERROR(IF(T13="Probabilidad",(L13-(+L13*W13)),IF(T13="Impacto",L13,"")),"")</f>
        <v>0.12</v>
      </c>
      <c r="AB13" s="153" t="str">
        <f t="shared" si="6"/>
        <v>Muy Baja</v>
      </c>
      <c r="AC13" s="169">
        <f t="shared" si="7"/>
        <v>0.12</v>
      </c>
      <c r="AD13" s="153" t="str">
        <f t="shared" si="8"/>
        <v>Leve</v>
      </c>
      <c r="AE13" s="169">
        <f>IFERROR(IF(T13="Impacto",(P13-(+P13*W13)),IF(T13="Probabilidad",P13,"")),"")</f>
        <v>0.2</v>
      </c>
      <c r="AF13" s="155" t="str">
        <f t="shared" si="9"/>
        <v>Bajo</v>
      </c>
      <c r="AG13" s="170" t="s">
        <v>195</v>
      </c>
      <c r="AH13" s="164" t="s">
        <v>316</v>
      </c>
      <c r="AI13" s="203" t="s">
        <v>304</v>
      </c>
      <c r="AJ13" s="171">
        <v>45658</v>
      </c>
      <c r="AK13" s="172"/>
      <c r="AL13" s="164"/>
      <c r="AM13" s="173" t="s">
        <v>196</v>
      </c>
    </row>
    <row r="14" spans="1:39" ht="151.80000000000001" x14ac:dyDescent="0.3">
      <c r="A14" s="190">
        <v>5</v>
      </c>
      <c r="B14" s="1037" t="s">
        <v>199</v>
      </c>
      <c r="C14" s="1039" t="s">
        <v>317</v>
      </c>
      <c r="D14" s="1040" t="s">
        <v>318</v>
      </c>
      <c r="E14" s="206" t="str">
        <f>'[1]Priorizacion de Causas'!B37</f>
        <v>1, Retraso en la entrega de información relacionada con actualización y/o conservación catastral por parte del Gestor catastral.  Notificación indebida y/o extemporanea</v>
      </c>
      <c r="F14" s="1042" t="s">
        <v>319</v>
      </c>
      <c r="G14" s="1043" t="s">
        <v>203</v>
      </c>
      <c r="H14" s="207" t="s">
        <v>320</v>
      </c>
      <c r="I14" s="1045" t="s">
        <v>190</v>
      </c>
      <c r="J14" s="208">
        <v>100</v>
      </c>
      <c r="K14" s="209" t="str">
        <f t="shared" si="0"/>
        <v>Media</v>
      </c>
      <c r="L14" s="210">
        <f t="shared" si="1"/>
        <v>0.6</v>
      </c>
      <c r="M14" s="211" t="s">
        <v>321</v>
      </c>
      <c r="N14" s="1047" t="str">
        <f>IF(NOT(ISERROR(MATCH(M14,'[1]Tabla Impacto'!$B$221:$B$223,0))),'[1]Tabla Impacto'!$F$223&amp;"Por favor no seleccionar los criterios de impacto(Afectación Económica o presupuestal y Pérdida Reputacional)",M14)</f>
        <v xml:space="preserve">     Entre 200 y 1000 SMLMV</v>
      </c>
      <c r="O14" s="209" t="str">
        <f>IF(OR(N14='[1]Tabla Impacto'!$C$11,N14='[1]Tabla Impacto'!$D$11),"Leve",IF(OR(N14='[1]Tabla Impacto'!$C$12,N14='[1]Tabla Impacto'!$D$12),"Menor",IF(OR(N14='[1]Tabla Impacto'!$C$13,N14='[1]Tabla Impacto'!$D$13),"Moderado",IF(OR(N14='[1]Tabla Impacto'!$C$14,N14='[1]Tabla Impacto'!$D$14),"Mayor",IF(OR(N14='[1]Tabla Impacto'!$C$15,N14='[1]Tabla Impacto'!$D$15),"Catastrófico","")))))</f>
        <v>Menor</v>
      </c>
      <c r="P14" s="210">
        <f t="shared" si="2"/>
        <v>0.4</v>
      </c>
      <c r="Q14" s="212" t="str">
        <f t="shared" si="3"/>
        <v>Moderado</v>
      </c>
      <c r="R14" s="213">
        <v>1</v>
      </c>
      <c r="S14" s="214" t="str">
        <f>[1]DOFA!E43</f>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
      <c r="T14" s="215" t="str">
        <f>IF(OR(U14="Preventivo",U14="Detectivo"),"Probabilidad",IF(U14="Correctivo","Impacto",""))</f>
        <v>Probabilidad</v>
      </c>
      <c r="U14" s="216" t="s">
        <v>197</v>
      </c>
      <c r="V14" s="216" t="s">
        <v>191</v>
      </c>
      <c r="W14" s="217" t="str">
        <f t="shared" si="5"/>
        <v>40%</v>
      </c>
      <c r="X14" s="216" t="s">
        <v>198</v>
      </c>
      <c r="Y14" s="216" t="s">
        <v>193</v>
      </c>
      <c r="Z14" s="216" t="s">
        <v>194</v>
      </c>
      <c r="AA14" s="218">
        <f>IFERROR(IF(T14="Probabilidad",(L14-(+L14*W14)),IF(T14="Impacto",L14,"")),"")</f>
        <v>0.36</v>
      </c>
      <c r="AB14" s="153" t="str">
        <f t="shared" si="6"/>
        <v>Baja</v>
      </c>
      <c r="AC14" s="219">
        <f t="shared" si="7"/>
        <v>0.36</v>
      </c>
      <c r="AD14" s="153" t="str">
        <f t="shared" si="8"/>
        <v>Menor</v>
      </c>
      <c r="AE14" s="219">
        <f>IFERROR(IF(T14="Impacto",(P14-(+P14*W14)),IF(T14="Probabilidad",P14,"")),"")</f>
        <v>0.4</v>
      </c>
      <c r="AF14" s="155" t="str">
        <f t="shared" si="9"/>
        <v>Moderado</v>
      </c>
      <c r="AG14" s="220" t="s">
        <v>195</v>
      </c>
      <c r="AH14" s="214" t="s">
        <v>322</v>
      </c>
      <c r="AI14" s="221" t="s">
        <v>323</v>
      </c>
      <c r="AJ14" s="222">
        <v>45658</v>
      </c>
      <c r="AK14" s="223"/>
      <c r="AL14" s="214"/>
      <c r="AM14" s="224" t="s">
        <v>196</v>
      </c>
    </row>
    <row r="15" spans="1:39" ht="138" x14ac:dyDescent="0.3">
      <c r="A15" s="204">
        <v>6</v>
      </c>
      <c r="B15" s="1038"/>
      <c r="C15" s="1038"/>
      <c r="D15" s="1041"/>
      <c r="E15" s="225" t="str">
        <f>'[1]Priorizacion de Causas'!B38</f>
        <v xml:space="preserve">Debilidad de la Dirección de Tesorería-grupo Cobro Coactivo para efectuar el control de  los impulsos procesales de la cartera de cobro.  </v>
      </c>
      <c r="F15" s="1042"/>
      <c r="G15" s="1044"/>
      <c r="H15" s="226" t="s">
        <v>324</v>
      </c>
      <c r="I15" s="1046"/>
      <c r="J15" s="227">
        <v>300000000</v>
      </c>
      <c r="K15" s="209" t="str">
        <f t="shared" si="0"/>
        <v>Muy Alta</v>
      </c>
      <c r="L15" s="228">
        <f t="shared" si="1"/>
        <v>1</v>
      </c>
      <c r="M15" s="229" t="s">
        <v>325</v>
      </c>
      <c r="N15" s="1048" t="str">
        <f>IF(NOT(ISERROR(MATCH(M15,_xlfn.ANCHORARRAY(F17),0))),L19&amp;"Por favor no seleccionar los criterios de impacto",M15)</f>
        <v xml:space="preserve">     Entre 5000 y 10000 SMLMV</v>
      </c>
      <c r="O15" s="209" t="str">
        <f>IF(OR(N15='[1]Tabla Impacto'!$C$11,N15='[1]Tabla Impacto'!$D$11),"Leve",IF(OR(N15='[1]Tabla Impacto'!$C$12,N15='[1]Tabla Impacto'!$D$12),"Menor",IF(OR(N15='[1]Tabla Impacto'!$C$13,N15='[1]Tabla Impacto'!$D$13),"Moderado",IF(OR(N15='[1]Tabla Impacto'!$C$14,N15='[1]Tabla Impacto'!$D$14),"Mayor",IF(OR(N15='[1]Tabla Impacto'!$C$15,N15='[1]Tabla Impacto'!$D$15),"Catastrófico","")))))</f>
        <v>Mayor</v>
      </c>
      <c r="P15" s="228">
        <f t="shared" si="2"/>
        <v>0.8</v>
      </c>
      <c r="Q15" s="212" t="str">
        <f t="shared" si="3"/>
        <v>Alto</v>
      </c>
      <c r="R15" s="230">
        <v>2</v>
      </c>
      <c r="S15" s="231" t="str">
        <f>[1]DOFA!E44</f>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
      <c r="T15" s="232" t="str">
        <f>IF(OR(U15="Preventivo",U15="Detectivo"),"Probabilidad",IF(U15="Correctivo","Impacto",""))</f>
        <v>Probabilidad</v>
      </c>
      <c r="U15" s="233" t="s">
        <v>197</v>
      </c>
      <c r="V15" s="233" t="s">
        <v>191</v>
      </c>
      <c r="W15" s="234" t="str">
        <f t="shared" si="5"/>
        <v>40%</v>
      </c>
      <c r="X15" s="233" t="s">
        <v>198</v>
      </c>
      <c r="Y15" s="233" t="s">
        <v>193</v>
      </c>
      <c r="Z15" s="233" t="s">
        <v>194</v>
      </c>
      <c r="AA15" s="235">
        <f>IFERROR(IF(AND(T14="Probabilidad",T15="Probabilidad"),(AC14-(+AC14*W15)),IF(AND(T14="Impacto",T15="Probabilidad"),(L14-(+L14*W15)),IF(T15="Impacto",AC14,""))),"")</f>
        <v>0.216</v>
      </c>
      <c r="AB15" s="153" t="str">
        <f t="shared" si="6"/>
        <v>Baja</v>
      </c>
      <c r="AC15" s="236">
        <f t="shared" si="7"/>
        <v>0.216</v>
      </c>
      <c r="AD15" s="237" t="str">
        <f t="shared" si="8"/>
        <v>Menor</v>
      </c>
      <c r="AE15" s="236">
        <f>IFERROR(IF(AND(T14="Impacto",T15="Impacto"),(AE14-(+AE14*W15)),IF(AND(T14="Probabilidad",T15="Impacto"),(P14-(+P14*W15)),IF(T15="Probabilidad",AE14,""))),"")</f>
        <v>0.4</v>
      </c>
      <c r="AF15" s="155" t="str">
        <f t="shared" si="9"/>
        <v>Moderado</v>
      </c>
      <c r="AG15" s="238" t="s">
        <v>195</v>
      </c>
      <c r="AH15" s="239" t="s">
        <v>326</v>
      </c>
      <c r="AI15" s="239" t="s">
        <v>304</v>
      </c>
      <c r="AJ15" s="240">
        <v>45658</v>
      </c>
      <c r="AK15" s="241"/>
      <c r="AL15" s="231"/>
      <c r="AM15" s="239" t="s">
        <v>196</v>
      </c>
    </row>
    <row r="16" spans="1:39" ht="138" x14ac:dyDescent="0.3">
      <c r="A16" s="242">
        <v>7</v>
      </c>
      <c r="B16" s="278" t="s">
        <v>199</v>
      </c>
      <c r="C16" s="279" t="s">
        <v>327</v>
      </c>
      <c r="D16" s="280" t="s">
        <v>328</v>
      </c>
      <c r="E16" s="243" t="str">
        <f>'[1]Priorizacion de Causas'!B34</f>
        <v>Inadecuada deducción de impuestos, tasas o contribuciones al contratista</v>
      </c>
      <c r="F16" s="281" t="s">
        <v>329</v>
      </c>
      <c r="G16" s="282" t="s">
        <v>203</v>
      </c>
      <c r="H16" s="244" t="s">
        <v>330</v>
      </c>
      <c r="I16" s="283" t="s">
        <v>190</v>
      </c>
      <c r="J16" s="284">
        <v>6000</v>
      </c>
      <c r="K16" s="285" t="str">
        <f t="shared" si="0"/>
        <v>Muy Alta</v>
      </c>
      <c r="L16" s="286">
        <f t="shared" si="1"/>
        <v>1</v>
      </c>
      <c r="M16" s="287" t="s">
        <v>325</v>
      </c>
      <c r="N16" s="45" t="str">
        <f>IF(NOT(ISERROR(MATCH(M16,'[1]Tabla Impacto'!$B$221:$B$223,0))),'[1]Tabla Impacto'!$F$223&amp;"Por favor no seleccionar los criterios de impacto(Afectación Económica o presupuestal y Pérdida Reputacional)",M16)</f>
        <v xml:space="preserve">     Entre 5000 y 10000 SMLMV</v>
      </c>
      <c r="O16" s="285" t="str">
        <f>IF(OR(N16='[1]Tabla Impacto'!$C$11,N16='[1]Tabla Impacto'!$D$11),"Leve",IF(OR(N16='[1]Tabla Impacto'!$C$12,N16='[1]Tabla Impacto'!$D$12),"Menor",IF(OR(N16='[1]Tabla Impacto'!$C$13,N16='[1]Tabla Impacto'!$D$13),"Moderado",IF(OR(N16='[1]Tabla Impacto'!$C$14,N16='[1]Tabla Impacto'!$D$14),"Mayor",IF(OR(N16='[1]Tabla Impacto'!$C$15,N16='[1]Tabla Impacto'!$D$15),"Catastrófico","")))))</f>
        <v>Mayor</v>
      </c>
      <c r="P16" s="286">
        <f t="shared" si="2"/>
        <v>0.8</v>
      </c>
      <c r="Q16" s="288" t="str">
        <f t="shared" si="3"/>
        <v>Alto</v>
      </c>
      <c r="R16" s="245">
        <v>1</v>
      </c>
      <c r="S16" s="148" t="str">
        <f>[1]DOFA!E45</f>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
      <c r="T16" s="149" t="str">
        <f t="shared" si="4"/>
        <v>Probabilidad</v>
      </c>
      <c r="U16" s="150" t="s">
        <v>197</v>
      </c>
      <c r="V16" s="150" t="s">
        <v>191</v>
      </c>
      <c r="W16" s="151" t="str">
        <f t="shared" si="5"/>
        <v>40%</v>
      </c>
      <c r="X16" s="150" t="s">
        <v>198</v>
      </c>
      <c r="Y16" s="150" t="s">
        <v>193</v>
      </c>
      <c r="Z16" s="150" t="s">
        <v>194</v>
      </c>
      <c r="AA16" s="152">
        <f>IFERROR(IF(T16="Probabilidad",(L16-(+L16*W16)),IF(T16="Impacto",L16,"")),"")</f>
        <v>0.6</v>
      </c>
      <c r="AB16" s="153" t="str">
        <f t="shared" si="6"/>
        <v>Media</v>
      </c>
      <c r="AC16" s="154">
        <f t="shared" si="7"/>
        <v>0.6</v>
      </c>
      <c r="AD16" s="153" t="str">
        <f t="shared" si="8"/>
        <v>Mayor</v>
      </c>
      <c r="AE16" s="154">
        <f>IFERROR(IF(T16="Impacto",(P16-(+P16*W16)),IF(T16="Probabilidad",P16,"")),"")</f>
        <v>0.8</v>
      </c>
      <c r="AF16" s="155" t="str">
        <f t="shared" si="9"/>
        <v>Alto</v>
      </c>
      <c r="AG16" s="156" t="s">
        <v>195</v>
      </c>
      <c r="AH16" s="148" t="s">
        <v>331</v>
      </c>
      <c r="AI16" s="246" t="s">
        <v>298</v>
      </c>
      <c r="AJ16" s="157">
        <v>45658</v>
      </c>
      <c r="AK16" s="158"/>
      <c r="AL16" s="148"/>
      <c r="AM16" s="246" t="s">
        <v>196</v>
      </c>
    </row>
    <row r="17" spans="1:39" x14ac:dyDescent="0.3">
      <c r="A17" s="1023" t="s">
        <v>148</v>
      </c>
      <c r="B17" s="1024"/>
      <c r="C17" s="1024"/>
      <c r="D17" s="1024"/>
      <c r="E17" s="1024"/>
      <c r="F17" s="1024"/>
      <c r="G17" s="1024"/>
      <c r="H17" s="1024"/>
      <c r="I17" s="1024"/>
      <c r="J17" s="1024"/>
      <c r="K17" s="1024"/>
      <c r="L17" s="1024"/>
      <c r="M17" s="1024"/>
      <c r="N17" s="1024"/>
      <c r="O17" s="1024"/>
      <c r="P17" s="1024"/>
      <c r="Q17" s="1024"/>
      <c r="R17" s="1024"/>
      <c r="S17" s="1024"/>
      <c r="T17" s="1024"/>
      <c r="U17" s="1024"/>
      <c r="V17" s="1024"/>
      <c r="W17" s="1024"/>
      <c r="X17" s="1024"/>
      <c r="Y17" s="1024"/>
      <c r="Z17" s="1024"/>
      <c r="AA17" s="1024"/>
      <c r="AB17" s="1024"/>
      <c r="AC17" s="1024"/>
      <c r="AD17" s="1024"/>
      <c r="AE17" s="1024"/>
      <c r="AF17" s="1024"/>
      <c r="AG17" s="1024"/>
      <c r="AH17" s="1024"/>
      <c r="AI17" s="1024"/>
      <c r="AJ17" s="1024"/>
      <c r="AK17" s="1024"/>
      <c r="AL17" s="1024"/>
      <c r="AM17" s="1025"/>
    </row>
    <row r="18" spans="1:39" x14ac:dyDescent="0.3">
      <c r="A18" s="1026"/>
      <c r="B18" s="1027"/>
      <c r="C18" s="1027"/>
      <c r="D18" s="1027"/>
      <c r="E18" s="1027"/>
      <c r="F18" s="1027"/>
      <c r="G18" s="1027"/>
      <c r="H18" s="1027"/>
      <c r="I18" s="1027"/>
      <c r="J18" s="1027"/>
      <c r="K18" s="1027"/>
      <c r="L18" s="1027"/>
      <c r="M18" s="1027"/>
      <c r="N18" s="1027"/>
      <c r="O18" s="1027"/>
      <c r="P18" s="1027"/>
      <c r="Q18" s="1027"/>
      <c r="R18" s="1027"/>
      <c r="S18" s="1027"/>
      <c r="T18" s="1027"/>
      <c r="U18" s="1027"/>
      <c r="V18" s="1027"/>
      <c r="W18" s="1027"/>
      <c r="X18" s="1027"/>
      <c r="Y18" s="1027"/>
      <c r="Z18" s="1027"/>
      <c r="AA18" s="1027"/>
      <c r="AB18" s="1027"/>
      <c r="AC18" s="1027"/>
      <c r="AD18" s="1027"/>
      <c r="AE18" s="1027"/>
      <c r="AF18" s="1027"/>
      <c r="AG18" s="1027"/>
      <c r="AH18" s="1027"/>
      <c r="AI18" s="1027"/>
      <c r="AJ18" s="1027"/>
      <c r="AK18" s="1027"/>
      <c r="AL18" s="1027"/>
      <c r="AM18" s="1028"/>
    </row>
    <row r="19" spans="1:39" ht="14.4" x14ac:dyDescent="0.3">
      <c r="A19" s="47"/>
      <c r="B19" s="48"/>
      <c r="C19" s="47"/>
      <c r="D19" s="47"/>
      <c r="E19" s="47"/>
      <c r="F19" s="46"/>
      <c r="G19" s="46"/>
      <c r="H19" s="46"/>
      <c r="I19" s="49"/>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1:39" ht="23.4" x14ac:dyDescent="0.3">
      <c r="A20" s="1029" t="s">
        <v>149</v>
      </c>
      <c r="B20" s="1010"/>
      <c r="C20" s="1030" t="s">
        <v>204</v>
      </c>
      <c r="D20" s="1031"/>
      <c r="E20" s="1031"/>
      <c r="F20" s="1031"/>
      <c r="G20" s="1031"/>
      <c r="H20" s="1031"/>
      <c r="I20" s="1031"/>
      <c r="J20" s="1031"/>
      <c r="K20" s="1031"/>
      <c r="L20" s="1031"/>
      <c r="M20" s="1031"/>
      <c r="N20" s="1031"/>
      <c r="O20" s="1031"/>
      <c r="P20" s="1031"/>
      <c r="Q20" s="1031"/>
      <c r="R20" s="1031"/>
      <c r="S20" s="1031"/>
      <c r="T20" s="1031"/>
      <c r="U20" s="1031"/>
      <c r="V20" s="1031"/>
      <c r="W20" s="1031"/>
      <c r="X20" s="1031"/>
      <c r="Y20" s="1031"/>
      <c r="Z20" s="1031"/>
      <c r="AA20" s="1031"/>
      <c r="AB20" s="1031"/>
      <c r="AC20" s="1031"/>
      <c r="AD20" s="1031"/>
      <c r="AE20" s="1031"/>
      <c r="AF20" s="1031"/>
      <c r="AG20" s="1031"/>
      <c r="AH20" s="1031"/>
      <c r="AI20" s="1031"/>
      <c r="AJ20" s="1031"/>
      <c r="AK20" s="1031"/>
      <c r="AL20" s="1031"/>
      <c r="AM20" s="1032"/>
    </row>
    <row r="21" spans="1:39" ht="23.4" x14ac:dyDescent="0.3">
      <c r="A21" s="1029" t="s">
        <v>150</v>
      </c>
      <c r="B21" s="1010"/>
      <c r="C21" s="1033" t="s">
        <v>205</v>
      </c>
      <c r="D21" s="1010"/>
      <c r="E21" s="1010"/>
      <c r="F21" s="1010"/>
      <c r="G21" s="1010"/>
      <c r="H21" s="1010"/>
      <c r="I21" s="1010"/>
      <c r="J21" s="1010"/>
      <c r="K21" s="1010"/>
      <c r="L21" s="1010"/>
      <c r="M21" s="1010"/>
      <c r="N21" s="1010"/>
      <c r="O21" s="1010"/>
      <c r="P21" s="1010"/>
      <c r="Q21" s="1010"/>
      <c r="R21" s="1010"/>
      <c r="S21" s="1010"/>
      <c r="T21" s="1010"/>
      <c r="U21" s="1010"/>
      <c r="V21" s="1010"/>
      <c r="W21" s="1010"/>
      <c r="X21" s="1010"/>
      <c r="Y21" s="1010"/>
      <c r="Z21" s="1010"/>
      <c r="AA21" s="1010"/>
      <c r="AB21" s="1010"/>
      <c r="AC21" s="1010"/>
      <c r="AD21" s="1010"/>
      <c r="AE21" s="1010"/>
      <c r="AF21" s="1010"/>
      <c r="AG21" s="1010"/>
      <c r="AH21" s="1010"/>
      <c r="AI21" s="1010"/>
      <c r="AJ21" s="1010"/>
      <c r="AK21" s="1010"/>
      <c r="AL21" s="1010"/>
      <c r="AM21" s="1011"/>
    </row>
    <row r="22" spans="1:39" ht="23.4" x14ac:dyDescent="0.3">
      <c r="A22" s="1029" t="s">
        <v>151</v>
      </c>
      <c r="B22" s="1010"/>
      <c r="C22" s="1034" t="s">
        <v>206</v>
      </c>
      <c r="D22" s="1035"/>
      <c r="E22" s="1035"/>
      <c r="F22" s="1035"/>
      <c r="G22" s="1035"/>
      <c r="H22" s="1035"/>
      <c r="I22" s="1035"/>
      <c r="J22" s="1035"/>
      <c r="K22" s="1035"/>
      <c r="L22" s="1035"/>
      <c r="M22" s="1035"/>
      <c r="N22" s="1035"/>
      <c r="O22" s="1035"/>
      <c r="P22" s="1035"/>
      <c r="Q22" s="1035"/>
      <c r="R22" s="1035"/>
      <c r="S22" s="1035"/>
      <c r="T22" s="1035"/>
      <c r="U22" s="1035"/>
      <c r="V22" s="1035"/>
      <c r="W22" s="1035"/>
      <c r="X22" s="1035"/>
      <c r="Y22" s="1035"/>
      <c r="Z22" s="1035"/>
      <c r="AA22" s="1035"/>
      <c r="AB22" s="1035"/>
      <c r="AC22" s="1035"/>
      <c r="AD22" s="1035"/>
      <c r="AE22" s="1035"/>
      <c r="AF22" s="1035"/>
      <c r="AG22" s="1035"/>
      <c r="AH22" s="1035"/>
      <c r="AI22" s="1035"/>
      <c r="AJ22" s="1035"/>
      <c r="AK22" s="1035"/>
      <c r="AL22" s="1035"/>
      <c r="AM22" s="1036"/>
    </row>
    <row r="23" spans="1:39" ht="14.4" x14ac:dyDescent="0.3">
      <c r="A23" s="1009" t="s">
        <v>152</v>
      </c>
      <c r="B23" s="1010"/>
      <c r="C23" s="1010"/>
      <c r="D23" s="1010"/>
      <c r="E23" s="1010"/>
      <c r="F23" s="1010"/>
      <c r="G23" s="1010"/>
      <c r="H23" s="1010"/>
      <c r="I23" s="1010"/>
      <c r="J23" s="1011"/>
      <c r="K23" s="1012" t="s">
        <v>153</v>
      </c>
      <c r="L23" s="1013"/>
      <c r="M23" s="1013"/>
      <c r="N23" s="1013"/>
      <c r="O23" s="1013"/>
      <c r="P23" s="1013"/>
      <c r="Q23" s="1014"/>
      <c r="R23" s="1012" t="s">
        <v>154</v>
      </c>
      <c r="S23" s="1013"/>
      <c r="T23" s="1013"/>
      <c r="U23" s="1013"/>
      <c r="V23" s="1013"/>
      <c r="W23" s="1013"/>
      <c r="X23" s="1013"/>
      <c r="Y23" s="1013"/>
      <c r="Z23" s="1014"/>
      <c r="AA23" s="1012" t="s">
        <v>155</v>
      </c>
      <c r="AB23" s="1013"/>
      <c r="AC23" s="1013"/>
      <c r="AD23" s="1013"/>
      <c r="AE23" s="1013"/>
      <c r="AF23" s="1013"/>
      <c r="AG23" s="1014"/>
      <c r="AH23" s="1012" t="s">
        <v>156</v>
      </c>
      <c r="AI23" s="1013"/>
      <c r="AJ23" s="1013"/>
      <c r="AK23" s="1013"/>
      <c r="AL23" s="1013"/>
      <c r="AM23" s="1014"/>
    </row>
    <row r="24" spans="1:39" ht="14.4" x14ac:dyDescent="0.3">
      <c r="A24" s="1015" t="s">
        <v>157</v>
      </c>
      <c r="B24" s="1016" t="s">
        <v>141</v>
      </c>
      <c r="C24" s="1017" t="s">
        <v>158</v>
      </c>
      <c r="D24" s="1017" t="s">
        <v>159</v>
      </c>
      <c r="E24" s="998" t="s">
        <v>160</v>
      </c>
      <c r="F24" s="1018" t="s">
        <v>60</v>
      </c>
      <c r="G24" s="50"/>
      <c r="H24" s="50"/>
      <c r="I24" s="998" t="s">
        <v>161</v>
      </c>
      <c r="J24" s="1017" t="s">
        <v>162</v>
      </c>
      <c r="K24" s="1017" t="s">
        <v>163</v>
      </c>
      <c r="L24" s="1019" t="s">
        <v>164</v>
      </c>
      <c r="M24" s="998" t="s">
        <v>165</v>
      </c>
      <c r="N24" s="998" t="s">
        <v>166</v>
      </c>
      <c r="O24" s="1020" t="s">
        <v>167</v>
      </c>
      <c r="P24" s="1019" t="s">
        <v>164</v>
      </c>
      <c r="Q24" s="1017" t="s">
        <v>168</v>
      </c>
      <c r="R24" s="1008" t="s">
        <v>169</v>
      </c>
      <c r="S24" s="998" t="s">
        <v>170</v>
      </c>
      <c r="T24" s="1021" t="s">
        <v>171</v>
      </c>
      <c r="U24" s="1022" t="s">
        <v>172</v>
      </c>
      <c r="V24" s="1010"/>
      <c r="W24" s="1010"/>
      <c r="X24" s="1010"/>
      <c r="Y24" s="1010"/>
      <c r="Z24" s="1011"/>
      <c r="AA24" s="1008" t="s">
        <v>173</v>
      </c>
      <c r="AB24" s="1008" t="s">
        <v>174</v>
      </c>
      <c r="AC24" s="1008" t="s">
        <v>164</v>
      </c>
      <c r="AD24" s="1008" t="s">
        <v>175</v>
      </c>
      <c r="AE24" s="1008" t="s">
        <v>164</v>
      </c>
      <c r="AF24" s="1008" t="s">
        <v>176</v>
      </c>
      <c r="AG24" s="1008" t="s">
        <v>177</v>
      </c>
      <c r="AH24" s="998" t="s">
        <v>156</v>
      </c>
      <c r="AI24" s="998" t="s">
        <v>142</v>
      </c>
      <c r="AJ24" s="998" t="s">
        <v>178</v>
      </c>
      <c r="AK24" s="998" t="s">
        <v>179</v>
      </c>
      <c r="AL24" s="998" t="s">
        <v>180</v>
      </c>
      <c r="AM24" s="999" t="s">
        <v>181</v>
      </c>
    </row>
    <row r="25" spans="1:39" ht="72.599999999999994" x14ac:dyDescent="0.3">
      <c r="A25" s="979"/>
      <c r="B25" s="979"/>
      <c r="C25" s="979"/>
      <c r="D25" s="979"/>
      <c r="E25" s="977"/>
      <c r="F25" s="977"/>
      <c r="G25" s="50" t="s">
        <v>201</v>
      </c>
      <c r="H25" s="50" t="s">
        <v>182</v>
      </c>
      <c r="I25" s="979"/>
      <c r="J25" s="979"/>
      <c r="K25" s="979"/>
      <c r="L25" s="1000"/>
      <c r="M25" s="979"/>
      <c r="N25" s="979"/>
      <c r="O25" s="1000"/>
      <c r="P25" s="1000"/>
      <c r="Q25" s="979"/>
      <c r="R25" s="979"/>
      <c r="S25" s="979"/>
      <c r="T25" s="511"/>
      <c r="U25" s="51" t="s">
        <v>183</v>
      </c>
      <c r="V25" s="51" t="s">
        <v>184</v>
      </c>
      <c r="W25" s="51" t="s">
        <v>185</v>
      </c>
      <c r="X25" s="51" t="s">
        <v>186</v>
      </c>
      <c r="Y25" s="51" t="s">
        <v>187</v>
      </c>
      <c r="Z25" s="51" t="s">
        <v>188</v>
      </c>
      <c r="AA25" s="979"/>
      <c r="AB25" s="979"/>
      <c r="AC25" s="979"/>
      <c r="AD25" s="979"/>
      <c r="AE25" s="979"/>
      <c r="AF25" s="979"/>
      <c r="AG25" s="979"/>
      <c r="AH25" s="979"/>
      <c r="AI25" s="979"/>
      <c r="AJ25" s="979"/>
      <c r="AK25" s="979"/>
      <c r="AL25" s="979"/>
      <c r="AM25" s="1000"/>
    </row>
    <row r="26" spans="1:39" ht="156" x14ac:dyDescent="0.3">
      <c r="A26" s="1001">
        <v>1</v>
      </c>
      <c r="B26" s="1002" t="s">
        <v>199</v>
      </c>
      <c r="C26" s="1002" t="s">
        <v>209</v>
      </c>
      <c r="D26" s="1002" t="s">
        <v>210</v>
      </c>
      <c r="E26" s="53" t="s">
        <v>211</v>
      </c>
      <c r="F26" s="1002" t="s">
        <v>212</v>
      </c>
      <c r="G26" s="1002" t="s">
        <v>202</v>
      </c>
      <c r="H26" s="54" t="s">
        <v>213</v>
      </c>
      <c r="I26" s="55" t="s">
        <v>190</v>
      </c>
      <c r="J26" s="1003">
        <v>365</v>
      </c>
      <c r="K26" s="983" t="str">
        <f>IF(J26&lt;=0,"",IF(J26&lt;=2,"Muy Baja",IF(J26&lt;=L1159,"Baja",IF(J26&lt;=500,"Media",IF(J26&lt;=5000,"Alta","Muy Alta")))))</f>
        <v>Media</v>
      </c>
      <c r="L26" s="984">
        <f>IF(K26="","",IF(K26="Muy Baja",0.2,IF(K26="Baja",0.4,IF(K26="Media",0.6,IF(K26="Alta",0.8,IF(K26="Muy Alta",1,))))))</f>
        <v>0.6</v>
      </c>
      <c r="M26" s="984" t="s">
        <v>214</v>
      </c>
      <c r="N26" s="984" t="str">
        <f>IF(NOT(ISERROR(MATCH(M26,'[2]Tabla Impacto'!$B$221:$B$223,0))),'[2]Tabla Impacto'!$F$223&amp;"Por favor no seleccionar los criterios de impacto(Afectación Económica o presupuestal y Pérdida Reputacional)",M26)</f>
        <v xml:space="preserve">     El riesgo afecta la imagen de de la entidad con efecto publicitario sostenido a nivel de sector administrativo, nivel departamental o municipal</v>
      </c>
      <c r="O26" s="983" t="str">
        <f>IF(OR(N26='[2]Tabla Impacto'!$C$11,N26='[2]Tabla Impacto'!$D$11),"Leve",IF(OR(N26='[2]Tabla Impacto'!$C$12,N26='[2]Tabla Impacto'!$D$12),"Menor",IF(OR(N26='[2]Tabla Impacto'!$C$13,N26='[2]Tabla Impacto'!$D$13),"Moderado",IF(OR(N26='[2]Tabla Impacto'!$C$14,N26='[2]Tabla Impacto'!$D$14),"Mayor",IF(OR(N26='[2]Tabla Impacto'!$C$15,N26='[2]Tabla Impacto'!$D$15),"Catastrófico","")))))</f>
        <v>Mayor</v>
      </c>
      <c r="P26" s="984">
        <f>IF(O26="","",IF(O26="Leve",0.2,IF(O26="Menor",0.4,IF(O26="Moderado",0.6,IF(O26="Mayor",0.8,IF(O26="Catastrófico",1,))))))</f>
        <v>0.8</v>
      </c>
      <c r="Q26" s="1004"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c r="R26" s="56">
        <v>1</v>
      </c>
      <c r="S26" s="1005" t="s">
        <v>215</v>
      </c>
      <c r="T26" s="1007" t="str">
        <f>IF(OR(U26="Preventivo",U26="Detectivo"),"Probabilidad",IF(U26="Correctivo","Impacto",""))</f>
        <v>Probabilidad</v>
      </c>
      <c r="U26" s="991" t="s">
        <v>197</v>
      </c>
      <c r="V26" s="991" t="s">
        <v>191</v>
      </c>
      <c r="W26" s="992" t="str">
        <f>IF(AND(U26="Preventivo",V26="Automático"),"50%",IF(AND(U26="Preventivo",V26="Manual"),"40%",IF(AND(U26="Detectivo",V26="Automático"),"40%",IF(AND(U26="Detectivo",V26="Manual"),"30%",IF(AND(U26="Correctivo",V26="Automático"),"35%",IF(AND(U26="Correctivo",V26="Manual"),"25%",""))))))</f>
        <v>40%</v>
      </c>
      <c r="X26" s="991" t="s">
        <v>198</v>
      </c>
      <c r="Y26" s="991" t="s">
        <v>193</v>
      </c>
      <c r="Z26" s="991" t="s">
        <v>194</v>
      </c>
      <c r="AA26" s="995">
        <f>IFERROR(IF(T26="Probabilidad",(L26-(+L26*W26)),IF(T26="Impacto",L26,"")),"")</f>
        <v>0.36</v>
      </c>
      <c r="AB26" s="996" t="str">
        <f>IFERROR(IF(AA26="","",IF(AA26&lt;=0.2,"Muy Baja",IF(AA26&lt;=0.4,"Baja",IF(AA26&lt;=0.6,"Media",IF(AA26&lt;=0.8,"Alta","Muy Alta"))))),"")</f>
        <v>Baja</v>
      </c>
      <c r="AC26" s="992">
        <f>+AA26</f>
        <v>0.36</v>
      </c>
      <c r="AD26" s="996" t="str">
        <f>IFERROR(IF(AE26="","",IF(AE26&lt;=0.2,"Leve",IF(AE26&lt;=0.4,"Menor",IF(AE26&lt;=0.6,"Moderado",IF(AE26&lt;=0.8,"Mayor","Catastrófico"))))),"")</f>
        <v>Mayor</v>
      </c>
      <c r="AE26" s="992">
        <f>IFERROR(IF(T26="Impacto",(P26-(+P26*W26)),IF(T26="Probabilidad",P26,"")),"")</f>
        <v>0.8</v>
      </c>
      <c r="AF26" s="997"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Alto</v>
      </c>
      <c r="AG26" s="991" t="s">
        <v>195</v>
      </c>
      <c r="AH26" s="987" t="s">
        <v>216</v>
      </c>
      <c r="AI26" s="987" t="s">
        <v>217</v>
      </c>
      <c r="AJ26" s="972">
        <v>45412</v>
      </c>
      <c r="AK26" s="972">
        <v>45534</v>
      </c>
      <c r="AL26" s="987" t="s">
        <v>218</v>
      </c>
      <c r="AM26" s="987" t="s">
        <v>196</v>
      </c>
    </row>
    <row r="27" spans="1:39" ht="27.6" x14ac:dyDescent="0.3">
      <c r="A27" s="977"/>
      <c r="B27" s="977"/>
      <c r="C27" s="977"/>
      <c r="D27" s="977"/>
      <c r="E27" s="60" t="s">
        <v>221</v>
      </c>
      <c r="F27" s="979"/>
      <c r="G27" s="977"/>
      <c r="H27" s="54"/>
      <c r="I27" s="61"/>
      <c r="J27" s="977"/>
      <c r="K27" s="977"/>
      <c r="L27" s="977"/>
      <c r="M27" s="977"/>
      <c r="N27" s="977"/>
      <c r="O27" s="977"/>
      <c r="P27" s="977"/>
      <c r="Q27" s="977"/>
      <c r="R27" s="56">
        <v>2</v>
      </c>
      <c r="S27" s="1006"/>
      <c r="T27" s="979"/>
      <c r="U27" s="979"/>
      <c r="V27" s="979"/>
      <c r="W27" s="979"/>
      <c r="X27" s="979"/>
      <c r="Y27" s="979"/>
      <c r="Z27" s="979"/>
      <c r="AA27" s="979"/>
      <c r="AB27" s="979"/>
      <c r="AC27" s="979"/>
      <c r="AD27" s="979"/>
      <c r="AE27" s="979"/>
      <c r="AF27" s="979"/>
      <c r="AG27" s="979"/>
      <c r="AH27" s="988"/>
      <c r="AI27" s="988"/>
      <c r="AJ27" s="973"/>
      <c r="AK27" s="973"/>
      <c r="AL27" s="988"/>
      <c r="AM27" s="988"/>
    </row>
    <row r="28" spans="1:39" ht="69" x14ac:dyDescent="0.3">
      <c r="A28" s="63">
        <v>2</v>
      </c>
      <c r="B28" s="64" t="s">
        <v>199</v>
      </c>
      <c r="C28" s="64" t="s">
        <v>209</v>
      </c>
      <c r="D28" s="64" t="s">
        <v>224</v>
      </c>
      <c r="E28" s="65" t="s">
        <v>225</v>
      </c>
      <c r="F28" s="981" t="s">
        <v>226</v>
      </c>
      <c r="G28" s="976" t="s">
        <v>202</v>
      </c>
      <c r="H28" s="978" t="s">
        <v>227</v>
      </c>
      <c r="I28" s="976" t="s">
        <v>190</v>
      </c>
      <c r="J28" s="982">
        <v>365</v>
      </c>
      <c r="K28" s="983" t="str">
        <f>IF(J28&lt;=0,"",IF(J28&lt;=2,"Muy Baja",IF(J28&lt;=L1161,"Baja",IF(J28&lt;=500,"Media",IF(J28&lt;=5000,"Alta","Muy Alta")))))</f>
        <v>Media</v>
      </c>
      <c r="L28" s="984">
        <f>IF(K28="","",IF(K28="Muy Baja",0.2,IF(K28="Baja",0.4,IF(K28="Media",0.6,IF(K28="Alta",0.8,IF(K28="Muy Alta",1,))))))</f>
        <v>0.6</v>
      </c>
      <c r="M28" s="985" t="s">
        <v>200</v>
      </c>
      <c r="N28" s="977"/>
      <c r="O28" s="989"/>
      <c r="P28" s="66"/>
      <c r="Q28" s="977"/>
      <c r="R28" s="56">
        <v>3</v>
      </c>
      <c r="S28" s="67" t="s">
        <v>228</v>
      </c>
      <c r="T28" s="990" t="str">
        <f>IF(OR(U28="Preventivo",U28="Detectivo"),"Probabilidad",IF(U28="Correctivo","Impacto",""))</f>
        <v>Probabilidad</v>
      </c>
      <c r="U28" s="991" t="s">
        <v>197</v>
      </c>
      <c r="V28" s="991" t="s">
        <v>191</v>
      </c>
      <c r="W28" s="992" t="str">
        <f>IF(AND(U28="Preventivo",V28="Automático"),"50%",IF(AND(U28="Preventivo",V28="Manual"),"40%",IF(AND(U28="Detectivo",V28="Automático"),"40%",IF(AND(U28="Detectivo",V28="Manual"),"30%",IF(AND(U28="Correctivo",V28="Automático"),"35%",IF(AND(U28="Correctivo",V28="Manual"),"25%",""))))))</f>
        <v>40%</v>
      </c>
      <c r="X28" s="991" t="s">
        <v>192</v>
      </c>
      <c r="Y28" s="991" t="s">
        <v>193</v>
      </c>
      <c r="Z28" s="991" t="s">
        <v>194</v>
      </c>
      <c r="AA28" s="68" t="str">
        <f t="shared" ref="AA28:AA31" si="10">IFERROR(IF(AND(T27="Probabilidad",T28="Probabilidad"),(AC27-(+AC27*W28)),IF(AND(T27="Impacto",T28="Probabilidad"),(AC26-(+AC26*W28)),IF(T28="Impacto",AC27,""))),"")</f>
        <v/>
      </c>
      <c r="AB28" s="69" t="str">
        <f t="shared" ref="AB28:AB32" si="11">IFERROR(IF(AA28="","",IF(AA28&lt;=0.2,"Muy Baja",IF(AA28&lt;=0.4,"Baja",IF(AA28&lt;=0.6,"Media",IF(AA28&lt;=0.8,"Alta","Muy Alta"))))),"")</f>
        <v/>
      </c>
      <c r="AC28" s="58" t="str">
        <f t="shared" ref="AC28:AC32" si="12">+AA28</f>
        <v/>
      </c>
      <c r="AD28" s="69" t="str">
        <f t="shared" ref="AD28:AD32" si="13">IFERROR(IF(AE28="","",IF(AE28&lt;=0.2,"Leve",IF(AE28&lt;=0.4,"Menor",IF(AE28&lt;=0.6,"Moderado",IF(AE28&lt;=0.8,"Mayor","Catastrófico"))))),"")</f>
        <v>Leve</v>
      </c>
      <c r="AE28" s="58">
        <f t="shared" ref="AE28:AE31" si="14">IFERROR(IF(AND(T27="Impacto",T28="Impacto"),(AE27-(+AE27*W28)),IF(AND(T27="Probabilidad",T28="Impacto"),(AE26-(+AE26*W28)),IF(T28="Probabilidad",AE27,""))),"")</f>
        <v>0</v>
      </c>
      <c r="AF28" s="70" t="str">
        <f t="shared" ref="AF28:AF32" si="15">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57"/>
      <c r="AH28" s="993" t="s">
        <v>229</v>
      </c>
      <c r="AI28" s="994" t="s">
        <v>230</v>
      </c>
      <c r="AJ28" s="972">
        <v>45412</v>
      </c>
      <c r="AK28" s="972">
        <v>45534</v>
      </c>
      <c r="AL28" s="974" t="s">
        <v>231</v>
      </c>
      <c r="AM28" s="974" t="s">
        <v>196</v>
      </c>
    </row>
    <row r="29" spans="1:39" ht="55.2" x14ac:dyDescent="0.3">
      <c r="A29" s="63"/>
      <c r="B29" s="64"/>
      <c r="C29" s="64"/>
      <c r="D29" s="64"/>
      <c r="E29" s="65" t="s">
        <v>234</v>
      </c>
      <c r="F29" s="979"/>
      <c r="G29" s="977"/>
      <c r="H29" s="979"/>
      <c r="I29" s="977"/>
      <c r="J29" s="977"/>
      <c r="K29" s="977"/>
      <c r="L29" s="977"/>
      <c r="M29" s="977"/>
      <c r="N29" s="977"/>
      <c r="O29" s="977"/>
      <c r="P29" s="66"/>
      <c r="Q29" s="977"/>
      <c r="R29" s="56">
        <v>4</v>
      </c>
      <c r="S29" s="67" t="s">
        <v>235</v>
      </c>
      <c r="T29" s="979"/>
      <c r="U29" s="979"/>
      <c r="V29" s="979"/>
      <c r="W29" s="979"/>
      <c r="X29" s="979"/>
      <c r="Y29" s="979"/>
      <c r="Z29" s="979"/>
      <c r="AA29" s="68" t="str">
        <f t="shared" si="10"/>
        <v/>
      </c>
      <c r="AB29" s="69" t="str">
        <f t="shared" si="11"/>
        <v/>
      </c>
      <c r="AC29" s="58" t="str">
        <f t="shared" si="12"/>
        <v/>
      </c>
      <c r="AD29" s="69" t="str">
        <f t="shared" si="13"/>
        <v/>
      </c>
      <c r="AE29" s="58" t="str">
        <f t="shared" si="14"/>
        <v/>
      </c>
      <c r="AF29" s="70" t="str">
        <f t="shared" si="15"/>
        <v/>
      </c>
      <c r="AG29" s="57"/>
      <c r="AH29" s="979"/>
      <c r="AI29" s="979"/>
      <c r="AJ29" s="973"/>
      <c r="AK29" s="973"/>
      <c r="AL29" s="975"/>
      <c r="AM29" s="975"/>
    </row>
    <row r="30" spans="1:39" ht="82.8" x14ac:dyDescent="0.3">
      <c r="A30" s="63"/>
      <c r="B30" s="976" t="s">
        <v>199</v>
      </c>
      <c r="C30" s="976" t="s">
        <v>236</v>
      </c>
      <c r="D30" s="976" t="s">
        <v>237</v>
      </c>
      <c r="E30" s="71" t="s">
        <v>238</v>
      </c>
      <c r="F30" s="978" t="s">
        <v>239</v>
      </c>
      <c r="G30" s="980" t="s">
        <v>203</v>
      </c>
      <c r="H30" s="981" t="s">
        <v>240</v>
      </c>
      <c r="I30" s="976" t="s">
        <v>190</v>
      </c>
      <c r="J30" s="982">
        <v>365</v>
      </c>
      <c r="K30" s="983" t="str">
        <f>IF(J30&lt;=0,"",IF(J30&lt;=2,"Muy Baja",IF(J30&lt;=L1163,"Baja",IF(J30&lt;=500,"Media",IF(J30&lt;=5000,"Alta","Muy Alta")))))</f>
        <v>Media</v>
      </c>
      <c r="L30" s="984">
        <f>IF(K30="","",IF(K30="Muy Baja",0.2,IF(K30="Baja",0.4,IF(K30="Media",0.6,IF(K30="Alta",0.8,IF(K30="Muy Alta",1,))))))</f>
        <v>0.6</v>
      </c>
      <c r="M30" s="985" t="s">
        <v>241</v>
      </c>
      <c r="N30" s="977"/>
      <c r="O30" s="986" t="str">
        <f>IF(OR(N32='[2]Tabla Impacto'!$C$11,N32='[2]Tabla Impacto'!$D$11),"Leve",IF(OR(N32='[2]Tabla Impacto'!$C$12,N32='[2]Tabla Impacto'!$D$12),"Menor",IF(OR(N32='[2]Tabla Impacto'!$C$13,N32='[2]Tabla Impacto'!$D$13),"Moderado",IF(OR(N32='[2]Tabla Impacto'!$C$14,N32='[2]Tabla Impacto'!$D$14),"Mayor",IF(OR(N32='[2]Tabla Impacto'!$C$15,N32='[2]Tabla Impacto'!$D$15),"Catastrófico","")))))</f>
        <v/>
      </c>
      <c r="P30" s="66"/>
      <c r="Q30" s="977"/>
      <c r="R30" s="56">
        <v>5</v>
      </c>
      <c r="S30" s="67" t="s">
        <v>242</v>
      </c>
      <c r="T30" s="56" t="str">
        <f t="shared" ref="T30:T32" si="16">IF(OR(U30="Preventivo",U30="Detectivo"),"Probabilidad",IF(U30="Correctivo","Impacto",""))</f>
        <v>Probabilidad</v>
      </c>
      <c r="U30" s="72" t="s">
        <v>243</v>
      </c>
      <c r="V30" s="72" t="s">
        <v>191</v>
      </c>
      <c r="W30" s="73" t="str">
        <f t="shared" ref="W30:W32" si="17">IF(AND(U30="Preventivo",V30="Automático"),"50%",IF(AND(U30="Preventivo",V30="Manual"),"40%",IF(AND(U30="Detectivo",V30="Automático"),"40%",IF(AND(U30="Detectivo",V30="Manual"),"30%",IF(AND(U30="Correctivo",V30="Automático"),"35%",IF(AND(U30="Correctivo",V30="Manual"),"25%",""))))))</f>
        <v>30%</v>
      </c>
      <c r="X30" s="72" t="s">
        <v>198</v>
      </c>
      <c r="Y30" s="72" t="s">
        <v>193</v>
      </c>
      <c r="Z30" s="72" t="s">
        <v>194</v>
      </c>
      <c r="AA30" s="68" t="str">
        <f t="shared" si="10"/>
        <v/>
      </c>
      <c r="AB30" s="69" t="str">
        <f t="shared" si="11"/>
        <v/>
      </c>
      <c r="AC30" s="58" t="str">
        <f t="shared" si="12"/>
        <v/>
      </c>
      <c r="AD30" s="69" t="str">
        <f t="shared" si="13"/>
        <v/>
      </c>
      <c r="AE30" s="58" t="str">
        <f t="shared" si="14"/>
        <v/>
      </c>
      <c r="AF30" s="70" t="str">
        <f t="shared" si="15"/>
        <v/>
      </c>
      <c r="AG30" s="57"/>
      <c r="AH30" s="74" t="s">
        <v>244</v>
      </c>
      <c r="AI30" s="74" t="s">
        <v>245</v>
      </c>
      <c r="AJ30" s="75" t="s">
        <v>246</v>
      </c>
      <c r="AK30" s="75">
        <v>45534</v>
      </c>
      <c r="AL30" s="76" t="s">
        <v>231</v>
      </c>
      <c r="AM30" s="76" t="s">
        <v>196</v>
      </c>
    </row>
    <row r="31" spans="1:39" ht="82.8" x14ac:dyDescent="0.3">
      <c r="A31" s="78"/>
      <c r="B31" s="977"/>
      <c r="C31" s="977"/>
      <c r="D31" s="977"/>
      <c r="E31" s="79" t="s">
        <v>249</v>
      </c>
      <c r="F31" s="977"/>
      <c r="G31" s="977"/>
      <c r="H31" s="977"/>
      <c r="I31" s="977"/>
      <c r="J31" s="977"/>
      <c r="K31" s="977"/>
      <c r="L31" s="977"/>
      <c r="M31" s="977"/>
      <c r="N31" s="979"/>
      <c r="O31" s="977"/>
      <c r="P31" s="80"/>
      <c r="Q31" s="979"/>
      <c r="R31" s="56">
        <v>6</v>
      </c>
      <c r="S31" s="67" t="s">
        <v>250</v>
      </c>
      <c r="T31" s="56" t="str">
        <f t="shared" si="16"/>
        <v/>
      </c>
      <c r="U31" s="72"/>
      <c r="V31" s="72"/>
      <c r="W31" s="73" t="str">
        <f t="shared" si="17"/>
        <v/>
      </c>
      <c r="X31" s="72"/>
      <c r="Y31" s="72"/>
      <c r="Z31" s="72"/>
      <c r="AA31" s="68" t="str">
        <f t="shared" si="10"/>
        <v/>
      </c>
      <c r="AB31" s="69" t="str">
        <f t="shared" si="11"/>
        <v/>
      </c>
      <c r="AC31" s="58" t="str">
        <f t="shared" si="12"/>
        <v/>
      </c>
      <c r="AD31" s="69" t="str">
        <f t="shared" si="13"/>
        <v/>
      </c>
      <c r="AE31" s="58" t="str">
        <f t="shared" si="14"/>
        <v/>
      </c>
      <c r="AF31" s="70" t="str">
        <f t="shared" si="15"/>
        <v/>
      </c>
      <c r="AG31" s="57"/>
      <c r="AH31" s="74"/>
      <c r="AI31" s="56"/>
      <c r="AJ31" s="81"/>
      <c r="AK31" s="81"/>
      <c r="AL31" s="74"/>
      <c r="AM31" s="56"/>
    </row>
    <row r="32" spans="1:39" ht="41.4" x14ac:dyDescent="0.3">
      <c r="A32" s="289"/>
      <c r="B32" s="977"/>
      <c r="C32" s="977"/>
      <c r="D32" s="977"/>
      <c r="E32" s="82" t="s">
        <v>251</v>
      </c>
      <c r="F32" s="979"/>
      <c r="G32" s="977"/>
      <c r="H32" s="979"/>
      <c r="I32" s="977"/>
      <c r="J32" s="977"/>
      <c r="K32" s="977"/>
      <c r="L32" s="977"/>
      <c r="M32" s="977"/>
      <c r="N32" s="85">
        <f>IF(NOT(ISERROR(MATCH(M32,'[2]Tabla Impacto'!$B$221:$B$223,0))),'[2]Tabla Impacto'!$F$223&amp;"Por favor no seleccionar los criterios de impacto(Afectación Económica o presupuestal y Pérdida Reputacional)",M32)</f>
        <v>0</v>
      </c>
      <c r="O32" s="977"/>
      <c r="P32" s="83" t="str">
        <f>IF(O30="","",IF(O30="Leve",0.2,IF(O30="Menor",0.4,IF(O30="Moderado",0.6,IF(O30="Mayor",0.8,IF(O30="Catastrófico",1,))))))</f>
        <v/>
      </c>
      <c r="Q32" s="84" t="str">
        <f>IF(OR(AND(K32="Muy Baja",O30="Leve"),AND(K32="Muy Baja",O30="Menor"),AND(K32="Baja",O30="Leve")),"Bajo",IF(OR(AND(K32="Muy baja",O30="Moderado"),AND(K32="Baja",O30="Menor"),AND(K32="Baja",O30="Moderado"),AND(K32="Media",O30="Leve"),AND(K32="Media",O30="Menor"),AND(K32="Media",O30="Moderado"),AND(K32="Alta",O30="Leve"),AND(K32="Alta",O30="Menor")),"Moderado",IF(OR(AND(K32="Muy Baja",O30="Mayor"),AND(K32="Baja",O30="Mayor"),AND(K32="Media",O30="Mayor"),AND(K32="Alta",O30="Moderado"),AND(K32="Alta",O30="Mayor"),AND(K32="Muy Alta",O30="Leve"),AND(K32="Muy Alta",O30="Menor"),AND(K32="Muy Alta",O30="Moderado"),AND(K32="Muy Alta",O30="Mayor")),"Alto",IF(OR(AND(K32="Muy Baja",O30="Catastrófico"),AND(K32="Baja",O30="Catastrófico"),AND(K32="Media",O30="Catastrófico"),AND(K32="Alta",O30="Catastrófico"),AND(K32="Muy Alta",O30="Catastrófico")),"Extremo",""))))</f>
        <v/>
      </c>
      <c r="R32" s="56">
        <v>1</v>
      </c>
      <c r="S32" s="67" t="s">
        <v>252</v>
      </c>
      <c r="T32" s="56" t="str">
        <f t="shared" si="16"/>
        <v/>
      </c>
      <c r="U32" s="72"/>
      <c r="V32" s="72"/>
      <c r="W32" s="73" t="str">
        <f t="shared" si="17"/>
        <v/>
      </c>
      <c r="X32" s="72"/>
      <c r="Y32" s="72"/>
      <c r="Z32" s="72"/>
      <c r="AA32" s="68" t="str">
        <f>IFERROR(IF(T32="Probabilidad",(L32-(+L32*W32)),IF(T32="Impacto",L32,"")),"")</f>
        <v/>
      </c>
      <c r="AB32" s="69" t="str">
        <f t="shared" si="11"/>
        <v/>
      </c>
      <c r="AC32" s="58" t="str">
        <f t="shared" si="12"/>
        <v/>
      </c>
      <c r="AD32" s="69" t="str">
        <f t="shared" si="13"/>
        <v/>
      </c>
      <c r="AE32" s="58" t="str">
        <f>IFERROR(IF(T32="Impacto",(P32-(+P32*W32)),IF(T32="Probabilidad",P32,"")),"")</f>
        <v/>
      </c>
      <c r="AF32" s="70" t="str">
        <f t="shared" si="15"/>
        <v/>
      </c>
      <c r="AG32" s="57"/>
      <c r="AH32" s="74"/>
      <c r="AI32" s="56"/>
      <c r="AJ32" s="81"/>
      <c r="AK32" s="81"/>
      <c r="AL32" s="74"/>
      <c r="AM32" s="56"/>
    </row>
    <row r="33" spans="1:40" ht="14.4" x14ac:dyDescent="0.3">
      <c r="A33" s="718" t="s">
        <v>148</v>
      </c>
      <c r="B33" s="719"/>
      <c r="C33" s="719"/>
      <c r="D33" s="719"/>
      <c r="E33" s="719"/>
      <c r="F33" s="719"/>
      <c r="G33" s="719"/>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19"/>
      <c r="AK33" s="719"/>
      <c r="AL33" s="719"/>
      <c r="AM33" s="720"/>
      <c r="AN33" s="41"/>
    </row>
    <row r="34" spans="1:40" ht="14.4" x14ac:dyDescent="0.3">
      <c r="A34" s="721"/>
      <c r="B34" s="722"/>
      <c r="C34" s="722"/>
      <c r="D34" s="722"/>
      <c r="E34" s="722"/>
      <c r="F34" s="722"/>
      <c r="G34" s="722"/>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722"/>
      <c r="AK34" s="722"/>
      <c r="AL34" s="722"/>
      <c r="AM34" s="723"/>
      <c r="AN34" s="41"/>
    </row>
    <row r="35" spans="1:40" ht="14.4" x14ac:dyDescent="0.3">
      <c r="A35" s="42"/>
      <c r="B35" s="43"/>
      <c r="C35" s="42"/>
      <c r="D35" s="42"/>
      <c r="E35" s="42"/>
      <c r="F35" s="41"/>
      <c r="G35" s="41"/>
      <c r="H35" s="41"/>
      <c r="I35" s="44"/>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row>
    <row r="36" spans="1:40" ht="23.4" x14ac:dyDescent="0.3">
      <c r="A36" s="711" t="s">
        <v>149</v>
      </c>
      <c r="B36" s="712"/>
      <c r="C36" s="724" t="s">
        <v>332</v>
      </c>
      <c r="D36" s="724"/>
      <c r="E36" s="724"/>
      <c r="F36" s="724"/>
      <c r="G36" s="724"/>
      <c r="H36" s="724"/>
      <c r="I36" s="724"/>
      <c r="J36" s="724"/>
      <c r="K36" s="724"/>
      <c r="L36" s="724"/>
      <c r="M36" s="724"/>
      <c r="N36" s="724"/>
      <c r="O36" s="724"/>
      <c r="P36" s="724"/>
      <c r="Q36" s="724"/>
      <c r="R36" s="724"/>
      <c r="S36" s="724"/>
      <c r="T36" s="724"/>
      <c r="U36" s="724"/>
      <c r="V36" s="724"/>
      <c r="W36" s="724"/>
      <c r="X36" s="724"/>
      <c r="Y36" s="724"/>
      <c r="Z36" s="724"/>
      <c r="AA36" s="724"/>
      <c r="AB36" s="724"/>
      <c r="AC36" s="724"/>
      <c r="AD36" s="724"/>
      <c r="AE36" s="724"/>
      <c r="AF36" s="724"/>
      <c r="AG36" s="724"/>
      <c r="AH36" s="724"/>
      <c r="AI36" s="724"/>
      <c r="AJ36" s="724"/>
      <c r="AK36" s="724"/>
      <c r="AL36" s="724"/>
      <c r="AM36" s="724"/>
      <c r="AN36" s="41"/>
    </row>
    <row r="37" spans="1:40" ht="23.4" x14ac:dyDescent="0.3">
      <c r="A37" s="711" t="s">
        <v>150</v>
      </c>
      <c r="B37" s="712"/>
      <c r="C37" s="713" t="s">
        <v>333</v>
      </c>
      <c r="D37" s="713"/>
      <c r="E37" s="713"/>
      <c r="F37" s="713"/>
      <c r="G37" s="713"/>
      <c r="H37" s="713"/>
      <c r="I37" s="713"/>
      <c r="J37" s="713"/>
      <c r="K37" s="713"/>
      <c r="L37" s="713"/>
      <c r="M37" s="713"/>
      <c r="N37" s="713"/>
      <c r="O37" s="713"/>
      <c r="P37" s="713"/>
      <c r="Q37" s="713"/>
      <c r="R37" s="713"/>
      <c r="S37" s="713"/>
      <c r="T37" s="713"/>
      <c r="U37" s="713"/>
      <c r="V37" s="713"/>
      <c r="W37" s="713"/>
      <c r="X37" s="713"/>
      <c r="Y37" s="713"/>
      <c r="Z37" s="713"/>
      <c r="AA37" s="713"/>
      <c r="AB37" s="713"/>
      <c r="AC37" s="713"/>
      <c r="AD37" s="713"/>
      <c r="AE37" s="713"/>
      <c r="AF37" s="713"/>
      <c r="AG37" s="713"/>
      <c r="AH37" s="713"/>
      <c r="AI37" s="713"/>
      <c r="AJ37" s="713"/>
      <c r="AK37" s="713"/>
      <c r="AL37" s="713"/>
      <c r="AM37" s="713"/>
      <c r="AN37" s="41"/>
    </row>
    <row r="38" spans="1:40" ht="23.4" x14ac:dyDescent="0.3">
      <c r="A38" s="711" t="s">
        <v>151</v>
      </c>
      <c r="B38" s="712"/>
      <c r="C38" s="713" t="s">
        <v>334</v>
      </c>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3"/>
      <c r="AK38" s="713"/>
      <c r="AL38" s="713"/>
      <c r="AM38" s="713"/>
      <c r="AN38" s="41"/>
    </row>
    <row r="39" spans="1:40" x14ac:dyDescent="0.3">
      <c r="A39" s="714" t="s">
        <v>152</v>
      </c>
      <c r="B39" s="715"/>
      <c r="C39" s="716"/>
      <c r="D39" s="716"/>
      <c r="E39" s="716"/>
      <c r="F39" s="716"/>
      <c r="G39" s="716"/>
      <c r="H39" s="716"/>
      <c r="I39" s="716"/>
      <c r="J39" s="717"/>
      <c r="K39" s="701" t="s">
        <v>153</v>
      </c>
      <c r="L39" s="716"/>
      <c r="M39" s="716"/>
      <c r="N39" s="716"/>
      <c r="O39" s="716"/>
      <c r="P39" s="716"/>
      <c r="Q39" s="717"/>
      <c r="R39" s="701" t="s">
        <v>154</v>
      </c>
      <c r="S39" s="716"/>
      <c r="T39" s="716"/>
      <c r="U39" s="716"/>
      <c r="V39" s="716"/>
      <c r="W39" s="716"/>
      <c r="X39" s="716"/>
      <c r="Y39" s="716"/>
      <c r="Z39" s="717"/>
      <c r="AA39" s="701" t="s">
        <v>155</v>
      </c>
      <c r="AB39" s="716"/>
      <c r="AC39" s="716"/>
      <c r="AD39" s="716"/>
      <c r="AE39" s="716"/>
      <c r="AF39" s="716"/>
      <c r="AG39" s="717"/>
      <c r="AH39" s="701" t="s">
        <v>156</v>
      </c>
      <c r="AI39" s="716"/>
      <c r="AJ39" s="716"/>
      <c r="AK39" s="716"/>
      <c r="AL39" s="716"/>
      <c r="AM39" s="717"/>
      <c r="AN39" s="700" t="s">
        <v>335</v>
      </c>
    </row>
    <row r="40" spans="1:40" x14ac:dyDescent="0.3">
      <c r="A40" s="705" t="s">
        <v>157</v>
      </c>
      <c r="B40" s="707" t="s">
        <v>141</v>
      </c>
      <c r="C40" s="703" t="s">
        <v>158</v>
      </c>
      <c r="D40" s="703" t="s">
        <v>159</v>
      </c>
      <c r="E40" s="702" t="s">
        <v>160</v>
      </c>
      <c r="F40" s="709" t="s">
        <v>60</v>
      </c>
      <c r="G40" s="38"/>
      <c r="H40" s="38"/>
      <c r="I40" s="702" t="s">
        <v>161</v>
      </c>
      <c r="J40" s="703" t="s">
        <v>162</v>
      </c>
      <c r="K40" s="708" t="s">
        <v>163</v>
      </c>
      <c r="L40" s="700" t="s">
        <v>164</v>
      </c>
      <c r="M40" s="702" t="s">
        <v>165</v>
      </c>
      <c r="N40" s="702" t="s">
        <v>166</v>
      </c>
      <c r="O40" s="704" t="s">
        <v>167</v>
      </c>
      <c r="P40" s="700" t="s">
        <v>164</v>
      </c>
      <c r="Q40" s="703" t="s">
        <v>168</v>
      </c>
      <c r="R40" s="698" t="s">
        <v>169</v>
      </c>
      <c r="S40" s="676" t="s">
        <v>170</v>
      </c>
      <c r="T40" s="702" t="s">
        <v>171</v>
      </c>
      <c r="U40" s="676" t="s">
        <v>172</v>
      </c>
      <c r="V40" s="676"/>
      <c r="W40" s="676"/>
      <c r="X40" s="676"/>
      <c r="Y40" s="676"/>
      <c r="Z40" s="676"/>
      <c r="AA40" s="697" t="s">
        <v>173</v>
      </c>
      <c r="AB40" s="697" t="s">
        <v>174</v>
      </c>
      <c r="AC40" s="697" t="s">
        <v>164</v>
      </c>
      <c r="AD40" s="697" t="s">
        <v>175</v>
      </c>
      <c r="AE40" s="697" t="s">
        <v>164</v>
      </c>
      <c r="AF40" s="697" t="s">
        <v>176</v>
      </c>
      <c r="AG40" s="698" t="s">
        <v>177</v>
      </c>
      <c r="AH40" s="676" t="s">
        <v>156</v>
      </c>
      <c r="AI40" s="676" t="s">
        <v>142</v>
      </c>
      <c r="AJ40" s="676" t="s">
        <v>178</v>
      </c>
      <c r="AK40" s="676" t="s">
        <v>179</v>
      </c>
      <c r="AL40" s="676" t="s">
        <v>180</v>
      </c>
      <c r="AM40" s="676" t="s">
        <v>181</v>
      </c>
      <c r="AN40" s="700"/>
    </row>
    <row r="41" spans="1:40" ht="72.599999999999994" x14ac:dyDescent="0.3">
      <c r="A41" s="706"/>
      <c r="B41" s="707"/>
      <c r="C41" s="676"/>
      <c r="D41" s="676"/>
      <c r="E41" s="708"/>
      <c r="F41" s="710"/>
      <c r="G41" s="38" t="s">
        <v>201</v>
      </c>
      <c r="H41" s="38" t="s">
        <v>182</v>
      </c>
      <c r="I41" s="703"/>
      <c r="J41" s="676"/>
      <c r="K41" s="703"/>
      <c r="L41" s="701"/>
      <c r="M41" s="703"/>
      <c r="N41" s="703"/>
      <c r="O41" s="701"/>
      <c r="P41" s="701"/>
      <c r="Q41" s="676"/>
      <c r="R41" s="699"/>
      <c r="S41" s="676"/>
      <c r="T41" s="703"/>
      <c r="U41" s="39" t="s">
        <v>183</v>
      </c>
      <c r="V41" s="39" t="s">
        <v>184</v>
      </c>
      <c r="W41" s="39" t="s">
        <v>185</v>
      </c>
      <c r="X41" s="39" t="s">
        <v>186</v>
      </c>
      <c r="Y41" s="39" t="s">
        <v>187</v>
      </c>
      <c r="Z41" s="39" t="s">
        <v>188</v>
      </c>
      <c r="AA41" s="697"/>
      <c r="AB41" s="697"/>
      <c r="AC41" s="697"/>
      <c r="AD41" s="697"/>
      <c r="AE41" s="697"/>
      <c r="AF41" s="697"/>
      <c r="AG41" s="699"/>
      <c r="AH41" s="676"/>
      <c r="AI41" s="676"/>
      <c r="AJ41" s="676"/>
      <c r="AK41" s="676"/>
      <c r="AL41" s="676"/>
      <c r="AM41" s="676"/>
      <c r="AN41" s="700"/>
    </row>
    <row r="42" spans="1:40" ht="409.6" x14ac:dyDescent="0.3">
      <c r="A42" s="630">
        <v>1</v>
      </c>
      <c r="B42" s="734" t="s">
        <v>199</v>
      </c>
      <c r="C42" s="734" t="s">
        <v>336</v>
      </c>
      <c r="D42" s="736" t="s">
        <v>337</v>
      </c>
      <c r="E42" s="292" t="s">
        <v>338</v>
      </c>
      <c r="F42" s="738" t="s">
        <v>339</v>
      </c>
      <c r="G42" s="760" t="s">
        <v>202</v>
      </c>
      <c r="H42" s="738" t="s">
        <v>340</v>
      </c>
      <c r="I42" s="739" t="s">
        <v>190</v>
      </c>
      <c r="J42" s="741">
        <v>300</v>
      </c>
      <c r="K42" s="743" t="str">
        <f>IF(J42&lt;=0,"",IF(J42&lt;=2,"Muy Baja",IF(J42&lt;=24,"Baja",IF(J42&lt;=500,"Media",IF(J42&lt;=5000,"Alta","Muy Alta")))))</f>
        <v>Media</v>
      </c>
      <c r="L42" s="745">
        <f>IF(K42="","",IF(K42="Muy Baja",0.2,IF(K42="Baja",0.4,IF(K42="Media",0.6,IF(K42="Alta",0.8,IF(K42="Muy Alta",1,))))))</f>
        <v>0.6</v>
      </c>
      <c r="M42" s="747" t="s">
        <v>315</v>
      </c>
      <c r="N42" s="745" t="str">
        <f>IF(NOT(ISERROR(MATCH(M42,'[3]Tabla Impacto'!$B$221:$B$223,0))),'[3]Tabla Impacto'!$F$223&amp;"Por favor no seleccionar los criterios de impacto(Afectación Económica o presupuestal y Pérdida Reputacional)",M42)</f>
        <v xml:space="preserve">     El riesgo afecta la imagen de alguna área de la organización</v>
      </c>
      <c r="O42" s="743" t="str">
        <f>IF(OR(N42='[3]Tabla Impacto'!$C$11,N42='[3]Tabla Impacto'!$D$11),"Leve",IF(OR(N42='[3]Tabla Impacto'!$C$12,N42='[3]Tabla Impacto'!$D$12),"Menor",IF(OR(N42='[3]Tabla Impacto'!$C$13,N42='[3]Tabla Impacto'!$D$13),"Moderado",IF(OR(N42='[3]Tabla Impacto'!$C$14,N42='[3]Tabla Impacto'!$D$14),"Mayor",IF(OR(N42='[3]Tabla Impacto'!$C$15,N42='[3]Tabla Impacto'!$D$15),"Catastrófico","")))))</f>
        <v>Leve</v>
      </c>
      <c r="P42" s="745">
        <f>IF(O42="","",IF(O42="Leve",0.2,IF(O42="Menor",0.4,IF(O42="Moderado",0.6,IF(O42="Mayor",0.8,IF(O42="Catastrófico",1,))))))</f>
        <v>0.2</v>
      </c>
      <c r="Q42" s="749" t="str">
        <f>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Moderado</v>
      </c>
      <c r="R42" s="249">
        <v>1</v>
      </c>
      <c r="S42" s="253">
        <f>+[3]DOFA!E68</f>
        <v>0</v>
      </c>
      <c r="T42" s="94" t="str">
        <f>IF(OR(U42="Preventivo",U42="Detectivo"),"Probabilidad",IF(U42="Correctivo","Impacto",""))</f>
        <v>Probabilidad</v>
      </c>
      <c r="U42" s="86" t="s">
        <v>197</v>
      </c>
      <c r="V42" s="86" t="s">
        <v>191</v>
      </c>
      <c r="W42" s="87" t="str">
        <f>IF(AND(U42="Preventivo",V42="Automático"),"50%",IF(AND(U42="Preventivo",V42="Manual"),"40%",IF(AND(U42="Detectivo",V42="Automático"),"40%",IF(AND(U42="Detectivo",V42="Manual"),"30%",IF(AND(U42="Correctivo",V42="Automático"),"35%",IF(AND(U42="Correctivo",V42="Manual"),"25%",""))))))</f>
        <v>40%</v>
      </c>
      <c r="X42" s="86" t="s">
        <v>198</v>
      </c>
      <c r="Y42" s="86" t="s">
        <v>193</v>
      </c>
      <c r="Z42" s="86" t="s">
        <v>194</v>
      </c>
      <c r="AA42" s="95">
        <f>IFERROR(IF(T42="Probabilidad",(L42-(+L42*W42)),IF(T42="Impacto",L42,"")),"")</f>
        <v>0.36</v>
      </c>
      <c r="AB42" s="88" t="str">
        <f>IFERROR(IF(AA42="","",IF(AA42&lt;=0.2,"Muy Baja",IF(AA42&lt;=0.4,"Baja",IF(AA42&lt;=0.6,"Media",IF(AA42&lt;=0.8,"Alta","Muy Alta"))))),"")</f>
        <v>Baja</v>
      </c>
      <c r="AC42" s="89">
        <f>+AA42</f>
        <v>0.36</v>
      </c>
      <c r="AD42" s="88" t="str">
        <f>IFERROR(IF(AE42="","",IF(AE42&lt;=0.2,"Leve",IF(AE42&lt;=0.4,"Menor",IF(AE42&lt;=0.6,"Moderado",IF(AE42&lt;=0.8,"Mayor","Catastrófico"))))),"")</f>
        <v>Leve</v>
      </c>
      <c r="AE42" s="89">
        <f>IFERROR(IF(T42="Impacto",(P42-(+P42*W42)),IF(T42="Probabilidad",P42,"")),"")</f>
        <v>0.2</v>
      </c>
      <c r="AF42" s="90"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Bajo</v>
      </c>
      <c r="AG42" s="91" t="s">
        <v>195</v>
      </c>
      <c r="AH42" s="299"/>
      <c r="AI42" s="300"/>
      <c r="AJ42" s="301"/>
      <c r="AK42" s="301"/>
      <c r="AL42" s="300"/>
      <c r="AM42" s="302"/>
      <c r="AN42" s="303" t="s">
        <v>341</v>
      </c>
    </row>
    <row r="43" spans="1:40" ht="41.4" x14ac:dyDescent="0.3">
      <c r="A43" s="644"/>
      <c r="B43" s="735"/>
      <c r="C43" s="735"/>
      <c r="D43" s="737"/>
      <c r="E43" s="306" t="s">
        <v>342</v>
      </c>
      <c r="F43" s="738"/>
      <c r="G43" s="761"/>
      <c r="H43" s="738"/>
      <c r="I43" s="740"/>
      <c r="J43" s="742"/>
      <c r="K43" s="744"/>
      <c r="L43" s="746"/>
      <c r="M43" s="748"/>
      <c r="N43" s="746">
        <f>IF(NOT(ISERROR(MATCH(M43,_xlfn.ANCHORARRAY(F48),0))),#REF!&amp;"Por favor no seleccionar los criterios de impacto",M43)</f>
        <v>0</v>
      </c>
      <c r="O43" s="744"/>
      <c r="P43" s="746"/>
      <c r="Q43" s="750"/>
      <c r="R43" s="249">
        <v>2</v>
      </c>
      <c r="S43" s="160"/>
      <c r="T43" s="94" t="str">
        <f>IF(OR(U43="Preventivo",U43="Detectivo"),"Probabilidad",IF(U43="Correctivo","Impacto",""))</f>
        <v/>
      </c>
      <c r="U43" s="86"/>
      <c r="V43" s="86"/>
      <c r="W43" s="87" t="str">
        <f t="shared" ref="W43:W45" si="18">IF(AND(U43="Preventivo",V43="Automático"),"50%",IF(AND(U43="Preventivo",V43="Manual"),"40%",IF(AND(U43="Detectivo",V43="Automático"),"40%",IF(AND(U43="Detectivo",V43="Manual"),"30%",IF(AND(U43="Correctivo",V43="Automático"),"35%",IF(AND(U43="Correctivo",V43="Manual"),"25%",""))))))</f>
        <v/>
      </c>
      <c r="X43" s="86"/>
      <c r="Y43" s="86"/>
      <c r="Z43" s="86"/>
      <c r="AA43" s="95" t="str">
        <f>IFERROR(IF(AND(T42="Probabilidad",T43="Probabilidad"),(AC42-(+AC42*W43)),IF(AND(T42="Impacto",T43="Probabilidad"),(L42-(+L42*W43)),IF(T43="Impacto",AC42,""))),"")</f>
        <v/>
      </c>
      <c r="AB43" s="88" t="str">
        <f t="shared" ref="AB43:AB45" si="19">IFERROR(IF(AA43="","",IF(AA43&lt;=0.2,"Muy Baja",IF(AA43&lt;=0.4,"Baja",IF(AA43&lt;=0.6,"Media",IF(AA43&lt;=0.8,"Alta","Muy Alta"))))),"")</f>
        <v/>
      </c>
      <c r="AC43" s="89" t="str">
        <f>+AA43</f>
        <v/>
      </c>
      <c r="AD43" s="88" t="str">
        <f t="shared" ref="AD43:AD45" si="20">IFERROR(IF(AE43="","",IF(AE43&lt;=0.2,"Leve",IF(AE43&lt;=0.4,"Menor",IF(AE43&lt;=0.6,"Moderado",IF(AE43&lt;=0.8,"Mayor","Catastrófico"))))),"")</f>
        <v/>
      </c>
      <c r="AE43" s="89" t="str">
        <f>IFERROR(IF(AND(T42="Impacto",T43="Impacto"),(AE42-(+AE42*W43)),IF(AND(T42="Probabilidad",T43="Impacto"),(P42-(+P42*W43)),IF(T43="Probabilidad",AE42,""))),"")</f>
        <v/>
      </c>
      <c r="AF43" s="90" t="str">
        <f t="shared" ref="AF43:AF45" si="21">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91"/>
      <c r="AH43" s="299"/>
      <c r="AI43" s="251"/>
      <c r="AJ43" s="252"/>
      <c r="AK43" s="252"/>
      <c r="AL43" s="250"/>
      <c r="AM43" s="310"/>
      <c r="AN43" s="311"/>
    </row>
    <row r="44" spans="1:40" ht="15.6" x14ac:dyDescent="0.3">
      <c r="A44" s="644"/>
      <c r="B44" s="735"/>
      <c r="C44" s="735"/>
      <c r="D44" s="737"/>
      <c r="E44" s="970"/>
      <c r="F44" s="738"/>
      <c r="G44" s="761"/>
      <c r="H44" s="738"/>
      <c r="I44" s="740"/>
      <c r="J44" s="742"/>
      <c r="K44" s="744"/>
      <c r="L44" s="746"/>
      <c r="M44" s="748"/>
      <c r="N44" s="746">
        <f>IF(NOT(ISERROR(MATCH(M44,_xlfn.ANCHORARRAY(#REF!),0))),#REF!&amp;"Por favor no seleccionar los criterios de impacto",M44)</f>
        <v>0</v>
      </c>
      <c r="O44" s="744"/>
      <c r="P44" s="746"/>
      <c r="Q44" s="750"/>
      <c r="R44" s="249">
        <v>3</v>
      </c>
      <c r="S44" s="253"/>
      <c r="T44" s="94" t="str">
        <f t="shared" ref="T44:T45" si="22">IF(OR(U44="Preventivo",U44="Detectivo"),"Probabilidad",IF(U44="Correctivo","Impacto",""))</f>
        <v/>
      </c>
      <c r="U44" s="86"/>
      <c r="V44" s="86"/>
      <c r="W44" s="87" t="str">
        <f t="shared" si="18"/>
        <v/>
      </c>
      <c r="X44" s="86"/>
      <c r="Y44" s="86"/>
      <c r="Z44" s="86"/>
      <c r="AA44" s="95" t="str">
        <f>IFERROR(IF(AND(T43="Probabilidad",T44="Probabilidad"),(AC43-(+AC43*W44)),IF(AND(T43="Impacto",T44="Probabilidad"),(AC42-(+AC42*W44)),IF(T44="Impacto",AC43,""))),"")</f>
        <v/>
      </c>
      <c r="AB44" s="88" t="str">
        <f t="shared" si="19"/>
        <v/>
      </c>
      <c r="AC44" s="89" t="str">
        <f t="shared" ref="AC44:AC45" si="23">+AA44</f>
        <v/>
      </c>
      <c r="AD44" s="88" t="str">
        <f t="shared" si="20"/>
        <v/>
      </c>
      <c r="AE44" s="89" t="str">
        <f t="shared" ref="AE44:AE45" si="24">IFERROR(IF(AND(T43="Impacto",T44="Impacto"),(AE43-(+AE43*W44)),IF(AND(T43="Probabilidad",T44="Impacto"),(AE42-(+AE42*W44)),IF(T44="Probabilidad",AE43,""))),"")</f>
        <v/>
      </c>
      <c r="AF44" s="90" t="str">
        <f t="shared" si="21"/>
        <v/>
      </c>
      <c r="AG44" s="91"/>
      <c r="AH44" s="299"/>
      <c r="AI44" s="251"/>
      <c r="AJ44" s="252"/>
      <c r="AK44" s="252"/>
      <c r="AL44" s="250"/>
      <c r="AM44" s="310"/>
      <c r="AN44" s="311"/>
    </row>
    <row r="45" spans="1:40" ht="15.6" x14ac:dyDescent="0.3">
      <c r="A45" s="644"/>
      <c r="B45" s="735"/>
      <c r="C45" s="735"/>
      <c r="D45" s="737"/>
      <c r="E45" s="971"/>
      <c r="F45" s="738"/>
      <c r="G45" s="761"/>
      <c r="H45" s="738"/>
      <c r="I45" s="740"/>
      <c r="J45" s="742"/>
      <c r="K45" s="744"/>
      <c r="L45" s="746"/>
      <c r="M45" s="748"/>
      <c r="N45" s="746">
        <f>IF(NOT(ISERROR(MATCH(M45,_xlfn.ANCHORARRAY(#REF!),0))),#REF!&amp;"Por favor no seleccionar los criterios de impacto",M45)</f>
        <v>0</v>
      </c>
      <c r="O45" s="744"/>
      <c r="P45" s="746"/>
      <c r="Q45" s="750"/>
      <c r="R45" s="249">
        <v>4</v>
      </c>
      <c r="S45" s="160"/>
      <c r="T45" s="94" t="str">
        <f t="shared" si="22"/>
        <v/>
      </c>
      <c r="U45" s="86"/>
      <c r="V45" s="86"/>
      <c r="W45" s="87" t="str">
        <f t="shared" si="18"/>
        <v/>
      </c>
      <c r="X45" s="86"/>
      <c r="Y45" s="86"/>
      <c r="Z45" s="86"/>
      <c r="AA45" s="95" t="str">
        <f t="shared" ref="AA45" si="25">IFERROR(IF(AND(T44="Probabilidad",T45="Probabilidad"),(AC44-(+AC44*W45)),IF(AND(T44="Impacto",T45="Probabilidad"),(AC43-(+AC43*W45)),IF(T45="Impacto",AC44,""))),"")</f>
        <v/>
      </c>
      <c r="AB45" s="88" t="str">
        <f t="shared" si="19"/>
        <v/>
      </c>
      <c r="AC45" s="89" t="str">
        <f t="shared" si="23"/>
        <v/>
      </c>
      <c r="AD45" s="88" t="str">
        <f t="shared" si="20"/>
        <v/>
      </c>
      <c r="AE45" s="89" t="str">
        <f t="shared" si="24"/>
        <v/>
      </c>
      <c r="AF45" s="90" t="str">
        <f t="shared" si="21"/>
        <v/>
      </c>
      <c r="AG45" s="91"/>
      <c r="AH45" s="299"/>
      <c r="AI45" s="251"/>
      <c r="AJ45" s="252"/>
      <c r="AK45" s="252"/>
      <c r="AL45" s="250"/>
      <c r="AM45" s="310"/>
      <c r="AN45" s="311"/>
    </row>
    <row r="46" spans="1:40" ht="79.8" x14ac:dyDescent="0.3">
      <c r="A46" s="630">
        <v>2</v>
      </c>
      <c r="B46" s="725" t="s">
        <v>199</v>
      </c>
      <c r="C46" s="725" t="s">
        <v>343</v>
      </c>
      <c r="D46" s="727" t="s">
        <v>344</v>
      </c>
      <c r="E46" s="314" t="s">
        <v>345</v>
      </c>
      <c r="F46" s="729" t="s">
        <v>346</v>
      </c>
      <c r="G46" s="760" t="s">
        <v>202</v>
      </c>
      <c r="H46" s="315" t="s">
        <v>347</v>
      </c>
      <c r="I46" s="732" t="s">
        <v>190</v>
      </c>
      <c r="J46" s="659">
        <v>500</v>
      </c>
      <c r="K46" s="636" t="str">
        <f>IF(J46&lt;=0,"",IF(J46&lt;=2,"Muy Baja",IF(J46&lt;=24,"Baja",IF(J46&lt;=500,"Media",IF(J46&lt;=5000,"Alta","Muy Alta")))))</f>
        <v>Media</v>
      </c>
      <c r="L46" s="638">
        <f>IF(K46="","",IF(K46="Muy Baja",0.2,IF(K46="Baja",0.4,IF(K46="Media",0.6,IF(K46="Alta",0.8,IF(K46="Muy Alta",1,))))))</f>
        <v>0.6</v>
      </c>
      <c r="M46" s="640" t="s">
        <v>315</v>
      </c>
      <c r="N46" s="638" t="str">
        <f>IF(NOT(ISERROR(MATCH(M46,'[3]Tabla Impacto'!$B$221:$B$223,0))),'[3]Tabla Impacto'!$F$223&amp;"Por favor no seleccionar los criterios de impacto(Afectación Económica o presupuestal y Pérdida Reputacional)",M46)</f>
        <v xml:space="preserve">     El riesgo afecta la imagen de alguna área de la organización</v>
      </c>
      <c r="O46" s="636" t="str">
        <f>IF(OR(N46='[3]Tabla Impacto'!$C$11,N46='[3]Tabla Impacto'!$D$11),"Leve",IF(OR(N46='[3]Tabla Impacto'!$C$12,N46='[3]Tabla Impacto'!$D$12),"Menor",IF(OR(N46='[3]Tabla Impacto'!$C$13,N46='[3]Tabla Impacto'!$D$13),"Moderado",IF(OR(N46='[3]Tabla Impacto'!$C$14,N46='[3]Tabla Impacto'!$D$14),"Mayor",IF(OR(N46='[3]Tabla Impacto'!$C$15,N46='[3]Tabla Impacto'!$D$15),"Catastrófico","")))))</f>
        <v>Leve</v>
      </c>
      <c r="P46" s="638">
        <f>IF(O46="","",IF(O46="Leve",0.2,IF(O46="Menor",0.4,IF(O46="Moderado",0.6,IF(O46="Mayor",0.8,IF(O46="Catastrófico",1,))))))</f>
        <v>0.2</v>
      </c>
      <c r="Q46" s="642" t="str">
        <f>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Moderado</v>
      </c>
      <c r="R46" s="249">
        <v>1</v>
      </c>
      <c r="S46" s="160" t="s">
        <v>348</v>
      </c>
      <c r="T46" s="94" t="str">
        <f>IF(OR(U46="Preventivo",U46="Detectivo"),"Probabilidad",IF(U46="Correctivo","Impacto",""))</f>
        <v>Probabilidad</v>
      </c>
      <c r="U46" s="86" t="s">
        <v>197</v>
      </c>
      <c r="V46" s="86" t="s">
        <v>191</v>
      </c>
      <c r="W46" s="87" t="str">
        <f>IF(AND(U46="Preventivo",V46="Automático"),"50%",IF(AND(U46="Preventivo",V46="Manual"),"40%",IF(AND(U46="Detectivo",V46="Automático"),"40%",IF(AND(U46="Detectivo",V46="Manual"),"30%",IF(AND(U46="Correctivo",V46="Automático"),"35%",IF(AND(U46="Correctivo",V46="Manual"),"25%",""))))))</f>
        <v>40%</v>
      </c>
      <c r="X46" s="86" t="s">
        <v>198</v>
      </c>
      <c r="Y46" s="86" t="s">
        <v>193</v>
      </c>
      <c r="Z46" s="86" t="s">
        <v>194</v>
      </c>
      <c r="AA46" s="95">
        <f>IFERROR(IF(T46="Probabilidad",(L46-(+L46*W46)),IF(T46="Impacto",L46,"")),"")</f>
        <v>0.36</v>
      </c>
      <c r="AB46" s="88" t="str">
        <f>IFERROR(IF(AA46="","",IF(AA46&lt;=0.2,"Muy Baja",IF(AA46&lt;=0.4,"Baja",IF(AA46&lt;=0.6,"Media",IF(AA46&lt;=0.8,"Alta","Muy Alta"))))),"")</f>
        <v>Baja</v>
      </c>
      <c r="AC46" s="89">
        <f>+AA46</f>
        <v>0.36</v>
      </c>
      <c r="AD46" s="88" t="str">
        <f>IFERROR(IF(AE46="","",IF(AE46&lt;=0.2,"Leve",IF(AE46&lt;=0.4,"Menor",IF(AE46&lt;=0.6,"Moderado",IF(AE46&lt;=0.8,"Mayor","Catastrófico"))))),"")</f>
        <v>Leve</v>
      </c>
      <c r="AE46" s="89">
        <f>IFERROR(IF(T46="Impacto",(P46-(+P46*W46)),IF(T46="Probabilidad",P46,"")),"")</f>
        <v>0.2</v>
      </c>
      <c r="AF46" s="9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Bajo</v>
      </c>
      <c r="AG46" s="91"/>
      <c r="AH46" s="966"/>
      <c r="AI46" s="968"/>
      <c r="AJ46" s="301"/>
      <c r="AK46" s="301"/>
      <c r="AL46" s="250"/>
      <c r="AM46" s="310"/>
      <c r="AN46" s="320" t="s">
        <v>349</v>
      </c>
    </row>
    <row r="47" spans="1:40" ht="79.8" x14ac:dyDescent="0.3">
      <c r="A47" s="644"/>
      <c r="B47" s="726"/>
      <c r="C47" s="726"/>
      <c r="D47" s="728"/>
      <c r="E47" s="314" t="s">
        <v>350</v>
      </c>
      <c r="F47" s="729"/>
      <c r="G47" s="761"/>
      <c r="H47" s="315" t="s">
        <v>351</v>
      </c>
      <c r="I47" s="733"/>
      <c r="J47" s="660"/>
      <c r="K47" s="637"/>
      <c r="L47" s="639"/>
      <c r="M47" s="641"/>
      <c r="N47" s="639">
        <f>IF(NOT(ISERROR(MATCH(M47,_xlfn.ANCHORARRAY(F49),0))),#REF!&amp;"Por favor no seleccionar los criterios de impacto",M47)</f>
        <v>0</v>
      </c>
      <c r="O47" s="637"/>
      <c r="P47" s="639"/>
      <c r="Q47" s="643"/>
      <c r="R47" s="249">
        <v>2</v>
      </c>
      <c r="S47" s="160" t="s">
        <v>352</v>
      </c>
      <c r="T47" s="94" t="str">
        <f>IF(OR(U47="Preventivo",U47="Detectivo"),"Probabilidad",IF(U47="Correctivo","Impacto",""))</f>
        <v>Probabilidad</v>
      </c>
      <c r="U47" s="86" t="s">
        <v>197</v>
      </c>
      <c r="V47" s="86" t="s">
        <v>191</v>
      </c>
      <c r="W47" s="87" t="str">
        <f t="shared" ref="W47" si="26">IF(AND(U47="Preventivo",V47="Automático"),"50%",IF(AND(U47="Preventivo",V47="Manual"),"40%",IF(AND(U47="Detectivo",V47="Automático"),"40%",IF(AND(U47="Detectivo",V47="Manual"),"30%",IF(AND(U47="Correctivo",V47="Automático"),"35%",IF(AND(U47="Correctivo",V47="Manual"),"25%",""))))))</f>
        <v>40%</v>
      </c>
      <c r="X47" s="86" t="s">
        <v>198</v>
      </c>
      <c r="Y47" s="86" t="s">
        <v>193</v>
      </c>
      <c r="Z47" s="86" t="s">
        <v>194</v>
      </c>
      <c r="AA47" s="95">
        <f>IFERROR(IF(AND(T46="Probabilidad",T47="Probabilidad"),(AC46-(+AC46*W47)),IF(AND(T46="Impacto",T47="Probabilidad"),(L46-(+L46*W47)),IF(T47="Impacto",AC46,""))),"")</f>
        <v>0.216</v>
      </c>
      <c r="AB47" s="88" t="str">
        <f t="shared" ref="AB47" si="27">IFERROR(IF(AA47="","",IF(AA47&lt;=0.2,"Muy Baja",IF(AA47&lt;=0.4,"Baja",IF(AA47&lt;=0.6,"Media",IF(AA47&lt;=0.8,"Alta","Muy Alta"))))),"")</f>
        <v>Baja</v>
      </c>
      <c r="AC47" s="89">
        <f>+AA47</f>
        <v>0.216</v>
      </c>
      <c r="AD47" s="88" t="str">
        <f t="shared" ref="AD47" si="28">IFERROR(IF(AE47="","",IF(AE47&lt;=0.2,"Leve",IF(AE47&lt;=0.4,"Menor",IF(AE47&lt;=0.6,"Moderado",IF(AE47&lt;=0.8,"Mayor","Catastrófico"))))),"")</f>
        <v>Leve</v>
      </c>
      <c r="AE47" s="89">
        <f>IFERROR(IF(AND(T46="Impacto",T47="Impacto"),(AE46-(+AE46*W47)),IF(AND(T46="Probabilidad",T47="Impacto"),(P46-(+P46*W47)),IF(T47="Probabilidad",AE46,""))),"")</f>
        <v>0.2</v>
      </c>
      <c r="AF47" s="90" t="str">
        <f t="shared" ref="AF47" si="29">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Bajo</v>
      </c>
      <c r="AG47" s="91"/>
      <c r="AH47" s="967"/>
      <c r="AI47" s="969"/>
      <c r="AJ47" s="252"/>
      <c r="AK47" s="252"/>
      <c r="AL47" s="250"/>
      <c r="AM47" s="310"/>
      <c r="AN47" s="320" t="s">
        <v>353</v>
      </c>
    </row>
    <row r="48" spans="1:40" ht="290.39999999999998" x14ac:dyDescent="0.3">
      <c r="A48" s="242">
        <v>3</v>
      </c>
      <c r="B48" s="312" t="s">
        <v>354</v>
      </c>
      <c r="C48" s="312" t="s">
        <v>355</v>
      </c>
      <c r="D48" s="337" t="s">
        <v>356</v>
      </c>
      <c r="E48" s="321" t="s">
        <v>357</v>
      </c>
      <c r="F48" s="248" t="s">
        <v>358</v>
      </c>
      <c r="G48" s="322" t="s">
        <v>203</v>
      </c>
      <c r="H48" s="323" t="s">
        <v>359</v>
      </c>
      <c r="I48" s="316" t="s">
        <v>190</v>
      </c>
      <c r="J48" s="125">
        <v>12</v>
      </c>
      <c r="K48" s="317" t="str">
        <f t="shared" ref="K48" si="30">IF(J48&lt;=0,"",IF(J48&lt;=2,"Muy Baja",IF(J48&lt;=24,"Baja",IF(J48&lt;=500,"Media",IF(J48&lt;=5000,"Alta","Muy Alta")))))</f>
        <v>Baja</v>
      </c>
      <c r="L48" s="45">
        <f t="shared" ref="L48" si="31">IF(K48="","",IF(K48="Muy Baja",0.2,IF(K48="Baja",0.4,IF(K48="Media",0.6,IF(K48="Alta",0.8,IF(K48="Muy Alta",1,))))))</f>
        <v>0.4</v>
      </c>
      <c r="M48" s="318"/>
      <c r="N48" s="45">
        <f>IF(NOT(ISERROR(MATCH(M48,'[3]Tabla Impacto'!$B$221:$B$223,0))),'[3]Tabla Impacto'!$F$223&amp;"Por favor no seleccionar los criterios de impacto(Afectación Económica o presupuestal y Pérdida Reputacional)",M48)</f>
        <v>0</v>
      </c>
      <c r="O48" s="317" t="str">
        <f>IF(OR(N48='[3]Tabla Impacto'!$C$11,N48='[3]Tabla Impacto'!$D$11),"Leve",IF(OR(N48='[3]Tabla Impacto'!$C$12,N48='[3]Tabla Impacto'!$D$12),"Menor",IF(OR(N48='[3]Tabla Impacto'!$C$13,N48='[3]Tabla Impacto'!$D$13),"Moderado",IF(OR(N48='[3]Tabla Impacto'!$C$14,N48='[3]Tabla Impacto'!$D$14),"Mayor",IF(OR(N48='[3]Tabla Impacto'!$C$15,N48='[3]Tabla Impacto'!$D$15),"Catastrófico","")))))</f>
        <v/>
      </c>
      <c r="P48" s="45" t="str">
        <f t="shared" ref="P48" si="32">IF(O48="","",IF(O48="Leve",0.2,IF(O48="Menor",0.4,IF(O48="Moderado",0.6,IF(O48="Mayor",0.8,IF(O48="Catastrófico",1,))))))</f>
        <v/>
      </c>
      <c r="Q48" s="319" t="str">
        <f t="shared" ref="Q48" si="33">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249">
        <v>1</v>
      </c>
      <c r="S48" s="160" t="s">
        <v>360</v>
      </c>
      <c r="T48" s="94" t="str">
        <f>IF(OR(U48="Preventivo",U48="Detectivo"),"Probabilidad",IF(U48="Correctivo","Impacto",""))</f>
        <v>Probabilidad</v>
      </c>
      <c r="U48" s="86" t="s">
        <v>197</v>
      </c>
      <c r="V48" s="86" t="s">
        <v>191</v>
      </c>
      <c r="W48" s="87" t="str">
        <f>IF(AND(U48="Preventivo",V48="Automático"),"50%",IF(AND(U48="Preventivo",V48="Manual"),"40%",IF(AND(U48="Detectivo",V48="Automático"),"40%",IF(AND(U48="Detectivo",V48="Manual"),"30%",IF(AND(U48="Correctivo",V48="Automático"),"35%",IF(AND(U48="Correctivo",V48="Manual"),"25%",""))))))</f>
        <v>40%</v>
      </c>
      <c r="X48" s="86" t="s">
        <v>198</v>
      </c>
      <c r="Y48" s="86" t="s">
        <v>193</v>
      </c>
      <c r="Z48" s="86" t="s">
        <v>194</v>
      </c>
      <c r="AA48" s="95">
        <f>IFERROR(IF(T48="Probabilidad",(L48-(+L48*W48)),IF(T48="Impacto",L48,"")),"")</f>
        <v>0.24</v>
      </c>
      <c r="AB48" s="88" t="str">
        <f>IFERROR(IF(AA48="","",IF(AA48&lt;=0.2,"Muy Baja",IF(AA48&lt;=0.4,"Baja",IF(AA48&lt;=0.6,"Media",IF(AA48&lt;=0.8,"Alta","Muy Alta"))))),"")</f>
        <v>Baja</v>
      </c>
      <c r="AC48" s="89">
        <f>+AA48</f>
        <v>0.24</v>
      </c>
      <c r="AD48" s="88" t="str">
        <f>IFERROR(IF(AE48="","",IF(AE48&lt;=0.2,"Leve",IF(AE48&lt;=0.4,"Menor",IF(AE48&lt;=0.6,"Moderado",IF(AE48&lt;=0.8,"Mayor","Catastrófico"))))),"")</f>
        <v/>
      </c>
      <c r="AE48" s="89" t="str">
        <f>IFERROR(IF(T48="Impacto",(P48-(+P48*W48)),IF(T48="Probabilidad",P48,"")),"")</f>
        <v/>
      </c>
      <c r="AF48" s="90"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91"/>
      <c r="AH48" s="324"/>
      <c r="AI48" s="325"/>
      <c r="AJ48" s="326"/>
      <c r="AK48" s="326"/>
      <c r="AL48" s="327"/>
      <c r="AM48" s="328"/>
      <c r="AN48" s="329" t="s">
        <v>361</v>
      </c>
    </row>
    <row r="49" spans="1:40" ht="82.8" x14ac:dyDescent="0.3">
      <c r="A49" s="242">
        <v>4</v>
      </c>
      <c r="B49" s="312" t="s">
        <v>354</v>
      </c>
      <c r="C49" s="312" t="s">
        <v>362</v>
      </c>
      <c r="D49" s="313" t="s">
        <v>363</v>
      </c>
      <c r="E49" s="321" t="s">
        <v>364</v>
      </c>
      <c r="F49" s="248" t="s">
        <v>365</v>
      </c>
      <c r="G49" s="92" t="s">
        <v>203</v>
      </c>
      <c r="H49" s="323" t="s">
        <v>359</v>
      </c>
      <c r="I49" s="316" t="s">
        <v>190</v>
      </c>
      <c r="J49" s="125">
        <v>300</v>
      </c>
      <c r="K49" s="317" t="str">
        <f t="shared" ref="K49" si="34">IF(J49&lt;=0,"",IF(J49&lt;=2,"Muy Baja",IF(J49&lt;=24,"Baja",IF(J49&lt;=500,"Media",IF(J49&lt;=5000,"Alta","Muy Alta")))))</f>
        <v>Media</v>
      </c>
      <c r="L49" s="45">
        <f t="shared" ref="L49" si="35">IF(K49="","",IF(K49="Muy Baja",0.2,IF(K49="Baja",0.4,IF(K49="Media",0.6,IF(K49="Alta",0.8,IF(K49="Muy Alta",1,))))))</f>
        <v>0.6</v>
      </c>
      <c r="M49" s="318" t="s">
        <v>321</v>
      </c>
      <c r="N49" s="45" t="str">
        <f>IF(NOT(ISERROR(MATCH(M49,'[3]Tabla Impacto'!$B$221:$B$223,0))),'[3]Tabla Impacto'!$F$223&amp;"Por favor no seleccionar los criterios de impacto(Afectación Económica o presupuestal y Pérdida Reputacional)",M49)</f>
        <v xml:space="preserve">     Entre 200 y 1000 SMLMV</v>
      </c>
      <c r="O49" s="317" t="str">
        <f>IF(OR(N49='[3]Tabla Impacto'!$C$11,N49='[3]Tabla Impacto'!$D$11),"Leve",IF(OR(N49='[3]Tabla Impacto'!$C$12,N49='[3]Tabla Impacto'!$D$12),"Menor",IF(OR(N49='[3]Tabla Impacto'!$C$13,N49='[3]Tabla Impacto'!$D$13),"Moderado",IF(OR(N49='[3]Tabla Impacto'!$C$14,N49='[3]Tabla Impacto'!$D$14),"Mayor",IF(OR(N49='[3]Tabla Impacto'!$C$15,N49='[3]Tabla Impacto'!$D$15),"Catastrófico","")))))</f>
        <v>Menor</v>
      </c>
      <c r="P49" s="45">
        <f t="shared" ref="P49" si="36">IF(O49="","",IF(O49="Leve",0.2,IF(O49="Menor",0.4,IF(O49="Moderado",0.6,IF(O49="Mayor",0.8,IF(O49="Catastrófico",1,))))))</f>
        <v>0.4</v>
      </c>
      <c r="Q49" s="319" t="str">
        <f t="shared" ref="Q49" si="37">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Moderado</v>
      </c>
      <c r="R49" s="249">
        <v>1</v>
      </c>
      <c r="S49" s="160" t="s">
        <v>366</v>
      </c>
      <c r="T49" s="94" t="str">
        <f>IF(OR(U49="Preventivo",U49="Detectivo"),"Probabilidad",IF(U49="Correctivo","Impacto",""))</f>
        <v>Probabilidad</v>
      </c>
      <c r="U49" s="86" t="s">
        <v>197</v>
      </c>
      <c r="V49" s="86" t="s">
        <v>191</v>
      </c>
      <c r="W49" s="87" t="str">
        <f>IF(AND(U49="Preventivo",V49="Automático"),"50%",IF(AND(U49="Preventivo",V49="Manual"),"40%",IF(AND(U49="Detectivo",V49="Automático"),"40%",IF(AND(U49="Detectivo",V49="Manual"),"30%",IF(AND(U49="Correctivo",V49="Automático"),"35%",IF(AND(U49="Correctivo",V49="Manual"),"25%",""))))))</f>
        <v>40%</v>
      </c>
      <c r="X49" s="86" t="s">
        <v>198</v>
      </c>
      <c r="Y49" s="86" t="s">
        <v>193</v>
      </c>
      <c r="Z49" s="330" t="s">
        <v>194</v>
      </c>
      <c r="AA49" s="331">
        <f>IFERROR(IF(T49="Probabilidad",(L49-(+L49*W49)),IF(T49="Impacto",L49,"")),"")</f>
        <v>0.36</v>
      </c>
      <c r="AB49" s="332" t="str">
        <f>IFERROR(IF(AA49="","",IF(AA49&lt;=0.2,"Muy Baja",IF(AA49&lt;=0.4,"Baja",IF(AA49&lt;=0.6,"Media",IF(AA49&lt;=0.8,"Alta","Muy Alta"))))),"")</f>
        <v>Baja</v>
      </c>
      <c r="AC49" s="333">
        <f>+AA49</f>
        <v>0.36</v>
      </c>
      <c r="AD49" s="332" t="str">
        <f>IFERROR(IF(AE49="","",IF(AE49&lt;=0.2,"Leve",IF(AE49&lt;=0.4,"Menor",IF(AE49&lt;=0.6,"Moderado",IF(AE49&lt;=0.8,"Mayor","Catastrófico"))))),"")</f>
        <v>Menor</v>
      </c>
      <c r="AE49" s="333">
        <f>IFERROR(IF(T49="Impacto",(P49-(+P49*W49)),IF(T49="Probabilidad",P49,"")),"")</f>
        <v>0.4</v>
      </c>
      <c r="AF49" s="334" t="str">
        <f>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Moderado</v>
      </c>
      <c r="AG49" s="335"/>
      <c r="AH49" s="336"/>
      <c r="AI49" s="325"/>
      <c r="AJ49" s="326"/>
      <c r="AK49" s="326"/>
      <c r="AL49" s="327"/>
      <c r="AM49" s="328"/>
      <c r="AN49" s="320" t="s">
        <v>367</v>
      </c>
    </row>
    <row r="50" spans="1:40" ht="14.4" x14ac:dyDescent="0.3">
      <c r="A50" s="962" t="s">
        <v>148</v>
      </c>
      <c r="B50" s="963"/>
      <c r="C50" s="963"/>
      <c r="D50" s="963"/>
      <c r="E50" s="963"/>
      <c r="F50" s="963"/>
      <c r="G50" s="963"/>
      <c r="H50" s="963"/>
      <c r="I50" s="963"/>
      <c r="J50" s="963"/>
      <c r="K50" s="963"/>
      <c r="L50" s="963"/>
      <c r="M50" s="963"/>
      <c r="N50" s="963"/>
      <c r="O50" s="963"/>
      <c r="P50" s="963"/>
      <c r="Q50" s="963"/>
      <c r="R50" s="963"/>
      <c r="S50" s="963"/>
      <c r="T50" s="963"/>
      <c r="U50" s="963"/>
      <c r="V50" s="963"/>
      <c r="W50" s="963"/>
      <c r="X50" s="963"/>
      <c r="Y50" s="963"/>
      <c r="Z50" s="963"/>
      <c r="AA50" s="963"/>
      <c r="AB50" s="963"/>
      <c r="AC50" s="963"/>
      <c r="AD50" s="963"/>
      <c r="AE50" s="963"/>
      <c r="AF50" s="963"/>
      <c r="AG50" s="963"/>
      <c r="AH50" s="963"/>
      <c r="AI50" s="963"/>
      <c r="AJ50" s="963"/>
      <c r="AK50" s="963"/>
      <c r="AL50" s="963"/>
      <c r="AM50" s="41"/>
    </row>
    <row r="51" spans="1:40" ht="14.4" x14ac:dyDescent="0.3">
      <c r="A51" s="962"/>
      <c r="B51" s="963"/>
      <c r="C51" s="963"/>
      <c r="D51" s="963"/>
      <c r="E51" s="963"/>
      <c r="F51" s="963"/>
      <c r="G51" s="963"/>
      <c r="H51" s="963"/>
      <c r="I51" s="963"/>
      <c r="J51" s="963"/>
      <c r="K51" s="963"/>
      <c r="L51" s="963"/>
      <c r="M51" s="963"/>
      <c r="N51" s="963"/>
      <c r="O51" s="963"/>
      <c r="P51" s="963"/>
      <c r="Q51" s="963"/>
      <c r="R51" s="963"/>
      <c r="S51" s="963"/>
      <c r="T51" s="963"/>
      <c r="U51" s="963"/>
      <c r="V51" s="963"/>
      <c r="W51" s="963"/>
      <c r="X51" s="963"/>
      <c r="Y51" s="963"/>
      <c r="Z51" s="963"/>
      <c r="AA51" s="963"/>
      <c r="AB51" s="963"/>
      <c r="AC51" s="963"/>
      <c r="AD51" s="963"/>
      <c r="AE51" s="963"/>
      <c r="AF51" s="963"/>
      <c r="AG51" s="963"/>
      <c r="AH51" s="963"/>
      <c r="AI51" s="963"/>
      <c r="AJ51" s="963"/>
      <c r="AK51" s="963"/>
      <c r="AL51" s="963"/>
      <c r="AM51" s="41"/>
    </row>
    <row r="52" spans="1:40" ht="14.4" x14ac:dyDescent="0.3">
      <c r="A52" s="42"/>
      <c r="B52" s="43"/>
      <c r="C52" s="42"/>
      <c r="D52" s="42"/>
      <c r="E52" s="42"/>
      <c r="F52" s="41"/>
      <c r="G52" s="41"/>
      <c r="H52" s="41"/>
      <c r="I52" s="44"/>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row>
    <row r="53" spans="1:40" ht="23.4" x14ac:dyDescent="0.3">
      <c r="A53" s="711" t="s">
        <v>149</v>
      </c>
      <c r="B53" s="712"/>
      <c r="C53" s="964" t="s">
        <v>368</v>
      </c>
      <c r="D53" s="965"/>
      <c r="E53" s="965"/>
      <c r="F53" s="965"/>
      <c r="G53" s="965"/>
      <c r="H53" s="965"/>
      <c r="I53" s="965"/>
      <c r="J53" s="965"/>
      <c r="K53" s="965"/>
      <c r="L53" s="965"/>
      <c r="M53" s="965"/>
      <c r="N53" s="965"/>
      <c r="O53" s="965"/>
      <c r="P53" s="965"/>
      <c r="Q53" s="965"/>
      <c r="R53" s="965"/>
      <c r="S53" s="965"/>
      <c r="T53" s="965"/>
      <c r="U53" s="965"/>
      <c r="V53" s="965"/>
      <c r="W53" s="965"/>
      <c r="X53" s="965"/>
      <c r="Y53" s="965"/>
      <c r="Z53" s="965"/>
      <c r="AA53" s="965"/>
      <c r="AB53" s="965"/>
      <c r="AC53" s="965"/>
      <c r="AD53" s="965"/>
      <c r="AE53" s="965"/>
      <c r="AF53" s="965"/>
      <c r="AG53" s="965"/>
      <c r="AH53" s="965"/>
      <c r="AI53" s="965"/>
      <c r="AJ53" s="965"/>
      <c r="AK53" s="965"/>
      <c r="AL53" s="965"/>
      <c r="AM53" s="41"/>
    </row>
    <row r="54" spans="1:40" ht="23.4" x14ac:dyDescent="0.3">
      <c r="A54" s="711" t="s">
        <v>150</v>
      </c>
      <c r="B54" s="712"/>
      <c r="C54" s="960" t="s">
        <v>369</v>
      </c>
      <c r="D54" s="961"/>
      <c r="E54" s="961"/>
      <c r="F54" s="961"/>
      <c r="G54" s="961"/>
      <c r="H54" s="961"/>
      <c r="I54" s="961"/>
      <c r="J54" s="961"/>
      <c r="K54" s="961"/>
      <c r="L54" s="961"/>
      <c r="M54" s="961"/>
      <c r="N54" s="961"/>
      <c r="O54" s="961"/>
      <c r="P54" s="961"/>
      <c r="Q54" s="961"/>
      <c r="R54" s="961"/>
      <c r="S54" s="961"/>
      <c r="T54" s="961"/>
      <c r="U54" s="961"/>
      <c r="V54" s="961"/>
      <c r="W54" s="961"/>
      <c r="X54" s="961"/>
      <c r="Y54" s="961"/>
      <c r="Z54" s="961"/>
      <c r="AA54" s="961"/>
      <c r="AB54" s="961"/>
      <c r="AC54" s="961"/>
      <c r="AD54" s="961"/>
      <c r="AE54" s="961"/>
      <c r="AF54" s="961"/>
      <c r="AG54" s="961"/>
      <c r="AH54" s="961"/>
      <c r="AI54" s="961"/>
      <c r="AJ54" s="961"/>
      <c r="AK54" s="961"/>
      <c r="AL54" s="961"/>
      <c r="AM54" s="41"/>
    </row>
    <row r="55" spans="1:40" ht="23.4" x14ac:dyDescent="0.3">
      <c r="A55" s="711" t="s">
        <v>151</v>
      </c>
      <c r="B55" s="712"/>
      <c r="C55" s="960" t="s">
        <v>370</v>
      </c>
      <c r="D55" s="961"/>
      <c r="E55" s="961"/>
      <c r="F55" s="961"/>
      <c r="G55" s="961"/>
      <c r="H55" s="961"/>
      <c r="I55" s="961"/>
      <c r="J55" s="961"/>
      <c r="K55" s="961"/>
      <c r="L55" s="961"/>
      <c r="M55" s="961"/>
      <c r="N55" s="961"/>
      <c r="O55" s="961"/>
      <c r="P55" s="961"/>
      <c r="Q55" s="961"/>
      <c r="R55" s="961"/>
      <c r="S55" s="961"/>
      <c r="T55" s="961"/>
      <c r="U55" s="961"/>
      <c r="V55" s="961"/>
      <c r="W55" s="961"/>
      <c r="X55" s="961"/>
      <c r="Y55" s="961"/>
      <c r="Z55" s="961"/>
      <c r="AA55" s="961"/>
      <c r="AB55" s="961"/>
      <c r="AC55" s="961"/>
      <c r="AD55" s="961"/>
      <c r="AE55" s="961"/>
      <c r="AF55" s="961"/>
      <c r="AG55" s="961"/>
      <c r="AH55" s="961"/>
      <c r="AI55" s="961"/>
      <c r="AJ55" s="961"/>
      <c r="AK55" s="961"/>
      <c r="AL55" s="961"/>
      <c r="AM55" s="41"/>
    </row>
    <row r="56" spans="1:40" ht="14.4" x14ac:dyDescent="0.3">
      <c r="A56" s="338" t="s">
        <v>152</v>
      </c>
      <c r="B56" s="339"/>
      <c r="C56" s="340"/>
      <c r="D56" s="340"/>
      <c r="E56" s="340"/>
      <c r="F56" s="340"/>
      <c r="G56" s="340"/>
      <c r="H56" s="340"/>
      <c r="I56" s="340"/>
      <c r="J56" s="341"/>
      <c r="K56" s="342" t="s">
        <v>153</v>
      </c>
      <c r="L56" s="340"/>
      <c r="M56" s="340"/>
      <c r="N56" s="340"/>
      <c r="O56" s="340"/>
      <c r="P56" s="340"/>
      <c r="Q56" s="341"/>
      <c r="R56" s="342" t="s">
        <v>154</v>
      </c>
      <c r="S56" s="340"/>
      <c r="T56" s="340"/>
      <c r="U56" s="340"/>
      <c r="V56" s="340"/>
      <c r="W56" s="340"/>
      <c r="X56" s="340"/>
      <c r="Y56" s="340"/>
      <c r="Z56" s="341"/>
      <c r="AA56" s="342" t="s">
        <v>155</v>
      </c>
      <c r="AB56" s="340"/>
      <c r="AC56" s="340"/>
      <c r="AD56" s="340"/>
      <c r="AE56" s="340"/>
      <c r="AF56" s="340"/>
      <c r="AG56" s="341"/>
      <c r="AH56" s="342" t="s">
        <v>156</v>
      </c>
      <c r="AI56" s="340"/>
      <c r="AJ56" s="340"/>
      <c r="AK56" s="340"/>
      <c r="AL56" s="340"/>
      <c r="AM56" s="41"/>
    </row>
    <row r="57" spans="1:40" ht="14.4" x14ac:dyDescent="0.3">
      <c r="A57" s="705" t="s">
        <v>157</v>
      </c>
      <c r="B57" s="707" t="s">
        <v>141</v>
      </c>
      <c r="C57" s="703" t="s">
        <v>158</v>
      </c>
      <c r="D57" s="703" t="s">
        <v>159</v>
      </c>
      <c r="E57" s="702" t="s">
        <v>160</v>
      </c>
      <c r="F57" s="709" t="s">
        <v>60</v>
      </c>
      <c r="G57" s="38"/>
      <c r="H57" s="38"/>
      <c r="I57" s="702" t="s">
        <v>161</v>
      </c>
      <c r="J57" s="703" t="s">
        <v>162</v>
      </c>
      <c r="K57" s="708" t="s">
        <v>163</v>
      </c>
      <c r="L57" s="700" t="s">
        <v>164</v>
      </c>
      <c r="M57" s="702" t="s">
        <v>165</v>
      </c>
      <c r="N57" s="702" t="s">
        <v>166</v>
      </c>
      <c r="O57" s="704" t="s">
        <v>167</v>
      </c>
      <c r="P57" s="700" t="s">
        <v>164</v>
      </c>
      <c r="Q57" s="703" t="s">
        <v>168</v>
      </c>
      <c r="R57" s="698" t="s">
        <v>169</v>
      </c>
      <c r="S57" s="676" t="s">
        <v>170</v>
      </c>
      <c r="T57" s="702" t="s">
        <v>171</v>
      </c>
      <c r="U57" s="676" t="s">
        <v>172</v>
      </c>
      <c r="V57" s="676"/>
      <c r="W57" s="676"/>
      <c r="X57" s="676"/>
      <c r="Y57" s="676"/>
      <c r="Z57" s="676"/>
      <c r="AA57" s="697" t="s">
        <v>173</v>
      </c>
      <c r="AB57" s="697" t="s">
        <v>174</v>
      </c>
      <c r="AC57" s="697" t="s">
        <v>164</v>
      </c>
      <c r="AD57" s="697" t="s">
        <v>175</v>
      </c>
      <c r="AE57" s="697" t="s">
        <v>164</v>
      </c>
      <c r="AF57" s="697" t="s">
        <v>176</v>
      </c>
      <c r="AG57" s="698" t="s">
        <v>177</v>
      </c>
      <c r="AH57" s="676" t="s">
        <v>156</v>
      </c>
      <c r="AI57" s="676" t="s">
        <v>142</v>
      </c>
      <c r="AJ57" s="676" t="s">
        <v>178</v>
      </c>
      <c r="AK57" s="676" t="s">
        <v>179</v>
      </c>
      <c r="AL57" s="702" t="s">
        <v>181</v>
      </c>
      <c r="AM57" s="41"/>
    </row>
    <row r="58" spans="1:40" ht="72.599999999999994" x14ac:dyDescent="0.3">
      <c r="A58" s="706"/>
      <c r="B58" s="707"/>
      <c r="C58" s="676"/>
      <c r="D58" s="676"/>
      <c r="E58" s="708"/>
      <c r="F58" s="710"/>
      <c r="G58" s="38" t="s">
        <v>371</v>
      </c>
      <c r="H58" s="38" t="s">
        <v>182</v>
      </c>
      <c r="I58" s="703"/>
      <c r="J58" s="676"/>
      <c r="K58" s="703"/>
      <c r="L58" s="701"/>
      <c r="M58" s="703"/>
      <c r="N58" s="703"/>
      <c r="O58" s="701"/>
      <c r="P58" s="701"/>
      <c r="Q58" s="676"/>
      <c r="R58" s="699"/>
      <c r="S58" s="676"/>
      <c r="T58" s="703"/>
      <c r="U58" s="39" t="s">
        <v>183</v>
      </c>
      <c r="V58" s="39" t="s">
        <v>184</v>
      </c>
      <c r="W58" s="39" t="s">
        <v>185</v>
      </c>
      <c r="X58" s="39" t="s">
        <v>186</v>
      </c>
      <c r="Y58" s="39" t="s">
        <v>187</v>
      </c>
      <c r="Z58" s="39" t="s">
        <v>188</v>
      </c>
      <c r="AA58" s="697"/>
      <c r="AB58" s="697"/>
      <c r="AC58" s="697"/>
      <c r="AD58" s="697"/>
      <c r="AE58" s="697"/>
      <c r="AF58" s="697"/>
      <c r="AG58" s="699"/>
      <c r="AH58" s="676"/>
      <c r="AI58" s="676"/>
      <c r="AJ58" s="676"/>
      <c r="AK58" s="676"/>
      <c r="AL58" s="955"/>
      <c r="AM58" s="343" t="s">
        <v>372</v>
      </c>
    </row>
    <row r="59" spans="1:40" ht="262.2" x14ac:dyDescent="0.3">
      <c r="A59" s="630">
        <v>1</v>
      </c>
      <c r="B59" s="734" t="s">
        <v>199</v>
      </c>
      <c r="C59" s="734" t="s">
        <v>373</v>
      </c>
      <c r="D59" s="736" t="s">
        <v>374</v>
      </c>
      <c r="E59" s="344" t="s">
        <v>375</v>
      </c>
      <c r="F59" s="738" t="s">
        <v>376</v>
      </c>
      <c r="G59" s="760" t="s">
        <v>202</v>
      </c>
      <c r="H59" s="738" t="s">
        <v>377</v>
      </c>
      <c r="I59" s="739" t="s">
        <v>190</v>
      </c>
      <c r="J59" s="741">
        <f>(4570+1875+1042)</f>
        <v>7487</v>
      </c>
      <c r="K59" s="743" t="str">
        <f>IF(J59&lt;=0,"",IF(J59&lt;=2,"Muy Baja",IF(J59&lt;=24,"Baja",IF(J59&lt;=500,"Media",IF(J59&lt;=5000,"Alta","Muy Alta")))))</f>
        <v>Muy Alta</v>
      </c>
      <c r="L59" s="745">
        <f>IF(K59="","",IF(K59="Muy Baja",0.2,IF(K59="Baja",0.4,IF(K59="Media",0.6,IF(K59="Alta",0.8,IF(K59="Muy Alta",1,))))))</f>
        <v>1</v>
      </c>
      <c r="M59" s="747" t="s">
        <v>214</v>
      </c>
      <c r="N59" s="745" t="str">
        <f>IF(NOT(ISERROR(MATCH(M59,'[4]Tabla Impacto'!$B$221:$B$223,0))),'[4]Tabla Impacto'!$F$223&amp;"Por favor no seleccionar los criterios de impacto(Afectación Económica o presupuestal y Pérdida Reputacional)",M59)</f>
        <v xml:space="preserve">     El riesgo afecta la imagen de de la entidad con efecto publicitario sostenido a nivel de sector administrativo, nivel departamental o municipal</v>
      </c>
      <c r="O59" s="743" t="str">
        <f>IF(OR(N59='[4]Tabla Impacto'!$C$11,N59='[4]Tabla Impacto'!$D$11),"Leve",IF(OR(N59='[4]Tabla Impacto'!$C$12,N59='[4]Tabla Impacto'!$D$12),"Menor",IF(OR(N59='[4]Tabla Impacto'!$C$13,N59='[4]Tabla Impacto'!$D$13),"Moderado",IF(OR(N59='[4]Tabla Impacto'!$C$14,N59='[4]Tabla Impacto'!$D$14),"Mayor",IF(OR(N59='[4]Tabla Impacto'!$C$15,N59='[4]Tabla Impacto'!$D$15),"Catastrófico","")))))</f>
        <v>Mayor</v>
      </c>
      <c r="P59" s="745">
        <f>IF(O59="","",IF(O59="Leve",0.2,IF(O59="Menor",0.4,IF(O59="Moderado",0.6,IF(O59="Mayor",0.8,IF(O59="Catastrófico",1,))))))</f>
        <v>0.8</v>
      </c>
      <c r="Q59" s="749"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Alto</v>
      </c>
      <c r="R59" s="345">
        <v>1</v>
      </c>
      <c r="S59" s="346" t="s">
        <v>378</v>
      </c>
      <c r="T59" s="347" t="str">
        <f>IF(OR(U59="Preventivo",U59="Detectivo"),"Probabilidad",IF(U59="Correctivo","Impacto",""))</f>
        <v>Impacto</v>
      </c>
      <c r="U59" s="86" t="s">
        <v>379</v>
      </c>
      <c r="V59" s="86" t="s">
        <v>191</v>
      </c>
      <c r="W59" s="87" t="str">
        <f>IF(AND(U59="Preventivo",V59="Automático"),"50%",IF(AND(U59="Preventivo",V59="Manual"),"40%",IF(AND(U59="Detectivo",V59="Automático"),"40%",IF(AND(U59="Detectivo",V59="Manual"),"30%",IF(AND(U59="Correctivo",V59="Automático"),"35%",IF(AND(U59="Correctivo",V59="Manual"),"25%",""))))))</f>
        <v>25%</v>
      </c>
      <c r="X59" s="86" t="s">
        <v>198</v>
      </c>
      <c r="Y59" s="86" t="s">
        <v>193</v>
      </c>
      <c r="Z59" s="86" t="s">
        <v>194</v>
      </c>
      <c r="AA59" s="348">
        <f>IFERROR(IF(T59="Probabilidad",(L59-(+L59*W59)),IF(T59="Impacto",L59,"")),"")</f>
        <v>1</v>
      </c>
      <c r="AB59" s="88" t="str">
        <f>IFERROR(IF(AA59="","",IF(AA59&lt;=0.2,"Muy Baja",IF(AA59&lt;=0.4,"Baja",IF(AA59&lt;=0.6,"Media",IF(AA59&lt;=0.8,"Alta","Muy Alta"))))),"")</f>
        <v>Muy Alta</v>
      </c>
      <c r="AC59" s="89">
        <f>+AA59</f>
        <v>1</v>
      </c>
      <c r="AD59" s="88" t="str">
        <f>IFERROR(IF(AE59="","",IF(AE59&lt;=0.2,"Leve",IF(AE59&lt;=0.4,"Menor",IF(AE59&lt;=0.6,"Moderado",IF(AE59&lt;=0.8,"Mayor","Catastrófico"))))),"")</f>
        <v>Moderado</v>
      </c>
      <c r="AE59" s="89">
        <f>IFERROR(IF(T59="Impacto",(P59-(+P59*W59)),IF(T59="Probabilidad",P59,"")),"")</f>
        <v>0.60000000000000009</v>
      </c>
      <c r="AF59" s="90"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Alto</v>
      </c>
      <c r="AG59" s="91" t="s">
        <v>195</v>
      </c>
      <c r="AH59" s="349" t="s">
        <v>380</v>
      </c>
      <c r="AI59" s="350" t="s">
        <v>381</v>
      </c>
      <c r="AJ59" s="351">
        <v>45658</v>
      </c>
      <c r="AK59" s="351">
        <v>46022</v>
      </c>
      <c r="AL59" s="352" t="s">
        <v>196</v>
      </c>
      <c r="AM59" s="353" t="s">
        <v>382</v>
      </c>
    </row>
    <row r="60" spans="1:40" ht="220.8" x14ac:dyDescent="0.3">
      <c r="A60" s="644"/>
      <c r="B60" s="735"/>
      <c r="C60" s="735"/>
      <c r="D60" s="737"/>
      <c r="E60" s="956" t="s">
        <v>383</v>
      </c>
      <c r="F60" s="738"/>
      <c r="G60" s="761"/>
      <c r="H60" s="738"/>
      <c r="I60" s="740"/>
      <c r="J60" s="742"/>
      <c r="K60" s="744"/>
      <c r="L60" s="746"/>
      <c r="M60" s="748"/>
      <c r="N60" s="746"/>
      <c r="O60" s="744"/>
      <c r="P60" s="746"/>
      <c r="Q60" s="750"/>
      <c r="R60" s="958">
        <v>2</v>
      </c>
      <c r="S60" s="734" t="s">
        <v>384</v>
      </c>
      <c r="T60" s="354" t="str">
        <f>IF(OR(U60="Preventivo",U60="Detectivo"),"Probabilidad",IF(U60="Correctivo","Impacto",""))</f>
        <v>Impacto</v>
      </c>
      <c r="U60" s="355" t="s">
        <v>379</v>
      </c>
      <c r="V60" s="355" t="s">
        <v>191</v>
      </c>
      <c r="W60" s="356" t="str">
        <f>IF(AND(U60="Preventivo",V60="Automático"),"50%",IF(AND(U60="Preventivo",V60="Manual"),"40%",IF(AND(U60="Detectivo",V60="Automático"),"40%",IF(AND(U60="Detectivo",V60="Manual"),"30%",IF(AND(U60="Correctivo",V60="Automático"),"35%",IF(AND(U60="Correctivo",V60="Manual"),"25%",""))))))</f>
        <v>25%</v>
      </c>
      <c r="X60" s="355" t="s">
        <v>198</v>
      </c>
      <c r="Y60" s="355" t="s">
        <v>193</v>
      </c>
      <c r="Z60" s="355" t="s">
        <v>194</v>
      </c>
      <c r="AA60" s="348">
        <f>IFERROR(IF(T60="Probabilidad",(L59-(+L59*W60)),IF(T60="Impacto",L59,"")),"")</f>
        <v>1</v>
      </c>
      <c r="AB60" s="88" t="str">
        <f t="shared" ref="AB60:AB68" si="38">IFERROR(IF(AA60="","",IF(AA60&lt;=0.2,"Muy Baja",IF(AA60&lt;=0.4,"Baja",IF(AA60&lt;=0.6,"Media",IF(AA60&lt;=0.8,"Alta","Muy Alta"))))),"")</f>
        <v>Muy Alta</v>
      </c>
      <c r="AC60" s="89">
        <f t="shared" ref="AC60:AC68" si="39">+AA60</f>
        <v>1</v>
      </c>
      <c r="AD60" s="88" t="str">
        <f t="shared" ref="AD60:AD68" si="40">IFERROR(IF(AE60="","",IF(AE60&lt;=0.2,"Leve",IF(AE60&lt;=0.4,"Menor",IF(AE60&lt;=0.6,"Moderado",IF(AE60&lt;=0.8,"Mayor","Catastrófico"))))),"")</f>
        <v>Moderado</v>
      </c>
      <c r="AE60" s="89">
        <f>IFERROR(IF(AND(T59="Impacto",T60="Impacto"),(AE59-(+AE59*W60)),IF(AND(T59="Probabilidad",T60="Impacto"),(P59-(+P59*W60)),IF(T60="Probabilidad",AE59,""))),"")</f>
        <v>0.45000000000000007</v>
      </c>
      <c r="AF60" s="90" t="str">
        <f t="shared" ref="AF60:AF68" si="41">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Alto</v>
      </c>
      <c r="AG60" s="91" t="s">
        <v>195</v>
      </c>
      <c r="AH60" s="357" t="s">
        <v>385</v>
      </c>
      <c r="AI60" s="358" t="s">
        <v>381</v>
      </c>
      <c r="AJ60" s="359">
        <v>45658</v>
      </c>
      <c r="AK60" s="359">
        <v>46022</v>
      </c>
      <c r="AL60" s="360" t="s">
        <v>196</v>
      </c>
      <c r="AM60" s="361" t="s">
        <v>386</v>
      </c>
    </row>
    <row r="61" spans="1:40" ht="82.8" x14ac:dyDescent="0.3">
      <c r="A61" s="644"/>
      <c r="B61" s="735"/>
      <c r="C61" s="735"/>
      <c r="D61" s="737"/>
      <c r="E61" s="957"/>
      <c r="F61" s="738"/>
      <c r="G61" s="761"/>
      <c r="H61" s="738"/>
      <c r="I61" s="740"/>
      <c r="J61" s="742"/>
      <c r="K61" s="744"/>
      <c r="L61" s="746"/>
      <c r="M61" s="748"/>
      <c r="N61" s="746">
        <f>IF(NOT(ISERROR(MATCH(M61,_xlfn.ANCHORARRAY(F65),0))),L67&amp;"Por favor no seleccionar los criterios de impacto",M61)</f>
        <v>0</v>
      </c>
      <c r="O61" s="744"/>
      <c r="P61" s="746"/>
      <c r="Q61" s="750"/>
      <c r="R61" s="959"/>
      <c r="S61" s="753"/>
      <c r="T61" s="354" t="str">
        <f>IF(OR(U61="Preventivo",U61="Detectivo"),"Probabilidad",IF(U61="Correctivo","Impacto",""))</f>
        <v>Impacto</v>
      </c>
      <c r="U61" s="355" t="s">
        <v>379</v>
      </c>
      <c r="V61" s="355" t="s">
        <v>191</v>
      </c>
      <c r="W61" s="356" t="str">
        <f>IF(AND(U61="Preventivo",V61="Automático"),"50%",IF(AND(U61="Preventivo",V61="Manual"),"40%",IF(AND(U61="Detectivo",V61="Automático"),"40%",IF(AND(U61="Detectivo",V61="Manual"),"30%",IF(AND(U61="Correctivo",V61="Automático"),"35%",IF(AND(U61="Correctivo",V61="Manual"),"25%",""))))))</f>
        <v>25%</v>
      </c>
      <c r="X61" s="355" t="s">
        <v>198</v>
      </c>
      <c r="Y61" s="355" t="s">
        <v>193</v>
      </c>
      <c r="Z61" s="355" t="s">
        <v>194</v>
      </c>
      <c r="AA61" s="348">
        <f>IFERROR(IF(T61="Probabilidad",(L59-(+L59*W61)),IF(T61="Impacto",L59,"")),"")</f>
        <v>1</v>
      </c>
      <c r="AB61" s="88" t="str">
        <f t="shared" si="38"/>
        <v>Muy Alta</v>
      </c>
      <c r="AC61" s="89">
        <f t="shared" si="39"/>
        <v>1</v>
      </c>
      <c r="AD61" s="88" t="str">
        <f t="shared" si="40"/>
        <v>Menor</v>
      </c>
      <c r="AE61" s="89">
        <f>IFERROR(IF(AND(T60="Impacto",T61="Impacto"),(AE60-(+AE60*W61)),IF(AND(T60="Probabilidad",T61="Impacto"),(AE59-(+AE59*W61)),IF(T61="Probabilidad",AE60,""))),"")</f>
        <v>0.33750000000000002</v>
      </c>
      <c r="AF61" s="90" t="str">
        <f t="shared" si="41"/>
        <v>Alto</v>
      </c>
      <c r="AG61" s="91" t="s">
        <v>195</v>
      </c>
      <c r="AH61" s="357" t="s">
        <v>387</v>
      </c>
      <c r="AI61" s="358" t="s">
        <v>381</v>
      </c>
      <c r="AJ61" s="359">
        <v>45658</v>
      </c>
      <c r="AK61" s="359">
        <v>46022</v>
      </c>
      <c r="AL61" s="360" t="s">
        <v>196</v>
      </c>
      <c r="AM61" s="362" t="s">
        <v>388</v>
      </c>
    </row>
    <row r="62" spans="1:40" ht="171.6" x14ac:dyDescent="0.3">
      <c r="A62" s="644"/>
      <c r="B62" s="735"/>
      <c r="C62" s="735"/>
      <c r="D62" s="737"/>
      <c r="E62" s="363" t="s">
        <v>389</v>
      </c>
      <c r="F62" s="738"/>
      <c r="G62" s="761"/>
      <c r="H62" s="738"/>
      <c r="I62" s="740"/>
      <c r="J62" s="742"/>
      <c r="K62" s="744"/>
      <c r="L62" s="746"/>
      <c r="M62" s="748"/>
      <c r="N62" s="746">
        <f>IF(NOT(ISERROR(MATCH(M62,_xlfn.ANCHORARRAY(F67),0))),#REF!&amp;"Por favor no seleccionar los criterios de impacto",M62)</f>
        <v>0</v>
      </c>
      <c r="O62" s="744"/>
      <c r="P62" s="746"/>
      <c r="Q62" s="750"/>
      <c r="R62" s="345">
        <v>4</v>
      </c>
      <c r="S62" s="346" t="s">
        <v>390</v>
      </c>
      <c r="T62" s="347" t="str">
        <f t="shared" ref="T62" si="42">IF(OR(U62="Preventivo",U62="Detectivo"),"Probabilidad",IF(U62="Correctivo","Impacto",""))</f>
        <v>Impacto</v>
      </c>
      <c r="U62" s="86" t="s">
        <v>379</v>
      </c>
      <c r="V62" s="86" t="s">
        <v>191</v>
      </c>
      <c r="W62" s="87" t="str">
        <f t="shared" ref="W62:W68" si="43">IF(AND(U62="Preventivo",V62="Automático"),"50%",IF(AND(U62="Preventivo",V62="Manual"),"40%",IF(AND(U62="Detectivo",V62="Automático"),"40%",IF(AND(U62="Detectivo",V62="Manual"),"30%",IF(AND(U62="Correctivo",V62="Automático"),"35%",IF(AND(U62="Correctivo",V62="Manual"),"25%",""))))))</f>
        <v>25%</v>
      </c>
      <c r="X62" s="86" t="s">
        <v>198</v>
      </c>
      <c r="Y62" s="86" t="s">
        <v>193</v>
      </c>
      <c r="Z62" s="86" t="s">
        <v>194</v>
      </c>
      <c r="AA62" s="348">
        <f>IFERROR(IF(T62="Probabilidad",(L59-(+L59*W62)),IF(T62="Impacto",L59,"")),"")</f>
        <v>1</v>
      </c>
      <c r="AB62" s="88" t="str">
        <f t="shared" si="38"/>
        <v>Muy Alta</v>
      </c>
      <c r="AC62" s="89">
        <f t="shared" si="39"/>
        <v>1</v>
      </c>
      <c r="AD62" s="88" t="str">
        <f t="shared" si="40"/>
        <v>Menor</v>
      </c>
      <c r="AE62" s="89">
        <f>IFERROR(IF(AND(T61="Impacto",T62="Impacto"),(AE61-(+AE61*W62)),IF(AND(T61="Probabilidad",T62="Impacto"),(AE60-(+AE60*W62)),IF(T62="Probabilidad",AE61,""))),"")</f>
        <v>0.25312500000000004</v>
      </c>
      <c r="AF62" s="90" t="str">
        <f t="shared" si="41"/>
        <v>Alto</v>
      </c>
      <c r="AG62" s="91" t="s">
        <v>195</v>
      </c>
      <c r="AH62" s="349" t="s">
        <v>391</v>
      </c>
      <c r="AI62" s="350" t="s">
        <v>381</v>
      </c>
      <c r="AJ62" s="351">
        <v>45658</v>
      </c>
      <c r="AK62" s="351">
        <v>46022</v>
      </c>
      <c r="AL62" s="352" t="s">
        <v>196</v>
      </c>
      <c r="AM62" s="361" t="s">
        <v>392</v>
      </c>
    </row>
    <row r="63" spans="1:40" ht="171.6" x14ac:dyDescent="0.3">
      <c r="A63" s="630">
        <v>2</v>
      </c>
      <c r="B63" s="734" t="s">
        <v>189</v>
      </c>
      <c r="C63" s="734" t="s">
        <v>393</v>
      </c>
      <c r="D63" s="951" t="s">
        <v>394</v>
      </c>
      <c r="E63" s="364" t="s">
        <v>395</v>
      </c>
      <c r="F63" s="738" t="s">
        <v>396</v>
      </c>
      <c r="G63" s="761"/>
      <c r="H63" s="953" t="s">
        <v>397</v>
      </c>
      <c r="I63" s="739" t="s">
        <v>398</v>
      </c>
      <c r="J63" s="741">
        <f>(4570+1875+1042)</f>
        <v>7487</v>
      </c>
      <c r="K63" s="743" t="str">
        <f>IF(J63&lt;=0,"",IF(J63&lt;=2,"Muy Baja",IF(J63&lt;=24,"Baja",IF(J63&lt;=500,"Media",IF(J63&lt;=5000,"Alta","Muy Alta")))))</f>
        <v>Muy Alta</v>
      </c>
      <c r="L63" s="745">
        <f>IF(K63="","",IF(K63="Muy Baja",0.2,IF(K63="Baja",0.4,IF(K63="Media",0.6,IF(K63="Alta",0.8,IF(K63="Muy Alta",1,))))))</f>
        <v>1</v>
      </c>
      <c r="M63" s="747" t="s">
        <v>321</v>
      </c>
      <c r="N63" s="745" t="str">
        <f>IF(NOT(ISERROR(MATCH(M63,'[4]Tabla Impacto'!$B$221:$B$223,0))),'[4]Tabla Impacto'!$F$223&amp;"Por favor no seleccionar los criterios de impacto(Afectación Económica o presupuestal y Pérdida Reputacional)",M63)</f>
        <v xml:space="preserve">     Entre 200 y 1000 SMLMV</v>
      </c>
      <c r="O63" s="743" t="str">
        <f>IF(OR(N63='[4]Tabla Impacto'!$C$11,N63='[4]Tabla Impacto'!$D$11),"Leve",IF(OR(N63='[4]Tabla Impacto'!$C$12,N63='[4]Tabla Impacto'!$D$12),"Menor",IF(OR(N63='[4]Tabla Impacto'!$C$13,N63='[4]Tabla Impacto'!$D$13),"Moderado",IF(OR(N63='[4]Tabla Impacto'!$C$14,N63='[4]Tabla Impacto'!$D$14),"Mayor",IF(OR(N63='[4]Tabla Impacto'!$C$15,N63='[4]Tabla Impacto'!$D$15),"Catastrófico","")))))</f>
        <v>Menor</v>
      </c>
      <c r="P63" s="745">
        <f>IF(O63="","",IF(O63="Leve",0.2,IF(O63="Menor",0.4,IF(O63="Moderado",0.6,IF(O63="Mayor",0.8,IF(O63="Catastrófico",1,))))))</f>
        <v>0.4</v>
      </c>
      <c r="Q63" s="749" t="str">
        <f>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Alto</v>
      </c>
      <c r="R63" s="345">
        <v>1</v>
      </c>
      <c r="S63" s="365" t="s">
        <v>399</v>
      </c>
      <c r="T63" s="347" t="str">
        <f>IF(OR(U63="Preventivo",U63="Detectivo"),"Probabilidad",IF(U63="Correctivo","Impacto",""))</f>
        <v>Impacto</v>
      </c>
      <c r="U63" s="86" t="s">
        <v>379</v>
      </c>
      <c r="V63" s="86" t="s">
        <v>191</v>
      </c>
      <c r="W63" s="87" t="str">
        <f t="shared" si="43"/>
        <v>25%</v>
      </c>
      <c r="X63" s="86" t="s">
        <v>198</v>
      </c>
      <c r="Y63" s="86" t="s">
        <v>193</v>
      </c>
      <c r="Z63" s="86" t="s">
        <v>194</v>
      </c>
      <c r="AA63" s="348">
        <f>IFERROR(IF(T63="Probabilidad",(L63-(+L63*W63)),IF(T63="Impacto",L63,"")),"")</f>
        <v>1</v>
      </c>
      <c r="AB63" s="88" t="str">
        <f t="shared" si="38"/>
        <v>Muy Alta</v>
      </c>
      <c r="AC63" s="89">
        <f t="shared" si="39"/>
        <v>1</v>
      </c>
      <c r="AD63" s="88" t="str">
        <f t="shared" si="40"/>
        <v>Leve</v>
      </c>
      <c r="AE63" s="89">
        <f>IFERROR(IF(AND(T62="Impacto",T63="Impacto"),(AE62-(+AE62*W63)),IF(AND(T62="Probabilidad",T63="Impacto"),(AE61-(+AE61*W63)),IF(T63="Probabilidad",AE62,""))),"")</f>
        <v>0.18984375000000003</v>
      </c>
      <c r="AF63" s="90" t="str">
        <f t="shared" si="41"/>
        <v>Alto</v>
      </c>
      <c r="AG63" s="91" t="s">
        <v>195</v>
      </c>
      <c r="AH63" s="349" t="s">
        <v>400</v>
      </c>
      <c r="AI63" s="350" t="s">
        <v>381</v>
      </c>
      <c r="AJ63" s="351">
        <v>45658</v>
      </c>
      <c r="AK63" s="351">
        <v>46022</v>
      </c>
      <c r="AL63" s="352" t="s">
        <v>196</v>
      </c>
      <c r="AM63" s="353" t="s">
        <v>401</v>
      </c>
    </row>
    <row r="64" spans="1:40" ht="110.4" x14ac:dyDescent="0.3">
      <c r="A64" s="644"/>
      <c r="B64" s="735"/>
      <c r="C64" s="735"/>
      <c r="D64" s="952"/>
      <c r="E64" s="366" t="s">
        <v>402</v>
      </c>
      <c r="F64" s="738"/>
      <c r="G64" s="761"/>
      <c r="H64" s="954"/>
      <c r="I64" s="740"/>
      <c r="J64" s="742"/>
      <c r="K64" s="744"/>
      <c r="L64" s="746"/>
      <c r="M64" s="748"/>
      <c r="N64" s="746">
        <f>IF(NOT(ISERROR(MATCH(M64,_xlfn.ANCHORARRAY(F68),0))),#REF!&amp;"Por favor no seleccionar los criterios de impacto",M64)</f>
        <v>0</v>
      </c>
      <c r="O64" s="744"/>
      <c r="P64" s="746"/>
      <c r="Q64" s="750"/>
      <c r="R64" s="345">
        <v>2</v>
      </c>
      <c r="S64" s="346" t="s">
        <v>403</v>
      </c>
      <c r="T64" s="347" t="str">
        <f>IF(OR(U64="Preventivo",U64="Detectivo"),"Probabilidad",IF(U64="Correctivo","Impacto",""))</f>
        <v>Impacto</v>
      </c>
      <c r="U64" s="86" t="s">
        <v>379</v>
      </c>
      <c r="V64" s="86" t="s">
        <v>191</v>
      </c>
      <c r="W64" s="87" t="str">
        <f t="shared" si="43"/>
        <v>25%</v>
      </c>
      <c r="X64" s="86" t="s">
        <v>198</v>
      </c>
      <c r="Y64" s="86" t="s">
        <v>193</v>
      </c>
      <c r="Z64" s="86" t="s">
        <v>194</v>
      </c>
      <c r="AA64" s="348">
        <f>IFERROR(IF(T64="Probabilidad",(L63-(+L63*W64)),IF(T64="Impacto",L63,"")),"")</f>
        <v>1</v>
      </c>
      <c r="AB64" s="88" t="str">
        <f t="shared" si="38"/>
        <v>Muy Alta</v>
      </c>
      <c r="AC64" s="89">
        <f t="shared" si="39"/>
        <v>1</v>
      </c>
      <c r="AD64" s="88" t="str">
        <f t="shared" si="40"/>
        <v>Leve</v>
      </c>
      <c r="AE64" s="89">
        <f>IFERROR(IF(AND(T63="Impacto",T64="Impacto"),(AE63-(+AE63*W64)),IF(AND(T63="Probabilidad",T64="Impacto"),(AE62-(+AE62*W64)),IF(T64="Probabilidad",AE63,""))),"")</f>
        <v>0.14238281250000001</v>
      </c>
      <c r="AF64" s="90" t="str">
        <f t="shared" si="41"/>
        <v>Alto</v>
      </c>
      <c r="AG64" s="91" t="s">
        <v>195</v>
      </c>
      <c r="AH64" s="349" t="s">
        <v>404</v>
      </c>
      <c r="AI64" s="350" t="s">
        <v>381</v>
      </c>
      <c r="AJ64" s="351">
        <v>45658</v>
      </c>
      <c r="AK64" s="351">
        <v>46022</v>
      </c>
      <c r="AL64" s="352" t="s">
        <v>196</v>
      </c>
      <c r="AM64" s="361" t="s">
        <v>405</v>
      </c>
    </row>
    <row r="65" spans="1:39" ht="124.8" x14ac:dyDescent="0.3">
      <c r="A65" s="630">
        <v>3</v>
      </c>
      <c r="B65" s="734" t="s">
        <v>199</v>
      </c>
      <c r="C65" s="734" t="s">
        <v>406</v>
      </c>
      <c r="D65" s="736" t="s">
        <v>407</v>
      </c>
      <c r="E65" s="363" t="s">
        <v>408</v>
      </c>
      <c r="F65" s="738" t="s">
        <v>409</v>
      </c>
      <c r="G65" s="760" t="s">
        <v>410</v>
      </c>
      <c r="H65" s="760" t="s">
        <v>411</v>
      </c>
      <c r="I65" s="739" t="s">
        <v>190</v>
      </c>
      <c r="J65" s="741">
        <f>(54*7)</f>
        <v>378</v>
      </c>
      <c r="K65" s="743" t="str">
        <f t="shared" ref="K65" si="44">IF(J65&lt;=0,"",IF(J65&lt;=2,"Muy Baja",IF(J65&lt;=24,"Baja",IF(J65&lt;=500,"Media",IF(J65&lt;=5000,"Alta","Muy Alta")))))</f>
        <v>Media</v>
      </c>
      <c r="L65" s="745">
        <f t="shared" ref="L65" si="45">IF(K65="","",IF(K65="Muy Baja",0.2,IF(K65="Baja",0.4,IF(K65="Media",0.6,IF(K65="Alta",0.8,IF(K65="Muy Alta",1,))))))</f>
        <v>0.6</v>
      </c>
      <c r="M65" s="747" t="s">
        <v>412</v>
      </c>
      <c r="N65" s="745" t="str">
        <f>IF(NOT(ISERROR(MATCH(M65,'[4]Tabla Impacto'!$B$221:$B$223,0))),'[4]Tabla Impacto'!$F$223&amp;"Por favor no seleccionar los criterios de impacto(Afectación Económica o presupuestal y Pérdida Reputacional)",M65)</f>
        <v xml:space="preserve">     El riesgo afecta la imagen de la entidad internamente, de conocimiento general, nivel interno, de junta dircetiva y accionistas y/o de provedores</v>
      </c>
      <c r="O65" s="743" t="str">
        <f>IF(OR(N65='[4]Tabla Impacto'!$C$11,N65='[4]Tabla Impacto'!$D$11),"Leve",IF(OR(N65='[4]Tabla Impacto'!$C$12,N65='[4]Tabla Impacto'!$D$12),"Menor",IF(OR(N65='[4]Tabla Impacto'!$C$13,N65='[4]Tabla Impacto'!$D$13),"Moderado",IF(OR(N65='[4]Tabla Impacto'!$C$14,N65='[4]Tabla Impacto'!$D$14),"Mayor",IF(OR(N65='[4]Tabla Impacto'!$C$15,N65='[4]Tabla Impacto'!$D$15),"Catastrófico","")))))</f>
        <v>Menor</v>
      </c>
      <c r="P65" s="745">
        <f t="shared" ref="P65" si="46">IF(O65="","",IF(O65="Leve",0.2,IF(O65="Menor",0.4,IF(O65="Moderado",0.6,IF(O65="Mayor",0.8,IF(O65="Catastrófico",1,))))))</f>
        <v>0.4</v>
      </c>
      <c r="Q65" s="749" t="str">
        <f t="shared" ref="Q65" si="47">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Moderado</v>
      </c>
      <c r="R65" s="345">
        <v>1</v>
      </c>
      <c r="S65" s="346" t="s">
        <v>413</v>
      </c>
      <c r="T65" s="347" t="str">
        <f t="shared" ref="T65:T68" si="48">IF(OR(U65="Preventivo",U65="Detectivo"),"Probabilidad",IF(U65="Correctivo","Impacto",""))</f>
        <v>Impacto</v>
      </c>
      <c r="U65" s="86" t="s">
        <v>379</v>
      </c>
      <c r="V65" s="86" t="s">
        <v>191</v>
      </c>
      <c r="W65" s="87" t="str">
        <f t="shared" si="43"/>
        <v>25%</v>
      </c>
      <c r="X65" s="86" t="s">
        <v>198</v>
      </c>
      <c r="Y65" s="86" t="s">
        <v>193</v>
      </c>
      <c r="Z65" s="86" t="s">
        <v>194</v>
      </c>
      <c r="AA65" s="348">
        <f>IFERROR(IF(T65="Probabilidad",(L65-(+L65*W65)),IF(T65="Impacto",L65,"")),"")</f>
        <v>0.6</v>
      </c>
      <c r="AB65" s="88" t="str">
        <f t="shared" si="38"/>
        <v>Media</v>
      </c>
      <c r="AC65" s="89">
        <f t="shared" si="39"/>
        <v>0.6</v>
      </c>
      <c r="AD65" s="88" t="str">
        <f t="shared" si="40"/>
        <v>Menor</v>
      </c>
      <c r="AE65" s="89">
        <f>IFERROR(IF(T65="Impacto",(P65-(+P65*W65)),IF(T65="Probabilidad",P65,"")),"")</f>
        <v>0.30000000000000004</v>
      </c>
      <c r="AF65" s="90" t="str">
        <f t="shared" si="41"/>
        <v>Moderado</v>
      </c>
      <c r="AG65" s="91" t="s">
        <v>195</v>
      </c>
      <c r="AH65" s="350" t="s">
        <v>414</v>
      </c>
      <c r="AI65" s="350" t="s">
        <v>381</v>
      </c>
      <c r="AJ65" s="351">
        <v>45658</v>
      </c>
      <c r="AK65" s="351">
        <v>46022</v>
      </c>
      <c r="AL65" s="352" t="s">
        <v>196</v>
      </c>
      <c r="AM65" s="361" t="s">
        <v>415</v>
      </c>
    </row>
    <row r="66" spans="1:39" ht="171.6" x14ac:dyDescent="0.3">
      <c r="A66" s="644"/>
      <c r="B66" s="735"/>
      <c r="C66" s="735"/>
      <c r="D66" s="737"/>
      <c r="E66" s="363" t="s">
        <v>416</v>
      </c>
      <c r="F66" s="738"/>
      <c r="G66" s="761"/>
      <c r="H66" s="761"/>
      <c r="I66" s="740"/>
      <c r="J66" s="742"/>
      <c r="K66" s="744"/>
      <c r="L66" s="746"/>
      <c r="M66" s="748"/>
      <c r="N66" s="746">
        <f>IF(NOT(ISERROR(MATCH(M66,_xlfn.ANCHORARRAY(F69),0))),L71&amp;"Por favor no seleccionar los criterios de impacto",M66)</f>
        <v>0</v>
      </c>
      <c r="O66" s="744"/>
      <c r="P66" s="746"/>
      <c r="Q66" s="750"/>
      <c r="R66" s="345">
        <v>2</v>
      </c>
      <c r="S66" s="346" t="s">
        <v>417</v>
      </c>
      <c r="T66" s="347" t="str">
        <f t="shared" si="48"/>
        <v>Impacto</v>
      </c>
      <c r="U66" s="86" t="s">
        <v>379</v>
      </c>
      <c r="V66" s="86" t="s">
        <v>191</v>
      </c>
      <c r="W66" s="87" t="str">
        <f t="shared" si="43"/>
        <v>25%</v>
      </c>
      <c r="X66" s="86" t="s">
        <v>198</v>
      </c>
      <c r="Y66" s="86" t="s">
        <v>193</v>
      </c>
      <c r="Z66" s="86" t="s">
        <v>194</v>
      </c>
      <c r="AA66" s="348">
        <f>IFERROR(IF(T66="Probabilidad",(L65-(+L65*W66)),IF(T66="Impacto",L65,"")),"")</f>
        <v>0.6</v>
      </c>
      <c r="AB66" s="88" t="str">
        <f t="shared" si="38"/>
        <v>Media</v>
      </c>
      <c r="AC66" s="89">
        <f t="shared" si="39"/>
        <v>0.6</v>
      </c>
      <c r="AD66" s="88" t="str">
        <f t="shared" si="40"/>
        <v>Menor</v>
      </c>
      <c r="AE66" s="89">
        <f>IFERROR(IF(AND(T65="Impacto",T66="Impacto"),(AE65-(+AE65*W66)),IF(AND(T65="Probabilidad",T66="Impacto"),(P65-(+P65*W66)),IF(T66="Probabilidad",AE65,""))),"")</f>
        <v>0.22500000000000003</v>
      </c>
      <c r="AF66" s="90" t="str">
        <f t="shared" si="41"/>
        <v>Moderado</v>
      </c>
      <c r="AG66" s="91" t="s">
        <v>195</v>
      </c>
      <c r="AH66" s="350" t="s">
        <v>418</v>
      </c>
      <c r="AI66" s="350" t="s">
        <v>381</v>
      </c>
      <c r="AJ66" s="351">
        <v>45658</v>
      </c>
      <c r="AK66" s="351">
        <v>46022</v>
      </c>
      <c r="AL66" s="352" t="s">
        <v>196</v>
      </c>
      <c r="AM66" s="361" t="s">
        <v>419</v>
      </c>
    </row>
    <row r="67" spans="1:39" ht="124.8" x14ac:dyDescent="0.3">
      <c r="A67" s="644"/>
      <c r="B67" s="735"/>
      <c r="C67" s="735"/>
      <c r="D67" s="737"/>
      <c r="E67" s="367" t="s">
        <v>420</v>
      </c>
      <c r="F67" s="738"/>
      <c r="G67" s="761"/>
      <c r="H67" s="761"/>
      <c r="I67" s="740"/>
      <c r="J67" s="742"/>
      <c r="K67" s="744"/>
      <c r="L67" s="746"/>
      <c r="M67" s="748"/>
      <c r="N67" s="746">
        <f>IF(NOT(ISERROR(MATCH(M67,_xlfn.ANCHORARRAY(F70),0))),L72&amp;"Por favor no seleccionar los criterios de impacto",M67)</f>
        <v>0</v>
      </c>
      <c r="O67" s="744"/>
      <c r="P67" s="746"/>
      <c r="Q67" s="750"/>
      <c r="R67" s="345">
        <v>3</v>
      </c>
      <c r="S67" s="368" t="s">
        <v>421</v>
      </c>
      <c r="T67" s="347" t="str">
        <f t="shared" si="48"/>
        <v>Impacto</v>
      </c>
      <c r="U67" s="86" t="s">
        <v>379</v>
      </c>
      <c r="V67" s="86" t="s">
        <v>191</v>
      </c>
      <c r="W67" s="87" t="str">
        <f t="shared" si="43"/>
        <v>25%</v>
      </c>
      <c r="X67" s="86" t="s">
        <v>198</v>
      </c>
      <c r="Y67" s="86" t="s">
        <v>193</v>
      </c>
      <c r="Z67" s="86" t="s">
        <v>194</v>
      </c>
      <c r="AA67" s="348">
        <f>IFERROR(IF(T67="Probabilidad",(L65-(+L65*W67)),IF(T67="Impacto",L65,"")),"")</f>
        <v>0.6</v>
      </c>
      <c r="AB67" s="88" t="str">
        <f t="shared" si="38"/>
        <v>Media</v>
      </c>
      <c r="AC67" s="89">
        <f t="shared" si="39"/>
        <v>0.6</v>
      </c>
      <c r="AD67" s="88" t="str">
        <f t="shared" si="40"/>
        <v>Leve</v>
      </c>
      <c r="AE67" s="89">
        <f>IFERROR(IF(AND(T66="Impacto",T67="Impacto"),(AE66-(+AE66*W67)),IF(AND(T66="Probabilidad",T67="Impacto"),(AE65-(+AE65*W67)),IF(T67="Probabilidad",AE66,""))),"")</f>
        <v>0.16875000000000001</v>
      </c>
      <c r="AF67" s="90" t="str">
        <f t="shared" si="41"/>
        <v>Moderado</v>
      </c>
      <c r="AG67" s="91" t="s">
        <v>195</v>
      </c>
      <c r="AH67" s="350" t="s">
        <v>422</v>
      </c>
      <c r="AI67" s="350" t="s">
        <v>381</v>
      </c>
      <c r="AJ67" s="351">
        <v>45658</v>
      </c>
      <c r="AK67" s="351">
        <v>46022</v>
      </c>
      <c r="AL67" s="352" t="s">
        <v>196</v>
      </c>
      <c r="AM67" s="369" t="s">
        <v>423</v>
      </c>
    </row>
    <row r="68" spans="1:39" ht="93.6" x14ac:dyDescent="0.3">
      <c r="A68" s="242">
        <v>4</v>
      </c>
      <c r="B68" s="290" t="s">
        <v>199</v>
      </c>
      <c r="C68" s="290" t="s">
        <v>406</v>
      </c>
      <c r="D68" s="291" t="s">
        <v>424</v>
      </c>
      <c r="E68" s="370" t="s">
        <v>425</v>
      </c>
      <c r="F68" s="293" t="s">
        <v>426</v>
      </c>
      <c r="G68" s="853"/>
      <c r="H68" s="293" t="s">
        <v>427</v>
      </c>
      <c r="I68" s="294" t="s">
        <v>190</v>
      </c>
      <c r="J68" s="295">
        <v>54</v>
      </c>
      <c r="K68" s="296" t="str">
        <f t="shared" ref="K68" si="49">IF(J68&lt;=0,"",IF(J68&lt;=2,"Muy Baja",IF(J68&lt;=24,"Baja",IF(J68&lt;=500,"Media",IF(J68&lt;=5000,"Alta","Muy Alta")))))</f>
        <v>Media</v>
      </c>
      <c r="L68" s="297">
        <f t="shared" ref="L68" si="50">IF(K68="","",IF(K68="Muy Baja",0.2,IF(K68="Baja",0.4,IF(K68="Media",0.6,IF(K68="Alta",0.8,IF(K68="Muy Alta",1,))))))</f>
        <v>0.6</v>
      </c>
      <c r="M68" s="371" t="s">
        <v>412</v>
      </c>
      <c r="N68" s="297" t="str">
        <f>IF(NOT(ISERROR(MATCH(M68,'[4]Tabla Impacto'!$B$221:$B$223,0))),'[4]Tabla Impacto'!$F$223&amp;"Por favor no seleccionar los criterios de impacto(Afectación Económica o presupuestal y Pérdida Reputacional)",M68)</f>
        <v xml:space="preserve">     El riesgo afecta la imagen de la entidad internamente, de conocimiento general, nivel interno, de junta dircetiva y accionistas y/o de provedores</v>
      </c>
      <c r="O68" s="296" t="str">
        <f>IF(OR(N68='[4]Tabla Impacto'!$C$11,N68='[4]Tabla Impacto'!$D$11),"Leve",IF(OR(N68='[4]Tabla Impacto'!$C$12,N68='[4]Tabla Impacto'!$D$12),"Menor",IF(OR(N68='[4]Tabla Impacto'!$C$13,N68='[4]Tabla Impacto'!$D$13),"Moderado",IF(OR(N68='[4]Tabla Impacto'!$C$14,N68='[4]Tabla Impacto'!$D$14),"Mayor",IF(OR(N68='[4]Tabla Impacto'!$C$15,N68='[4]Tabla Impacto'!$D$15),"Catastrófico","")))))</f>
        <v>Menor</v>
      </c>
      <c r="P68" s="297">
        <f t="shared" ref="P68" si="51">IF(O68="","",IF(O68="Leve",0.2,IF(O68="Menor",0.4,IF(O68="Moderado",0.6,IF(O68="Mayor",0.8,IF(O68="Catastrófico",1,))))))</f>
        <v>0.4</v>
      </c>
      <c r="Q68" s="298" t="str">
        <f t="shared" ref="Q68" si="52">IF(OR(AND(K68="Muy Baja",O68="Leve"),AND(K68="Muy Baja",O68="Menor"),AND(K68="Baja",O68="Leve")),"Bajo",IF(OR(AND(K68="Muy baja",O68="Moderado"),AND(K68="Baja",O68="Menor"),AND(K68="Baja",O68="Moderado"),AND(K68="Media",O68="Leve"),AND(K68="Media",O68="Menor"),AND(K68="Media",O68="Moderado"),AND(K68="Alta",O68="Leve"),AND(K68="Alta",O68="Menor")),"Moderado",IF(OR(AND(K68="Muy Baja",O68="Mayor"),AND(K68="Baja",O68="Mayor"),AND(K68="Media",O68="Mayor"),AND(K68="Alta",O68="Moderado"),AND(K68="Alta",O68="Mayor"),AND(K68="Muy Alta",O68="Leve"),AND(K68="Muy Alta",O68="Menor"),AND(K68="Muy Alta",O68="Moderado"),AND(K68="Muy Alta",O68="Mayor")),"Alto",IF(OR(AND(K68="Muy Baja",O68="Catastrófico"),AND(K68="Baja",O68="Catastrófico"),AND(K68="Media",O68="Catastrófico"),AND(K68="Alta",O68="Catastrófico"),AND(K68="Muy Alta",O68="Catastrófico")),"Extremo",""))))</f>
        <v>Moderado</v>
      </c>
      <c r="R68" s="345">
        <v>1</v>
      </c>
      <c r="S68" s="346" t="s">
        <v>428</v>
      </c>
      <c r="T68" s="347" t="str">
        <f t="shared" si="48"/>
        <v>Impacto</v>
      </c>
      <c r="U68" s="86" t="s">
        <v>379</v>
      </c>
      <c r="V68" s="86" t="s">
        <v>191</v>
      </c>
      <c r="W68" s="87" t="str">
        <f t="shared" si="43"/>
        <v>25%</v>
      </c>
      <c r="X68" s="86" t="s">
        <v>198</v>
      </c>
      <c r="Y68" s="86" t="s">
        <v>193</v>
      </c>
      <c r="Z68" s="86" t="s">
        <v>194</v>
      </c>
      <c r="AA68" s="348">
        <f>IFERROR(IF(T68="Probabilidad",(L68-(+L68*W68)),IF(T68="Impacto",L68,"")),"")</f>
        <v>0.6</v>
      </c>
      <c r="AB68" s="88" t="str">
        <f t="shared" si="38"/>
        <v>Media</v>
      </c>
      <c r="AC68" s="89">
        <f t="shared" si="39"/>
        <v>0.6</v>
      </c>
      <c r="AD68" s="88" t="str">
        <f t="shared" si="40"/>
        <v>Leve</v>
      </c>
      <c r="AE68" s="89">
        <f>IFERROR(IF(AND(T67="Impacto",T68="Impacto"),(AE67-(+AE67*W68)),IF(AND(T67="Probabilidad",T68="Impacto"),(AE66-(+AE66*W68)),IF(T68="Probabilidad",AE67,""))),"")</f>
        <v>0.12656250000000002</v>
      </c>
      <c r="AF68" s="90" t="str">
        <f t="shared" si="41"/>
        <v>Moderado</v>
      </c>
      <c r="AG68" s="91" t="s">
        <v>195</v>
      </c>
      <c r="AH68" s="350" t="s">
        <v>429</v>
      </c>
      <c r="AI68" s="350" t="s">
        <v>381</v>
      </c>
      <c r="AJ68" s="351">
        <v>45658</v>
      </c>
      <c r="AK68" s="351">
        <v>46022</v>
      </c>
      <c r="AL68" s="352" t="s">
        <v>196</v>
      </c>
      <c r="AM68" s="361" t="s">
        <v>430</v>
      </c>
    </row>
    <row r="69" spans="1:39" x14ac:dyDescent="0.3">
      <c r="A69" s="935" t="s">
        <v>148</v>
      </c>
      <c r="B69" s="936"/>
      <c r="C69" s="936"/>
      <c r="D69" s="936"/>
      <c r="E69" s="936"/>
      <c r="F69" s="936"/>
      <c r="G69" s="936"/>
      <c r="H69" s="936"/>
      <c r="I69" s="936"/>
      <c r="J69" s="936"/>
      <c r="K69" s="936"/>
      <c r="L69" s="936"/>
      <c r="M69" s="936"/>
      <c r="N69" s="936"/>
      <c r="O69" s="936"/>
      <c r="P69" s="936"/>
      <c r="Q69" s="936"/>
      <c r="R69" s="936"/>
      <c r="S69" s="936"/>
      <c r="T69" s="936"/>
      <c r="U69" s="936"/>
      <c r="V69" s="936"/>
      <c r="W69" s="936"/>
      <c r="X69" s="936"/>
      <c r="Y69" s="936"/>
      <c r="Z69" s="936"/>
      <c r="AA69" s="936"/>
      <c r="AB69" s="936"/>
      <c r="AC69" s="936"/>
      <c r="AD69" s="936"/>
      <c r="AE69" s="936"/>
      <c r="AF69" s="936"/>
      <c r="AG69" s="936"/>
      <c r="AH69" s="936"/>
      <c r="AI69" s="936"/>
      <c r="AJ69" s="936"/>
      <c r="AK69" s="936"/>
      <c r="AL69" s="936"/>
    </row>
    <row r="70" spans="1:39" x14ac:dyDescent="0.3">
      <c r="A70" s="937"/>
      <c r="B70" s="938"/>
      <c r="C70" s="938"/>
      <c r="D70" s="938"/>
      <c r="E70" s="938"/>
      <c r="F70" s="938"/>
      <c r="G70" s="938"/>
      <c r="H70" s="938"/>
      <c r="I70" s="938"/>
      <c r="J70" s="938"/>
      <c r="K70" s="938"/>
      <c r="L70" s="938"/>
      <c r="M70" s="938"/>
      <c r="N70" s="938"/>
      <c r="O70" s="938"/>
      <c r="P70" s="938"/>
      <c r="Q70" s="938"/>
      <c r="R70" s="938"/>
      <c r="S70" s="938"/>
      <c r="T70" s="938"/>
      <c r="U70" s="938"/>
      <c r="V70" s="938"/>
      <c r="W70" s="938"/>
      <c r="X70" s="938"/>
      <c r="Y70" s="938"/>
      <c r="Z70" s="938"/>
      <c r="AA70" s="938"/>
      <c r="AB70" s="938"/>
      <c r="AC70" s="938"/>
      <c r="AD70" s="938"/>
      <c r="AE70" s="938"/>
      <c r="AF70" s="938"/>
      <c r="AG70" s="938"/>
      <c r="AH70" s="938"/>
      <c r="AI70" s="938"/>
      <c r="AJ70" s="938"/>
      <c r="AK70" s="938"/>
      <c r="AL70" s="938"/>
    </row>
    <row r="71" spans="1:39" ht="15.6" x14ac:dyDescent="0.3">
      <c r="A71" s="372"/>
      <c r="B71" s="373"/>
      <c r="C71" s="372"/>
      <c r="D71" s="372"/>
      <c r="E71" s="372"/>
      <c r="F71" s="374"/>
      <c r="G71" s="374"/>
      <c r="H71" s="374"/>
      <c r="I71" s="375"/>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4"/>
      <c r="AK71" s="374"/>
      <c r="AL71" s="374"/>
    </row>
    <row r="72" spans="1:39" ht="15.6" x14ac:dyDescent="0.3">
      <c r="A72" s="939" t="s">
        <v>149</v>
      </c>
      <c r="B72" s="940"/>
      <c r="C72" s="941" t="s">
        <v>431</v>
      </c>
      <c r="D72" s="942"/>
      <c r="E72" s="942"/>
      <c r="F72" s="942"/>
      <c r="G72" s="942"/>
      <c r="H72" s="942"/>
      <c r="I72" s="942"/>
      <c r="J72" s="942"/>
      <c r="K72" s="942"/>
      <c r="L72" s="942"/>
      <c r="M72" s="942"/>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2"/>
      <c r="AK72" s="942"/>
      <c r="AL72" s="942"/>
    </row>
    <row r="73" spans="1:39" ht="15.6" x14ac:dyDescent="0.3">
      <c r="A73" s="939" t="s">
        <v>150</v>
      </c>
      <c r="B73" s="940"/>
      <c r="C73" s="943" t="s">
        <v>432</v>
      </c>
      <c r="D73" s="943"/>
      <c r="E73" s="943"/>
      <c r="F73" s="943"/>
      <c r="G73" s="943"/>
      <c r="H73" s="943"/>
      <c r="I73" s="943"/>
      <c r="J73" s="943"/>
      <c r="K73" s="943"/>
      <c r="L73" s="943"/>
      <c r="M73" s="943"/>
      <c r="N73" s="943"/>
      <c r="O73" s="943"/>
      <c r="P73" s="943"/>
      <c r="Q73" s="943"/>
      <c r="R73" s="943"/>
      <c r="S73" s="943"/>
      <c r="T73" s="943"/>
      <c r="U73" s="943"/>
      <c r="V73" s="943"/>
      <c r="W73" s="943"/>
      <c r="X73" s="943"/>
      <c r="Y73" s="943"/>
      <c r="Z73" s="943"/>
      <c r="AA73" s="943"/>
      <c r="AB73" s="943"/>
      <c r="AC73" s="943"/>
      <c r="AD73" s="943"/>
      <c r="AE73" s="943"/>
      <c r="AF73" s="943"/>
      <c r="AG73" s="943"/>
      <c r="AH73" s="943"/>
      <c r="AI73" s="943"/>
      <c r="AJ73" s="943"/>
      <c r="AK73" s="943"/>
      <c r="AL73" s="943"/>
    </row>
    <row r="74" spans="1:39" ht="15.6" x14ac:dyDescent="0.3">
      <c r="A74" s="939" t="s">
        <v>151</v>
      </c>
      <c r="B74" s="940"/>
      <c r="C74" s="944" t="s">
        <v>433</v>
      </c>
      <c r="D74" s="944"/>
      <c r="E74" s="944"/>
      <c r="F74" s="944"/>
      <c r="G74" s="944"/>
      <c r="H74" s="944"/>
      <c r="I74" s="944"/>
      <c r="J74" s="944"/>
      <c r="K74" s="944"/>
      <c r="L74" s="944"/>
      <c r="M74" s="944"/>
      <c r="N74" s="944"/>
      <c r="O74" s="944"/>
      <c r="P74" s="944"/>
      <c r="Q74" s="944"/>
      <c r="R74" s="944"/>
      <c r="S74" s="944"/>
      <c r="T74" s="944"/>
      <c r="U74" s="944"/>
      <c r="V74" s="944"/>
      <c r="W74" s="944"/>
      <c r="X74" s="944"/>
      <c r="Y74" s="944"/>
      <c r="Z74" s="944"/>
      <c r="AA74" s="944"/>
      <c r="AB74" s="944"/>
      <c r="AC74" s="944"/>
      <c r="AD74" s="944"/>
      <c r="AE74" s="944"/>
      <c r="AF74" s="944"/>
      <c r="AG74" s="944"/>
      <c r="AH74" s="944"/>
      <c r="AI74" s="944"/>
      <c r="AJ74" s="944"/>
      <c r="AK74" s="944"/>
      <c r="AL74" s="944"/>
    </row>
    <row r="75" spans="1:39" ht="15.6" x14ac:dyDescent="0.3">
      <c r="A75" s="945" t="s">
        <v>152</v>
      </c>
      <c r="B75" s="946"/>
      <c r="C75" s="947"/>
      <c r="D75" s="947"/>
      <c r="E75" s="947"/>
      <c r="F75" s="947"/>
      <c r="G75" s="947"/>
      <c r="H75" s="947"/>
      <c r="I75" s="947"/>
      <c r="J75" s="948"/>
      <c r="K75" s="927" t="s">
        <v>153</v>
      </c>
      <c r="L75" s="947"/>
      <c r="M75" s="947"/>
      <c r="N75" s="947"/>
      <c r="O75" s="947"/>
      <c r="P75" s="947"/>
      <c r="Q75" s="948"/>
      <c r="R75" s="927" t="s">
        <v>154</v>
      </c>
      <c r="S75" s="947"/>
      <c r="T75" s="947"/>
      <c r="U75" s="947"/>
      <c r="V75" s="947"/>
      <c r="W75" s="947"/>
      <c r="X75" s="947"/>
      <c r="Y75" s="947"/>
      <c r="Z75" s="948"/>
      <c r="AA75" s="927" t="s">
        <v>155</v>
      </c>
      <c r="AB75" s="947"/>
      <c r="AC75" s="947"/>
      <c r="AD75" s="947"/>
      <c r="AE75" s="947"/>
      <c r="AF75" s="947"/>
      <c r="AG75" s="948"/>
      <c r="AH75" s="949" t="s">
        <v>434</v>
      </c>
      <c r="AI75" s="950"/>
      <c r="AJ75" s="950"/>
      <c r="AK75" s="950"/>
      <c r="AL75" s="950"/>
    </row>
    <row r="76" spans="1:39" ht="15.6" x14ac:dyDescent="0.3">
      <c r="A76" s="929" t="s">
        <v>157</v>
      </c>
      <c r="B76" s="931" t="s">
        <v>141</v>
      </c>
      <c r="C76" s="918" t="s">
        <v>158</v>
      </c>
      <c r="D76" s="918" t="s">
        <v>159</v>
      </c>
      <c r="E76" s="917" t="s">
        <v>160</v>
      </c>
      <c r="F76" s="933" t="s">
        <v>60</v>
      </c>
      <c r="G76" s="376"/>
      <c r="H76" s="376"/>
      <c r="I76" s="917" t="s">
        <v>161</v>
      </c>
      <c r="J76" s="918" t="s">
        <v>162</v>
      </c>
      <c r="K76" s="932" t="s">
        <v>163</v>
      </c>
      <c r="L76" s="926" t="s">
        <v>164</v>
      </c>
      <c r="M76" s="917" t="s">
        <v>165</v>
      </c>
      <c r="N76" s="917" t="s">
        <v>166</v>
      </c>
      <c r="O76" s="928" t="s">
        <v>167</v>
      </c>
      <c r="P76" s="926" t="s">
        <v>164</v>
      </c>
      <c r="Q76" s="918" t="s">
        <v>168</v>
      </c>
      <c r="R76" s="924" t="s">
        <v>169</v>
      </c>
      <c r="S76" s="922" t="s">
        <v>170</v>
      </c>
      <c r="T76" s="917" t="s">
        <v>171</v>
      </c>
      <c r="U76" s="922" t="s">
        <v>172</v>
      </c>
      <c r="V76" s="922"/>
      <c r="W76" s="922"/>
      <c r="X76" s="922"/>
      <c r="Y76" s="922"/>
      <c r="Z76" s="922"/>
      <c r="AA76" s="923" t="s">
        <v>173</v>
      </c>
      <c r="AB76" s="923" t="s">
        <v>174</v>
      </c>
      <c r="AC76" s="923" t="s">
        <v>164</v>
      </c>
      <c r="AD76" s="923" t="s">
        <v>175</v>
      </c>
      <c r="AE76" s="923" t="s">
        <v>164</v>
      </c>
      <c r="AF76" s="923" t="s">
        <v>176</v>
      </c>
      <c r="AG76" s="924" t="s">
        <v>177</v>
      </c>
      <c r="AH76" s="917" t="s">
        <v>434</v>
      </c>
      <c r="AI76" s="917" t="s">
        <v>142</v>
      </c>
      <c r="AJ76" s="917" t="s">
        <v>435</v>
      </c>
      <c r="AK76" s="917" t="s">
        <v>436</v>
      </c>
      <c r="AL76" s="917" t="s">
        <v>181</v>
      </c>
    </row>
    <row r="77" spans="1:39" ht="98.4" x14ac:dyDescent="0.3">
      <c r="A77" s="930"/>
      <c r="B77" s="931"/>
      <c r="C77" s="922"/>
      <c r="D77" s="922"/>
      <c r="E77" s="932"/>
      <c r="F77" s="934"/>
      <c r="G77" s="376" t="s">
        <v>201</v>
      </c>
      <c r="H77" s="376" t="s">
        <v>182</v>
      </c>
      <c r="I77" s="918"/>
      <c r="J77" s="922"/>
      <c r="K77" s="918"/>
      <c r="L77" s="927"/>
      <c r="M77" s="918"/>
      <c r="N77" s="918"/>
      <c r="O77" s="927"/>
      <c r="P77" s="927"/>
      <c r="Q77" s="922"/>
      <c r="R77" s="925"/>
      <c r="S77" s="922"/>
      <c r="T77" s="918"/>
      <c r="U77" s="377" t="s">
        <v>183</v>
      </c>
      <c r="V77" s="377" t="s">
        <v>184</v>
      </c>
      <c r="W77" s="377" t="s">
        <v>185</v>
      </c>
      <c r="X77" s="377" t="s">
        <v>186</v>
      </c>
      <c r="Y77" s="377" t="s">
        <v>187</v>
      </c>
      <c r="Z77" s="377" t="s">
        <v>188</v>
      </c>
      <c r="AA77" s="923"/>
      <c r="AB77" s="923"/>
      <c r="AC77" s="923"/>
      <c r="AD77" s="923"/>
      <c r="AE77" s="923"/>
      <c r="AF77" s="923"/>
      <c r="AG77" s="925"/>
      <c r="AH77" s="918"/>
      <c r="AI77" s="918"/>
      <c r="AJ77" s="918"/>
      <c r="AK77" s="918"/>
      <c r="AL77" s="918"/>
    </row>
    <row r="78" spans="1:39" ht="81.599999999999994" x14ac:dyDescent="0.3">
      <c r="A78" s="866">
        <v>1</v>
      </c>
      <c r="B78" s="863" t="s">
        <v>199</v>
      </c>
      <c r="C78" s="863" t="s">
        <v>437</v>
      </c>
      <c r="D78" s="863" t="s">
        <v>438</v>
      </c>
      <c r="E78" s="863" t="s">
        <v>439</v>
      </c>
      <c r="F78" s="890" t="s">
        <v>440</v>
      </c>
      <c r="G78" s="890" t="s">
        <v>203</v>
      </c>
      <c r="H78" s="890" t="s">
        <v>441</v>
      </c>
      <c r="I78" s="863" t="s">
        <v>190</v>
      </c>
      <c r="J78" s="894">
        <v>500</v>
      </c>
      <c r="K78" s="897" t="str">
        <f>IF(J78&lt;=0,"",IF(J78&lt;=2,"Muy Baja",IF(J78&lt;=24,"Baja",IF(J78&lt;=500,"Media",IF(J78&lt;=5000,"Alta","Muy Alta")))))</f>
        <v>Media</v>
      </c>
      <c r="L78" s="900">
        <f>IF(K78="","",IF(K78="Muy Baja",0.2,IF(K78="Baja",0.4,IF(K78="Media",0.6,IF(K78="Alta",0.8,IF(K78="Muy Alta",1,))))))</f>
        <v>0.6</v>
      </c>
      <c r="M78" s="903" t="s">
        <v>442</v>
      </c>
      <c r="N78" s="900" t="str">
        <f>IF(NOT(ISERROR(MATCH(M78,'[5]Tabla Impacto'!$B$221:$B$223,0))),'[5]Tabla Impacto'!$F$223&amp;"Por favor no seleccionar los criterios de impacto(Afectación Económica o presupuestal y Pérdida Reputacional)",M78)</f>
        <v xml:space="preserve">     Entre 50 y 100 SMLMV </v>
      </c>
      <c r="O78" s="897" t="str">
        <f>IF(OR(N78='[5]Tabla Impacto'!$C$11,N78='[5]Tabla Impacto'!$D$11),"Leve",IF(OR(N78='[5]Tabla Impacto'!$C$12,N78='[5]Tabla Impacto'!$D$12),"Menor",IF(OR(N78='[5]Tabla Impacto'!$C$13,N78='[5]Tabla Impacto'!$D$13),"Moderado",IF(OR(N78='[5]Tabla Impacto'!$C$14,N78='[5]Tabla Impacto'!$D$14),"Mayor",IF(OR(N78='[5]Tabla Impacto'!$C$15,N78='[5]Tabla Impacto'!$D$15),"Catastrófico","")))))</f>
        <v>Moderado</v>
      </c>
      <c r="P78" s="900">
        <f>IF(O78="","",IF(O78="Leve",0.2,IF(O78="Menor",0.4,IF(O78="Moderado",0.6,IF(O78="Mayor",0.8,IF(O78="Catastrófico",1,))))))</f>
        <v>0.6</v>
      </c>
      <c r="Q78" s="906" t="str">
        <f>IF(OR(AND(K78="Muy Baja",O78="Leve"),AND(K78="Muy Baja",O78="Menor"),AND(K78="Baja",O78="Leve")),"Bajo",IF(OR(AND(K78="Muy baja",O78="Moderado"),AND(K78="Baja",O78="Menor"),AND(K78="Baja",O78="Moderado"),AND(K78="Media",O78="Leve"),AND(K78="Media",O78="Menor"),AND(K78="Media",O78="Moderado"),AND(K78="Alta",O78="Leve"),AND(K78="Alta",O78="Menor")),"Moderado",IF(OR(AND(K78="Muy Baja",O78="Mayor"),AND(K78="Baja",O78="Mayor"),AND(K78="Media",O78="Mayor"),AND(K78="Alta",O78="Moderado"),AND(K78="Alta",O78="Mayor"),AND(K78="Muy Alta",O78="Leve"),AND(K78="Muy Alta",O78="Menor"),AND(K78="Muy Alta",O78="Moderado"),AND(K78="Muy Alta",O78="Mayor")),"Alto",IF(OR(AND(K78="Muy Baja",O78="Catastrófico"),AND(K78="Baja",O78="Catastrófico"),AND(K78="Media",O78="Catastrófico"),AND(K78="Alta",O78="Catastrófico"),AND(K78="Muy Alta",O78="Catastrófico")),"Extremo",""))))</f>
        <v>Moderado</v>
      </c>
      <c r="R78" s="380">
        <v>1</v>
      </c>
      <c r="S78" s="381" t="s">
        <v>443</v>
      </c>
      <c r="T78" s="382" t="str">
        <f>IF(OR(U78="Preventivo",U78="Detectivo"),"Probabilidad",IF(U78="Correctivo","Impacto",""))</f>
        <v>Probabilidad</v>
      </c>
      <c r="U78" s="383" t="s">
        <v>197</v>
      </c>
      <c r="V78" s="383" t="s">
        <v>191</v>
      </c>
      <c r="W78" s="384" t="str">
        <f>IF(AND(U78="Preventivo",V78="Automático"),"50%",IF(AND(U78="Preventivo",V78="Manual"),"40%",IF(AND(U78="Detectivo",V78="Automático"),"40%",IF(AND(U78="Detectivo",V78="Manual"),"30%",IF(AND(U78="Correctivo",V78="Automático"),"35%",IF(AND(U78="Correctivo",V78="Manual"),"25%",""))))))</f>
        <v>40%</v>
      </c>
      <c r="X78" s="383" t="s">
        <v>198</v>
      </c>
      <c r="Y78" s="383" t="s">
        <v>193</v>
      </c>
      <c r="Z78" s="383" t="s">
        <v>194</v>
      </c>
      <c r="AA78" s="385">
        <f>IFERROR(IF(T78="Probabilidad",(L78-(+L78*W78)),IF(T78="Impacto",L78,"")),"")</f>
        <v>0.36</v>
      </c>
      <c r="AB78" s="386" t="str">
        <f>IFERROR(IF(AA78="","",IF(AA78&lt;=0.2,"Muy Baja",IF(AA78&lt;=0.4,"Baja",IF(AA78&lt;=0.6,"Media",IF(AA78&lt;=0.8,"Alta","Muy Alta"))))),"")</f>
        <v>Baja</v>
      </c>
      <c r="AC78" s="387">
        <f>+AA78</f>
        <v>0.36</v>
      </c>
      <c r="AD78" s="386" t="str">
        <f>IFERROR(IF(AE78="","",IF(AE78&lt;=0.2,"Leve",IF(AE78&lt;=0.4,"Menor",IF(AE78&lt;=0.6,"Moderado",IF(AE78&lt;=0.8,"Mayor","Catastrófico"))))),"")</f>
        <v>Moderado</v>
      </c>
      <c r="AE78" s="387">
        <f>IFERROR(IF(T78="Impacto",(P78-(+P78*W78)),IF(T78="Probabilidad",P78,"")),"")</f>
        <v>0.6</v>
      </c>
      <c r="AF78" s="388" t="str">
        <f>IFERROR(IF(OR(AND(AB78="Muy Baja",AD78="Leve"),AND(AB78="Muy Baja",AD78="Menor"),AND(AB78="Baja",AD78="Leve")),"Bajo",IF(OR(AND(AB78="Muy baja",AD78="Moderado"),AND(AB78="Baja",AD78="Menor"),AND(AB78="Baja",AD78="Moderado"),AND(AB78="Media",AD78="Leve"),AND(AB78="Media",AD78="Menor"),AND(AB78="Media",AD78="Moderado"),AND(AB78="Alta",AD78="Leve"),AND(AB78="Alta",AD78="Menor")),"Moderado",IF(OR(AND(AB78="Muy Baja",AD78="Mayor"),AND(AB78="Baja",AD78="Mayor"),AND(AB78="Media",AD78="Mayor"),AND(AB78="Alta",AD78="Moderado"),AND(AB78="Alta",AD78="Mayor"),AND(AB78="Muy Alta",AD78="Leve"),AND(AB78="Muy Alta",AD78="Menor"),AND(AB78="Muy Alta",AD78="Moderado"),AND(AB78="Muy Alta",AD78="Mayor")),"Alto",IF(OR(AND(AB78="Muy Baja",AD78="Catastrófico"),AND(AB78="Baja",AD78="Catastrófico"),AND(AB78="Media",AD78="Catastrófico"),AND(AB78="Alta",AD78="Catastrófico"),AND(AB78="Muy Alta",AD78="Catastrófico")),"Extremo","")))),"")</f>
        <v>Moderado</v>
      </c>
      <c r="AG78" s="389" t="s">
        <v>444</v>
      </c>
      <c r="AH78" s="390"/>
      <c r="AI78" s="378"/>
      <c r="AJ78" s="378"/>
      <c r="AK78" s="378"/>
      <c r="AL78" s="378"/>
    </row>
    <row r="79" spans="1:39" x14ac:dyDescent="0.3">
      <c r="A79" s="867"/>
      <c r="B79" s="864"/>
      <c r="C79" s="864"/>
      <c r="D79" s="864"/>
      <c r="E79" s="864"/>
      <c r="F79" s="891"/>
      <c r="G79" s="891"/>
      <c r="H79" s="891"/>
      <c r="I79" s="864"/>
      <c r="J79" s="895"/>
      <c r="K79" s="898"/>
      <c r="L79" s="901"/>
      <c r="M79" s="904"/>
      <c r="N79" s="901">
        <f>IF(NOT(ISERROR(MATCH(M79,_xlfn.ANCHORARRAY(#REF!),0))),#REF!&amp;"Por favor no seleccionar los criterios de impacto",M79)</f>
        <v>0</v>
      </c>
      <c r="O79" s="898"/>
      <c r="P79" s="901"/>
      <c r="Q79" s="907"/>
      <c r="R79" s="866">
        <v>2</v>
      </c>
      <c r="S79" s="890" t="s">
        <v>445</v>
      </c>
      <c r="T79" s="919" t="str">
        <f>IF(OR(U79="Preventivo",U79="Detectivo"),"Probabilidad",IF(U79="Correctivo","Impacto",""))</f>
        <v>Probabilidad</v>
      </c>
      <c r="U79" s="875" t="s">
        <v>197</v>
      </c>
      <c r="V79" s="875" t="s">
        <v>191</v>
      </c>
      <c r="W79" s="884" t="str">
        <f t="shared" ref="W79" si="53">IF(AND(U79="Preventivo",V79="Automático"),"50%",IF(AND(U79="Preventivo",V79="Manual"),"40%",IF(AND(U79="Detectivo",V79="Automático"),"40%",IF(AND(U79="Detectivo",V79="Manual"),"30%",IF(AND(U79="Correctivo",V79="Automático"),"35%",IF(AND(U79="Correctivo",V79="Manual"),"25%",""))))))</f>
        <v>40%</v>
      </c>
      <c r="X79" s="875" t="s">
        <v>198</v>
      </c>
      <c r="Y79" s="875" t="s">
        <v>193</v>
      </c>
      <c r="Z79" s="875" t="s">
        <v>194</v>
      </c>
      <c r="AA79" s="878">
        <f>IFERROR(IF(AND(T78="Probabilidad",T79="Probabilidad"),(AC78-(+AC78*W79)),IF(T79="Probabilidad",(L78-(+L78*W79)),IF(T79="Impacto",AC78,""))),"")</f>
        <v>0.216</v>
      </c>
      <c r="AB79" s="906" t="str">
        <f t="shared" ref="AB79" si="54">IFERROR(IF(AA79="","",IF(AA79&lt;=0.2,"Muy Baja",IF(AA79&lt;=0.4,"Baja",IF(AA79&lt;=0.6,"Media",IF(AA79&lt;=0.8,"Alta","Muy Alta"))))),"")</f>
        <v>Baja</v>
      </c>
      <c r="AC79" s="914">
        <f t="shared" ref="AC79" si="55">+AA79</f>
        <v>0.216</v>
      </c>
      <c r="AD79" s="881" t="str">
        <f t="shared" ref="AD79" si="56">IFERROR(IF(AE79="","",IF(AE79&lt;=0.2,"Leve",IF(AE79&lt;=0.4,"Menor",IF(AE79&lt;=0.6,"Moderado",IF(AE79&lt;=0.8,"Mayor","Catastrófico"))))),"")</f>
        <v>Moderado</v>
      </c>
      <c r="AE79" s="884">
        <f>IFERROR(IF(AND(T78="Impacto",T79="Impacto"),(AE78-(+AE78*W79)),IF(T79="Impacto",(P78-(+P78*W79)),IF(T79="Probabilidad",AE78,""))),"")</f>
        <v>0.6</v>
      </c>
      <c r="AF79" s="887" t="str">
        <f t="shared" ref="AF79" si="57">IFERROR(IF(OR(AND(AB79="Muy Baja",AD79="Leve"),AND(AB79="Muy Baja",AD79="Menor"),AND(AB79="Baja",AD79="Leve")),"Bajo",IF(OR(AND(AB79="Muy baja",AD79="Moderado"),AND(AB79="Baja",AD79="Menor"),AND(AB79="Baja",AD79="Moderado"),AND(AB79="Media",AD79="Leve"),AND(AB79="Media",AD79="Menor"),AND(AB79="Media",AD79="Moderado"),AND(AB79="Alta",AD79="Leve"),AND(AB79="Alta",AD79="Menor")),"Moderado",IF(OR(AND(AB79="Muy Baja",AD79="Mayor"),AND(AB79="Baja",AD79="Mayor"),AND(AB79="Media",AD79="Mayor"),AND(AB79="Alta",AD79="Moderado"),AND(AB79="Alta",AD79="Mayor"),AND(AB79="Muy Alta",AD79="Leve"),AND(AB79="Muy Alta",AD79="Menor"),AND(AB79="Muy Alta",AD79="Moderado"),AND(AB79="Muy Alta",AD79="Mayor")),"Alto",IF(OR(AND(AB79="Muy Baja",AD79="Catastrófico"),AND(AB79="Baja",AD79="Catastrófico"),AND(AB79="Media",AD79="Catastrófico"),AND(AB79="Alta",AD79="Catastrófico"),AND(AB79="Muy Alta",AD79="Catastrófico")),"Extremo","")))),"")</f>
        <v>Moderado</v>
      </c>
      <c r="AG79" s="875" t="s">
        <v>444</v>
      </c>
      <c r="AH79" s="912"/>
      <c r="AI79" s="864"/>
      <c r="AJ79" s="864"/>
      <c r="AK79" s="864"/>
      <c r="AL79" s="864"/>
    </row>
    <row r="80" spans="1:39" x14ac:dyDescent="0.3">
      <c r="A80" s="867"/>
      <c r="B80" s="864"/>
      <c r="C80" s="864"/>
      <c r="D80" s="864"/>
      <c r="E80" s="864" t="s">
        <v>446</v>
      </c>
      <c r="F80" s="891"/>
      <c r="G80" s="891"/>
      <c r="H80" s="891"/>
      <c r="I80" s="864"/>
      <c r="J80" s="895"/>
      <c r="K80" s="898"/>
      <c r="L80" s="901"/>
      <c r="M80" s="904"/>
      <c r="N80" s="901">
        <f>IF(NOT(ISERROR(MATCH(M80,_xlfn.ANCHORARRAY(#REF!),0))),#REF!&amp;"Por favor no seleccionar los criterios de impacto",M80)</f>
        <v>0</v>
      </c>
      <c r="O80" s="898"/>
      <c r="P80" s="901"/>
      <c r="Q80" s="907"/>
      <c r="R80" s="867"/>
      <c r="S80" s="891"/>
      <c r="T80" s="920"/>
      <c r="U80" s="876"/>
      <c r="V80" s="876"/>
      <c r="W80" s="885"/>
      <c r="X80" s="876"/>
      <c r="Y80" s="876"/>
      <c r="Z80" s="876"/>
      <c r="AA80" s="879"/>
      <c r="AB80" s="907"/>
      <c r="AC80" s="915"/>
      <c r="AD80" s="882"/>
      <c r="AE80" s="885"/>
      <c r="AF80" s="888"/>
      <c r="AG80" s="876"/>
      <c r="AH80" s="912"/>
      <c r="AI80" s="864"/>
      <c r="AJ80" s="864"/>
      <c r="AK80" s="864"/>
      <c r="AL80" s="864"/>
    </row>
    <row r="81" spans="1:39" x14ac:dyDescent="0.3">
      <c r="A81" s="867"/>
      <c r="B81" s="864"/>
      <c r="C81" s="864"/>
      <c r="D81" s="864"/>
      <c r="E81" s="865"/>
      <c r="F81" s="891"/>
      <c r="G81" s="892"/>
      <c r="H81" s="892"/>
      <c r="I81" s="864"/>
      <c r="J81" s="895"/>
      <c r="K81" s="898"/>
      <c r="L81" s="901"/>
      <c r="M81" s="904"/>
      <c r="N81" s="901">
        <f>IF(NOT(ISERROR(MATCH(M81,_xlfn.ANCHORARRAY(#REF!),0))),#REF!&amp;"Por favor no seleccionar los criterios de impacto",M81)</f>
        <v>0</v>
      </c>
      <c r="O81" s="898"/>
      <c r="P81" s="901"/>
      <c r="Q81" s="907"/>
      <c r="R81" s="868"/>
      <c r="S81" s="892"/>
      <c r="T81" s="921"/>
      <c r="U81" s="877"/>
      <c r="V81" s="877"/>
      <c r="W81" s="886"/>
      <c r="X81" s="877"/>
      <c r="Y81" s="877"/>
      <c r="Z81" s="877"/>
      <c r="AA81" s="880"/>
      <c r="AB81" s="908"/>
      <c r="AC81" s="916"/>
      <c r="AD81" s="883"/>
      <c r="AE81" s="886"/>
      <c r="AF81" s="889"/>
      <c r="AG81" s="877"/>
      <c r="AH81" s="913"/>
      <c r="AI81" s="865"/>
      <c r="AJ81" s="865"/>
      <c r="AK81" s="865"/>
      <c r="AL81" s="865"/>
    </row>
    <row r="82" spans="1:39" ht="81.599999999999994" x14ac:dyDescent="0.3">
      <c r="A82" s="866">
        <v>2</v>
      </c>
      <c r="B82" s="863" t="s">
        <v>354</v>
      </c>
      <c r="C82" s="863" t="s">
        <v>437</v>
      </c>
      <c r="D82" s="890" t="s">
        <v>447</v>
      </c>
      <c r="E82" s="379" t="s">
        <v>448</v>
      </c>
      <c r="F82" s="890" t="s">
        <v>449</v>
      </c>
      <c r="G82" s="890" t="s">
        <v>202</v>
      </c>
      <c r="H82" s="890" t="s">
        <v>450</v>
      </c>
      <c r="I82" s="863" t="s">
        <v>190</v>
      </c>
      <c r="J82" s="894">
        <v>24</v>
      </c>
      <c r="K82" s="897" t="str">
        <f>IF(J82&lt;=0,"",IF(J82&lt;=2,"Muy Baja",IF(J82&lt;=24,"Baja",IF(J82&lt;=500,"Media",IF(J82&lt;=5000,"Alta","Muy Alta")))))</f>
        <v>Baja</v>
      </c>
      <c r="L82" s="900">
        <f>IF(K82="","",IF(K82="Muy Baja",0.2,IF(K82="Baja",0.4,IF(K82="Media",0.6,IF(K82="Alta",0.8,IF(K82="Muy Alta",1,))))))</f>
        <v>0.4</v>
      </c>
      <c r="M82" s="903" t="s">
        <v>451</v>
      </c>
      <c r="N82" s="900" t="str">
        <f>IF(NOT(ISERROR(MATCH(M82,'[5]Tabla Impacto'!$B$221:$B$223,0))),'[5]Tabla Impacto'!$F$223&amp;"Por favor no seleccionar los criterios de impacto(Afectación Económica o presupuestal y Pérdida Reputacional)",M82)</f>
        <v xml:space="preserve">     Entre 10 y 50 SMLMV </v>
      </c>
      <c r="O82" s="897" t="str">
        <f>IF(OR(N82='[5]Tabla Impacto'!$C$11,N82='[5]Tabla Impacto'!$D$11),"Leve",IF(OR(N82='[5]Tabla Impacto'!$C$12,N82='[5]Tabla Impacto'!$D$12),"Menor",IF(OR(N82='[5]Tabla Impacto'!$C$13,N82='[5]Tabla Impacto'!$D$13),"Moderado",IF(OR(N82='[5]Tabla Impacto'!$C$14,N82='[5]Tabla Impacto'!$D$14),"Mayor",IF(OR(N82='[5]Tabla Impacto'!$C$15,N82='[5]Tabla Impacto'!$D$15),"Catastrófico","")))))</f>
        <v>Menor</v>
      </c>
      <c r="P82" s="900">
        <f>IF(O82="","",IF(O82="Leve",0.2,IF(O82="Menor",0.4,IF(O82="Moderado",0.6,IF(O82="Mayor",0.8,IF(O82="Catastrófico",1,))))))</f>
        <v>0.4</v>
      </c>
      <c r="Q82" s="906" t="str">
        <f>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Moderado</v>
      </c>
      <c r="R82" s="866">
        <v>1</v>
      </c>
      <c r="S82" s="393" t="s">
        <v>452</v>
      </c>
      <c r="T82" s="394" t="str">
        <f>IF(OR(U82="Preventivo",U82="Detectivo"),"Probabilidad",IF(U82="Correctivo","Impacto",""))</f>
        <v>Probabilidad</v>
      </c>
      <c r="U82" s="383" t="s">
        <v>197</v>
      </c>
      <c r="V82" s="395" t="s">
        <v>191</v>
      </c>
      <c r="W82" s="395" t="str">
        <f>IF(AND(U82="Preventivo",V82="Automático"),"50%",IF(AND(U82="Preventivo",V82="Manual"),"40%",IF(AND(U82="Detectivo",V82="Automático"),"40%",IF(AND(U82="Detectivo",V82="Manual"),"30%",IF(AND(U82="Correctivo",V82="Automático"),"35%",IF(AND(U82="Correctivo",V82="Manual"),"25%",""))))))</f>
        <v>40%</v>
      </c>
      <c r="X82" s="395" t="s">
        <v>198</v>
      </c>
      <c r="Y82" s="395" t="s">
        <v>193</v>
      </c>
      <c r="Z82" s="395" t="s">
        <v>194</v>
      </c>
      <c r="AA82" s="385">
        <f>IFERROR(IF(T82="Probabilidad",(L82-(+L82*W82)),IF(T82="Impacto",L82,"")),"")</f>
        <v>0.24</v>
      </c>
      <c r="AB82" s="396" t="str">
        <f>IFERROR(IF(AA82="","",IF(AA82&lt;=0.2,"Muy Baja",IF(AA82&lt;=0.4,"Baja",IF(AA82&lt;=0.6,"Media",IF(AA82&lt;=0.8,"Alta","Muy Alta"))))),"")</f>
        <v>Baja</v>
      </c>
      <c r="AC82" s="392">
        <f>+AA82</f>
        <v>0.24</v>
      </c>
      <c r="AD82" s="396" t="str">
        <f>IFERROR(IF(AE82="","",IF(AE82&lt;=0.2,"Leve",IF(AE82&lt;=0.4,"Menor",IF(AE82&lt;=0.6,"Moderado",IF(AE82&lt;=0.8,"Mayor","Catastrófico"))))),"")</f>
        <v>Menor</v>
      </c>
      <c r="AE82" s="392">
        <f>IFERROR(IF(T82="Impacto",(P82-(+P82*W82)),IF(T82="Probabilidad",P82,"")),"")</f>
        <v>0.4</v>
      </c>
      <c r="AF82" s="397" t="str">
        <f>IFERROR(IF(OR(AND(AB82="Muy Baja",AD82="Leve"),AND(AB82="Muy Baja",AD82="Menor"),AND(AB82="Baja",AD82="Leve")),"Bajo",IF(OR(AND(AB82="Muy baja",AD82="Moderado"),AND(AB82="Baja",AD82="Menor"),AND(AB82="Baja",AD82="Moderado"),AND(AB82="Media",AD82="Leve"),AND(AB82="Media",AD82="Menor"),AND(AB82="Media",AD82="Moderado"),AND(AB82="Alta",AD82="Leve"),AND(AB82="Alta",AD82="Menor")),"Moderado",IF(OR(AND(AB82="Muy Baja",AD82="Mayor"),AND(AB82="Baja",AD82="Mayor"),AND(AB82="Media",AD82="Mayor"),AND(AB82="Alta",AD82="Moderado"),AND(AB82="Alta",AD82="Mayor"),AND(AB82="Muy Alta",AD82="Leve"),AND(AB82="Muy Alta",AD82="Menor"),AND(AB82="Muy Alta",AD82="Moderado"),AND(AB82="Muy Alta",AD82="Mayor")),"Alto",IF(OR(AND(AB82="Muy Baja",AD82="Catastrófico"),AND(AB82="Baja",AD82="Catastrófico"),AND(AB82="Media",AD82="Catastrófico"),AND(AB82="Alta",AD82="Catastrófico"),AND(AB82="Muy Alta",AD82="Catastrófico")),"Extremo","")))),"")</f>
        <v>Moderado</v>
      </c>
      <c r="AG82" s="395" t="s">
        <v>444</v>
      </c>
      <c r="AH82" s="390"/>
      <c r="AI82" s="378"/>
      <c r="AJ82" s="378"/>
      <c r="AK82" s="378"/>
      <c r="AL82" s="378"/>
    </row>
    <row r="83" spans="1:39" ht="45" x14ac:dyDescent="0.3">
      <c r="A83" s="867"/>
      <c r="B83" s="864"/>
      <c r="C83" s="864"/>
      <c r="D83" s="891"/>
      <c r="E83" s="891" t="s">
        <v>453</v>
      </c>
      <c r="F83" s="891"/>
      <c r="G83" s="891"/>
      <c r="H83" s="891"/>
      <c r="I83" s="864"/>
      <c r="J83" s="895"/>
      <c r="K83" s="898"/>
      <c r="L83" s="901"/>
      <c r="M83" s="904"/>
      <c r="N83" s="901">
        <f>IF(NOT(ISERROR(MATCH(M83,_xlfn.ANCHORARRAY(#REF!),0))),#REF!&amp;"Por favor no seleccionar los criterios de impacto",M83)</f>
        <v>0</v>
      </c>
      <c r="O83" s="898"/>
      <c r="P83" s="901"/>
      <c r="Q83" s="907"/>
      <c r="R83" s="868"/>
      <c r="S83" s="398" t="s">
        <v>454</v>
      </c>
      <c r="T83" s="909" t="str">
        <f>IF(OR(U83="Preventivo",U83="Detectivo"),"Probabilidad",IF(U83="Correctivo","Impacto",""))</f>
        <v>Probabilidad</v>
      </c>
      <c r="U83" s="875" t="s">
        <v>197</v>
      </c>
      <c r="V83" s="875" t="s">
        <v>191</v>
      </c>
      <c r="W83" s="875" t="str">
        <f>IF(AND(U83="Preventivo",V83="Automático"),"50%",IF(AND(U83="Preventivo",V83="Manual"),"40%",IF(AND(U83="Detectivo",V83="Automático"),"40%",IF(AND(U83="Detectivo",V83="Manual"),"30%",IF(AND(U83="Correctivo",V83="Automático"),"35%",IF(AND(U83="Correctivo",V83="Manual"),"25%",""))))))</f>
        <v>40%</v>
      </c>
      <c r="X83" s="875" t="s">
        <v>198</v>
      </c>
      <c r="Y83" s="875" t="s">
        <v>193</v>
      </c>
      <c r="Z83" s="875" t="s">
        <v>194</v>
      </c>
      <c r="AA83" s="878">
        <f>IFERROR(IF(T83="Probabilidad",(L83-(+L83*W83)),IF(T83="Impacto",L83,"")),"")</f>
        <v>0</v>
      </c>
      <c r="AB83" s="881" t="str">
        <f t="shared" ref="AB83" si="58">IFERROR(IF(AA83="","",IF(AA83&lt;=0.2,"Muy Baja",IF(AA83&lt;=0.4,"Baja",IF(AA83&lt;=0.6,"Media",IF(AA83&lt;=0.8,"Alta","Muy Alta"))))),"")</f>
        <v>Muy Baja</v>
      </c>
      <c r="AC83" s="884">
        <f t="shared" ref="AC83" si="59">+AA83</f>
        <v>0</v>
      </c>
      <c r="AD83" s="881" t="str">
        <f t="shared" ref="AD83" si="60">IFERROR(IF(AE83="","",IF(AE83&lt;=0.2,"Leve",IF(AE83&lt;=0.4,"Menor",IF(AE83&lt;=0.6,"Moderado",IF(AE83&lt;=0.8,"Mayor","Catastrófico"))))),"")</f>
        <v>Leve</v>
      </c>
      <c r="AE83" s="884">
        <f t="shared" ref="AE83" si="61">IFERROR(IF(T83="Impacto",(P83-(+P83*W83)),IF(T83="Probabilidad",P83,"")),"")</f>
        <v>0</v>
      </c>
      <c r="AF83" s="887" t="str">
        <f t="shared" ref="AF83" si="62">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Bajo</v>
      </c>
      <c r="AG83" s="875" t="s">
        <v>444</v>
      </c>
      <c r="AH83" s="912"/>
      <c r="AI83" s="864"/>
      <c r="AJ83" s="864"/>
      <c r="AK83" s="864"/>
      <c r="AL83" s="864"/>
    </row>
    <row r="84" spans="1:39" ht="60" x14ac:dyDescent="0.3">
      <c r="A84" s="867"/>
      <c r="B84" s="864"/>
      <c r="C84" s="864"/>
      <c r="D84" s="891"/>
      <c r="E84" s="891"/>
      <c r="F84" s="891"/>
      <c r="G84" s="891"/>
      <c r="H84" s="891"/>
      <c r="I84" s="864"/>
      <c r="J84" s="895"/>
      <c r="K84" s="898"/>
      <c r="L84" s="901"/>
      <c r="M84" s="904"/>
      <c r="N84" s="391"/>
      <c r="O84" s="898"/>
      <c r="P84" s="901"/>
      <c r="Q84" s="907"/>
      <c r="R84" s="866">
        <v>2</v>
      </c>
      <c r="S84" s="393" t="s">
        <v>455</v>
      </c>
      <c r="T84" s="910"/>
      <c r="U84" s="876"/>
      <c r="V84" s="876"/>
      <c r="W84" s="876"/>
      <c r="X84" s="876"/>
      <c r="Y84" s="876"/>
      <c r="Z84" s="876"/>
      <c r="AA84" s="879"/>
      <c r="AB84" s="882"/>
      <c r="AC84" s="885"/>
      <c r="AD84" s="882"/>
      <c r="AE84" s="885"/>
      <c r="AF84" s="888"/>
      <c r="AG84" s="876"/>
      <c r="AH84" s="912"/>
      <c r="AI84" s="864"/>
      <c r="AJ84" s="864"/>
      <c r="AK84" s="864"/>
      <c r="AL84" s="864"/>
    </row>
    <row r="85" spans="1:39" ht="15" x14ac:dyDescent="0.3">
      <c r="A85" s="868"/>
      <c r="B85" s="865"/>
      <c r="C85" s="864"/>
      <c r="D85" s="892"/>
      <c r="E85" s="892"/>
      <c r="F85" s="892"/>
      <c r="G85" s="892"/>
      <c r="H85" s="892"/>
      <c r="I85" s="865"/>
      <c r="J85" s="896"/>
      <c r="K85" s="899"/>
      <c r="L85" s="902"/>
      <c r="M85" s="905"/>
      <c r="N85" s="391"/>
      <c r="O85" s="899"/>
      <c r="P85" s="902"/>
      <c r="Q85" s="908"/>
      <c r="R85" s="868"/>
      <c r="S85" s="398"/>
      <c r="T85" s="911"/>
      <c r="U85" s="877"/>
      <c r="V85" s="877"/>
      <c r="W85" s="877"/>
      <c r="X85" s="877"/>
      <c r="Y85" s="877"/>
      <c r="Z85" s="877"/>
      <c r="AA85" s="880"/>
      <c r="AB85" s="883"/>
      <c r="AC85" s="886"/>
      <c r="AD85" s="883"/>
      <c r="AE85" s="886"/>
      <c r="AF85" s="889"/>
      <c r="AG85" s="877"/>
      <c r="AH85" s="913"/>
      <c r="AI85" s="865"/>
      <c r="AJ85" s="865"/>
      <c r="AK85" s="865"/>
      <c r="AL85" s="865"/>
    </row>
    <row r="86" spans="1:39" ht="15" x14ac:dyDescent="0.3">
      <c r="A86" s="866">
        <v>3</v>
      </c>
      <c r="B86" s="863" t="s">
        <v>354</v>
      </c>
      <c r="C86" s="863" t="s">
        <v>437</v>
      </c>
      <c r="D86" s="863" t="s">
        <v>456</v>
      </c>
      <c r="E86" s="863" t="s">
        <v>457</v>
      </c>
      <c r="F86" s="890" t="s">
        <v>458</v>
      </c>
      <c r="G86" s="890" t="s">
        <v>203</v>
      </c>
      <c r="H86" s="890" t="s">
        <v>450</v>
      </c>
      <c r="I86" s="863" t="s">
        <v>190</v>
      </c>
      <c r="J86" s="894">
        <v>2</v>
      </c>
      <c r="K86" s="897" t="str">
        <f>IF(J86&lt;=0,"",IF(J86&lt;=2,"Muy Baja",IF(J86&lt;=24,"Baja",IF(J86&lt;=500,"Media",IF(J86&lt;=5000,"Alta","Muy Alta")))))</f>
        <v>Muy Baja</v>
      </c>
      <c r="L86" s="900">
        <f>IF(K86="","",IF(K86="Muy Baja",0.2,IF(K86="Baja",0.4,IF(K86="Media",0.6,IF(K86="Alta",0.8,IF(K86="Muy Alta",1,))))))</f>
        <v>0.2</v>
      </c>
      <c r="M86" s="903" t="s">
        <v>459</v>
      </c>
      <c r="N86" s="900" t="str">
        <f>IF(NOT(ISERROR(MATCH(M86,'[5]Tabla Impacto'!$B$221:$B$223,0))),'[5]Tabla Impacto'!$F$223&amp;"Por favor no seleccionar los criterios de impacto(Afectación Económica o presupuestal y Pérdida Reputacional)",M86)</f>
        <v xml:space="preserve">     Afectación menor a 10 SMLMV .</v>
      </c>
      <c r="O86" s="897" t="str">
        <f>IF(OR(N86='[5]Tabla Impacto'!$C$11,N86='[5]Tabla Impacto'!$D$11),"Leve",IF(OR(N86='[5]Tabla Impacto'!$C$12,N86='[5]Tabla Impacto'!$D$12),"Menor",IF(OR(N86='[5]Tabla Impacto'!$C$13,N86='[5]Tabla Impacto'!$D$13),"Moderado",IF(OR(N86='[5]Tabla Impacto'!$C$14,N86='[5]Tabla Impacto'!$D$14),"Mayor",IF(OR(N86='[5]Tabla Impacto'!$C$15,N86='[5]Tabla Impacto'!$D$15),"Catastrófico","")))))</f>
        <v>Leve</v>
      </c>
      <c r="P86" s="900">
        <f>IF(O86="","",IF(O86="Leve",0.2,IF(O86="Menor",0.4,IF(O86="Moderado",0.6,IF(O86="Mayor",0.8,IF(O86="Catastrófico",1,))))))</f>
        <v>0.2</v>
      </c>
      <c r="Q86" s="906" t="str">
        <f>IF(OR(AND(K86="Muy Baja",O86="Leve"),AND(K86="Muy Baja",O86="Menor"),AND(K86="Baja",O86="Leve")),"Bajo",IF(OR(AND(K86="Muy baja",O86="Moderado"),AND(K86="Baja",O86="Menor"),AND(K86="Baja",O86="Moderado"),AND(K86="Media",O86="Leve"),AND(K86="Media",O86="Menor"),AND(K86="Media",O86="Moderado"),AND(K86="Alta",O86="Leve"),AND(K86="Alta",O86="Menor")),"Moderado",IF(OR(AND(K86="Muy Baja",O86="Mayor"),AND(K86="Baja",O86="Mayor"),AND(K86="Media",O86="Mayor"),AND(K86="Alta",O86="Moderado"),AND(K86="Alta",O86="Mayor"),AND(K86="Muy Alta",O86="Leve"),AND(K86="Muy Alta",O86="Menor"),AND(K86="Muy Alta",O86="Moderado"),AND(K86="Muy Alta",O86="Mayor")),"Alto",IF(OR(AND(K86="Muy Baja",O86="Catastrófico"),AND(K86="Baja",O86="Catastrófico"),AND(K86="Media",O86="Catastrófico"),AND(K86="Alta",O86="Catastrófico"),AND(K86="Muy Alta",O86="Catastrófico")),"Extremo",""))))</f>
        <v>Bajo</v>
      </c>
      <c r="R86" s="380">
        <v>1</v>
      </c>
      <c r="S86" s="863" t="s">
        <v>460</v>
      </c>
      <c r="T86" s="909" t="str">
        <f>IF(OR(U86="Preventivo",U86="Detectivo"),"Probabilidad",IF(U86="Correctivo","Impacto",""))</f>
        <v>Probabilidad</v>
      </c>
      <c r="U86" s="875" t="s">
        <v>197</v>
      </c>
      <c r="V86" s="875" t="s">
        <v>191</v>
      </c>
      <c r="W86" s="875" t="str">
        <f>IF(AND(U86="Preventivo",V86="Automático"),"50%",IF(AND(U86="Preventivo",V86="Manual"),"40%",IF(AND(U86="Detectivo",V86="Automático"),"40%",IF(AND(U86="Detectivo",V86="Manual"),"30%",IF(AND(U86="Correctivo",V86="Automático"),"35%",IF(AND(U86="Correctivo",V86="Manual"),"25%",""))))))</f>
        <v>40%</v>
      </c>
      <c r="X86" s="875" t="s">
        <v>198</v>
      </c>
      <c r="Y86" s="875" t="s">
        <v>193</v>
      </c>
      <c r="Z86" s="875" t="s">
        <v>194</v>
      </c>
      <c r="AA86" s="878">
        <f>IFERROR(IF(T86="Probabilidad",(L86-(+L86*W86)),IF(T86="Impacto",L86,"")),"")</f>
        <v>0.12</v>
      </c>
      <c r="AB86" s="881" t="str">
        <f>IFERROR(IF(AA86="","",IF(AA86&lt;=0.2,"Muy Baja",IF(AA86&lt;=0.4,"Baja",IF(AA86&lt;=0.6,"Media",IF(AA86&lt;=0.8,"Alta","Muy Alta"))))),"")</f>
        <v>Muy Baja</v>
      </c>
      <c r="AC86" s="884">
        <f>+AA86</f>
        <v>0.12</v>
      </c>
      <c r="AD86" s="881" t="str">
        <f>IFERROR(IF(AE86="","",IF(AE86&lt;=0.2,"Leve",IF(AE86&lt;=0.4,"Menor",IF(AE86&lt;=0.6,"Moderado",IF(AE86&lt;=0.8,"Mayor","Catastrófico"))))),"")</f>
        <v>Leve</v>
      </c>
      <c r="AE86" s="884">
        <f>IFERROR(IF(T86="Impacto",(P86-(+P86*W86)),IF(T86="Probabilidad",P86,"")),"")</f>
        <v>0.2</v>
      </c>
      <c r="AF86" s="887" t="str">
        <f>IFERROR(IF(OR(AND(AB86="Muy Baja",AD86="Leve"),AND(AB86="Muy Baja",AD86="Menor"),AND(AB86="Baja",AD86="Leve")),"Bajo",IF(OR(AND(AB86="Muy baja",AD86="Moderado"),AND(AB86="Baja",AD86="Menor"),AND(AB86="Baja",AD86="Moderado"),AND(AB86="Media",AD86="Leve"),AND(AB86="Media",AD86="Menor"),AND(AB86="Media",AD86="Moderado"),AND(AB86="Alta",AD86="Leve"),AND(AB86="Alta",AD86="Menor")),"Moderado",IF(OR(AND(AB86="Muy Baja",AD86="Mayor"),AND(AB86="Baja",AD86="Mayor"),AND(AB86="Media",AD86="Mayor"),AND(AB86="Alta",AD86="Moderado"),AND(AB86="Alta",AD86="Mayor"),AND(AB86="Muy Alta",AD86="Leve"),AND(AB86="Muy Alta",AD86="Menor"),AND(AB86="Muy Alta",AD86="Moderado"),AND(AB86="Muy Alta",AD86="Mayor")),"Alto",IF(OR(AND(AB86="Muy Baja",AD86="Catastrófico"),AND(AB86="Baja",AD86="Catastrófico"),AND(AB86="Media",AD86="Catastrófico"),AND(AB86="Alta",AD86="Catastrófico"),AND(AB86="Muy Alta",AD86="Catastrófico")),"Extremo","")))),"")</f>
        <v>Bajo</v>
      </c>
      <c r="AG86" s="875" t="s">
        <v>444</v>
      </c>
      <c r="AH86" s="860"/>
      <c r="AI86" s="863"/>
      <c r="AJ86" s="863"/>
      <c r="AK86" s="863"/>
      <c r="AL86" s="863"/>
    </row>
    <row r="87" spans="1:39" ht="15" x14ac:dyDescent="0.3">
      <c r="A87" s="867"/>
      <c r="B87" s="864"/>
      <c r="C87" s="864"/>
      <c r="D87" s="864"/>
      <c r="E87" s="864"/>
      <c r="F87" s="891"/>
      <c r="G87" s="891"/>
      <c r="H87" s="891"/>
      <c r="I87" s="864"/>
      <c r="J87" s="895"/>
      <c r="K87" s="898"/>
      <c r="L87" s="901"/>
      <c r="M87" s="904"/>
      <c r="N87" s="901"/>
      <c r="O87" s="898"/>
      <c r="P87" s="901"/>
      <c r="Q87" s="907"/>
      <c r="R87" s="380"/>
      <c r="S87" s="864"/>
      <c r="T87" s="910"/>
      <c r="U87" s="876"/>
      <c r="V87" s="876"/>
      <c r="W87" s="876"/>
      <c r="X87" s="876"/>
      <c r="Y87" s="876"/>
      <c r="Z87" s="876"/>
      <c r="AA87" s="879"/>
      <c r="AB87" s="882"/>
      <c r="AC87" s="885"/>
      <c r="AD87" s="882"/>
      <c r="AE87" s="885"/>
      <c r="AF87" s="888"/>
      <c r="AG87" s="876"/>
      <c r="AH87" s="861"/>
      <c r="AI87" s="864"/>
      <c r="AJ87" s="864"/>
      <c r="AK87" s="864"/>
      <c r="AL87" s="864"/>
    </row>
    <row r="88" spans="1:39" ht="15" x14ac:dyDescent="0.3">
      <c r="A88" s="867"/>
      <c r="B88" s="864"/>
      <c r="C88" s="864"/>
      <c r="D88" s="864"/>
      <c r="E88" s="864"/>
      <c r="F88" s="891"/>
      <c r="G88" s="891"/>
      <c r="H88" s="891"/>
      <c r="I88" s="864"/>
      <c r="J88" s="895"/>
      <c r="K88" s="898"/>
      <c r="L88" s="901"/>
      <c r="M88" s="904"/>
      <c r="N88" s="901"/>
      <c r="O88" s="898"/>
      <c r="P88" s="901"/>
      <c r="Q88" s="907"/>
      <c r="R88" s="380"/>
      <c r="S88" s="864"/>
      <c r="T88" s="910"/>
      <c r="U88" s="876"/>
      <c r="V88" s="876"/>
      <c r="W88" s="876"/>
      <c r="X88" s="876"/>
      <c r="Y88" s="876"/>
      <c r="Z88" s="876"/>
      <c r="AA88" s="879"/>
      <c r="AB88" s="882"/>
      <c r="AC88" s="885"/>
      <c r="AD88" s="882"/>
      <c r="AE88" s="885"/>
      <c r="AF88" s="888"/>
      <c r="AG88" s="876"/>
      <c r="AH88" s="861"/>
      <c r="AI88" s="864"/>
      <c r="AJ88" s="864"/>
      <c r="AK88" s="864"/>
      <c r="AL88" s="864"/>
    </row>
    <row r="89" spans="1:39" ht="15" x14ac:dyDescent="0.3">
      <c r="A89" s="867"/>
      <c r="B89" s="865"/>
      <c r="C89" s="864"/>
      <c r="D89" s="865"/>
      <c r="E89" s="865"/>
      <c r="F89" s="892"/>
      <c r="G89" s="893"/>
      <c r="H89" s="892"/>
      <c r="I89" s="865"/>
      <c r="J89" s="896"/>
      <c r="K89" s="899"/>
      <c r="L89" s="902"/>
      <c r="M89" s="905"/>
      <c r="N89" s="902"/>
      <c r="O89" s="899"/>
      <c r="P89" s="902"/>
      <c r="Q89" s="908"/>
      <c r="R89" s="380"/>
      <c r="S89" s="865"/>
      <c r="T89" s="911"/>
      <c r="U89" s="877"/>
      <c r="V89" s="877"/>
      <c r="W89" s="877"/>
      <c r="X89" s="877"/>
      <c r="Y89" s="877"/>
      <c r="Z89" s="877"/>
      <c r="AA89" s="880"/>
      <c r="AB89" s="883"/>
      <c r="AC89" s="886"/>
      <c r="AD89" s="883"/>
      <c r="AE89" s="886"/>
      <c r="AF89" s="889"/>
      <c r="AG89" s="877"/>
      <c r="AH89" s="862"/>
      <c r="AI89" s="865"/>
      <c r="AJ89" s="865"/>
      <c r="AK89" s="865"/>
      <c r="AL89" s="865"/>
    </row>
    <row r="90" spans="1:39" x14ac:dyDescent="0.3">
      <c r="A90" s="869" t="s">
        <v>148</v>
      </c>
      <c r="B90" s="870"/>
      <c r="C90" s="870"/>
      <c r="D90" s="870"/>
      <c r="E90" s="870"/>
      <c r="F90" s="870"/>
      <c r="G90" s="870"/>
      <c r="H90" s="870"/>
      <c r="I90" s="870"/>
      <c r="J90" s="870"/>
      <c r="K90" s="870"/>
      <c r="L90" s="870"/>
      <c r="M90" s="870"/>
      <c r="N90" s="870"/>
      <c r="O90" s="870"/>
      <c r="P90" s="870"/>
      <c r="Q90" s="870"/>
      <c r="R90" s="870"/>
      <c r="S90" s="870"/>
      <c r="T90" s="870"/>
      <c r="U90" s="870"/>
      <c r="V90" s="870"/>
      <c r="W90" s="870"/>
      <c r="X90" s="870"/>
      <c r="Y90" s="870"/>
      <c r="Z90" s="870"/>
      <c r="AA90" s="870"/>
      <c r="AB90" s="870"/>
      <c r="AC90" s="870"/>
      <c r="AD90" s="870"/>
      <c r="AE90" s="870"/>
      <c r="AF90" s="870"/>
      <c r="AG90" s="870"/>
      <c r="AH90" s="870"/>
      <c r="AI90" s="870"/>
      <c r="AJ90" s="870"/>
      <c r="AK90" s="870"/>
      <c r="AL90" s="870"/>
      <c r="AM90" s="871"/>
    </row>
    <row r="91" spans="1:39" x14ac:dyDescent="0.3">
      <c r="A91" s="872"/>
      <c r="B91" s="873"/>
      <c r="C91" s="873"/>
      <c r="D91" s="873"/>
      <c r="E91" s="873"/>
      <c r="F91" s="873"/>
      <c r="G91" s="873"/>
      <c r="H91" s="873"/>
      <c r="I91" s="873"/>
      <c r="J91" s="873"/>
      <c r="K91" s="873"/>
      <c r="L91" s="873"/>
      <c r="M91" s="873"/>
      <c r="N91" s="873"/>
      <c r="O91" s="873"/>
      <c r="P91" s="873"/>
      <c r="Q91" s="873"/>
      <c r="R91" s="873"/>
      <c r="S91" s="873"/>
      <c r="T91" s="873"/>
      <c r="U91" s="873"/>
      <c r="V91" s="873"/>
      <c r="W91" s="873"/>
      <c r="X91" s="873"/>
      <c r="Y91" s="873"/>
      <c r="Z91" s="873"/>
      <c r="AA91" s="873"/>
      <c r="AB91" s="873"/>
      <c r="AC91" s="873"/>
      <c r="AD91" s="873"/>
      <c r="AE91" s="873"/>
      <c r="AF91" s="873"/>
      <c r="AG91" s="873"/>
      <c r="AH91" s="873"/>
      <c r="AI91" s="873"/>
      <c r="AJ91" s="873"/>
      <c r="AK91" s="873"/>
      <c r="AL91" s="873"/>
      <c r="AM91" s="874"/>
    </row>
    <row r="92" spans="1:39" ht="14.4" x14ac:dyDescent="0.3">
      <c r="A92" s="42"/>
      <c r="B92" s="43"/>
      <c r="C92" s="42"/>
      <c r="D92" s="42"/>
      <c r="E92" s="42"/>
      <c r="F92" s="41"/>
      <c r="G92" s="41"/>
      <c r="H92" s="41"/>
      <c r="I92" s="44"/>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row>
    <row r="93" spans="1:39" ht="23.4" x14ac:dyDescent="0.3">
      <c r="A93" s="711" t="s">
        <v>149</v>
      </c>
      <c r="B93" s="712"/>
      <c r="C93" s="724" t="s">
        <v>461</v>
      </c>
      <c r="D93" s="724"/>
      <c r="E93" s="724"/>
      <c r="F93" s="724"/>
      <c r="G93" s="724"/>
      <c r="H93" s="724"/>
      <c r="I93" s="724"/>
      <c r="J93" s="724"/>
      <c r="K93" s="724"/>
      <c r="L93" s="724"/>
      <c r="M93" s="724"/>
      <c r="N93" s="724"/>
      <c r="O93" s="724"/>
      <c r="P93" s="724"/>
      <c r="Q93" s="724"/>
      <c r="R93" s="724"/>
      <c r="S93" s="724"/>
      <c r="T93" s="724"/>
      <c r="U93" s="724"/>
      <c r="V93" s="724"/>
      <c r="W93" s="724"/>
      <c r="X93" s="724"/>
      <c r="Y93" s="724"/>
      <c r="Z93" s="724"/>
      <c r="AA93" s="724"/>
      <c r="AB93" s="724"/>
      <c r="AC93" s="724"/>
      <c r="AD93" s="724"/>
      <c r="AE93" s="724"/>
      <c r="AF93" s="724"/>
      <c r="AG93" s="724"/>
      <c r="AH93" s="724"/>
      <c r="AI93" s="724"/>
      <c r="AJ93" s="724"/>
      <c r="AK93" s="724"/>
      <c r="AL93" s="724"/>
      <c r="AM93" s="724"/>
    </row>
    <row r="94" spans="1:39" ht="23.4" x14ac:dyDescent="0.3">
      <c r="A94" s="711" t="s">
        <v>150</v>
      </c>
      <c r="B94" s="712"/>
      <c r="C94" s="724" t="s">
        <v>462</v>
      </c>
      <c r="D94" s="724"/>
      <c r="E94" s="724"/>
      <c r="F94" s="724"/>
      <c r="G94" s="724"/>
      <c r="H94" s="724"/>
      <c r="I94" s="724"/>
      <c r="J94" s="724"/>
      <c r="K94" s="724"/>
      <c r="L94" s="724"/>
      <c r="M94" s="724"/>
      <c r="N94" s="724"/>
      <c r="O94" s="724"/>
      <c r="P94" s="724"/>
      <c r="Q94" s="724"/>
      <c r="R94" s="724"/>
      <c r="S94" s="724"/>
      <c r="T94" s="724"/>
      <c r="U94" s="724"/>
      <c r="V94" s="724"/>
      <c r="W94" s="724"/>
      <c r="X94" s="724"/>
      <c r="Y94" s="724"/>
      <c r="Z94" s="724"/>
      <c r="AA94" s="724"/>
      <c r="AB94" s="724"/>
      <c r="AC94" s="724"/>
      <c r="AD94" s="724"/>
      <c r="AE94" s="724"/>
      <c r="AF94" s="724"/>
      <c r="AG94" s="724"/>
      <c r="AH94" s="724"/>
      <c r="AI94" s="724"/>
      <c r="AJ94" s="724"/>
      <c r="AK94" s="724"/>
      <c r="AL94" s="724"/>
      <c r="AM94" s="724"/>
    </row>
    <row r="95" spans="1:39" ht="23.4" x14ac:dyDescent="0.3">
      <c r="A95" s="711" t="s">
        <v>151</v>
      </c>
      <c r="B95" s="712"/>
      <c r="C95" s="713" t="s">
        <v>463</v>
      </c>
      <c r="D95" s="713"/>
      <c r="E95" s="713"/>
      <c r="F95" s="713"/>
      <c r="G95" s="713"/>
      <c r="H95" s="713"/>
      <c r="I95" s="713"/>
      <c r="J95" s="713"/>
      <c r="K95" s="713"/>
      <c r="L95" s="713"/>
      <c r="M95" s="713"/>
      <c r="N95" s="713"/>
      <c r="O95" s="713"/>
      <c r="P95" s="713"/>
      <c r="Q95" s="713"/>
      <c r="R95" s="713"/>
      <c r="S95" s="713"/>
      <c r="T95" s="713"/>
      <c r="U95" s="713"/>
      <c r="V95" s="713"/>
      <c r="W95" s="713"/>
      <c r="X95" s="713"/>
      <c r="Y95" s="713"/>
      <c r="Z95" s="713"/>
      <c r="AA95" s="713"/>
      <c r="AB95" s="713"/>
      <c r="AC95" s="713"/>
      <c r="AD95" s="713"/>
      <c r="AE95" s="713"/>
      <c r="AF95" s="713"/>
      <c r="AG95" s="713"/>
      <c r="AH95" s="713"/>
      <c r="AI95" s="713"/>
      <c r="AJ95" s="713"/>
      <c r="AK95" s="713"/>
      <c r="AL95" s="713"/>
      <c r="AM95" s="713"/>
    </row>
    <row r="96" spans="1:39" x14ac:dyDescent="0.3">
      <c r="A96" s="714" t="s">
        <v>152</v>
      </c>
      <c r="B96" s="715"/>
      <c r="C96" s="716"/>
      <c r="D96" s="716"/>
      <c r="E96" s="716"/>
      <c r="F96" s="716"/>
      <c r="G96" s="716"/>
      <c r="H96" s="716"/>
      <c r="I96" s="716"/>
      <c r="J96" s="717"/>
      <c r="K96" s="701" t="s">
        <v>153</v>
      </c>
      <c r="L96" s="716"/>
      <c r="M96" s="716"/>
      <c r="N96" s="716"/>
      <c r="O96" s="716"/>
      <c r="P96" s="716"/>
      <c r="Q96" s="717"/>
      <c r="R96" s="701" t="s">
        <v>154</v>
      </c>
      <c r="S96" s="716"/>
      <c r="T96" s="716"/>
      <c r="U96" s="716"/>
      <c r="V96" s="716"/>
      <c r="W96" s="716"/>
      <c r="X96" s="716"/>
      <c r="Y96" s="716"/>
      <c r="Z96" s="717"/>
      <c r="AA96" s="701" t="s">
        <v>155</v>
      </c>
      <c r="AB96" s="716"/>
      <c r="AC96" s="716"/>
      <c r="AD96" s="716"/>
      <c r="AE96" s="716"/>
      <c r="AF96" s="716"/>
      <c r="AG96" s="717"/>
      <c r="AH96" s="701" t="s">
        <v>156</v>
      </c>
      <c r="AI96" s="716"/>
      <c r="AJ96" s="716"/>
      <c r="AK96" s="716"/>
      <c r="AL96" s="716"/>
      <c r="AM96" s="717"/>
    </row>
    <row r="97" spans="1:39" x14ac:dyDescent="0.3">
      <c r="A97" s="705" t="s">
        <v>157</v>
      </c>
      <c r="B97" s="707" t="s">
        <v>141</v>
      </c>
      <c r="C97" s="703" t="s">
        <v>158</v>
      </c>
      <c r="D97" s="703" t="s">
        <v>159</v>
      </c>
      <c r="E97" s="702" t="s">
        <v>160</v>
      </c>
      <c r="F97" s="709" t="s">
        <v>60</v>
      </c>
      <c r="G97" s="38"/>
      <c r="H97" s="38"/>
      <c r="I97" s="702" t="s">
        <v>161</v>
      </c>
      <c r="J97" s="703" t="s">
        <v>162</v>
      </c>
      <c r="K97" s="708" t="s">
        <v>163</v>
      </c>
      <c r="L97" s="700" t="s">
        <v>164</v>
      </c>
      <c r="M97" s="702" t="s">
        <v>165</v>
      </c>
      <c r="N97" s="702" t="s">
        <v>166</v>
      </c>
      <c r="O97" s="704" t="s">
        <v>167</v>
      </c>
      <c r="P97" s="700" t="s">
        <v>164</v>
      </c>
      <c r="Q97" s="703" t="s">
        <v>168</v>
      </c>
      <c r="R97" s="698" t="s">
        <v>169</v>
      </c>
      <c r="S97" s="676" t="s">
        <v>170</v>
      </c>
      <c r="T97" s="702" t="s">
        <v>171</v>
      </c>
      <c r="U97" s="676" t="s">
        <v>172</v>
      </c>
      <c r="V97" s="676"/>
      <c r="W97" s="676"/>
      <c r="X97" s="676"/>
      <c r="Y97" s="676"/>
      <c r="Z97" s="676"/>
      <c r="AA97" s="697" t="s">
        <v>173</v>
      </c>
      <c r="AB97" s="697" t="s">
        <v>174</v>
      </c>
      <c r="AC97" s="697" t="s">
        <v>164</v>
      </c>
      <c r="AD97" s="697" t="s">
        <v>175</v>
      </c>
      <c r="AE97" s="697" t="s">
        <v>164</v>
      </c>
      <c r="AF97" s="697" t="s">
        <v>176</v>
      </c>
      <c r="AG97" s="698" t="s">
        <v>177</v>
      </c>
      <c r="AH97" s="676" t="s">
        <v>156</v>
      </c>
      <c r="AI97" s="676" t="s">
        <v>142</v>
      </c>
      <c r="AJ97" s="676" t="s">
        <v>178</v>
      </c>
      <c r="AK97" s="676" t="s">
        <v>179</v>
      </c>
      <c r="AL97" s="676" t="s">
        <v>464</v>
      </c>
      <c r="AM97" s="676" t="s">
        <v>181</v>
      </c>
    </row>
    <row r="98" spans="1:39" ht="72.599999999999994" x14ac:dyDescent="0.3">
      <c r="A98" s="706"/>
      <c r="B98" s="707"/>
      <c r="C98" s="676"/>
      <c r="D98" s="676"/>
      <c r="E98" s="708"/>
      <c r="F98" s="710"/>
      <c r="G98" s="38" t="s">
        <v>201</v>
      </c>
      <c r="H98" s="38" t="s">
        <v>182</v>
      </c>
      <c r="I98" s="703"/>
      <c r="J98" s="676"/>
      <c r="K98" s="703"/>
      <c r="L98" s="701"/>
      <c r="M98" s="703"/>
      <c r="N98" s="703"/>
      <c r="O98" s="701"/>
      <c r="P98" s="701"/>
      <c r="Q98" s="676"/>
      <c r="R98" s="699"/>
      <c r="S98" s="676"/>
      <c r="T98" s="703"/>
      <c r="U98" s="39" t="s">
        <v>183</v>
      </c>
      <c r="V98" s="39" t="s">
        <v>184</v>
      </c>
      <c r="W98" s="39" t="s">
        <v>185</v>
      </c>
      <c r="X98" s="39" t="s">
        <v>186</v>
      </c>
      <c r="Y98" s="39" t="s">
        <v>187</v>
      </c>
      <c r="Z98" s="39" t="s">
        <v>188</v>
      </c>
      <c r="AA98" s="697"/>
      <c r="AB98" s="697"/>
      <c r="AC98" s="697"/>
      <c r="AD98" s="697"/>
      <c r="AE98" s="697"/>
      <c r="AF98" s="697"/>
      <c r="AG98" s="699"/>
      <c r="AH98" s="676"/>
      <c r="AI98" s="676"/>
      <c r="AJ98" s="676"/>
      <c r="AK98" s="676"/>
      <c r="AL98" s="676"/>
      <c r="AM98" s="676"/>
    </row>
    <row r="99" spans="1:39" ht="124.2" x14ac:dyDescent="0.3">
      <c r="A99" s="630">
        <v>1</v>
      </c>
      <c r="B99" s="734" t="s">
        <v>199</v>
      </c>
      <c r="C99" s="734" t="s">
        <v>465</v>
      </c>
      <c r="D99" s="851" t="s">
        <v>466</v>
      </c>
      <c r="E99" s="399" t="s">
        <v>467</v>
      </c>
      <c r="F99" s="760" t="s">
        <v>468</v>
      </c>
      <c r="G99" s="760" t="s">
        <v>202</v>
      </c>
      <c r="H99" s="760" t="s">
        <v>469</v>
      </c>
      <c r="I99" s="854" t="s">
        <v>457</v>
      </c>
      <c r="J99" s="741">
        <v>8760</v>
      </c>
      <c r="K99" s="743" t="str">
        <f>IF(J99&lt;=0,"",IF(J99&lt;=2,"Muy Baja",IF(J99&lt;=24,"Baja",IF(J99&lt;=500,"Media",IF(J99&lt;=5000,"Alta","Muy Alta")))))</f>
        <v>Muy Alta</v>
      </c>
      <c r="L99" s="745">
        <f>IF(K99="","",IF(K99="Muy Baja",0.2,IF(K99="Baja",0.4,IF(K99="Media",0.6,IF(K99="Alta",0.8,IF(K99="Muy Alta",1,))))))</f>
        <v>1</v>
      </c>
      <c r="M99" s="747" t="s">
        <v>200</v>
      </c>
      <c r="N99" s="745" t="str">
        <f>IF(NOT(ISERROR(MATCH(M99,'[6]Tabla Impacto'!$B$221:$B$223,0))),'[6]Tabla Impacto'!$F$223&amp;"Por favor no seleccionar los criterios de impacto(Afectación Económica o presupuestal y Pérdida Reputacional)",M99)</f>
        <v xml:space="preserve">     El riesgo afecta la imagen de la entidad con algunos usuarios de relevancia frente al logro de los objetivos</v>
      </c>
      <c r="O99" s="743" t="str">
        <f>IF(OR(N99='[6]Tabla Impacto'!$C$11,N99='[6]Tabla Impacto'!$D$11),"Leve",IF(OR(N99='[6]Tabla Impacto'!$C$12,N99='[6]Tabla Impacto'!$D$12),"Menor",IF(OR(N99='[6]Tabla Impacto'!$C$13,N99='[6]Tabla Impacto'!$D$13),"Moderado",IF(OR(N99='[6]Tabla Impacto'!$C$14,N99='[6]Tabla Impacto'!$D$14),"Mayor",IF(OR(N99='[6]Tabla Impacto'!$C$15,N99='[6]Tabla Impacto'!$D$15),"Catastrófico","")))))</f>
        <v>Moderado</v>
      </c>
      <c r="P99" s="745">
        <f>IF(O99="","",IF(O99="Leve",0.2,IF(O99="Menor",0.4,IF(O99="Moderado",0.6,IF(O99="Mayor",0.8,IF(O99="Catastrófico",1,))))))</f>
        <v>0.6</v>
      </c>
      <c r="Q99" s="749" t="str">
        <f>IF(OR(AND(K99="Muy Baja",O99="Leve"),AND(K99="Muy Baja",O99="Menor"),AND(K99="Baja",O99="Leve")),"Bajo",IF(OR(AND(K99="Muy baja",O99="Moderado"),AND(K99="Baja",O99="Menor"),AND(K99="Baja",O99="Moderado"),AND(K99="Media",O99="Leve"),AND(K99="Media",O99="Menor"),AND(K99="Media",O99="Moderado"),AND(K99="Alta",O99="Leve"),AND(K99="Alta",O99="Menor")),"Moderado",IF(OR(AND(K99="Muy Baja",O99="Mayor"),AND(K99="Baja",O99="Mayor"),AND(K99="Media",O99="Mayor"),AND(K99="Alta",O99="Moderado"),AND(K99="Alta",O99="Mayor"),AND(K99="Muy Alta",O99="Leve"),AND(K99="Muy Alta",O99="Menor"),AND(K99="Muy Alta",O99="Moderado"),AND(K99="Muy Alta",O99="Mayor")),"Alto",IF(OR(AND(K99="Muy Baja",O99="Catastrófico"),AND(K99="Baja",O99="Catastrófico"),AND(K99="Media",O99="Catastrófico"),AND(K99="Alta",O99="Catastrófico"),AND(K99="Muy Alta",O99="Catastrófico")),"Extremo",""))))</f>
        <v>Alto</v>
      </c>
      <c r="R99" s="249">
        <v>1</v>
      </c>
      <c r="S99" s="93" t="s">
        <v>470</v>
      </c>
      <c r="T99" s="94" t="str">
        <f t="shared" ref="T99:T101" si="63">IF(OR(U99="Preventivo",U99="Detectivo"),"Probabilidad",IF(U99="Correctivo","Impacto",""))</f>
        <v>Probabilidad</v>
      </c>
      <c r="U99" s="86" t="s">
        <v>197</v>
      </c>
      <c r="V99" s="86" t="s">
        <v>191</v>
      </c>
      <c r="W99" s="87" t="str">
        <f>IF(AND(U99="Preventivo",V99="Automático"),"50%",IF(AND(U99="Preventivo",V99="Manual"),"40%",IF(AND(U99="Detectivo",V99="Automático"),"40%",IF(AND(U99="Detectivo",V99="Manual"),"30%",IF(AND(U99="Correctivo",V99="Automático"),"35%",IF(AND(U99="Correctivo",V99="Manual"),"25%",""))))))</f>
        <v>40%</v>
      </c>
      <c r="X99" s="86" t="s">
        <v>198</v>
      </c>
      <c r="Y99" s="86" t="s">
        <v>471</v>
      </c>
      <c r="Z99" s="86" t="s">
        <v>194</v>
      </c>
      <c r="AA99" s="95">
        <f>IFERROR(IF(T99="Probabilidad",(L99-(+L99*W99)),IF(T99="Impacto",L99,"")),"")</f>
        <v>0.6</v>
      </c>
      <c r="AB99" s="88" t="str">
        <f>IFERROR(IF(AA99="","",IF(AA99&lt;=0.2,"Muy Baja",IF(AA99&lt;=0.4,"Baja",IF(AA99&lt;=0.6,"Media",IF(AA99&lt;=0.8,"Alta","Muy Alta"))))),"")</f>
        <v>Media</v>
      </c>
      <c r="AC99" s="89">
        <f>+AA99</f>
        <v>0.6</v>
      </c>
      <c r="AD99" s="88" t="str">
        <f>IFERROR(IF(AE99="","",IF(AE99&lt;=0.2,"Leve",IF(AE99&lt;=0.4,"Menor",IF(AE99&lt;=0.6,"Moderado",IF(AE99&lt;=0.8,"Mayor","Catastrófico"))))),"")</f>
        <v>Moderado</v>
      </c>
      <c r="AE99" s="89">
        <f>IFERROR(IF(T99="Impacto",(P99-(+P99*W99)),IF(T99="Probabilidad",P99,"")),"")</f>
        <v>0.6</v>
      </c>
      <c r="AF99" s="90" t="str">
        <f>IFERROR(IF(OR(AND(AB99="Muy Baja",AD99="Leve"),AND(AB99="Muy Baja",AD99="Menor"),AND(AB99="Baja",AD99="Leve")),"Bajo",IF(OR(AND(AB99="Muy baja",AD99="Moderado"),AND(AB99="Baja",AD99="Menor"),AND(AB99="Baja",AD99="Moderado"),AND(AB99="Media",AD99="Leve"),AND(AB99="Media",AD99="Menor"),AND(AB99="Media",AD99="Moderado"),AND(AB99="Alta",AD99="Leve"),AND(AB99="Alta",AD99="Menor")),"Moderado",IF(OR(AND(AB99="Muy Baja",AD99="Mayor"),AND(AB99="Baja",AD99="Mayor"),AND(AB99="Media",AD99="Mayor"),AND(AB99="Alta",AD99="Moderado"),AND(AB99="Alta",AD99="Mayor"),AND(AB99="Muy Alta",AD99="Leve"),AND(AB99="Muy Alta",AD99="Menor"),AND(AB99="Muy Alta",AD99="Moderado"),AND(AB99="Muy Alta",AD99="Mayor")),"Alto",IF(OR(AND(AB99="Muy Baja",AD99="Catastrófico"),AND(AB99="Baja",AD99="Catastrófico"),AND(AB99="Media",AD99="Catastrófico"),AND(AB99="Alta",AD99="Catastrófico"),AND(AB99="Muy Alta",AD99="Catastrófico")),"Extremo","")))),"")</f>
        <v>Moderado</v>
      </c>
      <c r="AG99" s="91" t="s">
        <v>195</v>
      </c>
      <c r="AH99" s="400">
        <f>+'[7]DOFA '!E120</f>
        <v>0</v>
      </c>
      <c r="AI99" s="401" t="s">
        <v>472</v>
      </c>
      <c r="AJ99" s="301" t="s">
        <v>473</v>
      </c>
      <c r="AK99" s="402">
        <v>45899</v>
      </c>
      <c r="AL99" s="400" t="s">
        <v>474</v>
      </c>
      <c r="AM99" s="401" t="s">
        <v>196</v>
      </c>
    </row>
    <row r="100" spans="1:39" ht="96.6" x14ac:dyDescent="0.3">
      <c r="A100" s="644"/>
      <c r="B100" s="735"/>
      <c r="C100" s="735"/>
      <c r="D100" s="852"/>
      <c r="E100" s="344" t="s">
        <v>475</v>
      </c>
      <c r="F100" s="761"/>
      <c r="G100" s="761"/>
      <c r="H100" s="761"/>
      <c r="I100" s="855"/>
      <c r="J100" s="742"/>
      <c r="K100" s="744"/>
      <c r="L100" s="746"/>
      <c r="M100" s="748"/>
      <c r="N100" s="746">
        <f>IF(NOT(ISERROR(MATCH(M100,_xlfn.ANCHORARRAY(F107),0))),L109&amp;"Por favor no seleccionar los criterios de impacto",M100)</f>
        <v>0</v>
      </c>
      <c r="O100" s="744"/>
      <c r="P100" s="746"/>
      <c r="Q100" s="750"/>
      <c r="R100" s="249">
        <v>2</v>
      </c>
      <c r="S100" s="93" t="s">
        <v>476</v>
      </c>
      <c r="T100" s="94" t="str">
        <f t="shared" si="63"/>
        <v>Probabilidad</v>
      </c>
      <c r="U100" s="86" t="s">
        <v>197</v>
      </c>
      <c r="V100" s="86" t="s">
        <v>191</v>
      </c>
      <c r="W100" s="87" t="str">
        <f t="shared" ref="W100:W102" si="64">IF(AND(U100="Preventivo",V100="Automático"),"50%",IF(AND(U100="Preventivo",V100="Manual"),"40%",IF(AND(U100="Detectivo",V100="Automático"),"40%",IF(AND(U100="Detectivo",V100="Manual"),"30%",IF(AND(U100="Correctivo",V100="Automático"),"35%",IF(AND(U100="Correctivo",V100="Manual"),"25%",""))))))</f>
        <v>40%</v>
      </c>
      <c r="X100" s="86" t="s">
        <v>198</v>
      </c>
      <c r="Y100" s="86" t="s">
        <v>471</v>
      </c>
      <c r="Z100" s="86" t="s">
        <v>194</v>
      </c>
      <c r="AA100" s="95">
        <f>IFERROR(IF(AND(T99="Probabilidad",T100="Probabilidad"),(AC99-(+AC99*W100)),IF(AND(T99="Impacto",T100="Probabilidad"),(AC98-(+AC98*W100)),IF(T100="Impacto",AC99,""))),"")</f>
        <v>0.36</v>
      </c>
      <c r="AB100" s="88" t="str">
        <f t="shared" ref="AB100:AB102" si="65">IFERROR(IF(AA100="","",IF(AA100&lt;=0.2,"Muy Baja",IF(AA100&lt;=0.4,"Baja",IF(AA100&lt;=0.6,"Media",IF(AA100&lt;=0.8,"Alta","Muy Alta"))))),"")</f>
        <v>Baja</v>
      </c>
      <c r="AC100" s="89">
        <f t="shared" ref="AC100:AC102" si="66">+AA100</f>
        <v>0.36</v>
      </c>
      <c r="AD100" s="88" t="str">
        <f t="shared" ref="AD100:AD102" si="67">IFERROR(IF(AE100="","",IF(AE100&lt;=0.2,"Leve",IF(AE100&lt;=0.4,"Menor",IF(AE100&lt;=0.6,"Moderado",IF(AE100&lt;=0.8,"Mayor","Catastrófico"))))),"")</f>
        <v>Moderado</v>
      </c>
      <c r="AE100" s="89">
        <f>IFERROR(IF(AND(T99="Impacto",T100="Impacto"),(AE99-(+AE99*W100)),IF(AND(T99="Probabilidad",T100="Impacto"),(AE98-(+AE98*W100)),IF(T100="Probabilidad",AE99,""))),"")</f>
        <v>0.6</v>
      </c>
      <c r="AF100" s="90" t="str">
        <f t="shared" ref="AF100:AF102" si="68">IFERROR(IF(OR(AND(AB100="Muy Baja",AD100="Leve"),AND(AB100="Muy Baja",AD100="Menor"),AND(AB100="Baja",AD100="Leve")),"Bajo",IF(OR(AND(AB100="Muy baja",AD100="Moderado"),AND(AB100="Baja",AD100="Menor"),AND(AB100="Baja",AD100="Moderado"),AND(AB100="Media",AD100="Leve"),AND(AB100="Media",AD100="Menor"),AND(AB100="Media",AD100="Moderado"),AND(AB100="Alta",AD100="Leve"),AND(AB100="Alta",AD100="Menor")),"Moderado",IF(OR(AND(AB100="Muy Baja",AD100="Mayor"),AND(AB100="Baja",AD100="Mayor"),AND(AB100="Media",AD100="Mayor"),AND(AB100="Alta",AD100="Moderado"),AND(AB100="Alta",AD100="Mayor"),AND(AB100="Muy Alta",AD100="Leve"),AND(AB100="Muy Alta",AD100="Menor"),AND(AB100="Muy Alta",AD100="Moderado"),AND(AB100="Muy Alta",AD100="Mayor")),"Alto",IF(OR(AND(AB100="Muy Baja",AD100="Catastrófico"),AND(AB100="Baja",AD100="Catastrófico"),AND(AB100="Media",AD100="Catastrófico"),AND(AB100="Alta",AD100="Catastrófico"),AND(AB100="Muy Alta",AD100="Catastrófico")),"Extremo","")))),"")</f>
        <v>Moderado</v>
      </c>
      <c r="AG100" s="91" t="s">
        <v>195</v>
      </c>
      <c r="AH100" s="403" t="s">
        <v>477</v>
      </c>
      <c r="AI100" s="401" t="s">
        <v>472</v>
      </c>
      <c r="AJ100" s="404" t="s">
        <v>478</v>
      </c>
      <c r="AK100" s="402">
        <v>45899</v>
      </c>
      <c r="AL100" s="403"/>
      <c r="AM100" s="401" t="s">
        <v>196</v>
      </c>
    </row>
    <row r="101" spans="1:39" ht="96.6" x14ac:dyDescent="0.3">
      <c r="A101" s="644"/>
      <c r="B101" s="735"/>
      <c r="C101" s="735"/>
      <c r="D101" s="852"/>
      <c r="E101" s="370" t="s">
        <v>479</v>
      </c>
      <c r="F101" s="761"/>
      <c r="G101" s="761"/>
      <c r="H101" s="761"/>
      <c r="I101" s="855"/>
      <c r="J101" s="742"/>
      <c r="K101" s="744"/>
      <c r="L101" s="746"/>
      <c r="M101" s="748"/>
      <c r="N101" s="746">
        <f>IF(NOT(ISERROR(MATCH(M101,_xlfn.ANCHORARRAY(F108),0))),L110&amp;"Por favor no seleccionar los criterios de impacto",M101)</f>
        <v>0</v>
      </c>
      <c r="O101" s="744"/>
      <c r="P101" s="746"/>
      <c r="Q101" s="750"/>
      <c r="R101" s="249">
        <v>3</v>
      </c>
      <c r="S101" s="160" t="s">
        <v>480</v>
      </c>
      <c r="T101" s="94" t="str">
        <f t="shared" si="63"/>
        <v>Probabilidad</v>
      </c>
      <c r="U101" s="86" t="s">
        <v>197</v>
      </c>
      <c r="V101" s="86" t="s">
        <v>191</v>
      </c>
      <c r="W101" s="87" t="str">
        <f t="shared" si="64"/>
        <v>40%</v>
      </c>
      <c r="X101" s="86" t="s">
        <v>198</v>
      </c>
      <c r="Y101" s="86" t="s">
        <v>471</v>
      </c>
      <c r="Z101" s="86" t="s">
        <v>194</v>
      </c>
      <c r="AA101" s="95">
        <f t="shared" ref="AA101:AA102" si="69">IFERROR(IF(AND(T100="Probabilidad",T101="Probabilidad"),(AC100-(+AC100*W101)),IF(AND(T100="Impacto",T101="Probabilidad"),(AC99-(+AC99*W101)),IF(T101="Impacto",AC100,""))),"")</f>
        <v>0.216</v>
      </c>
      <c r="AB101" s="88" t="str">
        <f t="shared" si="65"/>
        <v>Baja</v>
      </c>
      <c r="AC101" s="89">
        <f t="shared" si="66"/>
        <v>0.216</v>
      </c>
      <c r="AD101" s="88" t="str">
        <f t="shared" si="67"/>
        <v>Moderado</v>
      </c>
      <c r="AE101" s="89">
        <f t="shared" ref="AE101:AE102" si="70">IFERROR(IF(AND(T100="Impacto",T101="Impacto"),(AE100-(+AE100*W101)),IF(AND(T100="Probabilidad",T101="Impacto"),(AE99-(+AE99*W101)),IF(T101="Probabilidad",AE100,""))),"")</f>
        <v>0.6</v>
      </c>
      <c r="AF101" s="90" t="str">
        <f t="shared" si="68"/>
        <v>Moderado</v>
      </c>
      <c r="AG101" s="91" t="s">
        <v>195</v>
      </c>
      <c r="AH101" s="250">
        <f>+'[7]DOFA '!E122</f>
        <v>0</v>
      </c>
      <c r="AI101" s="250" t="s">
        <v>481</v>
      </c>
      <c r="AJ101" s="404" t="s">
        <v>473</v>
      </c>
      <c r="AK101" s="402">
        <v>45899</v>
      </c>
      <c r="AL101" s="403"/>
      <c r="AM101" s="401" t="s">
        <v>196</v>
      </c>
    </row>
    <row r="102" spans="1:39" ht="110.4" x14ac:dyDescent="0.3">
      <c r="A102" s="247"/>
      <c r="B102" s="304"/>
      <c r="C102" s="304"/>
      <c r="D102" s="305"/>
      <c r="E102" s="370" t="s">
        <v>482</v>
      </c>
      <c r="F102" s="307"/>
      <c r="G102" s="761"/>
      <c r="H102" s="853"/>
      <c r="I102" s="308"/>
      <c r="J102" s="754"/>
      <c r="K102" s="856"/>
      <c r="L102" s="857"/>
      <c r="M102" s="858"/>
      <c r="N102" s="309"/>
      <c r="O102" s="856"/>
      <c r="P102" s="309"/>
      <c r="Q102" s="859"/>
      <c r="R102" s="249">
        <v>4</v>
      </c>
      <c r="S102" s="160" t="s">
        <v>483</v>
      </c>
      <c r="T102" s="94" t="s">
        <v>484</v>
      </c>
      <c r="U102" s="86" t="s">
        <v>197</v>
      </c>
      <c r="V102" s="86" t="s">
        <v>191</v>
      </c>
      <c r="W102" s="87" t="str">
        <f t="shared" si="64"/>
        <v>40%</v>
      </c>
      <c r="X102" s="86" t="s">
        <v>192</v>
      </c>
      <c r="Y102" s="86" t="s">
        <v>471</v>
      </c>
      <c r="Z102" s="86" t="s">
        <v>485</v>
      </c>
      <c r="AA102" s="95">
        <f t="shared" si="69"/>
        <v>0.12959999999999999</v>
      </c>
      <c r="AB102" s="88" t="str">
        <f t="shared" si="65"/>
        <v>Muy Baja</v>
      </c>
      <c r="AC102" s="89">
        <f t="shared" si="66"/>
        <v>0.12959999999999999</v>
      </c>
      <c r="AD102" s="88" t="str">
        <f t="shared" si="67"/>
        <v>Moderado</v>
      </c>
      <c r="AE102" s="89">
        <f t="shared" si="70"/>
        <v>0.6</v>
      </c>
      <c r="AF102" s="90" t="str">
        <f t="shared" si="68"/>
        <v>Moderado</v>
      </c>
      <c r="AG102" s="91" t="s">
        <v>195</v>
      </c>
      <c r="AH102" s="250">
        <f>+'[7]DOFA '!E136</f>
        <v>0</v>
      </c>
      <c r="AI102" s="250" t="s">
        <v>481</v>
      </c>
      <c r="AJ102" s="404" t="s">
        <v>473</v>
      </c>
      <c r="AK102" s="402">
        <v>45838</v>
      </c>
      <c r="AL102" s="403"/>
      <c r="AM102" s="401" t="s">
        <v>196</v>
      </c>
    </row>
    <row r="103" spans="1:39" x14ac:dyDescent="0.3">
      <c r="A103" s="718" t="s">
        <v>148</v>
      </c>
      <c r="B103" s="719"/>
      <c r="C103" s="719"/>
      <c r="D103" s="719"/>
      <c r="E103" s="719"/>
      <c r="F103" s="719"/>
      <c r="G103" s="719"/>
      <c r="H103" s="719"/>
      <c r="I103" s="719"/>
      <c r="J103" s="719"/>
      <c r="K103" s="719"/>
      <c r="L103" s="719"/>
      <c r="M103" s="719"/>
      <c r="N103" s="719"/>
      <c r="O103" s="719"/>
      <c r="P103" s="719"/>
      <c r="Q103" s="719"/>
      <c r="R103" s="719"/>
      <c r="S103" s="719"/>
      <c r="T103" s="719"/>
      <c r="U103" s="719"/>
      <c r="V103" s="719"/>
      <c r="W103" s="719"/>
      <c r="X103" s="719"/>
      <c r="Y103" s="719"/>
      <c r="Z103" s="719"/>
      <c r="AA103" s="719"/>
      <c r="AB103" s="719"/>
      <c r="AC103" s="719"/>
      <c r="AD103" s="719"/>
      <c r="AE103" s="719"/>
      <c r="AF103" s="719"/>
      <c r="AG103" s="719"/>
      <c r="AH103" s="719"/>
      <c r="AI103" s="719"/>
      <c r="AJ103" s="719"/>
      <c r="AK103" s="719"/>
      <c r="AL103" s="719"/>
      <c r="AM103" s="720"/>
    </row>
    <row r="104" spans="1:39" x14ac:dyDescent="0.3">
      <c r="A104" s="721"/>
      <c r="B104" s="722"/>
      <c r="C104" s="722"/>
      <c r="D104" s="722"/>
      <c r="E104" s="722"/>
      <c r="F104" s="722"/>
      <c r="G104" s="722"/>
      <c r="H104" s="722"/>
      <c r="I104" s="722"/>
      <c r="J104" s="722"/>
      <c r="K104" s="722"/>
      <c r="L104" s="722"/>
      <c r="M104" s="722"/>
      <c r="N104" s="722"/>
      <c r="O104" s="722"/>
      <c r="P104" s="722"/>
      <c r="Q104" s="722"/>
      <c r="R104" s="722"/>
      <c r="S104" s="722"/>
      <c r="T104" s="722"/>
      <c r="U104" s="722"/>
      <c r="V104" s="722"/>
      <c r="W104" s="722"/>
      <c r="X104" s="722"/>
      <c r="Y104" s="722"/>
      <c r="Z104" s="722"/>
      <c r="AA104" s="722"/>
      <c r="AB104" s="722"/>
      <c r="AC104" s="722"/>
      <c r="AD104" s="722"/>
      <c r="AE104" s="722"/>
      <c r="AF104" s="722"/>
      <c r="AG104" s="722"/>
      <c r="AH104" s="722"/>
      <c r="AI104" s="722"/>
      <c r="AJ104" s="722"/>
      <c r="AK104" s="722"/>
      <c r="AL104" s="722"/>
      <c r="AM104" s="723"/>
    </row>
    <row r="105" spans="1:39" ht="14.4" x14ac:dyDescent="0.3">
      <c r="A105" s="42"/>
      <c r="B105" s="43"/>
      <c r="C105" s="42"/>
      <c r="D105" s="42"/>
      <c r="E105" s="42"/>
      <c r="F105" s="41"/>
      <c r="G105" s="41"/>
      <c r="H105" s="41"/>
      <c r="I105" s="44"/>
      <c r="J105" s="44"/>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row>
    <row r="106" spans="1:39" ht="23.4" x14ac:dyDescent="0.3">
      <c r="A106" s="711" t="s">
        <v>149</v>
      </c>
      <c r="B106" s="712"/>
      <c r="C106" s="724" t="s">
        <v>253</v>
      </c>
      <c r="D106" s="724"/>
      <c r="E106" s="724"/>
      <c r="F106" s="724"/>
      <c r="G106" s="724"/>
      <c r="H106" s="724"/>
      <c r="I106" s="724"/>
      <c r="J106" s="724"/>
      <c r="K106" s="724"/>
      <c r="L106" s="724"/>
      <c r="M106" s="724"/>
      <c r="N106" s="724"/>
      <c r="O106" s="724"/>
      <c r="P106" s="724"/>
      <c r="Q106" s="724"/>
      <c r="R106" s="724"/>
      <c r="S106" s="724"/>
      <c r="T106" s="724"/>
      <c r="U106" s="724"/>
      <c r="V106" s="724"/>
      <c r="W106" s="724"/>
      <c r="X106" s="724"/>
      <c r="Y106" s="724"/>
      <c r="Z106" s="724"/>
      <c r="AA106" s="724"/>
      <c r="AB106" s="724"/>
      <c r="AC106" s="724"/>
      <c r="AD106" s="724"/>
      <c r="AE106" s="724"/>
      <c r="AF106" s="724"/>
      <c r="AG106" s="724"/>
      <c r="AH106" s="724"/>
      <c r="AI106" s="724"/>
      <c r="AJ106" s="724"/>
      <c r="AK106" s="724"/>
      <c r="AL106" s="724"/>
      <c r="AM106" s="724"/>
    </row>
    <row r="107" spans="1:39" ht="23.4" x14ac:dyDescent="0.3">
      <c r="A107" s="711" t="s">
        <v>150</v>
      </c>
      <c r="B107" s="712"/>
      <c r="C107" s="713" t="s">
        <v>254</v>
      </c>
      <c r="D107" s="713"/>
      <c r="E107" s="713"/>
      <c r="F107" s="713"/>
      <c r="G107" s="713"/>
      <c r="H107" s="713"/>
      <c r="I107" s="713"/>
      <c r="J107" s="713"/>
      <c r="K107" s="713"/>
      <c r="L107" s="713"/>
      <c r="M107" s="713"/>
      <c r="N107" s="713"/>
      <c r="O107" s="713"/>
      <c r="P107" s="713"/>
      <c r="Q107" s="713"/>
      <c r="R107" s="713"/>
      <c r="S107" s="713"/>
      <c r="T107" s="713"/>
      <c r="U107" s="713"/>
      <c r="V107" s="713"/>
      <c r="W107" s="713"/>
      <c r="X107" s="713"/>
      <c r="Y107" s="713"/>
      <c r="Z107" s="713"/>
      <c r="AA107" s="713"/>
      <c r="AB107" s="713"/>
      <c r="AC107" s="713"/>
      <c r="AD107" s="713"/>
      <c r="AE107" s="713"/>
      <c r="AF107" s="713"/>
      <c r="AG107" s="713"/>
      <c r="AH107" s="713"/>
      <c r="AI107" s="713"/>
      <c r="AJ107" s="713"/>
      <c r="AK107" s="713"/>
      <c r="AL107" s="713"/>
      <c r="AM107" s="713"/>
    </row>
    <row r="108" spans="1:39" ht="23.4" x14ac:dyDescent="0.3">
      <c r="A108" s="711" t="s">
        <v>151</v>
      </c>
      <c r="B108" s="712"/>
      <c r="C108" s="713" t="s">
        <v>255</v>
      </c>
      <c r="D108" s="713"/>
      <c r="E108" s="713"/>
      <c r="F108" s="713"/>
      <c r="G108" s="713"/>
      <c r="H108" s="713"/>
      <c r="I108" s="713"/>
      <c r="J108" s="713"/>
      <c r="K108" s="713"/>
      <c r="L108" s="713"/>
      <c r="M108" s="713"/>
      <c r="N108" s="713"/>
      <c r="O108" s="713"/>
      <c r="P108" s="713"/>
      <c r="Q108" s="713"/>
      <c r="R108" s="713"/>
      <c r="S108" s="713"/>
      <c r="T108" s="713"/>
      <c r="U108" s="713"/>
      <c r="V108" s="713"/>
      <c r="W108" s="713"/>
      <c r="X108" s="713"/>
      <c r="Y108" s="713"/>
      <c r="Z108" s="713"/>
      <c r="AA108" s="713"/>
      <c r="AB108" s="713"/>
      <c r="AC108" s="713"/>
      <c r="AD108" s="713"/>
      <c r="AE108" s="713"/>
      <c r="AF108" s="713"/>
      <c r="AG108" s="713"/>
      <c r="AH108" s="713"/>
      <c r="AI108" s="713"/>
      <c r="AJ108" s="713"/>
      <c r="AK108" s="713"/>
      <c r="AL108" s="713"/>
      <c r="AM108" s="713"/>
    </row>
    <row r="109" spans="1:39" x14ac:dyDescent="0.3">
      <c r="A109" s="714" t="s">
        <v>152</v>
      </c>
      <c r="B109" s="715"/>
      <c r="C109" s="716"/>
      <c r="D109" s="716"/>
      <c r="E109" s="716"/>
      <c r="F109" s="716"/>
      <c r="G109" s="716"/>
      <c r="H109" s="716"/>
      <c r="I109" s="716"/>
      <c r="J109" s="717"/>
      <c r="K109" s="701" t="s">
        <v>153</v>
      </c>
      <c r="L109" s="716"/>
      <c r="M109" s="716"/>
      <c r="N109" s="716"/>
      <c r="O109" s="716"/>
      <c r="P109" s="716"/>
      <c r="Q109" s="717"/>
      <c r="R109" s="701" t="s">
        <v>154</v>
      </c>
      <c r="S109" s="716"/>
      <c r="T109" s="716"/>
      <c r="U109" s="716"/>
      <c r="V109" s="716"/>
      <c r="W109" s="716"/>
      <c r="X109" s="716"/>
      <c r="Y109" s="716"/>
      <c r="Z109" s="717"/>
      <c r="AA109" s="701" t="s">
        <v>155</v>
      </c>
      <c r="AB109" s="716"/>
      <c r="AC109" s="716"/>
      <c r="AD109" s="716"/>
      <c r="AE109" s="716"/>
      <c r="AF109" s="716"/>
      <c r="AG109" s="717"/>
      <c r="AH109" s="701" t="s">
        <v>156</v>
      </c>
      <c r="AI109" s="716"/>
      <c r="AJ109" s="716"/>
      <c r="AK109" s="716"/>
      <c r="AL109" s="716"/>
      <c r="AM109" s="717"/>
    </row>
    <row r="110" spans="1:39" x14ac:dyDescent="0.3">
      <c r="A110" s="705" t="s">
        <v>157</v>
      </c>
      <c r="B110" s="707" t="s">
        <v>141</v>
      </c>
      <c r="C110" s="703" t="s">
        <v>158</v>
      </c>
      <c r="D110" s="703" t="s">
        <v>159</v>
      </c>
      <c r="E110" s="702" t="s">
        <v>160</v>
      </c>
      <c r="F110" s="709" t="s">
        <v>60</v>
      </c>
      <c r="G110" s="38"/>
      <c r="H110" s="38"/>
      <c r="I110" s="702" t="s">
        <v>161</v>
      </c>
      <c r="J110" s="703" t="s">
        <v>162</v>
      </c>
      <c r="K110" s="708" t="s">
        <v>163</v>
      </c>
      <c r="L110" s="700" t="s">
        <v>164</v>
      </c>
      <c r="M110" s="702" t="s">
        <v>165</v>
      </c>
      <c r="N110" s="702" t="s">
        <v>166</v>
      </c>
      <c r="O110" s="704" t="s">
        <v>167</v>
      </c>
      <c r="P110" s="700" t="s">
        <v>164</v>
      </c>
      <c r="Q110" s="703" t="s">
        <v>168</v>
      </c>
      <c r="R110" s="698" t="s">
        <v>169</v>
      </c>
      <c r="S110" s="676" t="s">
        <v>170</v>
      </c>
      <c r="T110" s="702" t="s">
        <v>171</v>
      </c>
      <c r="U110" s="676" t="s">
        <v>172</v>
      </c>
      <c r="V110" s="676"/>
      <c r="W110" s="676"/>
      <c r="X110" s="676"/>
      <c r="Y110" s="676"/>
      <c r="Z110" s="676"/>
      <c r="AA110" s="697" t="s">
        <v>173</v>
      </c>
      <c r="AB110" s="697" t="s">
        <v>174</v>
      </c>
      <c r="AC110" s="697" t="s">
        <v>164</v>
      </c>
      <c r="AD110" s="697" t="s">
        <v>175</v>
      </c>
      <c r="AE110" s="697" t="s">
        <v>164</v>
      </c>
      <c r="AF110" s="697" t="s">
        <v>176</v>
      </c>
      <c r="AG110" s="698" t="s">
        <v>177</v>
      </c>
      <c r="AH110" s="676" t="s">
        <v>156</v>
      </c>
      <c r="AI110" s="676" t="s">
        <v>142</v>
      </c>
      <c r="AJ110" s="676" t="s">
        <v>178</v>
      </c>
      <c r="AK110" s="676" t="s">
        <v>179</v>
      </c>
      <c r="AL110" s="676" t="s">
        <v>180</v>
      </c>
      <c r="AM110" s="676" t="s">
        <v>181</v>
      </c>
    </row>
    <row r="111" spans="1:39" ht="72.599999999999994" x14ac:dyDescent="0.3">
      <c r="A111" s="706"/>
      <c r="B111" s="707"/>
      <c r="C111" s="676"/>
      <c r="D111" s="676"/>
      <c r="E111" s="708"/>
      <c r="F111" s="710"/>
      <c r="G111" s="38" t="s">
        <v>201</v>
      </c>
      <c r="H111" s="38" t="s">
        <v>182</v>
      </c>
      <c r="I111" s="703"/>
      <c r="J111" s="676"/>
      <c r="K111" s="703"/>
      <c r="L111" s="701"/>
      <c r="M111" s="703"/>
      <c r="N111" s="703"/>
      <c r="O111" s="701"/>
      <c r="P111" s="701"/>
      <c r="Q111" s="676"/>
      <c r="R111" s="699"/>
      <c r="S111" s="676"/>
      <c r="T111" s="703"/>
      <c r="U111" s="39" t="s">
        <v>183</v>
      </c>
      <c r="V111" s="39" t="s">
        <v>184</v>
      </c>
      <c r="W111" s="39" t="s">
        <v>185</v>
      </c>
      <c r="X111" s="39" t="s">
        <v>186</v>
      </c>
      <c r="Y111" s="39" t="s">
        <v>187</v>
      </c>
      <c r="Z111" s="39" t="s">
        <v>188</v>
      </c>
      <c r="AA111" s="697"/>
      <c r="AB111" s="697"/>
      <c r="AC111" s="697"/>
      <c r="AD111" s="697"/>
      <c r="AE111" s="697"/>
      <c r="AF111" s="697"/>
      <c r="AG111" s="699"/>
      <c r="AH111" s="676"/>
      <c r="AI111" s="676"/>
      <c r="AJ111" s="676"/>
      <c r="AK111" s="676"/>
      <c r="AL111" s="676"/>
      <c r="AM111" s="676"/>
    </row>
    <row r="112" spans="1:39" ht="211.2" x14ac:dyDescent="0.3">
      <c r="A112" s="834">
        <v>1</v>
      </c>
      <c r="B112" s="836" t="s">
        <v>189</v>
      </c>
      <c r="C112" s="836" t="s">
        <v>256</v>
      </c>
      <c r="D112" s="838" t="s">
        <v>257</v>
      </c>
      <c r="E112" s="96" t="s">
        <v>281</v>
      </c>
      <c r="F112" s="840" t="s">
        <v>258</v>
      </c>
      <c r="G112" s="841" t="s">
        <v>202</v>
      </c>
      <c r="H112" s="840" t="s">
        <v>259</v>
      </c>
      <c r="I112" s="843" t="s">
        <v>190</v>
      </c>
      <c r="J112" s="97">
        <v>25</v>
      </c>
      <c r="K112" s="98" t="str">
        <f>IF(J112&lt;=0,"",IF(J112&lt;=2,"Muy Baja",IF(J112&lt;=24,"Baja",IF(J112&lt;=500,"Media",IF(J112&lt;=5000,"Alta","Muy Alta")))))</f>
        <v>Media</v>
      </c>
      <c r="L112" s="99">
        <f>IF(K112="","",IF(K112="Muy Baja",0.2,IF(K112="Baja",0.4,IF(K112="Media",0.6,IF(K112="Alta",0.8,IF(K112="Muy Alta",1,))))))</f>
        <v>0.6</v>
      </c>
      <c r="M112" s="100" t="s">
        <v>200</v>
      </c>
      <c r="N112" s="101" t="str">
        <f>IF(NOT(ISERROR(MATCH(M112,'[8]Tabla Impacto'!$B$221:$B$223,0))),'[8]Tabla Impacto'!$F$223&amp;"Por favor no seleccionar los criterios de impacto(Afectación Económica o presupuestal y Pérdida Reputacional)",M112)</f>
        <v xml:space="preserve">     El riesgo afecta la imagen de la entidad con algunos usuarios de relevancia frente al logro de los objetivos</v>
      </c>
      <c r="O112" s="98" t="str">
        <f>IF(OR(N112='[8]Tabla Impacto'!$C$11,N112='[8]Tabla Impacto'!$D$11),"Leve",IF(OR(N112='[8]Tabla Impacto'!$C$12,N112='[8]Tabla Impacto'!$D$12),"Menor",IF(OR(N112='[8]Tabla Impacto'!$C$13,N112='[8]Tabla Impacto'!$D$13),"Moderado",IF(OR(N112='[8]Tabla Impacto'!$C$14,N112='[8]Tabla Impacto'!$D$14),"Mayor",IF(OR(N112='[8]Tabla Impacto'!$C$15,N112='[8]Tabla Impacto'!$D$15),"Catastrófico","")))))</f>
        <v>Moderado</v>
      </c>
      <c r="P112" s="102">
        <f>IF(O112="","",IF(O112="Leve",0.2,IF(O112="Menor",0.4,IF(O112="Moderado",0.6,IF(O112="Mayor",0.8,IF(O112="Catastrófico",1,))))))</f>
        <v>0.6</v>
      </c>
      <c r="Q112" s="103" t="str">
        <f>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Moderado</v>
      </c>
      <c r="R112" s="104">
        <v>1</v>
      </c>
      <c r="S112" s="105" t="s">
        <v>260</v>
      </c>
      <c r="T112" s="106" t="str">
        <f t="shared" ref="T112:T116" si="71">IF(OR(U112="Preventivo",U112="Detectivo"),"Probabilidad",IF(U112="Correctivo","Impacto",""))</f>
        <v>Probabilidad</v>
      </c>
      <c r="U112" s="107" t="s">
        <v>197</v>
      </c>
      <c r="V112" s="107" t="s">
        <v>191</v>
      </c>
      <c r="W112" s="108" t="str">
        <f t="shared" ref="W112:W116" si="72">IF(AND(U112="Preventivo",V112="Automático"),"50%",IF(AND(U112="Preventivo",V112="Manual"),"40%",IF(AND(U112="Detectivo",V112="Automático"),"40%",IF(AND(U112="Detectivo",V112="Manual"),"30%",IF(AND(U112="Correctivo",V112="Automático"),"35%",IF(AND(U112="Correctivo",V112="Manual"),"25%",""))))))</f>
        <v>40%</v>
      </c>
      <c r="X112" s="107" t="s">
        <v>198</v>
      </c>
      <c r="Y112" s="107" t="s">
        <v>193</v>
      </c>
      <c r="Z112" s="107" t="s">
        <v>194</v>
      </c>
      <c r="AA112" s="109">
        <f>IFERROR(IF(T112="Probabilidad",(L112-(+L112*W112)),IF(T112="Impacto",L112,"")),"")</f>
        <v>0.36</v>
      </c>
      <c r="AB112" s="110" t="str">
        <f t="shared" ref="AB112:AB116" si="73">IFERROR(IF(AA112="","",IF(AA112&lt;=0.2,"Muy Baja",IF(AA112&lt;=0.4,"Baja",IF(AA112&lt;=0.6,"Media",IF(AA112&lt;=0.8,"Alta","Muy Alta"))))),"")</f>
        <v>Baja</v>
      </c>
      <c r="AC112" s="111">
        <f>+AA112</f>
        <v>0.36</v>
      </c>
      <c r="AD112" s="845" t="str">
        <f>IFERROR(IF(AE112="","",IF(AE112&lt;=0.2,"Leve",IF(AE112&lt;=0.4,"Menor",IF(AE112&lt;=0.6,"Moderado",IF(AE112&lt;=0.8,"Mayor","Catastrófico"))))),"")</f>
        <v>Moderado</v>
      </c>
      <c r="AE112" s="111">
        <f t="shared" ref="AE112:AE116" si="74">IFERROR(IF(T112="Impacto",(P112-(+P112*W112)),IF(T112="Probabilidad",P112,"")),"")</f>
        <v>0.6</v>
      </c>
      <c r="AF112" s="848" t="str">
        <f>IFERROR(IF(OR(AND(AB112="Muy Baja",AD112="Leve"),AND(AB112="Muy Baja",AD112="Menor"),AND(AB112="Baja",AD112="Leve")),"Bajo",IF(OR(AND(AB112="Muy baja",AD112="Moderado"),AND(AB112="Baja",AD112="Menor"),AND(AB112="Baja",AD112="Moderado"),AND(AB112="Media",AD112="Leve"),AND(AB112="Media",AD112="Menor"),AND(AB112="Media",AD112="Moderado"),AND(AB112="Alta",AD112="Leve"),AND(AB112="Alta",AD112="Menor")),"Moderado",IF(OR(AND(AB112="Muy Baja",AD112="Mayor"),AND(AB112="Baja",AD112="Mayor"),AND(AB112="Media",AD112="Mayor"),AND(AB112="Alta",AD112="Moderado"),AND(AB112="Alta",AD112="Mayor"),AND(AB112="Muy Alta",AD112="Leve"),AND(AB112="Muy Alta",AD112="Menor"),AND(AB112="Muy Alta",AD112="Moderado"),AND(AB112="Muy Alta",AD112="Mayor")),"Alto",IF(OR(AND(AB112="Muy Baja",AD112="Catastrófico"),AND(AB112="Baja",AD112="Catastrófico"),AND(AB112="Media",AD112="Catastrófico"),AND(AB112="Alta",AD112="Catastrófico"),AND(AB112="Muy Alta",AD112="Catastrófico")),"Extremo","")))),"")</f>
        <v>Moderado</v>
      </c>
      <c r="AG112" s="91" t="s">
        <v>195</v>
      </c>
      <c r="AH112" s="112" t="s">
        <v>261</v>
      </c>
      <c r="AI112" s="113" t="s">
        <v>262</v>
      </c>
      <c r="AJ112" s="114" t="s">
        <v>263</v>
      </c>
      <c r="AK112" s="115" t="s">
        <v>264</v>
      </c>
      <c r="AL112" s="112" t="s">
        <v>265</v>
      </c>
      <c r="AM112" s="116" t="s">
        <v>196</v>
      </c>
    </row>
    <row r="113" spans="1:39" ht="198" x14ac:dyDescent="0.3">
      <c r="A113" s="835"/>
      <c r="B113" s="837"/>
      <c r="C113" s="837"/>
      <c r="D113" s="839"/>
      <c r="E113" s="96" t="s">
        <v>282</v>
      </c>
      <c r="F113" s="840"/>
      <c r="G113" s="842"/>
      <c r="H113" s="840"/>
      <c r="I113" s="844"/>
      <c r="J113" s="97">
        <v>25</v>
      </c>
      <c r="K113" s="98" t="str">
        <f>IF(J113&lt;=0,"",IF(J113&lt;=2,"Muy Baja",IF(J113&lt;=24,"Baja",IF(J113&lt;=500,"Media",IF(J113&lt;=5000,"Alta","Muy Alta")))))</f>
        <v>Media</v>
      </c>
      <c r="L113" s="99">
        <f>IF(K113="","",IF(K113="Muy Baja",0.2,IF(K113="Baja",0.4,IF(K113="Media",0.6,IF(K113="Alta",0.8,IF(K113="Muy Alta",1,))))))</f>
        <v>0.6</v>
      </c>
      <c r="M113" s="100" t="s">
        <v>200</v>
      </c>
      <c r="N113" s="101" t="str">
        <f>IF(NOT(ISERROR(MATCH(M113,'[8]Tabla Impacto'!$B$221:$B$223,0))),'[8]Tabla Impacto'!$F$223&amp;"Por favor no seleccionar los criterios de impacto(Afectación Económica o presupuestal y Pérdida Reputacional)",M113)</f>
        <v xml:space="preserve">     El riesgo afecta la imagen de la entidad con algunos usuarios de relevancia frente al logro de los objetivos</v>
      </c>
      <c r="O113" s="98" t="str">
        <f>IF(OR(N113='[8]Tabla Impacto'!$C$11,N113='[8]Tabla Impacto'!$D$11),"Leve",IF(OR(N113='[8]Tabla Impacto'!$C$12,N113='[8]Tabla Impacto'!$D$12),"Menor",IF(OR(N113='[8]Tabla Impacto'!$C$13,N113='[8]Tabla Impacto'!$D$13),"Moderado",IF(OR(N113='[8]Tabla Impacto'!$C$14,N113='[8]Tabla Impacto'!$D$14),"Mayor",IF(OR(N113='[8]Tabla Impacto'!$C$15,N113='[8]Tabla Impacto'!$D$15),"Catastrófico","")))))</f>
        <v>Moderado</v>
      </c>
      <c r="P113" s="102">
        <f>IF(O113="","",IF(O113="Leve",0.2,IF(O113="Menor",0.4,IF(O113="Moderado",0.6,IF(O113="Mayor",0.8,IF(O113="Catastrófico",1,))))))</f>
        <v>0.6</v>
      </c>
      <c r="Q113" s="103" t="str">
        <f>IF(OR(AND(K113="Muy Baja",O113="Leve"),AND(K113="Muy Baja",O113="Menor"),AND(K113="Baja",O113="Leve")),"Bajo",IF(OR(AND(K113="Muy baja",O113="Moderado"),AND(K113="Baja",O113="Menor"),AND(K113="Baja",O113="Moderado"),AND(K113="Media",O113="Leve"),AND(K113="Media",O113="Menor"),AND(K113="Media",O113="Moderado"),AND(K113="Alta",O113="Leve"),AND(K113="Alta",O113="Menor")),"Moderado",IF(OR(AND(K113="Muy Baja",O113="Mayor"),AND(K113="Baja",O113="Mayor"),AND(K113="Media",O113="Mayor"),AND(K113="Alta",O113="Moderado"),AND(K113="Alta",O113="Mayor"),AND(K113="Muy Alta",O113="Leve"),AND(K113="Muy Alta",O113="Menor"),AND(K113="Muy Alta",O113="Moderado"),AND(K113="Muy Alta",O113="Mayor")),"Alto",IF(OR(AND(K113="Muy Baja",O113="Catastrófico"),AND(K113="Baja",O113="Catastrófico"),AND(K113="Media",O113="Catastrófico"),AND(K113="Alta",O113="Catastrófico"),AND(K113="Muy Alta",O113="Catastrófico")),"Extremo",""))))</f>
        <v>Moderado</v>
      </c>
      <c r="R113" s="104">
        <v>2</v>
      </c>
      <c r="S113" s="105" t="s">
        <v>266</v>
      </c>
      <c r="T113" s="106" t="str">
        <f t="shared" si="71"/>
        <v>Probabilidad</v>
      </c>
      <c r="U113" s="107" t="s">
        <v>197</v>
      </c>
      <c r="V113" s="107" t="s">
        <v>191</v>
      </c>
      <c r="W113" s="108" t="str">
        <f t="shared" si="72"/>
        <v>40%</v>
      </c>
      <c r="X113" s="107" t="s">
        <v>198</v>
      </c>
      <c r="Y113" s="107" t="s">
        <v>193</v>
      </c>
      <c r="Z113" s="107" t="s">
        <v>194</v>
      </c>
      <c r="AA113" s="109">
        <f>IFERROR(IF(AND(T112="Probabilidad",T113="Probabilidad"),(AC112-(+AC112*W113)),IF(AND(T112="Impacto",T113="Probabilidad"),(L112-(+L112*W113)),IF(T113="Impacto",AC112,""))),"")</f>
        <v>0.216</v>
      </c>
      <c r="AB113" s="110" t="str">
        <f t="shared" si="73"/>
        <v>Baja</v>
      </c>
      <c r="AC113" s="111">
        <f t="shared" ref="AC113:AC116" si="75">+AA113</f>
        <v>0.216</v>
      </c>
      <c r="AD113" s="846"/>
      <c r="AE113" s="111">
        <f t="shared" si="74"/>
        <v>0.6</v>
      </c>
      <c r="AF113" s="849"/>
      <c r="AG113" s="91" t="s">
        <v>195</v>
      </c>
      <c r="AH113" s="112" t="s">
        <v>267</v>
      </c>
      <c r="AI113" s="113" t="s">
        <v>262</v>
      </c>
      <c r="AJ113" s="114" t="s">
        <v>263</v>
      </c>
      <c r="AK113" s="115" t="s">
        <v>264</v>
      </c>
      <c r="AL113" s="112" t="s">
        <v>268</v>
      </c>
      <c r="AM113" s="116" t="s">
        <v>196</v>
      </c>
    </row>
    <row r="114" spans="1:39" ht="303.60000000000002" x14ac:dyDescent="0.3">
      <c r="A114" s="835"/>
      <c r="B114" s="837"/>
      <c r="C114" s="837"/>
      <c r="D114" s="839"/>
      <c r="E114" s="117" t="s">
        <v>283</v>
      </c>
      <c r="F114" s="840"/>
      <c r="G114" s="842"/>
      <c r="H114" s="840"/>
      <c r="I114" s="844"/>
      <c r="J114" s="97">
        <v>25</v>
      </c>
      <c r="K114" s="98" t="str">
        <f>IF(J114&lt;=0,"",IF(J114&lt;=2,"Muy Baja",IF(J114&lt;=24,"Baja",IF(J114&lt;=500,"Media",IF(J114&lt;=5000,"Alta","Muy Alta")))))</f>
        <v>Media</v>
      </c>
      <c r="L114" s="99">
        <f>IF(K114="","",IF(K114="Muy Baja",0.2,IF(K114="Baja",0.4,IF(K114="Media",0.6,IF(K114="Alta",0.8,IF(K114="Muy Alta",1,))))))</f>
        <v>0.6</v>
      </c>
      <c r="M114" s="100" t="s">
        <v>200</v>
      </c>
      <c r="N114" s="101" t="str">
        <f>IF(NOT(ISERROR(MATCH(M114,'[8]Tabla Impacto'!$B$221:$B$223,0))),'[8]Tabla Impacto'!$F$223&amp;"Por favor no seleccionar los criterios de impacto(Afectación Económica o presupuestal y Pérdida Reputacional)",M114)</f>
        <v xml:space="preserve">     El riesgo afecta la imagen de la entidad con algunos usuarios de relevancia frente al logro de los objetivos</v>
      </c>
      <c r="O114" s="98" t="str">
        <f>IF(OR(N114='[8]Tabla Impacto'!$C$11,N114='[8]Tabla Impacto'!$D$11),"Leve",IF(OR(N114='[8]Tabla Impacto'!$C$12,N114='[8]Tabla Impacto'!$D$12),"Menor",IF(OR(N114='[8]Tabla Impacto'!$C$13,N114='[8]Tabla Impacto'!$D$13),"Moderado",IF(OR(N114='[8]Tabla Impacto'!$C$14,N114='[8]Tabla Impacto'!$D$14),"Mayor",IF(OR(N114='[8]Tabla Impacto'!$C$15,N114='[8]Tabla Impacto'!$D$15),"Catastrófico","")))))</f>
        <v>Moderado</v>
      </c>
      <c r="P114" s="102">
        <f>IF(O114="","",IF(O114="Leve",0.2,IF(O114="Menor",0.4,IF(O114="Moderado",0.6,IF(O114="Mayor",0.8,IF(O114="Catastrófico",1,))))))</f>
        <v>0.6</v>
      </c>
      <c r="Q114" s="103" t="str">
        <f>IF(OR(AND(K114="Muy Baja",O114="Leve"),AND(K114="Muy Baja",O114="Menor"),AND(K114="Baja",O114="Leve")),"Bajo",IF(OR(AND(K114="Muy baja",O114="Moderado"),AND(K114="Baja",O114="Menor"),AND(K114="Baja",O114="Moderado"),AND(K114="Media",O114="Leve"),AND(K114="Media",O114="Menor"),AND(K114="Media",O114="Moderado"),AND(K114="Alta",O114="Leve"),AND(K114="Alta",O114="Menor")),"Moderado",IF(OR(AND(K114="Muy Baja",O114="Mayor"),AND(K114="Baja",O114="Mayor"),AND(K114="Media",O114="Mayor"),AND(K114="Alta",O114="Moderado"),AND(K114="Alta",O114="Mayor"),AND(K114="Muy Alta",O114="Leve"),AND(K114="Muy Alta",O114="Menor"),AND(K114="Muy Alta",O114="Moderado"),AND(K114="Muy Alta",O114="Mayor")),"Alto",IF(OR(AND(K114="Muy Baja",O114="Catastrófico"),AND(K114="Baja",O114="Catastrófico"),AND(K114="Media",O114="Catastrófico"),AND(K114="Alta",O114="Catastrófico"),AND(K114="Muy Alta",O114="Catastrófico")),"Extremo",""))))</f>
        <v>Moderado</v>
      </c>
      <c r="R114" s="104">
        <v>3</v>
      </c>
      <c r="S114" s="105" t="s">
        <v>269</v>
      </c>
      <c r="T114" s="106" t="str">
        <f t="shared" si="71"/>
        <v>Probabilidad</v>
      </c>
      <c r="U114" s="107" t="s">
        <v>197</v>
      </c>
      <c r="V114" s="107" t="s">
        <v>191</v>
      </c>
      <c r="W114" s="108" t="str">
        <f t="shared" si="72"/>
        <v>40%</v>
      </c>
      <c r="X114" s="107" t="s">
        <v>198</v>
      </c>
      <c r="Y114" s="107" t="s">
        <v>193</v>
      </c>
      <c r="Z114" s="107" t="s">
        <v>194</v>
      </c>
      <c r="AA114" s="109">
        <f>IFERROR(IF(AND(T113="Probabilidad",T114="Probabilidad"),(AC113-(+AC113*W114)),IF(AND(T113="Impacto",T114="Probabilidad"),(AC112-(+AC112*W114)),IF(T114="Impacto",AC113,""))),"")</f>
        <v>0.12959999999999999</v>
      </c>
      <c r="AB114" s="110" t="str">
        <f t="shared" si="73"/>
        <v>Muy Baja</v>
      </c>
      <c r="AC114" s="111">
        <f t="shared" si="75"/>
        <v>0.12959999999999999</v>
      </c>
      <c r="AD114" s="846"/>
      <c r="AE114" s="111">
        <f t="shared" si="74"/>
        <v>0.6</v>
      </c>
      <c r="AF114" s="849"/>
      <c r="AG114" s="91" t="s">
        <v>195</v>
      </c>
      <c r="AH114" s="112" t="s">
        <v>270</v>
      </c>
      <c r="AI114" s="116" t="s">
        <v>262</v>
      </c>
      <c r="AJ114" s="114" t="s">
        <v>263</v>
      </c>
      <c r="AK114" s="115" t="s">
        <v>264</v>
      </c>
      <c r="AL114" s="112" t="s">
        <v>265</v>
      </c>
      <c r="AM114" s="116" t="s">
        <v>196</v>
      </c>
    </row>
    <row r="115" spans="1:39" ht="158.4" x14ac:dyDescent="0.3">
      <c r="A115" s="835"/>
      <c r="B115" s="837"/>
      <c r="C115" s="837"/>
      <c r="D115" s="839"/>
      <c r="E115" s="117" t="s">
        <v>284</v>
      </c>
      <c r="F115" s="840"/>
      <c r="G115" s="842"/>
      <c r="H115" s="840"/>
      <c r="I115" s="844"/>
      <c r="J115" s="97">
        <v>25</v>
      </c>
      <c r="K115" s="98" t="str">
        <f>IF(J115&lt;=0,"",IF(J115&lt;=2,"Muy Baja",IF(J115&lt;=24,"Baja",IF(J115&lt;=500,"Media",IF(J115&lt;=5000,"Alta","Muy Alta")))))</f>
        <v>Media</v>
      </c>
      <c r="L115" s="99">
        <f>IF(K115="","",IF(K115="Muy Baja",0.2,IF(K115="Baja",0.4,IF(K115="Media",0.6,IF(K115="Alta",0.8,IF(K115="Muy Alta",1,))))))</f>
        <v>0.6</v>
      </c>
      <c r="M115" s="100" t="s">
        <v>200</v>
      </c>
      <c r="N115" s="101" t="str">
        <f>IF(NOT(ISERROR(MATCH(M115,'[8]Tabla Impacto'!$B$221:$B$223,0))),'[8]Tabla Impacto'!$F$223&amp;"Por favor no seleccionar los criterios de impacto(Afectación Económica o presupuestal y Pérdida Reputacional)",M115)</f>
        <v xml:space="preserve">     El riesgo afecta la imagen de la entidad con algunos usuarios de relevancia frente al logro de los objetivos</v>
      </c>
      <c r="O115" s="98" t="str">
        <f>IF(OR(N115='[8]Tabla Impacto'!$C$11,N115='[8]Tabla Impacto'!$D$11),"Leve",IF(OR(N115='[8]Tabla Impacto'!$C$12,N115='[8]Tabla Impacto'!$D$12),"Menor",IF(OR(N115='[8]Tabla Impacto'!$C$13,N115='[8]Tabla Impacto'!$D$13),"Moderado",IF(OR(N115='[8]Tabla Impacto'!$C$14,N115='[8]Tabla Impacto'!$D$14),"Mayor",IF(OR(N115='[8]Tabla Impacto'!$C$15,N115='[8]Tabla Impacto'!$D$15),"Catastrófico","")))))</f>
        <v>Moderado</v>
      </c>
      <c r="P115" s="102">
        <f>IF(O115="","",IF(O115="Leve",0.2,IF(O115="Menor",0.4,IF(O115="Moderado",0.6,IF(O115="Mayor",0.8,IF(O115="Catastrófico",1,))))))</f>
        <v>0.6</v>
      </c>
      <c r="Q115" s="103" t="str">
        <f>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Moderado</v>
      </c>
      <c r="R115" s="104">
        <v>4</v>
      </c>
      <c r="S115" s="105" t="s">
        <v>271</v>
      </c>
      <c r="T115" s="106" t="str">
        <f>IF(OR(U115="Preventivo",U115="Detectivo"),"Probabilidad",IF(U115="Correctivo","Impacto",""))</f>
        <v>Probabilidad</v>
      </c>
      <c r="U115" s="107" t="s">
        <v>197</v>
      </c>
      <c r="V115" s="107" t="s">
        <v>191</v>
      </c>
      <c r="W115" s="108" t="str">
        <f t="shared" si="72"/>
        <v>40%</v>
      </c>
      <c r="X115" s="107" t="s">
        <v>198</v>
      </c>
      <c r="Y115" s="107" t="s">
        <v>193</v>
      </c>
      <c r="Z115" s="107" t="s">
        <v>194</v>
      </c>
      <c r="AA115" s="109">
        <f>IFERROR(IF(AND(T114="Probabilidad",T115="Probabilidad"),(AC114-(+AC114*W115)),IF(AND(T114="Impacto",T115="Probabilidad"),(AC113-(+AC113*W115)),IF(T115="Impacto",AC114,""))),"")</f>
        <v>7.7759999999999996E-2</v>
      </c>
      <c r="AB115" s="110" t="str">
        <f t="shared" si="73"/>
        <v>Muy Baja</v>
      </c>
      <c r="AC115" s="111">
        <f t="shared" si="75"/>
        <v>7.7759999999999996E-2</v>
      </c>
      <c r="AD115" s="847"/>
      <c r="AE115" s="111">
        <f t="shared" si="74"/>
        <v>0.6</v>
      </c>
      <c r="AF115" s="850"/>
      <c r="AG115" s="91" t="s">
        <v>195</v>
      </c>
      <c r="AH115" s="112" t="s">
        <v>272</v>
      </c>
      <c r="AI115" s="116" t="s">
        <v>262</v>
      </c>
      <c r="AJ115" s="114" t="s">
        <v>263</v>
      </c>
      <c r="AK115" s="115" t="s">
        <v>264</v>
      </c>
      <c r="AL115" s="112" t="s">
        <v>273</v>
      </c>
      <c r="AM115" s="116" t="s">
        <v>196</v>
      </c>
    </row>
    <row r="116" spans="1:39" ht="207" x14ac:dyDescent="0.3">
      <c r="A116" s="118">
        <v>2</v>
      </c>
      <c r="B116" s="119" t="s">
        <v>189</v>
      </c>
      <c r="C116" s="119" t="s">
        <v>274</v>
      </c>
      <c r="D116" s="120" t="s">
        <v>275</v>
      </c>
      <c r="E116" s="121" t="s">
        <v>285</v>
      </c>
      <c r="F116" s="122" t="s">
        <v>276</v>
      </c>
      <c r="G116" s="92" t="s">
        <v>202</v>
      </c>
      <c r="H116" s="123" t="s">
        <v>277</v>
      </c>
      <c r="I116" s="124" t="s">
        <v>278</v>
      </c>
      <c r="J116" s="125">
        <v>4</v>
      </c>
      <c r="K116" s="126" t="str">
        <f>IF(J116&lt;=0,"",IF(J116&lt;=2,"Muy Baja",IF(J116&lt;=24,"Baja",IF(J116&lt;=500,"Media",IF(J116&lt;=5000,"Alta","Muy Alta")))))</f>
        <v>Baja</v>
      </c>
      <c r="L116" s="45">
        <f>IF(K116="","",IF(K116="Muy Baja",0.2,IF(K116="Baja",0.4,IF(K116="Media",0.6,IF(K116="Alta",0.8,IF(K116="Muy Alta",1,))))))</f>
        <v>0.4</v>
      </c>
      <c r="M116" s="127" t="s">
        <v>200</v>
      </c>
      <c r="N116" s="128" t="str">
        <f>IF(NOT(ISERROR(MATCH(M116,'[8]Tabla Impacto'!$B$221:$B$223,0))),'[8]Tabla Impacto'!$F$223&amp;"Por favor no seleccionar los criterios de impacto(Afectación Económica o presupuestal y Pérdida Reputacional)",M116)</f>
        <v xml:space="preserve">     El riesgo afecta la imagen de la entidad con algunos usuarios de relevancia frente al logro de los objetivos</v>
      </c>
      <c r="O116" s="129" t="str">
        <f>IF(OR(N116='[8]Tabla Impacto'!$C$11,N116='[8]Tabla Impacto'!$D$11),"Leve",IF(OR(N116='[8]Tabla Impacto'!$C$12,N116='[8]Tabla Impacto'!$D$12),"Menor",IF(OR(N116='[8]Tabla Impacto'!$C$13,N116='[8]Tabla Impacto'!$D$13),"Moderado",IF(OR(N116='[8]Tabla Impacto'!$C$14,N116='[8]Tabla Impacto'!$D$14),"Mayor",IF(OR(N116='[8]Tabla Impacto'!$C$15,N116='[8]Tabla Impacto'!$D$15),"Catastrófico","")))))</f>
        <v>Moderado</v>
      </c>
      <c r="P116" s="128">
        <f>IF(O116="","",IF(O116="Leve",0.2,IF(O116="Menor",0.4,IF(O116="Moderado",0.6,IF(O116="Mayor",0.8,IF(O116="Catastrófico",1,))))))</f>
        <v>0.6</v>
      </c>
      <c r="Q116" s="130" t="str">
        <f>IF(OR(AND(K116="Muy Baja",O116="Leve"),AND(K116="Muy Baja",O116="Menor"),AND(K116="Baja",O116="Leve")),"Bajo",IF(OR(AND(K116="Muy baja",O116="Moderado"),AND(K116="Baja",O116="Menor"),AND(K116="Baja",O116="Moderado"),AND(K116="Media",O116="Leve"),AND(K116="Media",O116="Menor"),AND(K116="Media",O116="Moderado"),AND(K116="Alta",O116="Leve"),AND(K116="Alta",O116="Menor")),"Moderado",IF(OR(AND(K116="Muy Baja",O116="Mayor"),AND(K116="Baja",O116="Mayor"),AND(K116="Media",O116="Mayor"),AND(K116="Alta",O116="Moderado"),AND(K116="Alta",O116="Mayor"),AND(K116="Muy Alta",O116="Leve"),AND(K116="Muy Alta",O116="Menor"),AND(K116="Muy Alta",O116="Moderado"),AND(K116="Muy Alta",O116="Mayor")),"Alto",IF(OR(AND(K116="Muy Baja",O116="Catastrófico"),AND(K116="Baja",O116="Catastrófico"),AND(K116="Media",O116="Catastrófico"),AND(K116="Alta",O116="Catastrófico"),AND(K116="Muy Alta",O116="Catastrófico")),"Extremo",""))))</f>
        <v>Moderado</v>
      </c>
      <c r="R116" s="118">
        <v>1</v>
      </c>
      <c r="S116" s="131" t="s">
        <v>279</v>
      </c>
      <c r="T116" s="94" t="str">
        <f t="shared" si="71"/>
        <v>Probabilidad</v>
      </c>
      <c r="U116" s="86" t="s">
        <v>197</v>
      </c>
      <c r="V116" s="86" t="s">
        <v>191</v>
      </c>
      <c r="W116" s="87" t="str">
        <f t="shared" si="72"/>
        <v>40%</v>
      </c>
      <c r="X116" s="86" t="s">
        <v>198</v>
      </c>
      <c r="Y116" s="86" t="s">
        <v>193</v>
      </c>
      <c r="Z116" s="86" t="s">
        <v>194</v>
      </c>
      <c r="AA116" s="95">
        <f>IFERROR(IF(T116="Probabilidad",(L116-(+L116*W116)),IF(T116="Impacto",L116,"")),"")</f>
        <v>0.24</v>
      </c>
      <c r="AB116" s="88" t="str">
        <f t="shared" si="73"/>
        <v>Baja</v>
      </c>
      <c r="AC116" s="89">
        <f t="shared" si="75"/>
        <v>0.24</v>
      </c>
      <c r="AD116" s="88" t="str">
        <f>IFERROR(IF(AE116="","",IF(AE116&lt;=0.2,"Leve",IF(AE116&lt;=0.4,"Menor",IF(AE116&lt;=0.6,"Moderado",IF(AE116&lt;=0.8,"Mayor","Catastrófico"))))),"")</f>
        <v>Moderado</v>
      </c>
      <c r="AE116" s="89">
        <f t="shared" si="74"/>
        <v>0.6</v>
      </c>
      <c r="AF116" s="90" t="str">
        <f>IFERROR(IF(OR(AND(AB116="Muy Baja",AD116="Leve"),AND(AB116="Muy Baja",AD116="Menor"),AND(AB116="Baja",AD116="Leve")),"Bajo",IF(OR(AND(AB116="Muy baja",AD116="Moderado"),AND(AB116="Baja",AD116="Menor"),AND(AB116="Baja",AD116="Moderado"),AND(AB116="Media",AD116="Leve"),AND(AB116="Media",AD116="Menor"),AND(AB116="Media",AD116="Moderado"),AND(AB116="Alta",AD116="Leve"),AND(AB116="Alta",AD116="Menor")),"Moderado",IF(OR(AND(AB116="Muy Baja",AD116="Mayor"),AND(AB116="Baja",AD116="Mayor"),AND(AB116="Media",AD116="Mayor"),AND(AB116="Alta",AD116="Moderado"),AND(AB116="Alta",AD116="Mayor"),AND(AB116="Muy Alta",AD116="Leve"),AND(AB116="Muy Alta",AD116="Menor"),AND(AB116="Muy Alta",AD116="Moderado"),AND(AB116="Muy Alta",AD116="Mayor")),"Alto",IF(OR(AND(AB116="Muy Baja",AD116="Catastrófico"),AND(AB116="Baja",AD116="Catastrófico"),AND(AB116="Media",AD116="Catastrófico"),AND(AB116="Alta",AD116="Catastrófico"),AND(AB116="Muy Alta",AD116="Catastrófico")),"Extremo","")))),"")</f>
        <v>Moderado</v>
      </c>
      <c r="AG116" s="91" t="s">
        <v>195</v>
      </c>
      <c r="AH116" s="93" t="s">
        <v>280</v>
      </c>
      <c r="AI116" s="116" t="s">
        <v>262</v>
      </c>
      <c r="AJ116" s="114" t="s">
        <v>263</v>
      </c>
      <c r="AK116" s="132" t="s">
        <v>264</v>
      </c>
      <c r="AL116" s="112" t="s">
        <v>265</v>
      </c>
      <c r="AM116" s="116" t="s">
        <v>196</v>
      </c>
    </row>
    <row r="117" spans="1:39" x14ac:dyDescent="0.3">
      <c r="A117" s="718" t="s">
        <v>148</v>
      </c>
      <c r="B117" s="719"/>
      <c r="C117" s="719"/>
      <c r="D117" s="719"/>
      <c r="E117" s="719"/>
      <c r="F117" s="719"/>
      <c r="G117" s="719"/>
      <c r="H117" s="719"/>
      <c r="I117" s="719"/>
      <c r="J117" s="719"/>
      <c r="K117" s="719"/>
      <c r="L117" s="719"/>
      <c r="M117" s="719"/>
      <c r="N117" s="719"/>
      <c r="O117" s="719"/>
      <c r="P117" s="719"/>
      <c r="Q117" s="719"/>
      <c r="R117" s="719"/>
      <c r="S117" s="719"/>
      <c r="T117" s="719"/>
      <c r="U117" s="719"/>
      <c r="V117" s="719"/>
      <c r="W117" s="719"/>
      <c r="X117" s="719"/>
      <c r="Y117" s="719"/>
      <c r="Z117" s="719"/>
      <c r="AA117" s="719"/>
      <c r="AB117" s="719"/>
      <c r="AC117" s="719"/>
      <c r="AD117" s="719"/>
      <c r="AE117" s="719"/>
      <c r="AF117" s="719"/>
      <c r="AG117" s="719"/>
      <c r="AH117" s="719"/>
      <c r="AI117" s="719"/>
      <c r="AJ117" s="719"/>
      <c r="AK117" s="719"/>
      <c r="AL117" s="719"/>
      <c r="AM117" s="720"/>
    </row>
    <row r="118" spans="1:39" x14ac:dyDescent="0.3">
      <c r="A118" s="721"/>
      <c r="B118" s="722"/>
      <c r="C118" s="722"/>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2"/>
      <c r="AA118" s="722"/>
      <c r="AB118" s="722"/>
      <c r="AC118" s="722"/>
      <c r="AD118" s="722"/>
      <c r="AE118" s="722"/>
      <c r="AF118" s="722"/>
      <c r="AG118" s="722"/>
      <c r="AH118" s="722"/>
      <c r="AI118" s="722"/>
      <c r="AJ118" s="722"/>
      <c r="AK118" s="722"/>
      <c r="AL118" s="722"/>
      <c r="AM118" s="723"/>
    </row>
    <row r="119" spans="1:39" ht="14.4" x14ac:dyDescent="0.3">
      <c r="A119" s="42"/>
      <c r="B119" s="43"/>
      <c r="C119" s="42"/>
      <c r="D119" s="42"/>
      <c r="E119" s="42"/>
      <c r="F119" s="41"/>
      <c r="G119" s="41"/>
      <c r="H119" s="41"/>
      <c r="I119" s="44"/>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row>
    <row r="120" spans="1:39" ht="23.4" x14ac:dyDescent="0.3">
      <c r="A120" s="711" t="s">
        <v>149</v>
      </c>
      <c r="B120" s="712"/>
      <c r="C120" s="828" t="s">
        <v>486</v>
      </c>
      <c r="D120" s="829"/>
      <c r="E120" s="829"/>
      <c r="F120" s="829"/>
      <c r="G120" s="829"/>
      <c r="H120" s="829"/>
      <c r="I120" s="829"/>
      <c r="J120" s="829"/>
      <c r="K120" s="829"/>
      <c r="L120" s="829"/>
      <c r="M120" s="829"/>
      <c r="N120" s="829"/>
      <c r="O120" s="829"/>
      <c r="P120" s="829"/>
      <c r="Q120" s="829"/>
      <c r="R120" s="829"/>
      <c r="S120" s="829"/>
      <c r="T120" s="829"/>
      <c r="U120" s="829"/>
      <c r="V120" s="829"/>
      <c r="W120" s="829"/>
      <c r="X120" s="829"/>
      <c r="Y120" s="829"/>
      <c r="Z120" s="829"/>
      <c r="AA120" s="829"/>
      <c r="AB120" s="829"/>
      <c r="AC120" s="829"/>
      <c r="AD120" s="829"/>
      <c r="AE120" s="829"/>
      <c r="AF120" s="829"/>
      <c r="AG120" s="829"/>
      <c r="AH120" s="829"/>
      <c r="AI120" s="829"/>
      <c r="AJ120" s="829"/>
      <c r="AK120" s="829"/>
      <c r="AL120" s="829"/>
      <c r="AM120" s="830"/>
    </row>
    <row r="121" spans="1:39" ht="23.4" x14ac:dyDescent="0.3">
      <c r="A121" s="711" t="s">
        <v>150</v>
      </c>
      <c r="B121" s="712"/>
      <c r="C121" s="831" t="s">
        <v>487</v>
      </c>
      <c r="D121" s="832"/>
      <c r="E121" s="832"/>
      <c r="F121" s="832"/>
      <c r="G121" s="832"/>
      <c r="H121" s="832"/>
      <c r="I121" s="832"/>
      <c r="J121" s="832"/>
      <c r="K121" s="832"/>
      <c r="L121" s="832"/>
      <c r="M121" s="832"/>
      <c r="N121" s="832"/>
      <c r="O121" s="832"/>
      <c r="P121" s="832"/>
      <c r="Q121" s="832"/>
      <c r="R121" s="832"/>
      <c r="S121" s="832"/>
      <c r="T121" s="832"/>
      <c r="U121" s="832"/>
      <c r="V121" s="832"/>
      <c r="W121" s="832"/>
      <c r="X121" s="832"/>
      <c r="Y121" s="832"/>
      <c r="Z121" s="832"/>
      <c r="AA121" s="832"/>
      <c r="AB121" s="832"/>
      <c r="AC121" s="832"/>
      <c r="AD121" s="832"/>
      <c r="AE121" s="832"/>
      <c r="AF121" s="832"/>
      <c r="AG121" s="832"/>
      <c r="AH121" s="832"/>
      <c r="AI121" s="832"/>
      <c r="AJ121" s="832"/>
      <c r="AK121" s="832"/>
      <c r="AL121" s="832"/>
      <c r="AM121" s="833"/>
    </row>
    <row r="122" spans="1:39" ht="23.4" x14ac:dyDescent="0.3">
      <c r="A122" s="711" t="s">
        <v>151</v>
      </c>
      <c r="B122" s="712"/>
      <c r="C122" s="831" t="s">
        <v>488</v>
      </c>
      <c r="D122" s="832"/>
      <c r="E122" s="832"/>
      <c r="F122" s="832"/>
      <c r="G122" s="832"/>
      <c r="H122" s="832"/>
      <c r="I122" s="832"/>
      <c r="J122" s="832"/>
      <c r="K122" s="832"/>
      <c r="L122" s="832"/>
      <c r="M122" s="832"/>
      <c r="N122" s="832"/>
      <c r="O122" s="832"/>
      <c r="P122" s="832"/>
      <c r="Q122" s="832"/>
      <c r="R122" s="832"/>
      <c r="S122" s="832"/>
      <c r="T122" s="832"/>
      <c r="U122" s="832"/>
      <c r="V122" s="832"/>
      <c r="W122" s="832"/>
      <c r="X122" s="832"/>
      <c r="Y122" s="832"/>
      <c r="Z122" s="832"/>
      <c r="AA122" s="832"/>
      <c r="AB122" s="832"/>
      <c r="AC122" s="832"/>
      <c r="AD122" s="832"/>
      <c r="AE122" s="832"/>
      <c r="AF122" s="832"/>
      <c r="AG122" s="832"/>
      <c r="AH122" s="832"/>
      <c r="AI122" s="832"/>
      <c r="AJ122" s="832"/>
      <c r="AK122" s="832"/>
      <c r="AL122" s="832"/>
      <c r="AM122" s="833"/>
    </row>
    <row r="123" spans="1:39" x14ac:dyDescent="0.3">
      <c r="A123" s="714" t="s">
        <v>152</v>
      </c>
      <c r="B123" s="715"/>
      <c r="C123" s="716"/>
      <c r="D123" s="716"/>
      <c r="E123" s="716"/>
      <c r="F123" s="716"/>
      <c r="G123" s="716"/>
      <c r="H123" s="716"/>
      <c r="I123" s="716"/>
      <c r="J123" s="717"/>
      <c r="K123" s="701" t="s">
        <v>153</v>
      </c>
      <c r="L123" s="716"/>
      <c r="M123" s="716"/>
      <c r="N123" s="716"/>
      <c r="O123" s="716"/>
      <c r="P123" s="716"/>
      <c r="Q123" s="717"/>
      <c r="R123" s="701" t="s">
        <v>154</v>
      </c>
      <c r="S123" s="716"/>
      <c r="T123" s="716"/>
      <c r="U123" s="716"/>
      <c r="V123" s="716"/>
      <c r="W123" s="716"/>
      <c r="X123" s="716"/>
      <c r="Y123" s="716"/>
      <c r="Z123" s="717"/>
      <c r="AA123" s="701" t="s">
        <v>155</v>
      </c>
      <c r="AB123" s="716"/>
      <c r="AC123" s="716"/>
      <c r="AD123" s="716"/>
      <c r="AE123" s="716"/>
      <c r="AF123" s="716"/>
      <c r="AG123" s="717"/>
      <c r="AH123" s="701" t="s">
        <v>156</v>
      </c>
      <c r="AI123" s="716"/>
      <c r="AJ123" s="716"/>
      <c r="AK123" s="716"/>
      <c r="AL123" s="716"/>
      <c r="AM123" s="717"/>
    </row>
    <row r="124" spans="1:39" x14ac:dyDescent="0.3">
      <c r="A124" s="705" t="s">
        <v>157</v>
      </c>
      <c r="B124" s="707" t="s">
        <v>141</v>
      </c>
      <c r="C124" s="703" t="s">
        <v>158</v>
      </c>
      <c r="D124" s="703" t="s">
        <v>159</v>
      </c>
      <c r="E124" s="702" t="s">
        <v>160</v>
      </c>
      <c r="F124" s="709" t="s">
        <v>60</v>
      </c>
      <c r="G124" s="38"/>
      <c r="H124" s="38"/>
      <c r="I124" s="702" t="s">
        <v>161</v>
      </c>
      <c r="J124" s="703" t="s">
        <v>162</v>
      </c>
      <c r="K124" s="708" t="s">
        <v>163</v>
      </c>
      <c r="L124" s="700" t="s">
        <v>164</v>
      </c>
      <c r="M124" s="702" t="s">
        <v>165</v>
      </c>
      <c r="N124" s="702" t="s">
        <v>166</v>
      </c>
      <c r="O124" s="704" t="s">
        <v>167</v>
      </c>
      <c r="P124" s="700" t="s">
        <v>164</v>
      </c>
      <c r="Q124" s="703" t="s">
        <v>168</v>
      </c>
      <c r="R124" s="698" t="s">
        <v>169</v>
      </c>
      <c r="S124" s="676" t="s">
        <v>170</v>
      </c>
      <c r="T124" s="702" t="s">
        <v>171</v>
      </c>
      <c r="U124" s="676" t="s">
        <v>172</v>
      </c>
      <c r="V124" s="676"/>
      <c r="W124" s="676"/>
      <c r="X124" s="676"/>
      <c r="Y124" s="676"/>
      <c r="Z124" s="676"/>
      <c r="AA124" s="697" t="s">
        <v>173</v>
      </c>
      <c r="AB124" s="697" t="s">
        <v>174</v>
      </c>
      <c r="AC124" s="697" t="s">
        <v>164</v>
      </c>
      <c r="AD124" s="697" t="s">
        <v>175</v>
      </c>
      <c r="AE124" s="697" t="s">
        <v>164</v>
      </c>
      <c r="AF124" s="697" t="s">
        <v>176</v>
      </c>
      <c r="AG124" s="698" t="s">
        <v>177</v>
      </c>
      <c r="AH124" s="676" t="s">
        <v>156</v>
      </c>
      <c r="AI124" s="676" t="s">
        <v>142</v>
      </c>
      <c r="AJ124" s="676" t="s">
        <v>178</v>
      </c>
      <c r="AK124" s="676" t="s">
        <v>179</v>
      </c>
      <c r="AL124" s="676" t="s">
        <v>180</v>
      </c>
      <c r="AM124" s="676" t="s">
        <v>181</v>
      </c>
    </row>
    <row r="125" spans="1:39" ht="72.599999999999994" x14ac:dyDescent="0.3">
      <c r="A125" s="706"/>
      <c r="B125" s="707"/>
      <c r="C125" s="676"/>
      <c r="D125" s="676"/>
      <c r="E125" s="708"/>
      <c r="F125" s="710"/>
      <c r="G125" s="38" t="s">
        <v>201</v>
      </c>
      <c r="H125" s="38" t="s">
        <v>182</v>
      </c>
      <c r="I125" s="703"/>
      <c r="J125" s="676"/>
      <c r="K125" s="703"/>
      <c r="L125" s="701"/>
      <c r="M125" s="703"/>
      <c r="N125" s="703"/>
      <c r="O125" s="701"/>
      <c r="P125" s="701"/>
      <c r="Q125" s="676"/>
      <c r="R125" s="699"/>
      <c r="S125" s="676"/>
      <c r="T125" s="703"/>
      <c r="U125" s="39" t="s">
        <v>183</v>
      </c>
      <c r="V125" s="39" t="s">
        <v>184</v>
      </c>
      <c r="W125" s="39" t="s">
        <v>185</v>
      </c>
      <c r="X125" s="39" t="s">
        <v>186</v>
      </c>
      <c r="Y125" s="39" t="s">
        <v>187</v>
      </c>
      <c r="Z125" s="39" t="s">
        <v>188</v>
      </c>
      <c r="AA125" s="697"/>
      <c r="AB125" s="697"/>
      <c r="AC125" s="697"/>
      <c r="AD125" s="697"/>
      <c r="AE125" s="697"/>
      <c r="AF125" s="697"/>
      <c r="AG125" s="699"/>
      <c r="AH125" s="676"/>
      <c r="AI125" s="676"/>
      <c r="AJ125" s="676"/>
      <c r="AK125" s="676"/>
      <c r="AL125" s="676"/>
      <c r="AM125" s="676"/>
    </row>
    <row r="126" spans="1:39" ht="69.599999999999994" x14ac:dyDescent="0.3">
      <c r="A126" s="630">
        <v>1</v>
      </c>
      <c r="B126" s="734" t="s">
        <v>199</v>
      </c>
      <c r="C126" s="734" t="s">
        <v>489</v>
      </c>
      <c r="D126" s="736" t="s">
        <v>490</v>
      </c>
      <c r="E126" s="405" t="s">
        <v>491</v>
      </c>
      <c r="F126" s="738" t="s">
        <v>492</v>
      </c>
      <c r="G126" s="760" t="s">
        <v>202</v>
      </c>
      <c r="H126" s="738" t="s">
        <v>493</v>
      </c>
      <c r="I126" s="739" t="s">
        <v>190</v>
      </c>
      <c r="J126" s="741">
        <v>16</v>
      </c>
      <c r="K126" s="743" t="str">
        <f>IF(J126&lt;=0,"",IF(J126&lt;=2,"Muy Baja",IF(J126&lt;=24,"Baja",IF(J126&lt;=500,"Media",IF(J126&lt;=5000,"Alta","Muy Alta")))))</f>
        <v>Baja</v>
      </c>
      <c r="L126" s="745">
        <f>IF(K126="","",IF(K126="Muy Baja",0.2,IF(K126="Baja",0.4,IF(K126="Media",0.6,IF(K126="Alta",0.8,IF(K126="Muy Alta",1,))))))</f>
        <v>0.4</v>
      </c>
      <c r="M126" s="747" t="s">
        <v>214</v>
      </c>
      <c r="N126" s="745" t="str">
        <f>IF(NOT(ISERROR(MATCH(M126,'[9]Tabla Impacto'!$B$221:$B$223,0))),'[9]Tabla Impacto'!$F$223&amp;"Por favor no seleccionar los criterios de impacto(Afectación Económica o presupuestal y Pérdida Reputacional)",M126)</f>
        <v xml:space="preserve">     El riesgo afecta la imagen de de la entidad con efecto publicitario sostenido a nivel de sector administrativo, nivel departamental o municipal</v>
      </c>
      <c r="O126" s="743" t="str">
        <f>IF(OR(N126='[9]Tabla Impacto'!$C$11,N126='[9]Tabla Impacto'!$D$11),"Leve",IF(OR(N126='[9]Tabla Impacto'!$C$12,N126='[9]Tabla Impacto'!$D$12),"Menor",IF(OR(N126='[9]Tabla Impacto'!$C$13,N126='[9]Tabla Impacto'!$D$13),"Moderado",IF(OR(N126='[9]Tabla Impacto'!$C$14,N126='[9]Tabla Impacto'!$D$14),"Mayor",IF(OR(N126='[9]Tabla Impacto'!$C$15,N126='[9]Tabla Impacto'!$D$15),"Catastrófico","")))))</f>
        <v>Mayor</v>
      </c>
      <c r="P126" s="745">
        <f>IF(O126="","",IF(O126="Leve",0.2,IF(O126="Menor",0.4,IF(O126="Moderado",0.6,IF(O126="Mayor",0.8,IF(O126="Catastrófico",1,))))))</f>
        <v>0.8</v>
      </c>
      <c r="Q126" s="749" t="str">
        <f>IF(OR(AND(K126="Muy Baja",O126="Leve"),AND(K126="Muy Baja",O126="Menor"),AND(K126="Baja",O126="Leve")),"Bajo",IF(OR(AND(K126="Muy baja",O126="Moderado"),AND(K126="Baja",O126="Menor"),AND(K126="Baja",O126="Moderado"),AND(K126="Media",O126="Leve"),AND(K126="Media",O126="Menor"),AND(K126="Media",O126="Moderado"),AND(K126="Alta",O126="Leve"),AND(K126="Alta",O126="Menor")),"Moderado",IF(OR(AND(K126="Muy Baja",O126="Mayor"),AND(K126="Baja",O126="Mayor"),AND(K126="Media",O126="Mayor"),AND(K126="Alta",O126="Moderado"),AND(K126="Alta",O126="Mayor"),AND(K126="Muy Alta",O126="Leve"),AND(K126="Muy Alta",O126="Menor"),AND(K126="Muy Alta",O126="Moderado"),AND(K126="Muy Alta",O126="Mayor")),"Alto",IF(OR(AND(K126="Muy Baja",O126="Catastrófico"),AND(K126="Baja",O126="Catastrófico"),AND(K126="Media",O126="Catastrófico"),AND(K126="Alta",O126="Catastrófico"),AND(K126="Muy Alta",O126="Catastrófico")),"Extremo",""))))</f>
        <v>Alto</v>
      </c>
      <c r="R126" s="249">
        <v>1</v>
      </c>
      <c r="S126" s="93">
        <f>+[9]DOFA!E153</f>
        <v>0</v>
      </c>
      <c r="T126" s="94" t="str">
        <f>IF(OR(U126="Preventivo",U126="Detectivo"),"Probabilidad",IF(U126="Correctivo","Impacto",""))</f>
        <v>Probabilidad</v>
      </c>
      <c r="U126" s="86" t="s">
        <v>197</v>
      </c>
      <c r="V126" s="86" t="s">
        <v>191</v>
      </c>
      <c r="W126" s="87" t="str">
        <f>IF(AND(U126="Preventivo",V126="Automático"),"50%",IF(AND(U126="Preventivo",V126="Manual"),"40%",IF(AND(U126="Detectivo",V126="Automático"),"40%",IF(AND(U126="Detectivo",V126="Manual"),"30%",IF(AND(U126="Correctivo",V126="Automático"),"35%",IF(AND(U126="Correctivo",V126="Manual"),"25%",""))))))</f>
        <v>40%</v>
      </c>
      <c r="X126" s="86" t="s">
        <v>198</v>
      </c>
      <c r="Y126" s="86" t="s">
        <v>193</v>
      </c>
      <c r="Z126" s="86" t="s">
        <v>194</v>
      </c>
      <c r="AA126" s="95">
        <f>IFERROR(IF(T126="Probabilidad",(L126-(+L126*W126)),IF(T126="Impacto",L126,"")),"")</f>
        <v>0.24</v>
      </c>
      <c r="AB126" s="88" t="str">
        <f>IFERROR(IF(AA126="","",IF(AA126&lt;=0.2,"Muy Baja",IF(AA126&lt;=0.4,"Baja",IF(AA126&lt;=0.6,"Media",IF(AA126&lt;=0.8,"Alta","Muy Alta"))))),"")</f>
        <v>Baja</v>
      </c>
      <c r="AC126" s="89">
        <f>+AA126</f>
        <v>0.24</v>
      </c>
      <c r="AD126" s="88" t="str">
        <f>IFERROR(IF(AE126="","",IF(AE126&lt;=0.2,"Leve",IF(AE126&lt;=0.4,"Menor",IF(AE126&lt;=0.6,"Moderado",IF(AE126&lt;=0.8,"Mayor","Catastrófico"))))),"")</f>
        <v>Mayor</v>
      </c>
      <c r="AE126" s="89">
        <f>IFERROR(IF(T126="Impacto",(P126-(+P126*W126)),IF(T126="Probabilidad",P126,"")),"")</f>
        <v>0.8</v>
      </c>
      <c r="AF126" s="90" t="str">
        <f>IFERROR(IF(OR(AND(AB126="Muy Baja",AD126="Leve"),AND(AB126="Muy Baja",AD126="Menor"),AND(AB126="Baja",AD126="Leve")),"Bajo",IF(OR(AND(AB126="Muy baja",AD126="Moderado"),AND(AB126="Baja",AD126="Menor"),AND(AB126="Baja",AD126="Moderado"),AND(AB126="Media",AD126="Leve"),AND(AB126="Media",AD126="Menor"),AND(AB126="Media",AD126="Moderado"),AND(AB126="Alta",AD126="Leve"),AND(AB126="Alta",AD126="Menor")),"Moderado",IF(OR(AND(AB126="Muy Baja",AD126="Mayor"),AND(AB126="Baja",AD126="Mayor"),AND(AB126="Media",AD126="Mayor"),AND(AB126="Alta",AD126="Moderado"),AND(AB126="Alta",AD126="Mayor"),AND(AB126="Muy Alta",AD126="Leve"),AND(AB126="Muy Alta",AD126="Menor"),AND(AB126="Muy Alta",AD126="Moderado"),AND(AB126="Muy Alta",AD126="Mayor")),"Alto",IF(OR(AND(AB126="Muy Baja",AD126="Catastrófico"),AND(AB126="Baja",AD126="Catastrófico"),AND(AB126="Media",AD126="Catastrófico"),AND(AB126="Alta",AD126="Catastrófico"),AND(AB126="Muy Alta",AD126="Catastrófico")),"Extremo","")))),"")</f>
        <v>Alto</v>
      </c>
      <c r="AG126" s="620" t="s">
        <v>195</v>
      </c>
      <c r="AH126" s="819" t="s">
        <v>494</v>
      </c>
      <c r="AI126" s="819" t="s">
        <v>495</v>
      </c>
      <c r="AJ126" s="816">
        <v>45691</v>
      </c>
      <c r="AK126" s="816"/>
      <c r="AL126" s="819"/>
      <c r="AM126" s="822"/>
    </row>
    <row r="127" spans="1:39" ht="69.599999999999994" x14ac:dyDescent="0.3">
      <c r="A127" s="644"/>
      <c r="B127" s="735"/>
      <c r="C127" s="735"/>
      <c r="D127" s="737"/>
      <c r="E127" s="405" t="s">
        <v>496</v>
      </c>
      <c r="F127" s="738"/>
      <c r="G127" s="761"/>
      <c r="H127" s="738"/>
      <c r="I127" s="740"/>
      <c r="J127" s="742"/>
      <c r="K127" s="744"/>
      <c r="L127" s="746"/>
      <c r="M127" s="748"/>
      <c r="N127" s="746">
        <f>IF(NOT(ISERROR(MATCH(M127,_xlfn.ANCHORARRAY(F135),0))),L137&amp;"Por favor no seleccionar los criterios de impacto",M127)</f>
        <v>0</v>
      </c>
      <c r="O127" s="744"/>
      <c r="P127" s="746"/>
      <c r="Q127" s="750"/>
      <c r="R127" s="249">
        <v>2</v>
      </c>
      <c r="S127" s="93">
        <f>+[9]DOFA!E154</f>
        <v>0</v>
      </c>
      <c r="T127" s="94" t="str">
        <f>IF(OR(U127="Preventivo",U127="Detectivo"),"Probabilidad",IF(U127="Correctivo","Impacto",""))</f>
        <v>Probabilidad</v>
      </c>
      <c r="U127" s="86" t="s">
        <v>197</v>
      </c>
      <c r="V127" s="86" t="s">
        <v>191</v>
      </c>
      <c r="W127" s="87" t="str">
        <f t="shared" ref="W127:W128" si="76">IF(AND(U127="Preventivo",V127="Automático"),"50%",IF(AND(U127="Preventivo",V127="Manual"),"40%",IF(AND(U127="Detectivo",V127="Automático"),"40%",IF(AND(U127="Detectivo",V127="Manual"),"30%",IF(AND(U127="Correctivo",V127="Automático"),"35%",IF(AND(U127="Correctivo",V127="Manual"),"25%",""))))))</f>
        <v>40%</v>
      </c>
      <c r="X127" s="86" t="s">
        <v>198</v>
      </c>
      <c r="Y127" s="86" t="s">
        <v>193</v>
      </c>
      <c r="Z127" s="86" t="s">
        <v>194</v>
      </c>
      <c r="AA127" s="95">
        <f>IFERROR(IF(AND(T126="Probabilidad",T127="Probabilidad"),(AC126-(+AC126*W127)),IF(AND(T126="Impacto",T127="Probabilidad"),(L126-(+L126*W127)),IF(T127="Impacto",AC126,""))),"")</f>
        <v>0.14399999999999999</v>
      </c>
      <c r="AB127" s="88" t="str">
        <f t="shared" ref="AB127:AB128" si="77">IFERROR(IF(AA127="","",IF(AA127&lt;=0.2,"Muy Baja",IF(AA127&lt;=0.4,"Baja",IF(AA127&lt;=0.6,"Media",IF(AA127&lt;=0.8,"Alta","Muy Alta"))))),"")</f>
        <v>Muy Baja</v>
      </c>
      <c r="AC127" s="89">
        <f>+AA127</f>
        <v>0.14399999999999999</v>
      </c>
      <c r="AD127" s="88" t="str">
        <f t="shared" ref="AD127:AD128" si="78">IFERROR(IF(AE127="","",IF(AE127&lt;=0.2,"Leve",IF(AE127&lt;=0.4,"Menor",IF(AE127&lt;=0.6,"Moderado",IF(AE127&lt;=0.8,"Mayor","Catastrófico"))))),"")</f>
        <v>Mayor</v>
      </c>
      <c r="AE127" s="89">
        <f>IFERROR(IF(AND(T126="Impacto",T127="Impacto"),(AE126-(+AE126*W127)),IF(AND(T126="Probabilidad",T127="Impacto"),(P126-(+P126*W127)),IF(T127="Probabilidad",AE126,""))),"")</f>
        <v>0.8</v>
      </c>
      <c r="AF127" s="90" t="str">
        <f t="shared" ref="AF127:AF128" si="79">IFERROR(IF(OR(AND(AB127="Muy Baja",AD127="Leve"),AND(AB127="Muy Baja",AD127="Menor"),AND(AB127="Baja",AD127="Leve")),"Bajo",IF(OR(AND(AB127="Muy baja",AD127="Moderado"),AND(AB127="Baja",AD127="Menor"),AND(AB127="Baja",AD127="Moderado"),AND(AB127="Media",AD127="Leve"),AND(AB127="Media",AD127="Menor"),AND(AB127="Media",AD127="Moderado"),AND(AB127="Alta",AD127="Leve"),AND(AB127="Alta",AD127="Menor")),"Moderado",IF(OR(AND(AB127="Muy Baja",AD127="Mayor"),AND(AB127="Baja",AD127="Mayor"),AND(AB127="Media",AD127="Mayor"),AND(AB127="Alta",AD127="Moderado"),AND(AB127="Alta",AD127="Mayor"),AND(AB127="Muy Alta",AD127="Leve"),AND(AB127="Muy Alta",AD127="Menor"),AND(AB127="Muy Alta",AD127="Moderado"),AND(AB127="Muy Alta",AD127="Mayor")),"Alto",IF(OR(AND(AB127="Muy Baja",AD127="Catastrófico"),AND(AB127="Baja",AD127="Catastrófico"),AND(AB127="Media",AD127="Catastrófico"),AND(AB127="Alta",AD127="Catastrófico"),AND(AB127="Muy Alta",AD127="Catastrófico")),"Extremo","")))),"")</f>
        <v>Alto</v>
      </c>
      <c r="AG127" s="827"/>
      <c r="AH127" s="820"/>
      <c r="AI127" s="820"/>
      <c r="AJ127" s="817"/>
      <c r="AK127" s="817"/>
      <c r="AL127" s="820"/>
      <c r="AM127" s="823"/>
    </row>
    <row r="128" spans="1:39" ht="69.599999999999994" x14ac:dyDescent="0.3">
      <c r="A128" s="644"/>
      <c r="B128" s="735"/>
      <c r="C128" s="735"/>
      <c r="D128" s="737"/>
      <c r="E128" s="407" t="s">
        <v>497</v>
      </c>
      <c r="F128" s="738"/>
      <c r="G128" s="761"/>
      <c r="H128" s="738"/>
      <c r="I128" s="740"/>
      <c r="J128" s="742"/>
      <c r="K128" s="744"/>
      <c r="L128" s="746"/>
      <c r="M128" s="748"/>
      <c r="N128" s="746">
        <f>IF(NOT(ISERROR(MATCH(M128,_xlfn.ANCHORARRAY(F136),0))),L138&amp;"Por favor no seleccionar los criterios de impacto",M128)</f>
        <v>0</v>
      </c>
      <c r="O128" s="744"/>
      <c r="P128" s="746"/>
      <c r="Q128" s="750"/>
      <c r="R128" s="249">
        <v>3</v>
      </c>
      <c r="S128" s="253">
        <f>[9]DOFA!E155</f>
        <v>0</v>
      </c>
      <c r="T128" s="94" t="str">
        <f t="shared" ref="T128" si="80">IF(OR(U128="Preventivo",U128="Detectivo"),"Probabilidad",IF(U128="Correctivo","Impacto",""))</f>
        <v>Probabilidad</v>
      </c>
      <c r="U128" s="86" t="s">
        <v>197</v>
      </c>
      <c r="V128" s="86" t="s">
        <v>191</v>
      </c>
      <c r="W128" s="87" t="str">
        <f t="shared" si="76"/>
        <v>40%</v>
      </c>
      <c r="X128" s="86" t="s">
        <v>198</v>
      </c>
      <c r="Y128" s="86" t="s">
        <v>193</v>
      </c>
      <c r="Z128" s="86" t="s">
        <v>194</v>
      </c>
      <c r="AA128" s="95">
        <f>IFERROR(IF(AND(T127="Probabilidad",T128="Probabilidad"),(AC127-(+AC127*W128)),IF(AND(T127="Impacto",T128="Probabilidad"),(AC126-(+AC126*W128)),IF(T128="Impacto",AC127,""))),"")</f>
        <v>8.6399999999999991E-2</v>
      </c>
      <c r="AB128" s="88" t="str">
        <f t="shared" si="77"/>
        <v>Muy Baja</v>
      </c>
      <c r="AC128" s="89">
        <f t="shared" ref="AC128" si="81">+AA128</f>
        <v>8.6399999999999991E-2</v>
      </c>
      <c r="AD128" s="88" t="str">
        <f t="shared" si="78"/>
        <v>Mayor</v>
      </c>
      <c r="AE128" s="89">
        <f t="shared" ref="AE128" si="82">IFERROR(IF(AND(T127="Impacto",T128="Impacto"),(AE127-(+AE127*W128)),IF(AND(T127="Probabilidad",T128="Impacto"),(AE126-(+AE126*W128)),IF(T128="Probabilidad",AE127,""))),"")</f>
        <v>0.8</v>
      </c>
      <c r="AF128" s="90" t="str">
        <f t="shared" si="79"/>
        <v>Alto</v>
      </c>
      <c r="AG128" s="621"/>
      <c r="AH128" s="821"/>
      <c r="AI128" s="821"/>
      <c r="AJ128" s="818"/>
      <c r="AK128" s="818"/>
      <c r="AL128" s="821"/>
      <c r="AM128" s="824"/>
    </row>
    <row r="129" spans="1:38" x14ac:dyDescent="0.3">
      <c r="A129" s="825" t="s">
        <v>148</v>
      </c>
      <c r="B129" s="825"/>
      <c r="C129" s="825"/>
      <c r="D129" s="825"/>
      <c r="E129" s="825"/>
      <c r="F129" s="825"/>
      <c r="G129" s="825"/>
      <c r="H129" s="825"/>
      <c r="I129" s="825"/>
      <c r="J129" s="825"/>
      <c r="K129" s="825"/>
      <c r="L129" s="825"/>
      <c r="M129" s="825"/>
      <c r="N129" s="825"/>
      <c r="O129" s="825"/>
      <c r="P129" s="825"/>
      <c r="Q129" s="825"/>
      <c r="R129" s="825"/>
      <c r="S129" s="825"/>
      <c r="T129" s="825"/>
      <c r="U129" s="825"/>
      <c r="V129" s="825"/>
      <c r="W129" s="825"/>
      <c r="X129" s="825"/>
      <c r="Y129" s="825"/>
      <c r="Z129" s="825"/>
      <c r="AA129" s="825"/>
      <c r="AB129" s="825"/>
      <c r="AC129" s="825"/>
      <c r="AD129" s="825"/>
      <c r="AE129" s="825"/>
      <c r="AF129" s="825"/>
      <c r="AG129" s="825"/>
      <c r="AH129" s="825"/>
      <c r="AI129" s="825"/>
      <c r="AJ129" s="825"/>
      <c r="AK129" s="825"/>
      <c r="AL129" s="825"/>
    </row>
    <row r="130" spans="1:38" x14ac:dyDescent="0.3">
      <c r="A130" s="825"/>
      <c r="B130" s="825"/>
      <c r="C130" s="825"/>
      <c r="D130" s="825"/>
      <c r="E130" s="825"/>
      <c r="F130" s="825"/>
      <c r="G130" s="825"/>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825"/>
      <c r="AL130" s="825"/>
    </row>
    <row r="131" spans="1:38" ht="14.4" x14ac:dyDescent="0.3">
      <c r="A131" s="408"/>
      <c r="B131" s="409"/>
      <c r="C131" s="408"/>
      <c r="D131" s="408"/>
      <c r="E131" s="408"/>
      <c r="F131" s="410"/>
      <c r="G131" s="410"/>
      <c r="H131" s="410"/>
      <c r="I131" s="411"/>
      <c r="J131" s="410"/>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c r="AH131" s="410"/>
      <c r="AI131" s="410"/>
      <c r="AJ131" s="410"/>
      <c r="AK131" s="410"/>
      <c r="AL131" s="410"/>
    </row>
    <row r="132" spans="1:38" ht="23.4" x14ac:dyDescent="0.3">
      <c r="A132" s="806" t="s">
        <v>149</v>
      </c>
      <c r="B132" s="806"/>
      <c r="C132" s="826" t="s">
        <v>498</v>
      </c>
      <c r="D132" s="826"/>
      <c r="E132" s="826"/>
      <c r="F132" s="826"/>
      <c r="G132" s="826"/>
      <c r="H132" s="826"/>
      <c r="I132" s="826"/>
      <c r="J132" s="826"/>
      <c r="K132" s="826"/>
      <c r="L132" s="826"/>
      <c r="M132" s="826"/>
      <c r="N132" s="826"/>
      <c r="O132" s="826"/>
      <c r="P132" s="826"/>
      <c r="Q132" s="826"/>
      <c r="R132" s="826"/>
      <c r="S132" s="826"/>
      <c r="T132" s="826"/>
      <c r="U132" s="826"/>
      <c r="V132" s="826"/>
      <c r="W132" s="826"/>
      <c r="X132" s="826"/>
      <c r="Y132" s="826"/>
      <c r="Z132" s="826"/>
      <c r="AA132" s="826"/>
      <c r="AB132" s="826"/>
      <c r="AC132" s="826"/>
      <c r="AD132" s="826"/>
      <c r="AE132" s="826"/>
      <c r="AF132" s="826"/>
      <c r="AG132" s="826"/>
      <c r="AH132" s="826"/>
      <c r="AI132" s="826"/>
      <c r="AJ132" s="826"/>
      <c r="AK132" s="826"/>
      <c r="AL132" s="826"/>
    </row>
    <row r="133" spans="1:38" ht="23.4" x14ac:dyDescent="0.3">
      <c r="A133" s="806" t="s">
        <v>150</v>
      </c>
      <c r="B133" s="806"/>
      <c r="C133" s="807" t="s">
        <v>499</v>
      </c>
      <c r="D133" s="807"/>
      <c r="E133" s="807"/>
      <c r="F133" s="807"/>
      <c r="G133" s="807"/>
      <c r="H133" s="807"/>
      <c r="I133" s="807"/>
      <c r="J133" s="807"/>
      <c r="K133" s="807"/>
      <c r="L133" s="807"/>
      <c r="M133" s="807"/>
      <c r="N133" s="807"/>
      <c r="O133" s="807"/>
      <c r="P133" s="807"/>
      <c r="Q133" s="807"/>
      <c r="R133" s="807"/>
      <c r="S133" s="807"/>
      <c r="T133" s="807"/>
      <c r="U133" s="807"/>
      <c r="V133" s="807"/>
      <c r="W133" s="807"/>
      <c r="X133" s="807"/>
      <c r="Y133" s="807"/>
      <c r="Z133" s="807"/>
      <c r="AA133" s="807"/>
      <c r="AB133" s="807"/>
      <c r="AC133" s="807"/>
      <c r="AD133" s="807"/>
      <c r="AE133" s="807"/>
      <c r="AF133" s="807"/>
      <c r="AG133" s="807"/>
      <c r="AH133" s="807"/>
      <c r="AI133" s="807"/>
      <c r="AJ133" s="807"/>
      <c r="AK133" s="807"/>
      <c r="AL133" s="807"/>
    </row>
    <row r="134" spans="1:38" ht="23.4" x14ac:dyDescent="0.3">
      <c r="A134" s="806" t="s">
        <v>151</v>
      </c>
      <c r="B134" s="806"/>
      <c r="C134" s="807" t="s">
        <v>500</v>
      </c>
      <c r="D134" s="807"/>
      <c r="E134" s="807"/>
      <c r="F134" s="807"/>
      <c r="G134" s="807"/>
      <c r="H134" s="807"/>
      <c r="I134" s="807"/>
      <c r="J134" s="807"/>
      <c r="K134" s="807"/>
      <c r="L134" s="807"/>
      <c r="M134" s="807"/>
      <c r="N134" s="807"/>
      <c r="O134" s="807"/>
      <c r="P134" s="807"/>
      <c r="Q134" s="807"/>
      <c r="R134" s="807"/>
      <c r="S134" s="807"/>
      <c r="T134" s="807"/>
      <c r="U134" s="807"/>
      <c r="V134" s="807"/>
      <c r="W134" s="807"/>
      <c r="X134" s="807"/>
      <c r="Y134" s="807"/>
      <c r="Z134" s="807"/>
      <c r="AA134" s="807"/>
      <c r="AB134" s="807"/>
      <c r="AC134" s="807"/>
      <c r="AD134" s="807"/>
      <c r="AE134" s="807"/>
      <c r="AF134" s="807"/>
      <c r="AG134" s="807"/>
      <c r="AH134" s="807"/>
      <c r="AI134" s="807"/>
      <c r="AJ134" s="807"/>
      <c r="AK134" s="807"/>
      <c r="AL134" s="807"/>
    </row>
    <row r="135" spans="1:38" x14ac:dyDescent="0.3">
      <c r="A135" s="808" t="s">
        <v>152</v>
      </c>
      <c r="B135" s="808"/>
      <c r="C135" s="808"/>
      <c r="D135" s="808"/>
      <c r="E135" s="808"/>
      <c r="F135" s="808"/>
      <c r="G135" s="808"/>
      <c r="H135" s="808"/>
      <c r="I135" s="808"/>
      <c r="J135" s="808"/>
      <c r="K135" s="809" t="s">
        <v>153</v>
      </c>
      <c r="L135" s="809"/>
      <c r="M135" s="809"/>
      <c r="N135" s="809"/>
      <c r="O135" s="809"/>
      <c r="P135" s="809"/>
      <c r="Q135" s="809"/>
      <c r="R135" s="809" t="s">
        <v>154</v>
      </c>
      <c r="S135" s="809"/>
      <c r="T135" s="809"/>
      <c r="U135" s="809"/>
      <c r="V135" s="809"/>
      <c r="W135" s="809"/>
      <c r="X135" s="809"/>
      <c r="Y135" s="809"/>
      <c r="Z135" s="809"/>
      <c r="AA135" s="809" t="s">
        <v>155</v>
      </c>
      <c r="AB135" s="809"/>
      <c r="AC135" s="809"/>
      <c r="AD135" s="809"/>
      <c r="AE135" s="809"/>
      <c r="AF135" s="809"/>
      <c r="AG135" s="809"/>
      <c r="AH135" s="809" t="s">
        <v>156</v>
      </c>
      <c r="AI135" s="809"/>
      <c r="AJ135" s="809"/>
      <c r="AK135" s="809"/>
      <c r="AL135" s="809"/>
    </row>
    <row r="136" spans="1:38" x14ac:dyDescent="0.3">
      <c r="A136" s="810" t="s">
        <v>157</v>
      </c>
      <c r="B136" s="808" t="s">
        <v>141</v>
      </c>
      <c r="C136" s="811" t="s">
        <v>158</v>
      </c>
      <c r="D136" s="811" t="s">
        <v>159</v>
      </c>
      <c r="E136" s="812" t="s">
        <v>160</v>
      </c>
      <c r="F136" s="813" t="s">
        <v>60</v>
      </c>
      <c r="G136" s="813" t="s">
        <v>201</v>
      </c>
      <c r="H136" s="412"/>
      <c r="I136" s="796" t="s">
        <v>161</v>
      </c>
      <c r="J136" s="811" t="s">
        <v>162</v>
      </c>
      <c r="K136" s="811" t="s">
        <v>163</v>
      </c>
      <c r="L136" s="814" t="s">
        <v>164</v>
      </c>
      <c r="M136" s="796" t="s">
        <v>165</v>
      </c>
      <c r="N136" s="796" t="s">
        <v>166</v>
      </c>
      <c r="O136" s="815" t="s">
        <v>167</v>
      </c>
      <c r="P136" s="814" t="s">
        <v>164</v>
      </c>
      <c r="Q136" s="811" t="s">
        <v>168</v>
      </c>
      <c r="R136" s="795" t="s">
        <v>169</v>
      </c>
      <c r="S136" s="796" t="s">
        <v>170</v>
      </c>
      <c r="T136" s="796" t="s">
        <v>171</v>
      </c>
      <c r="U136" s="796" t="s">
        <v>172</v>
      </c>
      <c r="V136" s="796"/>
      <c r="W136" s="796"/>
      <c r="X136" s="796"/>
      <c r="Y136" s="796"/>
      <c r="Z136" s="796"/>
      <c r="AA136" s="795" t="s">
        <v>173</v>
      </c>
      <c r="AB136" s="795" t="s">
        <v>174</v>
      </c>
      <c r="AC136" s="795" t="s">
        <v>164</v>
      </c>
      <c r="AD136" s="795" t="s">
        <v>175</v>
      </c>
      <c r="AE136" s="795" t="s">
        <v>164</v>
      </c>
      <c r="AF136" s="795" t="s">
        <v>176</v>
      </c>
      <c r="AG136" s="795" t="s">
        <v>177</v>
      </c>
      <c r="AH136" s="796" t="s">
        <v>156</v>
      </c>
      <c r="AI136" s="796" t="s">
        <v>142</v>
      </c>
      <c r="AJ136" s="796" t="s">
        <v>179</v>
      </c>
      <c r="AK136" s="796" t="s">
        <v>180</v>
      </c>
      <c r="AL136" s="796" t="s">
        <v>178</v>
      </c>
    </row>
    <row r="137" spans="1:38" ht="72.599999999999994" x14ac:dyDescent="0.3">
      <c r="A137" s="810"/>
      <c r="B137" s="808"/>
      <c r="C137" s="811"/>
      <c r="D137" s="811"/>
      <c r="E137" s="812"/>
      <c r="F137" s="813"/>
      <c r="G137" s="813"/>
      <c r="H137" s="412" t="s">
        <v>182</v>
      </c>
      <c r="I137" s="796"/>
      <c r="J137" s="811"/>
      <c r="K137" s="811"/>
      <c r="L137" s="814"/>
      <c r="M137" s="796"/>
      <c r="N137" s="796"/>
      <c r="O137" s="815"/>
      <c r="P137" s="815"/>
      <c r="Q137" s="811"/>
      <c r="R137" s="795"/>
      <c r="S137" s="796"/>
      <c r="T137" s="796"/>
      <c r="U137" s="413" t="s">
        <v>183</v>
      </c>
      <c r="V137" s="413" t="s">
        <v>184</v>
      </c>
      <c r="W137" s="413" t="s">
        <v>185</v>
      </c>
      <c r="X137" s="413" t="s">
        <v>186</v>
      </c>
      <c r="Y137" s="413" t="s">
        <v>187</v>
      </c>
      <c r="Z137" s="413" t="s">
        <v>188</v>
      </c>
      <c r="AA137" s="795"/>
      <c r="AB137" s="795"/>
      <c r="AC137" s="795"/>
      <c r="AD137" s="795"/>
      <c r="AE137" s="795"/>
      <c r="AF137" s="795"/>
      <c r="AG137" s="795"/>
      <c r="AH137" s="796"/>
      <c r="AI137" s="796"/>
      <c r="AJ137" s="796"/>
      <c r="AK137" s="796"/>
      <c r="AL137" s="796"/>
    </row>
    <row r="138" spans="1:38" ht="151.80000000000001" x14ac:dyDescent="0.3">
      <c r="A138" s="777">
        <v>1</v>
      </c>
      <c r="B138" s="797" t="s">
        <v>189</v>
      </c>
      <c r="C138" s="797" t="s">
        <v>501</v>
      </c>
      <c r="D138" s="797" t="s">
        <v>502</v>
      </c>
      <c r="E138" s="414" t="s">
        <v>503</v>
      </c>
      <c r="F138" s="798" t="s">
        <v>504</v>
      </c>
      <c r="G138" s="790" t="s">
        <v>202</v>
      </c>
      <c r="H138" s="799" t="s">
        <v>505</v>
      </c>
      <c r="I138" s="783" t="s">
        <v>190</v>
      </c>
      <c r="J138" s="800">
        <v>240</v>
      </c>
      <c r="K138" s="769" t="str">
        <f>IF(J138&lt;=0,"",IF(J138&lt;=2,"Muy Baja",IF(J138&lt;=24,"Baja",IF(J138&lt;=500,"Media",IF(J138&lt;=5000,"Alta","Muy Alta")))))</f>
        <v>Media</v>
      </c>
      <c r="L138" s="770">
        <f>IF(K138="","",IF(K138="Muy Baja",0.2,IF(K138="Baja",0.4,IF(K138="Media",0.6,IF(K138="Alta",0.8,IF(K138="Muy Alta",1,))))))</f>
        <v>0.6</v>
      </c>
      <c r="M138" s="801" t="s">
        <v>200</v>
      </c>
      <c r="N138" s="802" t="str">
        <f>IF(NOT(ISERROR(MATCH(M138,'[10]Tabla Impacto'!$B$221:$B$223,0))),'[10]Tabla Impacto'!$F$223&amp;"Por favor no seleccionar los criterios de impacto(Afectación Económica o presupuestal y Pérdida Reputacional)",M138)</f>
        <v xml:space="preserve">     El riesgo afecta la imagen de la entidad con algunos usuarios de relevancia frente al logro de los objetivos</v>
      </c>
      <c r="O138" s="803" t="str">
        <f>IF(OR(N138='[10]Tabla Impacto'!$C$11,N138='[10]Tabla Impacto'!$D$11),"Leve",IF(OR(N138='[10]Tabla Impacto'!$C$12,N138='[10]Tabla Impacto'!$D$12),"Menor",IF(OR(N138='[10]Tabla Impacto'!$C$13,N138='[10]Tabla Impacto'!$D$13),"Moderado",IF(OR(N138='[10]Tabla Impacto'!$C$14,N138='[10]Tabla Impacto'!$D$14),"Mayor",IF(OR(N138='[10]Tabla Impacto'!$C$15,N138='[10]Tabla Impacto'!$D$15),"Catastrófico","")))))</f>
        <v>Moderado</v>
      </c>
      <c r="P138" s="804">
        <f>IF(O138="","",IF(O138="Leve",0.2,IF(O138="Menor",0.4,IF(O138="Moderado",0.6,IF(O138="Mayor",0.8,IF(O138="Catastrófico",1,))))))</f>
        <v>0.6</v>
      </c>
      <c r="Q138" s="805" t="str">
        <f>IF(OR(AND(K138="Muy Baja",O138="Leve"),AND(K138="Muy Baja",O138="Menor"),AND(K138="Baja",O138="Leve")),"Bajo",IF(OR(AND(K138="Muy baja",O138="Moderado"),AND(K138="Baja",O138="Menor"),AND(K138="Baja",O138="Moderado"),AND(K138="Media",O138="Leve"),AND(K138="Media",O138="Menor"),AND(K138="Media",O138="Moderado"),AND(K138="Alta",O138="Leve"),AND(K138="Alta",O138="Menor")),"Moderado",IF(OR(AND(K138="Muy Baja",O138="Mayor"),AND(K138="Baja",O138="Mayor"),AND(K138="Media",O138="Mayor"),AND(K138="Alta",O138="Moderado"),AND(K138="Alta",O138="Mayor"),AND(K138="Muy Alta",O138="Leve"),AND(K138="Muy Alta",O138="Menor"),AND(K138="Muy Alta",O138="Moderado"),AND(K138="Muy Alta",O138="Mayor")),"Alto",IF(OR(AND(K138="Muy Baja",O138="Catastrófico"),AND(K138="Baja",O138="Catastrófico"),AND(K138="Media",O138="Catastrófico"),AND(K138="Alta",O138="Catastrófico"),AND(K138="Muy Alta",O138="Catastrófico")),"Extremo",""))))</f>
        <v>Moderado</v>
      </c>
      <c r="R138" s="415">
        <v>1</v>
      </c>
      <c r="S138" s="416" t="s">
        <v>506</v>
      </c>
      <c r="T138" s="417" t="str">
        <f t="shared" ref="T138:T142" si="83">IF(OR(U138="Preventivo",U138="Detectivo"),"Probabilidad",IF(U138="Correctivo","Impacto",""))</f>
        <v>Probabilidad</v>
      </c>
      <c r="U138" s="418" t="s">
        <v>197</v>
      </c>
      <c r="V138" s="418" t="s">
        <v>191</v>
      </c>
      <c r="W138" s="419" t="str">
        <f t="shared" ref="W138:W144" si="84">IF(AND(U138="Preventivo",V138="Automático"),"50%",IF(AND(U138="Preventivo",V138="Manual"),"40%",IF(AND(U138="Detectivo",V138="Automático"),"40%",IF(AND(U138="Detectivo",V138="Manual"),"30%",IF(AND(U138="Correctivo",V138="Automático"),"35%",IF(AND(U138="Correctivo",V138="Manual"),"25%",""))))))</f>
        <v>40%</v>
      </c>
      <c r="X138" s="418" t="s">
        <v>192</v>
      </c>
      <c r="Y138" s="418" t="s">
        <v>193</v>
      </c>
      <c r="Z138" s="418" t="s">
        <v>485</v>
      </c>
      <c r="AA138" s="420">
        <f>IFERROR(IF(T138="Probabilidad",(L138-(+L138*W138)),IF(T138="Impacto",L138,"")),"")</f>
        <v>0.36</v>
      </c>
      <c r="AB138" s="421" t="str">
        <f t="shared" ref="AB138:AB144" si="85">IFERROR(IF(AA138="","",IF(AA138&lt;=0.2,"Muy Baja",IF(AA138&lt;=0.4,"Baja",IF(AA138&lt;=0.6,"Media",IF(AA138&lt;=0.8,"Alta","Muy Alta"))))),"")</f>
        <v>Baja</v>
      </c>
      <c r="AC138" s="422">
        <f t="shared" ref="AC138:AC144" si="86">+AA138</f>
        <v>0.36</v>
      </c>
      <c r="AD138" s="421" t="str">
        <f t="shared" ref="AD138:AD142" si="87">IFERROR(IF(AE138="","",IF(AE138&lt;=0.2,"Leve",IF(AE138&lt;=0.4,"Menor",IF(AE138&lt;=0.6,"Moderado",IF(AE138&lt;=0.8,"Mayor","Catastrófico"))))),"")</f>
        <v>Moderado</v>
      </c>
      <c r="AE138" s="422">
        <f>IFERROR(IF(T138="Impacto",(P138-(+P138*W138)),IF(T138="Probabilidad",P138,"")),"")</f>
        <v>0.6</v>
      </c>
      <c r="AF138" s="423" t="str">
        <f t="shared" ref="AF138:AF144" si="88">IFERROR(IF(OR(AND(AB138="Muy Baja",AD138="Leve"),AND(AB138="Muy Baja",AD138="Menor"),AND(AB138="Baja",AD138="Leve")),"Bajo",IF(OR(AND(AB138="Muy baja",AD138="Moderado"),AND(AB138="Baja",AD138="Menor"),AND(AB138="Baja",AD138="Moderado"),AND(AB138="Media",AD138="Leve"),AND(AB138="Media",AD138="Menor"),AND(AB138="Media",AD138="Moderado"),AND(AB138="Alta",AD138="Leve"),AND(AB138="Alta",AD138="Menor")),"Moderado",IF(OR(AND(AB138="Muy Baja",AD138="Mayor"),AND(AB138="Baja",AD138="Mayor"),AND(AB138="Media",AD138="Mayor"),AND(AB138="Alta",AD138="Moderado"),AND(AB138="Alta",AD138="Mayor"),AND(AB138="Muy Alta",AD138="Leve"),AND(AB138="Muy Alta",AD138="Menor"),AND(AB138="Muy Alta",AD138="Moderado"),AND(AB138="Muy Alta",AD138="Mayor")),"Alto",IF(OR(AND(AB138="Muy Baja",AD138="Catastrófico"),AND(AB138="Baja",AD138="Catastrófico"),AND(AB138="Media",AD138="Catastrófico"),AND(AB138="Alta",AD138="Catastrófico"),AND(AB138="Muy Alta",AD138="Catastrófico")),"Extremo","")))),"")</f>
        <v>Moderado</v>
      </c>
      <c r="AG138" s="791" t="s">
        <v>507</v>
      </c>
      <c r="AH138" s="424" t="s">
        <v>508</v>
      </c>
      <c r="AI138" s="763" t="s">
        <v>509</v>
      </c>
      <c r="AJ138" s="785" t="s">
        <v>510</v>
      </c>
      <c r="AK138" s="426" t="s">
        <v>511</v>
      </c>
      <c r="AL138" s="787">
        <v>45342</v>
      </c>
    </row>
    <row r="139" spans="1:38" ht="202.8" x14ac:dyDescent="0.3">
      <c r="A139" s="777"/>
      <c r="B139" s="797"/>
      <c r="C139" s="797"/>
      <c r="D139" s="797"/>
      <c r="E139" s="414" t="s">
        <v>512</v>
      </c>
      <c r="F139" s="798"/>
      <c r="G139" s="781"/>
      <c r="H139" s="799"/>
      <c r="I139" s="783"/>
      <c r="J139" s="800"/>
      <c r="K139" s="769"/>
      <c r="L139" s="770"/>
      <c r="M139" s="801"/>
      <c r="N139" s="802">
        <f>IF(NOT(ISERROR(MATCH(M139,_xlfn.ANCHORARRAY(F143),0))),#REF!&amp;"Por favor no seleccionar los criterios de impacto",M139)</f>
        <v>0</v>
      </c>
      <c r="O139" s="803"/>
      <c r="P139" s="804"/>
      <c r="Q139" s="805"/>
      <c r="R139" s="415">
        <v>2</v>
      </c>
      <c r="S139" s="427" t="s">
        <v>513</v>
      </c>
      <c r="T139" s="417" t="str">
        <f t="shared" si="83"/>
        <v>Probabilidad</v>
      </c>
      <c r="U139" s="418" t="s">
        <v>197</v>
      </c>
      <c r="V139" s="418" t="s">
        <v>191</v>
      </c>
      <c r="W139" s="419" t="str">
        <f t="shared" si="84"/>
        <v>40%</v>
      </c>
      <c r="X139" s="418" t="s">
        <v>192</v>
      </c>
      <c r="Y139" s="418" t="s">
        <v>193</v>
      </c>
      <c r="Z139" s="418" t="s">
        <v>485</v>
      </c>
      <c r="AA139" s="420">
        <f>IFERROR(IF(AND(T138="Probabilidad",T139="Probabilidad"),(AC138-(+AC138*W139)),IF(AND(T138="Impacto",T139="Probabilidad"),(L138-(+L138*W139)),IF(T139="Impacto",AC138,""))),"")</f>
        <v>0.216</v>
      </c>
      <c r="AB139" s="421" t="str">
        <f t="shared" si="85"/>
        <v>Baja</v>
      </c>
      <c r="AC139" s="422">
        <f t="shared" si="86"/>
        <v>0.216</v>
      </c>
      <c r="AD139" s="421" t="str">
        <f t="shared" si="87"/>
        <v>Moderado</v>
      </c>
      <c r="AE139" s="422">
        <f>IFERROR(IF(AND(T138="Impacto",T139="Impacto"),(AE138-(+AE138*W139)),IF(AND(T138="Probabilidad",T139="Impacto"),(P138-(+P138*W139)),IF(T139="Probabilidad",AE138,""))),"")</f>
        <v>0.6</v>
      </c>
      <c r="AF139" s="423" t="str">
        <f t="shared" si="88"/>
        <v>Moderado</v>
      </c>
      <c r="AG139" s="791"/>
      <c r="AH139" s="428" t="s">
        <v>514</v>
      </c>
      <c r="AI139" s="763"/>
      <c r="AJ139" s="786"/>
      <c r="AK139" s="429" t="s">
        <v>515</v>
      </c>
      <c r="AL139" s="788"/>
    </row>
    <row r="140" spans="1:38" ht="193.2" x14ac:dyDescent="0.3">
      <c r="A140" s="777"/>
      <c r="B140" s="797"/>
      <c r="C140" s="797"/>
      <c r="D140" s="797"/>
      <c r="E140" s="430" t="s">
        <v>516</v>
      </c>
      <c r="F140" s="798"/>
      <c r="G140" s="781"/>
      <c r="H140" s="799"/>
      <c r="I140" s="783"/>
      <c r="J140" s="800"/>
      <c r="K140" s="769"/>
      <c r="L140" s="770"/>
      <c r="M140" s="801"/>
      <c r="N140" s="802">
        <f>IF(NOT(ISERROR(MATCH(M140,_xlfn.ANCHORARRAY(F144),0))),#REF!&amp;"Por favor no seleccionar los criterios de impacto",M140)</f>
        <v>0</v>
      </c>
      <c r="O140" s="803"/>
      <c r="P140" s="804"/>
      <c r="Q140" s="805"/>
      <c r="R140" s="415">
        <v>3</v>
      </c>
      <c r="S140" s="427" t="s">
        <v>517</v>
      </c>
      <c r="T140" s="431" t="str">
        <f t="shared" si="83"/>
        <v>Probabilidad</v>
      </c>
      <c r="U140" s="418" t="s">
        <v>197</v>
      </c>
      <c r="V140" s="418" t="s">
        <v>191</v>
      </c>
      <c r="W140" s="432" t="str">
        <f t="shared" si="84"/>
        <v>40%</v>
      </c>
      <c r="X140" s="418" t="s">
        <v>192</v>
      </c>
      <c r="Y140" s="418" t="s">
        <v>193</v>
      </c>
      <c r="Z140" s="418" t="s">
        <v>485</v>
      </c>
      <c r="AA140" s="420">
        <f>IFERROR(IF(AND(T139="Probabilidad",T140="Probabilidad"),(AC139-(+AC139*W140)),IF(AND(T139="Impacto",T140="Probabilidad"),(AC138-(+AC138*W140)),IF(T140="Impacto",AC139,""))),"")</f>
        <v>0.12959999999999999</v>
      </c>
      <c r="AB140" s="421" t="str">
        <f t="shared" si="85"/>
        <v>Muy Baja</v>
      </c>
      <c r="AC140" s="422">
        <f t="shared" si="86"/>
        <v>0.12959999999999999</v>
      </c>
      <c r="AD140" s="421" t="str">
        <f t="shared" si="87"/>
        <v>Moderado</v>
      </c>
      <c r="AE140" s="422">
        <f>IFERROR(IF(AND(T139="Impacto",T140="Impacto"),(AE139-(+AE139*W140)),IF(AND(T139="Probabilidad",T140="Impacto"),(AE138-(+AE138*W140)),IF(T140="Probabilidad",AE139,""))),"")</f>
        <v>0.6</v>
      </c>
      <c r="AF140" s="423" t="str">
        <f t="shared" si="88"/>
        <v>Moderado</v>
      </c>
      <c r="AG140" s="433"/>
      <c r="AH140" s="434" t="s">
        <v>518</v>
      </c>
      <c r="AI140" s="435" t="s">
        <v>519</v>
      </c>
      <c r="AJ140" s="436" t="s">
        <v>520</v>
      </c>
      <c r="AK140" s="437" t="s">
        <v>521</v>
      </c>
      <c r="AL140" s="436">
        <v>45350</v>
      </c>
    </row>
    <row r="141" spans="1:38" ht="179.4" x14ac:dyDescent="0.3">
      <c r="A141" s="777">
        <v>2</v>
      </c>
      <c r="B141" s="763" t="s">
        <v>189</v>
      </c>
      <c r="C141" s="789" t="s">
        <v>522</v>
      </c>
      <c r="D141" s="763" t="s">
        <v>523</v>
      </c>
      <c r="E141" s="425" t="s">
        <v>524</v>
      </c>
      <c r="F141" s="762" t="s">
        <v>525</v>
      </c>
      <c r="G141" s="790" t="s">
        <v>202</v>
      </c>
      <c r="H141" s="782" t="s">
        <v>526</v>
      </c>
      <c r="I141" s="783" t="s">
        <v>190</v>
      </c>
      <c r="J141" s="784">
        <v>12</v>
      </c>
      <c r="K141" s="769" t="str">
        <f>IF(J141&lt;=0,"",IF(J141&lt;=2,"Muy Baja",IF(J141&lt;=24,"Baja",IF(J141&lt;=500,"Media",IF(J141&lt;=5000,"Alta","Muy Alta")))))</f>
        <v>Baja</v>
      </c>
      <c r="L141" s="770">
        <f>IF(K141="","",IF(K141="Muy Baja",0.2,IF(K141="Baja",0.4,IF(K141="Media",0.6,IF(K141="Alta",0.8,IF(K141="Muy Alta",1,))))))</f>
        <v>0.4</v>
      </c>
      <c r="M141" s="771" t="s">
        <v>412</v>
      </c>
      <c r="N141" s="770" t="str">
        <f>IF(NOT(ISERROR(MATCH(M141,'[10]Tabla Impacto'!$B$221:$B$223,0))),'[10]Tabla Impacto'!$F$223&amp;"Por favor no seleccionar los criterios de impacto(Afectación Económica o presupuestal y Pérdida Reputacional)",M141)</f>
        <v xml:space="preserve">     El riesgo afecta la imagen de la entidad internamente, de conocimiento general, nivel interno, de junta dircetiva y accionistas y/o de provedores</v>
      </c>
      <c r="O141" s="769" t="str">
        <f>IF(OR(N141='[10]Tabla Impacto'!$C$11,N141='[10]Tabla Impacto'!$D$11),"Leve",IF(OR(N141='[10]Tabla Impacto'!$C$12,N141='[10]Tabla Impacto'!$D$12),"Menor",IF(OR(N141='[10]Tabla Impacto'!$C$13,N141='[10]Tabla Impacto'!$D$13),"Moderado",IF(OR(N141='[10]Tabla Impacto'!$C$14,N141='[10]Tabla Impacto'!$D$14),"Mayor",IF(OR(N141='[10]Tabla Impacto'!$C$15,N141='[10]Tabla Impacto'!$D$15),"Catastrófico","")))))</f>
        <v>Menor</v>
      </c>
      <c r="P141" s="770">
        <f>IF(O141="","",IF(O141="Leve",0.2,IF(O141="Menor",0.4,IF(O141="Moderado",0.6,IF(O141="Mayor",0.8,IF(O141="Catastrófico",1,))))))</f>
        <v>0.4</v>
      </c>
      <c r="Q141" s="773" t="str">
        <f>IF(OR(AND(K141="Muy Baja",O141="Leve"),AND(K141="Muy Baja",O141="Menor"),AND(K141="Baja",O141="Leve")),"Bajo",IF(OR(AND(K141="Muy baja",O141="Moderado"),AND(K141="Baja",O141="Menor"),AND(K141="Baja",O141="Moderado"),AND(K141="Media",O141="Leve"),AND(K141="Media",O141="Menor"),AND(K141="Media",O141="Moderado"),AND(K141="Alta",O141="Leve"),AND(K141="Alta",O141="Menor")),"Moderado",IF(OR(AND(K141="Muy Baja",O141="Mayor"),AND(K141="Baja",O141="Mayor"),AND(K141="Media",O141="Mayor"),AND(K141="Alta",O141="Moderado"),AND(K141="Alta",O141="Mayor"),AND(K141="Muy Alta",O141="Leve"),AND(K141="Muy Alta",O141="Menor"),AND(K141="Muy Alta",O141="Moderado"),AND(K141="Muy Alta",O141="Mayor")),"Alto",IF(OR(AND(K141="Muy Baja",O141="Catastrófico"),AND(K141="Baja",O141="Catastrófico"),AND(K141="Media",O141="Catastrófico"),AND(K141="Alta",O141="Catastrófico"),AND(K141="Muy Alta",O141="Catastrófico")),"Extremo",""))))</f>
        <v>Moderado</v>
      </c>
      <c r="R141" s="415">
        <v>1</v>
      </c>
      <c r="S141" s="438" t="s">
        <v>527</v>
      </c>
      <c r="T141" s="417" t="str">
        <f t="shared" si="83"/>
        <v>Probabilidad</v>
      </c>
      <c r="U141" s="418" t="s">
        <v>197</v>
      </c>
      <c r="V141" s="418" t="s">
        <v>191</v>
      </c>
      <c r="W141" s="419" t="str">
        <f t="shared" si="84"/>
        <v>40%</v>
      </c>
      <c r="X141" s="418" t="s">
        <v>192</v>
      </c>
      <c r="Y141" s="418" t="s">
        <v>193</v>
      </c>
      <c r="Z141" s="418" t="s">
        <v>194</v>
      </c>
      <c r="AA141" s="439">
        <f>IFERROR(IF(T141="Probabilidad",(L141-(+L141*W141)),IF(T141="Impacto",L141,"")),"")</f>
        <v>0.24</v>
      </c>
      <c r="AB141" s="440" t="str">
        <f t="shared" si="85"/>
        <v>Baja</v>
      </c>
      <c r="AC141" s="441">
        <f t="shared" si="86"/>
        <v>0.24</v>
      </c>
      <c r="AD141" s="440" t="str">
        <f t="shared" si="87"/>
        <v>Menor</v>
      </c>
      <c r="AE141" s="441">
        <f>IFERROR(IF(T141="Impacto",(P141-(+P141*W141)),IF(T141="Probabilidad",P141,"")),"")</f>
        <v>0.4</v>
      </c>
      <c r="AF141" s="442" t="str">
        <f t="shared" si="88"/>
        <v>Moderado</v>
      </c>
      <c r="AG141" s="791" t="s">
        <v>195</v>
      </c>
      <c r="AH141" s="424" t="s">
        <v>528</v>
      </c>
      <c r="AI141" s="763" t="s">
        <v>509</v>
      </c>
      <c r="AJ141" s="765" t="s">
        <v>510</v>
      </c>
      <c r="AK141" s="426" t="s">
        <v>529</v>
      </c>
      <c r="AL141" s="793">
        <v>45351</v>
      </c>
    </row>
    <row r="142" spans="1:38" ht="138" x14ac:dyDescent="0.3">
      <c r="A142" s="777"/>
      <c r="B142" s="763"/>
      <c r="C142" s="789"/>
      <c r="D142" s="763"/>
      <c r="E142" s="425" t="s">
        <v>530</v>
      </c>
      <c r="F142" s="762"/>
      <c r="G142" s="781"/>
      <c r="H142" s="782"/>
      <c r="I142" s="783"/>
      <c r="J142" s="784"/>
      <c r="K142" s="769"/>
      <c r="L142" s="770"/>
      <c r="M142" s="771"/>
      <c r="N142" s="770">
        <f>IF(NOT(ISERROR(MATCH(M142,_xlfn.ANCHORARRAY(F145),0))),L147&amp;"Por favor no seleccionar los criterios de impacto",M142)</f>
        <v>0</v>
      </c>
      <c r="O142" s="769"/>
      <c r="P142" s="770"/>
      <c r="Q142" s="773"/>
      <c r="R142" s="415">
        <v>2</v>
      </c>
      <c r="S142" s="443" t="s">
        <v>531</v>
      </c>
      <c r="T142" s="417" t="str">
        <f t="shared" si="83"/>
        <v>Probabilidad</v>
      </c>
      <c r="U142" s="418" t="s">
        <v>243</v>
      </c>
      <c r="V142" s="418" t="s">
        <v>191</v>
      </c>
      <c r="W142" s="419" t="str">
        <f t="shared" si="84"/>
        <v>30%</v>
      </c>
      <c r="X142" s="418" t="s">
        <v>192</v>
      </c>
      <c r="Y142" s="418" t="s">
        <v>193</v>
      </c>
      <c r="Z142" s="418" t="s">
        <v>194</v>
      </c>
      <c r="AA142" s="439">
        <f>IFERROR(IF(AND(T141="Probabilidad",T142="Probabilidad"),(AC141-(+AC141*W142)),IF(AND(T141="Impacto",T142="Probabilidad"),(L141-(+L141*W142)),IF(T142="Impacto",AC141,""))),"")</f>
        <v>0.16799999999999998</v>
      </c>
      <c r="AB142" s="440" t="str">
        <f t="shared" si="85"/>
        <v>Muy Baja</v>
      </c>
      <c r="AC142" s="441">
        <f t="shared" si="86"/>
        <v>0.16799999999999998</v>
      </c>
      <c r="AD142" s="440" t="str">
        <f t="shared" si="87"/>
        <v>Menor</v>
      </c>
      <c r="AE142" s="441">
        <f>IFERROR(IF(AND(T141="Impacto",T142="Impacto"),(AE141-(+AE141*W142)),IF(AND(T141="Probabilidad",T142="Impacto"),(P141-(+P141*W142)),IF(T142="Probabilidad",AE141,""))),"")</f>
        <v>0.4</v>
      </c>
      <c r="AF142" s="442" t="str">
        <f t="shared" si="88"/>
        <v>Bajo</v>
      </c>
      <c r="AG142" s="791"/>
      <c r="AH142" s="424" t="s">
        <v>532</v>
      </c>
      <c r="AI142" s="763"/>
      <c r="AJ142" s="792"/>
      <c r="AK142" s="424" t="s">
        <v>533</v>
      </c>
      <c r="AL142" s="794"/>
    </row>
    <row r="143" spans="1:38" ht="69.599999999999994" x14ac:dyDescent="0.3">
      <c r="A143" s="777">
        <v>3</v>
      </c>
      <c r="B143" s="763" t="s">
        <v>189</v>
      </c>
      <c r="C143" s="763" t="s">
        <v>534</v>
      </c>
      <c r="D143" s="778" t="s">
        <v>535</v>
      </c>
      <c r="E143" s="445" t="s">
        <v>536</v>
      </c>
      <c r="F143" s="762" t="s">
        <v>537</v>
      </c>
      <c r="G143" s="780" t="s">
        <v>202</v>
      </c>
      <c r="H143" s="782" t="s">
        <v>538</v>
      </c>
      <c r="I143" s="783" t="s">
        <v>190</v>
      </c>
      <c r="J143" s="784">
        <v>12</v>
      </c>
      <c r="K143" s="769" t="str">
        <f>IF(J143&lt;=0,"",IF(J143&lt;=2,"Muy Baja",IF(J143&lt;=24,"Baja",IF(J143&lt;=500,"Media",IF(J143&lt;=5000,"Alta","Muy Alta")))))</f>
        <v>Baja</v>
      </c>
      <c r="L143" s="770">
        <f>IF(K143="","",IF(K143="Muy Baja",0.2,IF(K143="Baja",0.4,IF(K143="Media",0.6,IF(K143="Alta",0.8,IF(K143="Muy Alta",1,))))))</f>
        <v>0.4</v>
      </c>
      <c r="M143" s="771" t="s">
        <v>539</v>
      </c>
      <c r="N143" s="772" t="str">
        <f>IF(NOT(ISERROR(MATCH(M143,'[10]Tabla Impacto'!$B$221:$B$223,0))),'[10]Tabla Impacto'!$F$223&amp;"Por favor no seleccionar los criterios de impacto(Afectación Económica o presupuestal y Pérdida Reputacional)",M143)</f>
        <v>❌Por favor no seleccionar los criterios de impacto(Afectación Económica o presupuestal y Pérdida Reputacional)</v>
      </c>
      <c r="O143" s="769" t="s">
        <v>62</v>
      </c>
      <c r="P143" s="770">
        <f>IF(O143="","",IF(O143="Leve",0.2,IF(O143="Menor",0.4,IF(O143="Moderado",0.6,IF(O143="Mayor",0.8,IF(O143="Catastrófico",1,))))))</f>
        <v>0.4</v>
      </c>
      <c r="Q143" s="773" t="str">
        <f>IF(OR(AND(K143="Muy Baja",O143="Leve"),AND(K143="Muy Baja",O143="Menor"),AND(K143="Baja",O143="Leve")),"Bajo",IF(OR(AND(K143="Muy baja",O143="Moderado"),AND(K143="Baja",O143="Menor"),AND(K143="Baja",O143="Moderado"),AND(K143="Media",O143="Leve"),AND(K143="Media",O143="Menor"),AND(K143="Media",O143="Moderado"),AND(K143="Alta",O143="Leve"),AND(K143="Alta",O143="Menor")),"Moderado",IF(OR(AND(K143="Muy Baja",O143="Mayor"),AND(K143="Baja",O143="Mayor"),AND(K143="Media",O143="Mayor"),AND(K143="Alta",O143="Moderado"),AND(K143="Alta",O143="Mayor"),AND(K143="Muy Alta",O143="Leve"),AND(K143="Muy Alta",O143="Menor"),AND(K143="Muy Alta",O143="Moderado"),AND(K143="Muy Alta",O143="Mayor")),"Alto",IF(OR(AND(K143="Muy Baja",O143="Catastrófico"),AND(K143="Baja",O143="Catastrófico"),AND(K143="Media",O143="Catastrófico"),AND(K143="Alta",O143="Catastrófico"),AND(K143="Muy Alta",O143="Catastrófico")),"Extremo",""))))</f>
        <v>Moderado</v>
      </c>
      <c r="R143" s="774">
        <v>1</v>
      </c>
      <c r="S143" s="446" t="s">
        <v>540</v>
      </c>
      <c r="T143" s="431" t="s">
        <v>484</v>
      </c>
      <c r="U143" s="444" t="s">
        <v>379</v>
      </c>
      <c r="V143" s="444" t="s">
        <v>191</v>
      </c>
      <c r="W143" s="432" t="str">
        <f t="shared" si="84"/>
        <v>25%</v>
      </c>
      <c r="X143" s="444" t="s">
        <v>198</v>
      </c>
      <c r="Y143" s="444" t="s">
        <v>193</v>
      </c>
      <c r="Z143" s="444" t="s">
        <v>194</v>
      </c>
      <c r="AA143" s="420">
        <f>IFERROR(IF(T143="Probabilidad",(L143-(+L143*W143)),IF(T143="Impacto",L143,"")),"")</f>
        <v>0.30000000000000004</v>
      </c>
      <c r="AB143" s="421" t="str">
        <f t="shared" si="85"/>
        <v>Baja</v>
      </c>
      <c r="AC143" s="422">
        <f t="shared" si="86"/>
        <v>0.30000000000000004</v>
      </c>
      <c r="AD143" s="440" t="s">
        <v>62</v>
      </c>
      <c r="AE143" s="422">
        <f>IFERROR(IF(T143="Impacto",(P143-(+P143*W143)),IF(T143="Probabilidad",P143,"")),"")</f>
        <v>0.4</v>
      </c>
      <c r="AF143" s="423" t="str">
        <f t="shared" si="88"/>
        <v>Moderado</v>
      </c>
      <c r="AG143" s="776" t="s">
        <v>195</v>
      </c>
      <c r="AH143" s="762" t="s">
        <v>541</v>
      </c>
      <c r="AI143" s="764" t="s">
        <v>509</v>
      </c>
      <c r="AJ143" s="765" t="s">
        <v>510</v>
      </c>
      <c r="AK143" s="767" t="s">
        <v>542</v>
      </c>
      <c r="AL143" s="765">
        <v>45351</v>
      </c>
    </row>
    <row r="144" spans="1:38" ht="69.599999999999994" x14ac:dyDescent="0.3">
      <c r="A144" s="777"/>
      <c r="B144" s="763"/>
      <c r="C144" s="763"/>
      <c r="D144" s="779"/>
      <c r="E144" s="445" t="s">
        <v>543</v>
      </c>
      <c r="F144" s="762"/>
      <c r="G144" s="781"/>
      <c r="H144" s="782"/>
      <c r="I144" s="783"/>
      <c r="J144" s="784"/>
      <c r="K144" s="769"/>
      <c r="L144" s="770"/>
      <c r="M144" s="771"/>
      <c r="N144" s="772">
        <f>IF(NOT(ISERROR(MATCH(M144,_xlfn.ANCHORARRAY(F258),0))),L260&amp;"Por favor no seleccionar los criterios de impacto",M144)</f>
        <v>0</v>
      </c>
      <c r="O144" s="769"/>
      <c r="P144" s="770"/>
      <c r="Q144" s="773"/>
      <c r="R144" s="775"/>
      <c r="S144" s="447" t="s">
        <v>544</v>
      </c>
      <c r="T144" s="431" t="s">
        <v>484</v>
      </c>
      <c r="U144" s="444" t="s">
        <v>379</v>
      </c>
      <c r="V144" s="444" t="s">
        <v>191</v>
      </c>
      <c r="W144" s="432" t="str">
        <f t="shared" si="84"/>
        <v>25%</v>
      </c>
      <c r="X144" s="444" t="s">
        <v>198</v>
      </c>
      <c r="Y144" s="444" t="s">
        <v>193</v>
      </c>
      <c r="Z144" s="444" t="s">
        <v>194</v>
      </c>
      <c r="AA144" s="420">
        <f>IFERROR(IF(AND(T143="Probabilidad",T144="Probabilidad"),(AC143-(+AC143*W144)),IF(AND(T143="Impacto",T144="Probabilidad"),(L143-(+L143*W144)),IF(T144="Impacto",AC143,""))),"")</f>
        <v>0.22500000000000003</v>
      </c>
      <c r="AB144" s="421" t="str">
        <f t="shared" si="85"/>
        <v>Baja</v>
      </c>
      <c r="AC144" s="422">
        <f t="shared" si="86"/>
        <v>0.22500000000000003</v>
      </c>
      <c r="AD144" s="440" t="s">
        <v>62</v>
      </c>
      <c r="AE144" s="422">
        <f>IFERROR(IF(AND(T143="Impacto",T144="Impacto"),(AE143-(+AE143*W144)),IF(AND(T143="Probabilidad",T144="Impacto"),(P143-(+P143*W144)),IF(T144="Probabilidad",AE143,""))),"")</f>
        <v>0.4</v>
      </c>
      <c r="AF144" s="423" t="str">
        <f t="shared" si="88"/>
        <v>Moderado</v>
      </c>
      <c r="AG144" s="776"/>
      <c r="AH144" s="763"/>
      <c r="AI144" s="764"/>
      <c r="AJ144" s="766"/>
      <c r="AK144" s="767"/>
      <c r="AL144" s="768"/>
    </row>
    <row r="145" spans="1:39" x14ac:dyDescent="0.3">
      <c r="A145" s="718" t="s">
        <v>148</v>
      </c>
      <c r="B145" s="719"/>
      <c r="C145" s="719"/>
      <c r="D145" s="719"/>
      <c r="E145" s="719"/>
      <c r="F145" s="719"/>
      <c r="G145" s="719"/>
      <c r="H145" s="719"/>
      <c r="I145" s="719"/>
      <c r="J145" s="719"/>
      <c r="K145" s="719"/>
      <c r="L145" s="719"/>
      <c r="M145" s="719"/>
      <c r="N145" s="719"/>
      <c r="O145" s="719"/>
      <c r="P145" s="719"/>
      <c r="Q145" s="719"/>
      <c r="R145" s="719"/>
      <c r="S145" s="719"/>
      <c r="T145" s="719"/>
      <c r="U145" s="719"/>
      <c r="V145" s="719"/>
      <c r="W145" s="719"/>
      <c r="X145" s="719"/>
      <c r="Y145" s="719"/>
      <c r="Z145" s="719"/>
      <c r="AA145" s="719"/>
      <c r="AB145" s="719"/>
      <c r="AC145" s="719"/>
      <c r="AD145" s="719"/>
      <c r="AE145" s="719"/>
      <c r="AF145" s="719"/>
      <c r="AG145" s="719"/>
      <c r="AH145" s="719"/>
      <c r="AI145" s="719"/>
      <c r="AJ145" s="719"/>
      <c r="AK145" s="719"/>
      <c r="AL145" s="719"/>
      <c r="AM145" s="720"/>
    </row>
    <row r="146" spans="1:39" x14ac:dyDescent="0.3">
      <c r="A146" s="721"/>
      <c r="B146" s="722"/>
      <c r="C146" s="722"/>
      <c r="D146" s="722"/>
      <c r="E146" s="722"/>
      <c r="F146" s="722"/>
      <c r="G146" s="722"/>
      <c r="H146" s="722"/>
      <c r="I146" s="722"/>
      <c r="J146" s="722"/>
      <c r="K146" s="722"/>
      <c r="L146" s="722"/>
      <c r="M146" s="722"/>
      <c r="N146" s="722"/>
      <c r="O146" s="722"/>
      <c r="P146" s="722"/>
      <c r="Q146" s="722"/>
      <c r="R146" s="722"/>
      <c r="S146" s="722"/>
      <c r="T146" s="722"/>
      <c r="U146" s="722"/>
      <c r="V146" s="722"/>
      <c r="W146" s="722"/>
      <c r="X146" s="722"/>
      <c r="Y146" s="722"/>
      <c r="Z146" s="722"/>
      <c r="AA146" s="722"/>
      <c r="AB146" s="722"/>
      <c r="AC146" s="722"/>
      <c r="AD146" s="722"/>
      <c r="AE146" s="722"/>
      <c r="AF146" s="722"/>
      <c r="AG146" s="722"/>
      <c r="AH146" s="722"/>
      <c r="AI146" s="722"/>
      <c r="AJ146" s="722"/>
      <c r="AK146" s="722"/>
      <c r="AL146" s="722"/>
      <c r="AM146" s="723"/>
    </row>
    <row r="147" spans="1:39" ht="14.4" x14ac:dyDescent="0.3">
      <c r="A147" s="42"/>
      <c r="B147" s="43"/>
      <c r="C147" s="42"/>
      <c r="D147" s="42"/>
      <c r="E147" s="42"/>
      <c r="F147" s="41"/>
      <c r="G147" s="41"/>
      <c r="H147" s="41"/>
      <c r="I147" s="44"/>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row>
    <row r="148" spans="1:39" ht="23.4" x14ac:dyDescent="0.3">
      <c r="A148" s="711" t="s">
        <v>149</v>
      </c>
      <c r="B148" s="712"/>
      <c r="C148" s="724" t="s">
        <v>545</v>
      </c>
      <c r="D148" s="724"/>
      <c r="E148" s="724"/>
      <c r="F148" s="724"/>
      <c r="G148" s="724"/>
      <c r="H148" s="724"/>
      <c r="I148" s="724"/>
      <c r="J148" s="724"/>
      <c r="K148" s="724"/>
      <c r="L148" s="724"/>
      <c r="M148" s="724"/>
      <c r="N148" s="724"/>
      <c r="O148" s="724"/>
      <c r="P148" s="724"/>
      <c r="Q148" s="724"/>
      <c r="R148" s="724"/>
      <c r="S148" s="724"/>
      <c r="T148" s="724"/>
      <c r="U148" s="724"/>
      <c r="V148" s="724"/>
      <c r="W148" s="724"/>
      <c r="X148" s="724"/>
      <c r="Y148" s="724"/>
      <c r="Z148" s="724"/>
      <c r="AA148" s="724"/>
      <c r="AB148" s="724"/>
      <c r="AC148" s="724"/>
      <c r="AD148" s="724"/>
      <c r="AE148" s="724"/>
      <c r="AF148" s="724"/>
      <c r="AG148" s="724"/>
      <c r="AH148" s="724"/>
      <c r="AI148" s="724"/>
      <c r="AJ148" s="724"/>
      <c r="AK148" s="724"/>
      <c r="AL148" s="724"/>
      <c r="AM148" s="724"/>
    </row>
    <row r="149" spans="1:39" ht="23.4" x14ac:dyDescent="0.3">
      <c r="A149" s="711" t="s">
        <v>150</v>
      </c>
      <c r="B149" s="712"/>
      <c r="C149" s="713" t="s">
        <v>546</v>
      </c>
      <c r="D149" s="713"/>
      <c r="E149" s="713"/>
      <c r="F149" s="713"/>
      <c r="G149" s="713"/>
      <c r="H149" s="713"/>
      <c r="I149" s="713"/>
      <c r="J149" s="713"/>
      <c r="K149" s="713"/>
      <c r="L149" s="713"/>
      <c r="M149" s="713"/>
      <c r="N149" s="713"/>
      <c r="O149" s="713"/>
      <c r="P149" s="713"/>
      <c r="Q149" s="713"/>
      <c r="R149" s="713"/>
      <c r="S149" s="713"/>
      <c r="T149" s="713"/>
      <c r="U149" s="713"/>
      <c r="V149" s="713"/>
      <c r="W149" s="713"/>
      <c r="X149" s="713"/>
      <c r="Y149" s="713"/>
      <c r="Z149" s="713"/>
      <c r="AA149" s="713"/>
      <c r="AB149" s="713"/>
      <c r="AC149" s="713"/>
      <c r="AD149" s="713"/>
      <c r="AE149" s="713"/>
      <c r="AF149" s="713"/>
      <c r="AG149" s="713"/>
      <c r="AH149" s="713"/>
      <c r="AI149" s="713"/>
      <c r="AJ149" s="713"/>
      <c r="AK149" s="713"/>
      <c r="AL149" s="713"/>
      <c r="AM149" s="713"/>
    </row>
    <row r="150" spans="1:39" ht="23.4" x14ac:dyDescent="0.3">
      <c r="A150" s="711" t="s">
        <v>151</v>
      </c>
      <c r="B150" s="712"/>
      <c r="C150" s="713" t="s">
        <v>547</v>
      </c>
      <c r="D150" s="713"/>
      <c r="E150" s="713"/>
      <c r="F150" s="713"/>
      <c r="G150" s="713"/>
      <c r="H150" s="713"/>
      <c r="I150" s="713"/>
      <c r="J150" s="713"/>
      <c r="K150" s="713"/>
      <c r="L150" s="713"/>
      <c r="M150" s="713"/>
      <c r="N150" s="713"/>
      <c r="O150" s="713"/>
      <c r="P150" s="713"/>
      <c r="Q150" s="713"/>
      <c r="R150" s="713"/>
      <c r="S150" s="713"/>
      <c r="T150" s="713"/>
      <c r="U150" s="713"/>
      <c r="V150" s="713"/>
      <c r="W150" s="713"/>
      <c r="X150" s="713"/>
      <c r="Y150" s="713"/>
      <c r="Z150" s="713"/>
      <c r="AA150" s="713"/>
      <c r="AB150" s="713"/>
      <c r="AC150" s="713"/>
      <c r="AD150" s="713"/>
      <c r="AE150" s="713"/>
      <c r="AF150" s="713"/>
      <c r="AG150" s="713"/>
      <c r="AH150" s="713"/>
      <c r="AI150" s="713"/>
      <c r="AJ150" s="713"/>
      <c r="AK150" s="713"/>
      <c r="AL150" s="713"/>
      <c r="AM150" s="713"/>
    </row>
    <row r="151" spans="1:39" x14ac:dyDescent="0.3">
      <c r="A151" s="714" t="s">
        <v>152</v>
      </c>
      <c r="B151" s="715"/>
      <c r="C151" s="716"/>
      <c r="D151" s="716"/>
      <c r="E151" s="716"/>
      <c r="F151" s="716"/>
      <c r="G151" s="716"/>
      <c r="H151" s="716"/>
      <c r="I151" s="716"/>
      <c r="J151" s="717"/>
      <c r="K151" s="701" t="s">
        <v>153</v>
      </c>
      <c r="L151" s="716"/>
      <c r="M151" s="716"/>
      <c r="N151" s="716"/>
      <c r="O151" s="716"/>
      <c r="P151" s="716"/>
      <c r="Q151" s="717"/>
      <c r="R151" s="701" t="s">
        <v>154</v>
      </c>
      <c r="S151" s="716"/>
      <c r="T151" s="716"/>
      <c r="U151" s="716"/>
      <c r="V151" s="716"/>
      <c r="W151" s="716"/>
      <c r="X151" s="716"/>
      <c r="Y151" s="716"/>
      <c r="Z151" s="717"/>
      <c r="AA151" s="701" t="s">
        <v>155</v>
      </c>
      <c r="AB151" s="716"/>
      <c r="AC151" s="716"/>
      <c r="AD151" s="716"/>
      <c r="AE151" s="716"/>
      <c r="AF151" s="716"/>
      <c r="AG151" s="717"/>
      <c r="AH151" s="701" t="s">
        <v>156</v>
      </c>
      <c r="AI151" s="716"/>
      <c r="AJ151" s="716"/>
      <c r="AK151" s="716"/>
      <c r="AL151" s="716"/>
      <c r="AM151" s="717"/>
    </row>
    <row r="152" spans="1:39" x14ac:dyDescent="0.3">
      <c r="A152" s="705" t="s">
        <v>157</v>
      </c>
      <c r="B152" s="707" t="s">
        <v>141</v>
      </c>
      <c r="C152" s="703" t="s">
        <v>158</v>
      </c>
      <c r="D152" s="703" t="s">
        <v>159</v>
      </c>
      <c r="E152" s="702" t="s">
        <v>160</v>
      </c>
      <c r="F152" s="709" t="s">
        <v>60</v>
      </c>
      <c r="G152" s="38"/>
      <c r="H152" s="38"/>
      <c r="I152" s="702" t="s">
        <v>161</v>
      </c>
      <c r="J152" s="703" t="s">
        <v>162</v>
      </c>
      <c r="K152" s="708" t="s">
        <v>163</v>
      </c>
      <c r="L152" s="700" t="s">
        <v>164</v>
      </c>
      <c r="M152" s="702" t="s">
        <v>165</v>
      </c>
      <c r="N152" s="702" t="s">
        <v>166</v>
      </c>
      <c r="O152" s="704" t="s">
        <v>167</v>
      </c>
      <c r="P152" s="700" t="s">
        <v>164</v>
      </c>
      <c r="Q152" s="703" t="s">
        <v>168</v>
      </c>
      <c r="R152" s="698" t="s">
        <v>169</v>
      </c>
      <c r="S152" s="676" t="s">
        <v>170</v>
      </c>
      <c r="T152" s="702" t="s">
        <v>171</v>
      </c>
      <c r="U152" s="676" t="s">
        <v>172</v>
      </c>
      <c r="V152" s="676"/>
      <c r="W152" s="676"/>
      <c r="X152" s="676"/>
      <c r="Y152" s="676"/>
      <c r="Z152" s="676"/>
      <c r="AA152" s="697" t="s">
        <v>173</v>
      </c>
      <c r="AB152" s="697" t="s">
        <v>174</v>
      </c>
      <c r="AC152" s="697" t="s">
        <v>164</v>
      </c>
      <c r="AD152" s="697" t="s">
        <v>175</v>
      </c>
      <c r="AE152" s="697" t="s">
        <v>164</v>
      </c>
      <c r="AF152" s="697" t="s">
        <v>176</v>
      </c>
      <c r="AG152" s="698" t="s">
        <v>177</v>
      </c>
      <c r="AH152" s="676" t="s">
        <v>156</v>
      </c>
      <c r="AI152" s="676" t="s">
        <v>142</v>
      </c>
      <c r="AJ152" s="676" t="s">
        <v>178</v>
      </c>
      <c r="AK152" s="676" t="s">
        <v>179</v>
      </c>
      <c r="AL152" s="676" t="s">
        <v>180</v>
      </c>
      <c r="AM152" s="676" t="s">
        <v>181</v>
      </c>
    </row>
    <row r="153" spans="1:39" ht="72.599999999999994" x14ac:dyDescent="0.3">
      <c r="A153" s="706"/>
      <c r="B153" s="707"/>
      <c r="C153" s="676"/>
      <c r="D153" s="676"/>
      <c r="E153" s="708"/>
      <c r="F153" s="710"/>
      <c r="G153" s="38" t="s">
        <v>201</v>
      </c>
      <c r="H153" s="38" t="s">
        <v>182</v>
      </c>
      <c r="I153" s="703"/>
      <c r="J153" s="676"/>
      <c r="K153" s="703"/>
      <c r="L153" s="701"/>
      <c r="M153" s="703"/>
      <c r="N153" s="703"/>
      <c r="O153" s="701"/>
      <c r="P153" s="701"/>
      <c r="Q153" s="676"/>
      <c r="R153" s="699"/>
      <c r="S153" s="676"/>
      <c r="T153" s="703"/>
      <c r="U153" s="39" t="s">
        <v>183</v>
      </c>
      <c r="V153" s="39" t="s">
        <v>184</v>
      </c>
      <c r="W153" s="39" t="s">
        <v>185</v>
      </c>
      <c r="X153" s="39" t="s">
        <v>186</v>
      </c>
      <c r="Y153" s="39" t="s">
        <v>187</v>
      </c>
      <c r="Z153" s="39" t="s">
        <v>188</v>
      </c>
      <c r="AA153" s="697"/>
      <c r="AB153" s="697"/>
      <c r="AC153" s="697"/>
      <c r="AD153" s="697"/>
      <c r="AE153" s="697"/>
      <c r="AF153" s="697"/>
      <c r="AG153" s="699"/>
      <c r="AH153" s="676"/>
      <c r="AI153" s="676"/>
      <c r="AJ153" s="676"/>
      <c r="AK153" s="676"/>
      <c r="AL153" s="676"/>
      <c r="AM153" s="676"/>
    </row>
    <row r="154" spans="1:39" ht="138" x14ac:dyDescent="0.3">
      <c r="A154" s="630">
        <v>1</v>
      </c>
      <c r="B154" s="734" t="s">
        <v>199</v>
      </c>
      <c r="C154" s="734" t="s">
        <v>548</v>
      </c>
      <c r="D154" s="736" t="s">
        <v>549</v>
      </c>
      <c r="E154" s="448" t="s">
        <v>550</v>
      </c>
      <c r="F154" s="759" t="s">
        <v>551</v>
      </c>
      <c r="G154" s="760" t="s">
        <v>202</v>
      </c>
      <c r="H154" s="738" t="s">
        <v>552</v>
      </c>
      <c r="I154" s="739" t="s">
        <v>190</v>
      </c>
      <c r="J154" s="741">
        <v>36</v>
      </c>
      <c r="K154" s="743" t="str">
        <f>IF(J154&lt;=0,"",IF(J154&lt;=2,"Muy Baja",IF(J154&lt;=24,"Baja",IF(J154&lt;=500,"Media",IF(J154&lt;=5000,"Alta","Muy Alta")))))</f>
        <v>Media</v>
      </c>
      <c r="L154" s="745">
        <f>IF(K154="","",IF(K154="Muy Baja",0.2,IF(K154="Baja",0.4,IF(K154="Media",0.6,IF(K154="Alta",0.8,IF(K154="Muy Alta",1,))))))</f>
        <v>0.6</v>
      </c>
      <c r="M154" s="747" t="s">
        <v>214</v>
      </c>
      <c r="N154" s="745" t="str">
        <f>IF(NOT(ISERROR(MATCH(M154,'[11]Tabla Impacto'!$B$221:$B$223,0))),'[11]Tabla Impacto'!$F$223&amp;"Por favor no seleccionar los criterios de impacto(Afectación Económica o presupuestal y Pérdida Reputacional)",M154)</f>
        <v xml:space="preserve">     El riesgo afecta la imagen de de la entidad con efecto publicitario sostenido a nivel de sector administrativo, nivel departamental o municipal</v>
      </c>
      <c r="O154" s="743" t="str">
        <f>IF(OR(N154='[11]Tabla Impacto'!$C$11,N154='[11]Tabla Impacto'!$D$11),"Leve",IF(OR(N154='[11]Tabla Impacto'!$C$12,N154='[11]Tabla Impacto'!$D$12),"Menor",IF(OR(N154='[11]Tabla Impacto'!$C$13,N154='[11]Tabla Impacto'!$D$13),"Moderado",IF(OR(N154='[11]Tabla Impacto'!$C$14,N154='[11]Tabla Impacto'!$D$14),"Mayor",IF(OR(N154='[11]Tabla Impacto'!$C$15,N154='[11]Tabla Impacto'!$D$15),"Catastrófico","")))))</f>
        <v>Mayor</v>
      </c>
      <c r="P154" s="745">
        <f>IF(O154="","",IF(O154="Leve",0.2,IF(O154="Menor",0.4,IF(O154="Moderado",0.6,IF(O154="Mayor",0.8,IF(O154="Catastrófico",1,))))))</f>
        <v>0.8</v>
      </c>
      <c r="Q154" s="749" t="str">
        <f>IF(OR(AND(K154="Muy Baja",O154="Leve"),AND(K154="Muy Baja",O154="Menor"),AND(K154="Baja",O154="Leve")),"Bajo",IF(OR(AND(K154="Muy baja",O154="Moderado"),AND(K154="Baja",O154="Menor"),AND(K154="Baja",O154="Moderado"),AND(K154="Media",O154="Leve"),AND(K154="Media",O154="Menor"),AND(K154="Media",O154="Moderado"),AND(K154="Alta",O154="Leve"),AND(K154="Alta",O154="Menor")),"Moderado",IF(OR(AND(K154="Muy Baja",O154="Mayor"),AND(K154="Baja",O154="Mayor"),AND(K154="Media",O154="Mayor"),AND(K154="Alta",O154="Moderado"),AND(K154="Alta",O154="Mayor"),AND(K154="Muy Alta",O154="Leve"),AND(K154="Muy Alta",O154="Menor"),AND(K154="Muy Alta",O154="Moderado"),AND(K154="Muy Alta",O154="Mayor")),"Alto",IF(OR(AND(K154="Muy Baja",O154="Catastrófico"),AND(K154="Baja",O154="Catastrófico"),AND(K154="Media",O154="Catastrófico"),AND(K154="Alta",O154="Catastrófico"),AND(K154="Muy Alta",O154="Catastrófico")),"Extremo",""))))</f>
        <v>Alto</v>
      </c>
      <c r="R154" s="249">
        <v>1</v>
      </c>
      <c r="S154" s="449" t="s">
        <v>553</v>
      </c>
      <c r="T154" s="94" t="str">
        <f>IF(OR(U154="Preventivo",U154="Detectivo"),"Probabilidad",IF(U154="Correctivo","Impacto",""))</f>
        <v>Impacto</v>
      </c>
      <c r="U154" s="86" t="s">
        <v>379</v>
      </c>
      <c r="V154" s="86" t="s">
        <v>191</v>
      </c>
      <c r="W154" s="87" t="str">
        <f>IF(AND(U154="Preventivo",V154="Automático"),"50%",IF(AND(U154="Preventivo",V154="Manual"),"40%",IF(AND(U154="Detectivo",V154="Automático"),"40%",IF(AND(U154="Detectivo",V154="Manual"),"30%",IF(AND(U154="Correctivo",V154="Automático"),"35%",IF(AND(U154="Correctivo",V154="Manual"),"25%",""))))))</f>
        <v>25%</v>
      </c>
      <c r="X154" s="86" t="s">
        <v>198</v>
      </c>
      <c r="Y154" s="86" t="s">
        <v>193</v>
      </c>
      <c r="Z154" s="86" t="s">
        <v>194</v>
      </c>
      <c r="AA154" s="95">
        <f>IFERROR(IF(T154="Probabilidad",(L154-(+L154*W154)),IF(T154="Impacto",L154,"")),"")</f>
        <v>0.6</v>
      </c>
      <c r="AB154" s="88" t="str">
        <f>IFERROR(IF(AA154="","",IF(AA154&lt;=0.2,"Muy Baja",IF(AA154&lt;=0.4,"Baja",IF(AA154&lt;=0.6,"Media",IF(AA154&lt;=0.8,"Alta","Muy Alta"))))),"")</f>
        <v>Media</v>
      </c>
      <c r="AC154" s="89">
        <f>+AA154</f>
        <v>0.6</v>
      </c>
      <c r="AD154" s="88" t="str">
        <f>IFERROR(IF(AE154="","",IF(AE154&lt;=0.2,"Leve",IF(AE154&lt;=0.4,"Menor",IF(AE154&lt;=0.6,"Moderado",IF(AE154&lt;=0.8,"Mayor","Catastrófico"))))),"")</f>
        <v>Moderado</v>
      </c>
      <c r="AE154" s="89">
        <f>IFERROR(IF(T154="Impacto",(P154-(+P154*W154)),IF(T154="Probabilidad",P154,"")),"")</f>
        <v>0.60000000000000009</v>
      </c>
      <c r="AF154" s="90" t="str">
        <f>IFERROR(IF(OR(AND(AB154="Muy Baja",AD154="Leve"),AND(AB154="Muy Baja",AD154="Menor"),AND(AB154="Baja",AD154="Leve")),"Bajo",IF(OR(AND(AB154="Muy baja",AD154="Moderado"),AND(AB154="Baja",AD154="Menor"),AND(AB154="Baja",AD154="Moderado"),AND(AB154="Media",AD154="Leve"),AND(AB154="Media",AD154="Menor"),AND(AB154="Media",AD154="Moderado"),AND(AB154="Alta",AD154="Leve"),AND(AB154="Alta",AD154="Menor")),"Moderado",IF(OR(AND(AB154="Muy Baja",AD154="Mayor"),AND(AB154="Baja",AD154="Mayor"),AND(AB154="Media",AD154="Mayor"),AND(AB154="Alta",AD154="Moderado"),AND(AB154="Alta",AD154="Mayor"),AND(AB154="Muy Alta",AD154="Leve"),AND(AB154="Muy Alta",AD154="Menor"),AND(AB154="Muy Alta",AD154="Moderado"),AND(AB154="Muy Alta",AD154="Mayor")),"Alto",IF(OR(AND(AB154="Muy Baja",AD154="Catastrófico"),AND(AB154="Baja",AD154="Catastrófico"),AND(AB154="Media",AD154="Catastrófico"),AND(AB154="Alta",AD154="Catastrófico"),AND(AB154="Muy Alta",AD154="Catastrófico")),"Extremo","")))),"")</f>
        <v>Moderado</v>
      </c>
      <c r="AG154" s="91"/>
      <c r="AH154" s="450" t="s">
        <v>554</v>
      </c>
      <c r="AI154" s="450" t="s">
        <v>555</v>
      </c>
      <c r="AJ154" s="450" t="s">
        <v>556</v>
      </c>
      <c r="AK154" s="451">
        <v>45777</v>
      </c>
      <c r="AL154" s="450" t="s">
        <v>557</v>
      </c>
      <c r="AM154" s="452" t="s">
        <v>196</v>
      </c>
    </row>
    <row r="155" spans="1:39" ht="124.2" x14ac:dyDescent="0.3">
      <c r="A155" s="644"/>
      <c r="B155" s="735"/>
      <c r="C155" s="735"/>
      <c r="D155" s="737"/>
      <c r="E155" s="448" t="s">
        <v>558</v>
      </c>
      <c r="F155" s="759"/>
      <c r="G155" s="761"/>
      <c r="H155" s="738"/>
      <c r="I155" s="740"/>
      <c r="J155" s="742"/>
      <c r="K155" s="744"/>
      <c r="L155" s="746"/>
      <c r="M155" s="748"/>
      <c r="N155" s="746">
        <f>IF(NOT(ISERROR(MATCH(M155,_xlfn.ANCHORARRAY(F163),0))),L165&amp;"Por favor no seleccionar los criterios de impacto",M155)</f>
        <v>0</v>
      </c>
      <c r="O155" s="744"/>
      <c r="P155" s="746"/>
      <c r="Q155" s="750"/>
      <c r="R155" s="249">
        <v>2</v>
      </c>
      <c r="S155" s="449" t="s">
        <v>559</v>
      </c>
      <c r="T155" s="94" t="str">
        <f>IF(OR(U155="Preventivo",U155="Detectivo"),"Probabilidad",IF(U155="Correctivo","Impacto",""))</f>
        <v>Impacto</v>
      </c>
      <c r="U155" s="86" t="s">
        <v>379</v>
      </c>
      <c r="V155" s="86" t="s">
        <v>191</v>
      </c>
      <c r="W155" s="87" t="str">
        <f t="shared" ref="W155:W156" si="89">IF(AND(U155="Preventivo",V155="Automático"),"50%",IF(AND(U155="Preventivo",V155="Manual"),"40%",IF(AND(U155="Detectivo",V155="Automático"),"40%",IF(AND(U155="Detectivo",V155="Manual"),"30%",IF(AND(U155="Correctivo",V155="Automático"),"35%",IF(AND(U155="Correctivo",V155="Manual"),"25%",""))))))</f>
        <v>25%</v>
      </c>
      <c r="X155" s="86" t="s">
        <v>198</v>
      </c>
      <c r="Y155" s="86" t="s">
        <v>193</v>
      </c>
      <c r="Z155" s="86" t="s">
        <v>194</v>
      </c>
      <c r="AA155" s="95">
        <f>IFERROR(IF(AND(T154="Probabilidad",T155="Probabilidad"),(AC154-(+AC154*W155)),IF(AND(T154="Impacto",T155="Probabilidad"),(L154-(+L154*W155)),IF(T155="Impacto",AC154,""))),"")</f>
        <v>0.6</v>
      </c>
      <c r="AB155" s="88" t="str">
        <f t="shared" ref="AB155:AB156" si="90">IFERROR(IF(AA155="","",IF(AA155&lt;=0.2,"Muy Baja",IF(AA155&lt;=0.4,"Baja",IF(AA155&lt;=0.6,"Media",IF(AA155&lt;=0.8,"Alta","Muy Alta"))))),"")</f>
        <v>Media</v>
      </c>
      <c r="AC155" s="89">
        <f>+AA155</f>
        <v>0.6</v>
      </c>
      <c r="AD155" s="88" t="str">
        <f t="shared" ref="AD155:AD156" si="91">IFERROR(IF(AE155="","",IF(AE155&lt;=0.2,"Leve",IF(AE155&lt;=0.4,"Menor",IF(AE155&lt;=0.6,"Moderado",IF(AE155&lt;=0.8,"Mayor","Catastrófico"))))),"")</f>
        <v>Moderado</v>
      </c>
      <c r="AE155" s="89">
        <f>IFERROR(IF(AND(T154="Impacto",T155="Impacto"),(AE154-(+AE154*W155)),IF(AND(T154="Probabilidad",T155="Impacto"),(P154-(+P154*W155)),IF(T155="Probabilidad",AE154,""))),"")</f>
        <v>0.45000000000000007</v>
      </c>
      <c r="AF155" s="90" t="str">
        <f t="shared" ref="AF155:AF156" si="92">IFERROR(IF(OR(AND(AB155="Muy Baja",AD155="Leve"),AND(AB155="Muy Baja",AD155="Menor"),AND(AB155="Baja",AD155="Leve")),"Bajo",IF(OR(AND(AB155="Muy baja",AD155="Moderado"),AND(AB155="Baja",AD155="Menor"),AND(AB155="Baja",AD155="Moderado"),AND(AB155="Media",AD155="Leve"),AND(AB155="Media",AD155="Menor"),AND(AB155="Media",AD155="Moderado"),AND(AB155="Alta",AD155="Leve"),AND(AB155="Alta",AD155="Menor")),"Moderado",IF(OR(AND(AB155="Muy Baja",AD155="Mayor"),AND(AB155="Baja",AD155="Mayor"),AND(AB155="Media",AD155="Mayor"),AND(AB155="Alta",AD155="Moderado"),AND(AB155="Alta",AD155="Mayor"),AND(AB155="Muy Alta",AD155="Leve"),AND(AB155="Muy Alta",AD155="Menor"),AND(AB155="Muy Alta",AD155="Moderado"),AND(AB155="Muy Alta",AD155="Mayor")),"Alto",IF(OR(AND(AB155="Muy Baja",AD155="Catastrófico"),AND(AB155="Baja",AD155="Catastrófico"),AND(AB155="Media",AD155="Catastrófico"),AND(AB155="Alta",AD155="Catastrófico"),AND(AB155="Muy Alta",AD155="Catastrófico")),"Extremo","")))),"")</f>
        <v>Moderado</v>
      </c>
      <c r="AG155" s="91"/>
      <c r="AH155" s="453" t="s">
        <v>560</v>
      </c>
      <c r="AI155" s="450" t="s">
        <v>561</v>
      </c>
      <c r="AJ155" s="450" t="s">
        <v>556</v>
      </c>
      <c r="AK155" s="451">
        <v>56369</v>
      </c>
      <c r="AL155" s="450" t="s">
        <v>562</v>
      </c>
      <c r="AM155" s="452" t="s">
        <v>196</v>
      </c>
    </row>
    <row r="156" spans="1:39" ht="151.80000000000001" x14ac:dyDescent="0.3">
      <c r="A156" s="644"/>
      <c r="B156" s="735"/>
      <c r="C156" s="735"/>
      <c r="D156" s="737"/>
      <c r="E156" s="448" t="s">
        <v>563</v>
      </c>
      <c r="F156" s="759"/>
      <c r="G156" s="761"/>
      <c r="H156" s="738"/>
      <c r="I156" s="740"/>
      <c r="J156" s="742"/>
      <c r="K156" s="744"/>
      <c r="L156" s="746"/>
      <c r="M156" s="748"/>
      <c r="N156" s="746">
        <f>IF(NOT(ISERROR(MATCH(M156,_xlfn.ANCHORARRAY(F164),0))),L166&amp;"Por favor no seleccionar los criterios de impacto",M156)</f>
        <v>0</v>
      </c>
      <c r="O156" s="744"/>
      <c r="P156" s="746"/>
      <c r="Q156" s="750"/>
      <c r="R156" s="249">
        <v>3</v>
      </c>
      <c r="S156" s="454" t="s">
        <v>564</v>
      </c>
      <c r="T156" s="94" t="s">
        <v>141</v>
      </c>
      <c r="U156" s="86" t="s">
        <v>379</v>
      </c>
      <c r="V156" s="86" t="s">
        <v>191</v>
      </c>
      <c r="W156" s="87" t="str">
        <f t="shared" si="89"/>
        <v>25%</v>
      </c>
      <c r="X156" s="86" t="s">
        <v>192</v>
      </c>
      <c r="Y156" s="86" t="s">
        <v>471</v>
      </c>
      <c r="Z156" s="86" t="s">
        <v>485</v>
      </c>
      <c r="AA156" s="95">
        <f>IFERROR(IF(AND(T155="Probabilidad",T156="Probabilidad"),(AC155-(+AC155*W156)),IF(AND(T155="Impacto",T156="Probabilidad"),(AC154-(+AC154*W156)),IF(T156="Impacto",AC155,""))),"")</f>
        <v>0.6</v>
      </c>
      <c r="AB156" s="88" t="str">
        <f t="shared" si="90"/>
        <v>Media</v>
      </c>
      <c r="AC156" s="89">
        <f t="shared" ref="AC156" si="93">+AA156</f>
        <v>0.6</v>
      </c>
      <c r="AD156" s="88" t="str">
        <f t="shared" si="91"/>
        <v>Menor</v>
      </c>
      <c r="AE156" s="89">
        <f t="shared" ref="AE156" si="94">IFERROR(IF(AND(T155="Impacto",T156="Impacto"),(AE155-(+AE155*W156)),IF(AND(T155="Probabilidad",T156="Impacto"),(AE154-(+AE154*W156)),IF(T156="Probabilidad",AE155,""))),"")</f>
        <v>0.33750000000000002</v>
      </c>
      <c r="AF156" s="90" t="str">
        <f t="shared" si="92"/>
        <v>Moderado</v>
      </c>
      <c r="AG156" s="91"/>
      <c r="AH156" s="455" t="s">
        <v>565</v>
      </c>
      <c r="AI156" s="453" t="s">
        <v>561</v>
      </c>
      <c r="AJ156" s="450" t="s">
        <v>556</v>
      </c>
      <c r="AK156" s="451">
        <v>56369</v>
      </c>
      <c r="AL156" s="453" t="s">
        <v>566</v>
      </c>
      <c r="AM156" s="452" t="s">
        <v>196</v>
      </c>
    </row>
    <row r="157" spans="1:39" x14ac:dyDescent="0.3">
      <c r="A157" s="718" t="s">
        <v>148</v>
      </c>
      <c r="B157" s="719"/>
      <c r="C157" s="719"/>
      <c r="D157" s="719"/>
      <c r="E157" s="719"/>
      <c r="F157" s="719"/>
      <c r="G157" s="719"/>
      <c r="H157" s="719"/>
      <c r="I157" s="719"/>
      <c r="J157" s="719"/>
      <c r="K157" s="719"/>
      <c r="L157" s="719"/>
      <c r="M157" s="719"/>
      <c r="N157" s="719"/>
      <c r="O157" s="719"/>
      <c r="P157" s="719"/>
      <c r="Q157" s="719"/>
      <c r="R157" s="719"/>
      <c r="S157" s="719"/>
      <c r="T157" s="719"/>
      <c r="U157" s="719"/>
      <c r="V157" s="719"/>
      <c r="W157" s="719"/>
      <c r="X157" s="719"/>
      <c r="Y157" s="719"/>
      <c r="Z157" s="719"/>
      <c r="AA157" s="719"/>
      <c r="AB157" s="719"/>
      <c r="AC157" s="719"/>
      <c r="AD157" s="719"/>
      <c r="AE157" s="719"/>
      <c r="AF157" s="719"/>
      <c r="AG157" s="719"/>
      <c r="AH157" s="719"/>
      <c r="AI157" s="719"/>
      <c r="AJ157" s="719"/>
      <c r="AK157" s="719"/>
      <c r="AL157" s="720"/>
    </row>
    <row r="158" spans="1:39" x14ac:dyDescent="0.3">
      <c r="A158" s="721"/>
      <c r="B158" s="722"/>
      <c r="C158" s="722"/>
      <c r="D158" s="722"/>
      <c r="E158" s="722"/>
      <c r="F158" s="722"/>
      <c r="G158" s="722"/>
      <c r="H158" s="722"/>
      <c r="I158" s="722"/>
      <c r="J158" s="722"/>
      <c r="K158" s="722"/>
      <c r="L158" s="722"/>
      <c r="M158" s="722"/>
      <c r="N158" s="722"/>
      <c r="O158" s="722"/>
      <c r="P158" s="722"/>
      <c r="Q158" s="722"/>
      <c r="R158" s="722"/>
      <c r="S158" s="722"/>
      <c r="T158" s="722"/>
      <c r="U158" s="722"/>
      <c r="V158" s="722"/>
      <c r="W158" s="722"/>
      <c r="X158" s="722"/>
      <c r="Y158" s="722"/>
      <c r="Z158" s="722"/>
      <c r="AA158" s="722"/>
      <c r="AB158" s="722"/>
      <c r="AC158" s="722"/>
      <c r="AD158" s="722"/>
      <c r="AE158" s="722"/>
      <c r="AF158" s="722"/>
      <c r="AG158" s="722"/>
      <c r="AH158" s="722"/>
      <c r="AI158" s="722"/>
      <c r="AJ158" s="722"/>
      <c r="AK158" s="722"/>
      <c r="AL158" s="723"/>
    </row>
    <row r="159" spans="1:39" ht="14.4" x14ac:dyDescent="0.3">
      <c r="A159" s="42"/>
      <c r="B159" s="43"/>
      <c r="C159" s="42"/>
      <c r="D159" s="42"/>
      <c r="E159" s="42"/>
      <c r="F159" s="41"/>
      <c r="G159" s="41"/>
      <c r="H159" s="41"/>
      <c r="I159" s="44"/>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row>
    <row r="160" spans="1:39" ht="23.4" x14ac:dyDescent="0.3">
      <c r="A160" s="711" t="s">
        <v>149</v>
      </c>
      <c r="B160" s="712"/>
      <c r="C160" s="724" t="s">
        <v>567</v>
      </c>
      <c r="D160" s="724"/>
      <c r="E160" s="724"/>
      <c r="F160" s="724"/>
      <c r="G160" s="724"/>
      <c r="H160" s="724"/>
      <c r="I160" s="724"/>
      <c r="J160" s="724"/>
      <c r="K160" s="724"/>
      <c r="L160" s="724"/>
      <c r="M160" s="724"/>
      <c r="N160" s="724"/>
      <c r="O160" s="724"/>
      <c r="P160" s="724"/>
      <c r="Q160" s="724"/>
      <c r="R160" s="724"/>
      <c r="S160" s="724"/>
      <c r="T160" s="724"/>
      <c r="U160" s="724"/>
      <c r="V160" s="724"/>
      <c r="W160" s="724"/>
      <c r="X160" s="724"/>
      <c r="Y160" s="724"/>
      <c r="Z160" s="724"/>
      <c r="AA160" s="724"/>
      <c r="AB160" s="724"/>
      <c r="AC160" s="724"/>
      <c r="AD160" s="724"/>
      <c r="AE160" s="724"/>
      <c r="AF160" s="724"/>
      <c r="AG160" s="724"/>
      <c r="AH160" s="724"/>
      <c r="AI160" s="724"/>
      <c r="AJ160" s="724"/>
      <c r="AK160" s="724"/>
      <c r="AL160" s="724"/>
    </row>
    <row r="161" spans="1:39" ht="23.4" x14ac:dyDescent="0.3">
      <c r="A161" s="711" t="s">
        <v>150</v>
      </c>
      <c r="B161" s="712"/>
      <c r="C161" s="713" t="s">
        <v>568</v>
      </c>
      <c r="D161" s="713"/>
      <c r="E161" s="713"/>
      <c r="F161" s="713"/>
      <c r="G161" s="713"/>
      <c r="H161" s="713"/>
      <c r="I161" s="713"/>
      <c r="J161" s="713"/>
      <c r="K161" s="713"/>
      <c r="L161" s="713"/>
      <c r="M161" s="713"/>
      <c r="N161" s="713"/>
      <c r="O161" s="713"/>
      <c r="P161" s="713"/>
      <c r="Q161" s="713"/>
      <c r="R161" s="713"/>
      <c r="S161" s="713"/>
      <c r="T161" s="713"/>
      <c r="U161" s="713"/>
      <c r="V161" s="713"/>
      <c r="W161" s="713"/>
      <c r="X161" s="713"/>
      <c r="Y161" s="713"/>
      <c r="Z161" s="713"/>
      <c r="AA161" s="713"/>
      <c r="AB161" s="713"/>
      <c r="AC161" s="713"/>
      <c r="AD161" s="713"/>
      <c r="AE161" s="713"/>
      <c r="AF161" s="713"/>
      <c r="AG161" s="713"/>
      <c r="AH161" s="713"/>
      <c r="AI161" s="713"/>
      <c r="AJ161" s="713"/>
      <c r="AK161" s="713"/>
      <c r="AL161" s="713"/>
    </row>
    <row r="162" spans="1:39" ht="23.4" x14ac:dyDescent="0.3">
      <c r="A162" s="711" t="s">
        <v>151</v>
      </c>
      <c r="B162" s="712"/>
      <c r="C162" s="713" t="s">
        <v>569</v>
      </c>
      <c r="D162" s="713"/>
      <c r="E162" s="713"/>
      <c r="F162" s="713"/>
      <c r="G162" s="713"/>
      <c r="H162" s="713"/>
      <c r="I162" s="713"/>
      <c r="J162" s="713"/>
      <c r="K162" s="713"/>
      <c r="L162" s="713"/>
      <c r="M162" s="713"/>
      <c r="N162" s="713"/>
      <c r="O162" s="713"/>
      <c r="P162" s="713"/>
      <c r="Q162" s="713"/>
      <c r="R162" s="713"/>
      <c r="S162" s="713"/>
      <c r="T162" s="713"/>
      <c r="U162" s="713"/>
      <c r="V162" s="713"/>
      <c r="W162" s="713"/>
      <c r="X162" s="713"/>
      <c r="Y162" s="713"/>
      <c r="Z162" s="713"/>
      <c r="AA162" s="713"/>
      <c r="AB162" s="713"/>
      <c r="AC162" s="713"/>
      <c r="AD162" s="713"/>
      <c r="AE162" s="713"/>
      <c r="AF162" s="713"/>
      <c r="AG162" s="713"/>
      <c r="AH162" s="713"/>
      <c r="AI162" s="713"/>
      <c r="AJ162" s="713"/>
      <c r="AK162" s="713"/>
      <c r="AL162" s="713"/>
    </row>
    <row r="163" spans="1:39" x14ac:dyDescent="0.3">
      <c r="A163" s="714" t="s">
        <v>152</v>
      </c>
      <c r="B163" s="715"/>
      <c r="C163" s="716"/>
      <c r="D163" s="716"/>
      <c r="E163" s="716"/>
      <c r="F163" s="716"/>
      <c r="G163" s="716"/>
      <c r="H163" s="716"/>
      <c r="I163" s="716"/>
      <c r="J163" s="717"/>
      <c r="K163" s="701" t="s">
        <v>153</v>
      </c>
      <c r="L163" s="716"/>
      <c r="M163" s="716"/>
      <c r="N163" s="716"/>
      <c r="O163" s="716"/>
      <c r="P163" s="716"/>
      <c r="Q163" s="717"/>
      <c r="R163" s="701" t="s">
        <v>154</v>
      </c>
      <c r="S163" s="716"/>
      <c r="T163" s="716"/>
      <c r="U163" s="716"/>
      <c r="V163" s="716"/>
      <c r="W163" s="716"/>
      <c r="X163" s="716"/>
      <c r="Y163" s="716"/>
      <c r="Z163" s="717"/>
      <c r="AA163" s="701" t="s">
        <v>155</v>
      </c>
      <c r="AB163" s="716"/>
      <c r="AC163" s="716"/>
      <c r="AD163" s="716"/>
      <c r="AE163" s="716"/>
      <c r="AF163" s="716"/>
      <c r="AG163" s="717"/>
      <c r="AH163" s="701" t="s">
        <v>156</v>
      </c>
      <c r="AI163" s="716"/>
      <c r="AJ163" s="716"/>
      <c r="AK163" s="716"/>
      <c r="AL163" s="717"/>
    </row>
    <row r="164" spans="1:39" x14ac:dyDescent="0.3">
      <c r="A164" s="705" t="s">
        <v>157</v>
      </c>
      <c r="B164" s="707" t="s">
        <v>141</v>
      </c>
      <c r="C164" s="703" t="s">
        <v>158</v>
      </c>
      <c r="D164" s="703" t="s">
        <v>159</v>
      </c>
      <c r="E164" s="702" t="s">
        <v>160</v>
      </c>
      <c r="F164" s="709" t="s">
        <v>60</v>
      </c>
      <c r="G164" s="38"/>
      <c r="H164" s="38"/>
      <c r="I164" s="702" t="s">
        <v>161</v>
      </c>
      <c r="J164" s="703" t="s">
        <v>162</v>
      </c>
      <c r="K164" s="708" t="s">
        <v>163</v>
      </c>
      <c r="L164" s="700" t="s">
        <v>164</v>
      </c>
      <c r="M164" s="702" t="s">
        <v>165</v>
      </c>
      <c r="N164" s="702" t="s">
        <v>166</v>
      </c>
      <c r="O164" s="704" t="s">
        <v>167</v>
      </c>
      <c r="P164" s="700" t="s">
        <v>164</v>
      </c>
      <c r="Q164" s="703" t="s">
        <v>168</v>
      </c>
      <c r="R164" s="698" t="s">
        <v>169</v>
      </c>
      <c r="S164" s="676" t="s">
        <v>170</v>
      </c>
      <c r="T164" s="702" t="s">
        <v>171</v>
      </c>
      <c r="U164" s="676" t="s">
        <v>172</v>
      </c>
      <c r="V164" s="676"/>
      <c r="W164" s="676"/>
      <c r="X164" s="676"/>
      <c r="Y164" s="676"/>
      <c r="Z164" s="676"/>
      <c r="AA164" s="697" t="s">
        <v>173</v>
      </c>
      <c r="AB164" s="697" t="s">
        <v>174</v>
      </c>
      <c r="AC164" s="697" t="s">
        <v>164</v>
      </c>
      <c r="AD164" s="697" t="s">
        <v>175</v>
      </c>
      <c r="AE164" s="697" t="s">
        <v>164</v>
      </c>
      <c r="AF164" s="697" t="s">
        <v>176</v>
      </c>
      <c r="AG164" s="698" t="s">
        <v>177</v>
      </c>
      <c r="AH164" s="676" t="s">
        <v>156</v>
      </c>
      <c r="AI164" s="676" t="s">
        <v>142</v>
      </c>
      <c r="AJ164" s="676" t="s">
        <v>178</v>
      </c>
      <c r="AK164" s="676" t="s">
        <v>179</v>
      </c>
      <c r="AL164" s="676" t="s">
        <v>181</v>
      </c>
    </row>
    <row r="165" spans="1:39" ht="72.599999999999994" x14ac:dyDescent="0.3">
      <c r="A165" s="706"/>
      <c r="B165" s="707"/>
      <c r="C165" s="676"/>
      <c r="D165" s="676"/>
      <c r="E165" s="708"/>
      <c r="F165" s="710"/>
      <c r="G165" s="38" t="s">
        <v>371</v>
      </c>
      <c r="H165" s="38" t="s">
        <v>182</v>
      </c>
      <c r="I165" s="703"/>
      <c r="J165" s="676"/>
      <c r="K165" s="703"/>
      <c r="L165" s="701"/>
      <c r="M165" s="703"/>
      <c r="N165" s="703"/>
      <c r="O165" s="701"/>
      <c r="P165" s="701"/>
      <c r="Q165" s="676"/>
      <c r="R165" s="699"/>
      <c r="S165" s="676"/>
      <c r="T165" s="703"/>
      <c r="U165" s="39" t="s">
        <v>183</v>
      </c>
      <c r="V165" s="39" t="s">
        <v>184</v>
      </c>
      <c r="W165" s="39" t="s">
        <v>185</v>
      </c>
      <c r="X165" s="39" t="s">
        <v>186</v>
      </c>
      <c r="Y165" s="39" t="s">
        <v>187</v>
      </c>
      <c r="Z165" s="39" t="s">
        <v>188</v>
      </c>
      <c r="AA165" s="697"/>
      <c r="AB165" s="697"/>
      <c r="AC165" s="697"/>
      <c r="AD165" s="697"/>
      <c r="AE165" s="697"/>
      <c r="AF165" s="697"/>
      <c r="AG165" s="699"/>
      <c r="AH165" s="676"/>
      <c r="AI165" s="676"/>
      <c r="AJ165" s="676"/>
      <c r="AK165" s="676"/>
      <c r="AL165" s="676"/>
    </row>
    <row r="166" spans="1:39" ht="69.599999999999994" x14ac:dyDescent="0.3">
      <c r="A166" s="630">
        <v>1</v>
      </c>
      <c r="B166" s="734" t="s">
        <v>199</v>
      </c>
      <c r="C166" s="734" t="s">
        <v>570</v>
      </c>
      <c r="D166" s="736" t="s">
        <v>571</v>
      </c>
      <c r="E166" s="456" t="s">
        <v>572</v>
      </c>
      <c r="F166" s="738" t="s">
        <v>573</v>
      </c>
      <c r="G166" s="293" t="s">
        <v>574</v>
      </c>
      <c r="H166" s="738" t="s">
        <v>575</v>
      </c>
      <c r="I166" s="739" t="s">
        <v>190</v>
      </c>
      <c r="J166" s="741">
        <f>300*246</f>
        <v>73800</v>
      </c>
      <c r="K166" s="743" t="str">
        <f>IF(J166&lt;=0,"",IF(J166&lt;=2,"Muy Baja",IF(J166&lt;=24,"Baja",IF(J166&lt;=500,"Media",IF(J166&lt;=5000,"Alta","Muy Alta")))))</f>
        <v>Muy Alta</v>
      </c>
      <c r="L166" s="745">
        <f>IF(K166="","",IF(K166="Muy Baja",0.2,IF(K166="Baja",0.4,IF(K166="Media",0.6,IF(K166="Alta",0.8,IF(K166="Muy Alta",1,))))))</f>
        <v>1</v>
      </c>
      <c r="M166" s="747" t="s">
        <v>200</v>
      </c>
      <c r="N166" s="745" t="str">
        <f>IF(NOT(ISERROR(MATCH(M166,'[12]Tabla Impacto'!$B$221:$B$223,0))),'[12]Tabla Impacto'!$F$223&amp;"Por favor no seleccionar los criterios de impacto(Afectación Económica o presupuestal y Pérdida Reputacional)",M166)</f>
        <v xml:space="preserve">     El riesgo afecta la imagen de la entidad con algunos usuarios de relevancia frente al logro de los objetivos</v>
      </c>
      <c r="O166" s="743" t="str">
        <f>IF(OR(N166='[12]Tabla Impacto'!$C$11,N166='[12]Tabla Impacto'!$D$11),"Leve",IF(OR(N166='[12]Tabla Impacto'!$C$12,N166='[12]Tabla Impacto'!$D$12),"Menor",IF(OR(N166='[12]Tabla Impacto'!$C$13,N166='[12]Tabla Impacto'!$D$13),"Moderado",IF(OR(N166='[12]Tabla Impacto'!$C$14,N166='[12]Tabla Impacto'!$D$14),"Mayor",IF(OR(N166='[12]Tabla Impacto'!$C$15,N166='[12]Tabla Impacto'!$D$15),"Catastrófico","")))))</f>
        <v>Moderado</v>
      </c>
      <c r="P166" s="745">
        <f>IF(O166="","",IF(O166="Leve",0.2,IF(O166="Menor",0.4,IF(O166="Moderado",0.6,IF(O166="Mayor",0.8,IF(O166="Catastrófico",1,))))))</f>
        <v>0.6</v>
      </c>
      <c r="Q166" s="749" t="str">
        <f>IF(OR(AND(K166="Muy Baja",O166="Leve"),AND(K166="Muy Baja",O166="Menor"),AND(K166="Baja",O166="Leve")),"Bajo",IF(OR(AND(K166="Muy baja",O166="Moderado"),AND(K166="Baja",O166="Menor"),AND(K166="Baja",O166="Moderado"),AND(K166="Media",O166="Leve"),AND(K166="Media",O166="Menor"),AND(K166="Media",O166="Moderado"),AND(K166="Alta",O166="Leve"),AND(K166="Alta",O166="Menor")),"Moderado",IF(OR(AND(K166="Muy Baja",O166="Mayor"),AND(K166="Baja",O166="Mayor"),AND(K166="Media",O166="Mayor"),AND(K166="Alta",O166="Moderado"),AND(K166="Alta",O166="Mayor"),AND(K166="Muy Alta",O166="Leve"),AND(K166="Muy Alta",O166="Menor"),AND(K166="Muy Alta",O166="Moderado"),AND(K166="Muy Alta",O166="Mayor")),"Alto",IF(OR(AND(K166="Muy Baja",O166="Catastrófico"),AND(K166="Baja",O166="Catastrófico"),AND(K166="Media",O166="Catastrófico"),AND(K166="Alta",O166="Catastrófico"),AND(K166="Muy Alta",O166="Catastrófico")),"Extremo",""))))</f>
        <v>Alto</v>
      </c>
      <c r="R166" s="249">
        <v>1</v>
      </c>
      <c r="S166" s="93" t="s">
        <v>576</v>
      </c>
      <c r="T166" s="94" t="str">
        <f>IF(OR(U166="Preventivo",U166="Detectivo"),"Probabilidad",IF(U166="Correctivo","Impacto",""))</f>
        <v>Probabilidad</v>
      </c>
      <c r="U166" s="86" t="s">
        <v>197</v>
      </c>
      <c r="V166" s="86" t="s">
        <v>191</v>
      </c>
      <c r="W166" s="87" t="str">
        <f>IF(AND(U166="Preventivo",V166="Automático"),"50%",IF(AND(U166="Preventivo",V166="Manual"),"40%",IF(AND(U166="Detectivo",V166="Automático"),"40%",IF(AND(U166="Detectivo",V166="Manual"),"30%",IF(AND(U166="Correctivo",V166="Automático"),"35%",IF(AND(U166="Correctivo",V166="Manual"),"25%",""))))))</f>
        <v>40%</v>
      </c>
      <c r="X166" s="86" t="s">
        <v>198</v>
      </c>
      <c r="Y166" s="86" t="s">
        <v>193</v>
      </c>
      <c r="Z166" s="86" t="s">
        <v>194</v>
      </c>
      <c r="AA166" s="95">
        <f>IFERROR(IF(T166="Probabilidad",(L166-(+L166*W166)),IF(T166="Impacto",L166,"")),"")</f>
        <v>0.6</v>
      </c>
      <c r="AB166" s="88" t="str">
        <f>IFERROR(IF(AA166="","",IF(AA166&lt;=0.2,"Muy Baja",IF(AA166&lt;=0.4,"Baja",IF(AA166&lt;=0.6,"Media",IF(AA166&lt;=0.8,"Alta","Muy Alta"))))),"")</f>
        <v>Media</v>
      </c>
      <c r="AC166" s="89">
        <f>+AA166</f>
        <v>0.6</v>
      </c>
      <c r="AD166" s="88" t="str">
        <f>IFERROR(IF(AE166="","",IF(AE166&lt;=0.2,"Leve",IF(AE166&lt;=0.4,"Menor",IF(AE166&lt;=0.6,"Moderado",IF(AE166&lt;=0.8,"Mayor","Catastrófico"))))),"")</f>
        <v>Moderado</v>
      </c>
      <c r="AE166" s="89">
        <f>IFERROR(IF(T166="Impacto",(P166-(+P166*W166)),IF(T166="Probabilidad",P166,"")),"")</f>
        <v>0.6</v>
      </c>
      <c r="AF166" s="90" t="str">
        <f>IFERROR(IF(OR(AND(AB166="Muy Baja",AD166="Leve"),AND(AB166="Muy Baja",AD166="Menor"),AND(AB166="Baja",AD166="Leve")),"Bajo",IF(OR(AND(AB166="Muy baja",AD166="Moderado"),AND(AB166="Baja",AD166="Menor"),AND(AB166="Baja",AD166="Moderado"),AND(AB166="Media",AD166="Leve"),AND(AB166="Media",AD166="Menor"),AND(AB166="Media",AD166="Moderado"),AND(AB166="Alta",AD166="Leve"),AND(AB166="Alta",AD166="Menor")),"Moderado",IF(OR(AND(AB166="Muy Baja",AD166="Mayor"),AND(AB166="Baja",AD166="Mayor"),AND(AB166="Media",AD166="Mayor"),AND(AB166="Alta",AD166="Moderado"),AND(AB166="Alta",AD166="Mayor"),AND(AB166="Muy Alta",AD166="Leve"),AND(AB166="Muy Alta",AD166="Menor"),AND(AB166="Muy Alta",AD166="Moderado"),AND(AB166="Muy Alta",AD166="Mayor")),"Alto",IF(OR(AND(AB166="Muy Baja",AD166="Catastrófico"),AND(AB166="Baja",AD166="Catastrófico"),AND(AB166="Media",AD166="Catastrófico"),AND(AB166="Alta",AD166="Catastrófico"),AND(AB166="Muy Alta",AD166="Catastrófico")),"Extremo","")))),"")</f>
        <v>Moderado</v>
      </c>
      <c r="AG166" s="751" t="s">
        <v>195</v>
      </c>
      <c r="AH166" s="734" t="s">
        <v>577</v>
      </c>
      <c r="AI166" s="741" t="s">
        <v>578</v>
      </c>
      <c r="AJ166" s="755" t="s">
        <v>579</v>
      </c>
      <c r="AK166" s="757">
        <v>45754</v>
      </c>
      <c r="AL166" s="457" t="s">
        <v>196</v>
      </c>
    </row>
    <row r="167" spans="1:39" ht="79.2" x14ac:dyDescent="0.3">
      <c r="A167" s="644"/>
      <c r="B167" s="735"/>
      <c r="C167" s="735"/>
      <c r="D167" s="737"/>
      <c r="E167" s="370" t="s">
        <v>580</v>
      </c>
      <c r="F167" s="738"/>
      <c r="G167" s="293" t="s">
        <v>574</v>
      </c>
      <c r="H167" s="738"/>
      <c r="I167" s="740"/>
      <c r="J167" s="742"/>
      <c r="K167" s="744"/>
      <c r="L167" s="746"/>
      <c r="M167" s="748"/>
      <c r="N167" s="746">
        <f>IF(NOT(ISERROR(MATCH(M167,_xlfn.ANCHORARRAY(F170),0))),L172&amp;"Por favor no seleccionar los criterios de impacto",M167)</f>
        <v>0</v>
      </c>
      <c r="O167" s="744"/>
      <c r="P167" s="746"/>
      <c r="Q167" s="750"/>
      <c r="R167" s="249">
        <v>2</v>
      </c>
      <c r="S167" s="253" t="s">
        <v>581</v>
      </c>
      <c r="T167" s="94" t="str">
        <f t="shared" ref="T167" si="95">IF(OR(U167="Preventivo",U167="Detectivo"),"Probabilidad",IF(U167="Correctivo","Impacto",""))</f>
        <v>Probabilidad</v>
      </c>
      <c r="U167" s="86" t="s">
        <v>197</v>
      </c>
      <c r="V167" s="86" t="s">
        <v>191</v>
      </c>
      <c r="W167" s="87" t="str">
        <f t="shared" ref="W167" si="96">IF(AND(U167="Preventivo",V167="Automático"),"50%",IF(AND(U167="Preventivo",V167="Manual"),"40%",IF(AND(U167="Detectivo",V167="Automático"),"40%",IF(AND(U167="Detectivo",V167="Manual"),"30%",IF(AND(U167="Correctivo",V167="Automático"),"35%",IF(AND(U167="Correctivo",V167="Manual"),"25%",""))))))</f>
        <v>40%</v>
      </c>
      <c r="X167" s="86" t="s">
        <v>192</v>
      </c>
      <c r="Y167" s="86" t="s">
        <v>193</v>
      </c>
      <c r="Z167" s="86" t="s">
        <v>194</v>
      </c>
      <c r="AA167" s="95">
        <f>IFERROR(IF(AND(T166="Probabilidad",T167="Probabilidad"),(AC166-(+AC166*W167)),IF(AND(T166="Impacto",T167="Probabilidad"),(L166-(+L166*W167)),IF(T167="Impacto",AC166,""))),"")</f>
        <v>0.36</v>
      </c>
      <c r="AB167" s="88" t="str">
        <f t="shared" ref="AB167" si="97">IFERROR(IF(AA167="","",IF(AA167&lt;=0.2,"Muy Baja",IF(AA167&lt;=0.4,"Baja",IF(AA167&lt;=0.6,"Media",IF(AA167&lt;=0.8,"Alta","Muy Alta"))))),"")</f>
        <v>Baja</v>
      </c>
      <c r="AC167" s="89">
        <f>+AA167</f>
        <v>0.36</v>
      </c>
      <c r="AD167" s="88" t="str">
        <f t="shared" ref="AD167" si="98">IFERROR(IF(AE167="","",IF(AE167&lt;=0.2,"Leve",IF(AE167&lt;=0.4,"Menor",IF(AE167&lt;=0.6,"Moderado",IF(AE167&lt;=0.8,"Mayor","Catastrófico"))))),"")</f>
        <v>Moderado</v>
      </c>
      <c r="AE167" s="89">
        <f>IFERROR(IF(AND(T166="Impacto",T167="Impacto"),(AE166-(+AE166*W167)),IF(AND(T166="Probabilidad",T167="Impacto"),(P166-(+P166*W167)),IF(T167="Probabilidad",AE166,""))),"")</f>
        <v>0.6</v>
      </c>
      <c r="AF167" s="90" t="str">
        <f t="shared" ref="AF167" si="99">IFERROR(IF(OR(AND(AB167="Muy Baja",AD167="Leve"),AND(AB167="Muy Baja",AD167="Menor"),AND(AB167="Baja",AD167="Leve")),"Bajo",IF(OR(AND(AB167="Muy baja",AD167="Moderado"),AND(AB167="Baja",AD167="Menor"),AND(AB167="Baja",AD167="Moderado"),AND(AB167="Media",AD167="Leve"),AND(AB167="Media",AD167="Menor"),AND(AB167="Media",AD167="Moderado"),AND(AB167="Alta",AD167="Leve"),AND(AB167="Alta",AD167="Menor")),"Moderado",IF(OR(AND(AB167="Muy Baja",AD167="Mayor"),AND(AB167="Baja",AD167="Mayor"),AND(AB167="Media",AD167="Mayor"),AND(AB167="Alta",AD167="Moderado"),AND(AB167="Alta",AD167="Mayor"),AND(AB167="Muy Alta",AD167="Leve"),AND(AB167="Muy Alta",AD167="Menor"),AND(AB167="Muy Alta",AD167="Moderado"),AND(AB167="Muy Alta",AD167="Mayor")),"Alto",IF(OR(AND(AB167="Muy Baja",AD167="Catastrófico"),AND(AB167="Baja",AD167="Catastrófico"),AND(AB167="Media",AD167="Catastrófico"),AND(AB167="Alta",AD167="Catastrófico"),AND(AB167="Muy Alta",AD167="Catastrófico")),"Extremo","")))),"")</f>
        <v>Moderado</v>
      </c>
      <c r="AG167" s="752"/>
      <c r="AH167" s="753"/>
      <c r="AI167" s="754"/>
      <c r="AJ167" s="756"/>
      <c r="AK167" s="758"/>
      <c r="AL167" s="458"/>
    </row>
    <row r="168" spans="1:39" ht="69.599999999999994" x14ac:dyDescent="0.3">
      <c r="A168" s="630">
        <v>2</v>
      </c>
      <c r="B168" s="725" t="s">
        <v>199</v>
      </c>
      <c r="C168" s="725" t="s">
        <v>582</v>
      </c>
      <c r="D168" s="727" t="s">
        <v>583</v>
      </c>
      <c r="E168" s="314" t="s">
        <v>584</v>
      </c>
      <c r="F168" s="729" t="s">
        <v>585</v>
      </c>
      <c r="G168" s="460" t="s">
        <v>574</v>
      </c>
      <c r="H168" s="730" t="s">
        <v>586</v>
      </c>
      <c r="I168" s="732" t="s">
        <v>190</v>
      </c>
      <c r="J168" s="659">
        <v>28</v>
      </c>
      <c r="K168" s="636" t="str">
        <f>IF(J168&lt;=0,"",IF(J168&lt;=2,"Muy Baja",IF(J168&lt;=24,"Baja",IF(J168&lt;=500,"Media",IF(J168&lt;=5000,"Alta","Muy Alta")))))</f>
        <v>Media</v>
      </c>
      <c r="L168" s="638">
        <f>IF(K168="","",IF(K168="Muy Baja",0.2,IF(K168="Baja",0.4,IF(K168="Media",0.6,IF(K168="Alta",0.8,IF(K168="Muy Alta",1,))))))</f>
        <v>0.6</v>
      </c>
      <c r="M168" s="640" t="s">
        <v>200</v>
      </c>
      <c r="N168" s="638" t="str">
        <f>IF(NOT(ISERROR(MATCH(M168,'[12]Tabla Impacto'!$B$221:$B$223,0))),'[12]Tabla Impacto'!$F$223&amp;"Por favor no seleccionar los criterios de impacto(Afectación Económica o presupuestal y Pérdida Reputacional)",M168)</f>
        <v xml:space="preserve">     El riesgo afecta la imagen de la entidad con algunos usuarios de relevancia frente al logro de los objetivos</v>
      </c>
      <c r="O168" s="636" t="str">
        <f>IF(OR(N168='[12]Tabla Impacto'!$C$11,N168='[12]Tabla Impacto'!$D$11),"Leve",IF(OR(N168='[12]Tabla Impacto'!$C$12,N168='[12]Tabla Impacto'!$D$12),"Menor",IF(OR(N168='[12]Tabla Impacto'!$C$13,N168='[12]Tabla Impacto'!$D$13),"Moderado",IF(OR(N168='[12]Tabla Impacto'!$C$14,N168='[12]Tabla Impacto'!$D$14),"Mayor",IF(OR(N168='[12]Tabla Impacto'!$C$15,N168='[12]Tabla Impacto'!$D$15),"Catastrófico","")))))</f>
        <v>Moderado</v>
      </c>
      <c r="P168" s="638">
        <f>IF(O168="","",IF(O168="Leve",0.2,IF(O168="Menor",0.4,IF(O168="Moderado",0.6,IF(O168="Mayor",0.8,IF(O168="Catastrófico",1,))))))</f>
        <v>0.6</v>
      </c>
      <c r="Q168" s="642" t="str">
        <f>IF(OR(AND(K168="Muy Baja",O168="Leve"),AND(K168="Muy Baja",O168="Menor"),AND(K168="Baja",O168="Leve")),"Bajo",IF(OR(AND(K168="Muy baja",O168="Moderado"),AND(K168="Baja",O168="Menor"),AND(K168="Baja",O168="Moderado"),AND(K168="Media",O168="Leve"),AND(K168="Media",O168="Menor"),AND(K168="Media",O168="Moderado"),AND(K168="Alta",O168="Leve"),AND(K168="Alta",O168="Menor")),"Moderado",IF(OR(AND(K168="Muy Baja",O168="Mayor"),AND(K168="Baja",O168="Mayor"),AND(K168="Media",O168="Mayor"),AND(K168="Alta",O168="Moderado"),AND(K168="Alta",O168="Mayor"),AND(K168="Muy Alta",O168="Leve"),AND(K168="Muy Alta",O168="Menor"),AND(K168="Muy Alta",O168="Moderado"),AND(K168="Muy Alta",O168="Mayor")),"Alto",IF(OR(AND(K168="Muy Baja",O168="Catastrófico"),AND(K168="Baja",O168="Catastrófico"),AND(K168="Media",O168="Catastrófico"),AND(K168="Alta",O168="Catastrófico"),AND(K168="Muy Alta",O168="Catastrófico")),"Extremo",""))))</f>
        <v>Moderado</v>
      </c>
      <c r="R168" s="249">
        <v>1</v>
      </c>
      <c r="S168" s="461" t="s">
        <v>587</v>
      </c>
      <c r="T168" s="94" t="str">
        <f>IF(OR(U168="Preventivo",U168="Detectivo"),"Probabilidad",IF(U168="Correctivo","Impacto",""))</f>
        <v>Probabilidad</v>
      </c>
      <c r="U168" s="86" t="s">
        <v>197</v>
      </c>
      <c r="V168" s="86" t="s">
        <v>588</v>
      </c>
      <c r="W168" s="87" t="str">
        <f>IF(AND(U168="Preventivo",V168="Automático"),"50%",IF(AND(U168="Preventivo",V168="Manual"),"40%",IF(AND(U168="Detectivo",V168="Automático"),"40%",IF(AND(U168="Detectivo",V168="Manual"),"30%",IF(AND(U168="Correctivo",V168="Automático"),"35%",IF(AND(U168="Correctivo",V168="Manual"),"25%",""))))))</f>
        <v>50%</v>
      </c>
      <c r="X168" s="86" t="s">
        <v>198</v>
      </c>
      <c r="Y168" s="86" t="s">
        <v>193</v>
      </c>
      <c r="Z168" s="86" t="s">
        <v>194</v>
      </c>
      <c r="AA168" s="95">
        <f>IFERROR(IF(T168="Probabilidad",(L168-(+L168*W168)),IF(T168="Impacto",L168,"")),"")</f>
        <v>0.3</v>
      </c>
      <c r="AB168" s="88" t="str">
        <f>IFERROR(IF(AA168="","",IF(AA168&lt;=0.2,"Muy Baja",IF(AA168&lt;=0.4,"Baja",IF(AA168&lt;=0.6,"Media",IF(AA168&lt;=0.8,"Alta","Muy Alta"))))),"")</f>
        <v>Baja</v>
      </c>
      <c r="AC168" s="89">
        <f>+AA168</f>
        <v>0.3</v>
      </c>
      <c r="AD168" s="88" t="str">
        <f>IFERROR(IF(AE168="","",IF(AE168&lt;=0.2,"Leve",IF(AE168&lt;=0.4,"Menor",IF(AE168&lt;=0.6,"Moderado",IF(AE168&lt;=0.8,"Mayor","Catastrófico"))))),"")</f>
        <v>Moderado</v>
      </c>
      <c r="AE168" s="89">
        <f>IFERROR(IF(T168="Impacto",(P168-(+P168*W168)),IF(T168="Probabilidad",P168,"")),"")</f>
        <v>0.6</v>
      </c>
      <c r="AF168" s="90" t="str">
        <f>IFERROR(IF(OR(AND(AB168="Muy Baja",AD168="Leve"),AND(AB168="Muy Baja",AD168="Menor"),AND(AB168="Baja",AD168="Leve")),"Bajo",IF(OR(AND(AB168="Muy baja",AD168="Moderado"),AND(AB168="Baja",AD168="Menor"),AND(AB168="Baja",AD168="Moderado"),AND(AB168="Media",AD168="Leve"),AND(AB168="Media",AD168="Menor"),AND(AB168="Media",AD168="Moderado"),AND(AB168="Alta",AD168="Leve"),AND(AB168="Alta",AD168="Menor")),"Moderado",IF(OR(AND(AB168="Muy Baja",AD168="Mayor"),AND(AB168="Baja",AD168="Mayor"),AND(AB168="Media",AD168="Mayor"),AND(AB168="Alta",AD168="Moderado"),AND(AB168="Alta",AD168="Mayor"),AND(AB168="Muy Alta",AD168="Leve"),AND(AB168="Muy Alta",AD168="Menor"),AND(AB168="Muy Alta",AD168="Moderado"),AND(AB168="Muy Alta",AD168="Mayor")),"Alto",IF(OR(AND(AB168="Muy Baja",AD168="Catastrófico"),AND(AB168="Baja",AD168="Catastrófico"),AND(AB168="Media",AD168="Catastrófico"),AND(AB168="Alta",AD168="Catastrófico"),AND(AB168="Muy Alta",AD168="Catastrófico")),"Extremo","")))),"")</f>
        <v>Moderado</v>
      </c>
      <c r="AG168" s="91"/>
      <c r="AH168" s="250" t="s">
        <v>589</v>
      </c>
      <c r="AI168" s="251" t="s">
        <v>590</v>
      </c>
      <c r="AJ168" s="252" t="s">
        <v>579</v>
      </c>
      <c r="AK168" s="459">
        <v>45754</v>
      </c>
      <c r="AL168" s="457" t="s">
        <v>196</v>
      </c>
    </row>
    <row r="169" spans="1:39" ht="69.599999999999994" x14ac:dyDescent="0.3">
      <c r="A169" s="644"/>
      <c r="B169" s="726"/>
      <c r="C169" s="726"/>
      <c r="D169" s="728"/>
      <c r="E169" s="314" t="s">
        <v>591</v>
      </c>
      <c r="F169" s="729"/>
      <c r="G169" s="462" t="s">
        <v>574</v>
      </c>
      <c r="H169" s="731"/>
      <c r="I169" s="733"/>
      <c r="J169" s="660"/>
      <c r="K169" s="637"/>
      <c r="L169" s="639"/>
      <c r="M169" s="641"/>
      <c r="N169" s="639">
        <f>IF(NOT(ISERROR(MATCH(M169,_xlfn.ANCHORARRAY(F176),0))),L178&amp;"Por favor no seleccionar los criterios de impacto",M169)</f>
        <v>0</v>
      </c>
      <c r="O169" s="637"/>
      <c r="P169" s="639"/>
      <c r="Q169" s="643"/>
      <c r="R169" s="249">
        <v>2</v>
      </c>
      <c r="S169" s="461" t="s">
        <v>592</v>
      </c>
      <c r="T169" s="94" t="str">
        <f>IF(OR(U169="Preventivo",U169="Detectivo"),"Probabilidad",IF(U169="Correctivo","Impacto",""))</f>
        <v>Probabilidad</v>
      </c>
      <c r="U169" s="86" t="s">
        <v>197</v>
      </c>
      <c r="V169" s="86" t="s">
        <v>191</v>
      </c>
      <c r="W169" s="87" t="str">
        <f t="shared" ref="W169" si="100">IF(AND(U169="Preventivo",V169="Automático"),"50%",IF(AND(U169="Preventivo",V169="Manual"),"40%",IF(AND(U169="Detectivo",V169="Automático"),"40%",IF(AND(U169="Detectivo",V169="Manual"),"30%",IF(AND(U169="Correctivo",V169="Automático"),"35%",IF(AND(U169="Correctivo",V169="Manual"),"25%",""))))))</f>
        <v>40%</v>
      </c>
      <c r="X169" s="86" t="s">
        <v>198</v>
      </c>
      <c r="Y169" s="86" t="s">
        <v>193</v>
      </c>
      <c r="Z169" s="86" t="s">
        <v>194</v>
      </c>
      <c r="AA169" s="95">
        <f>IFERROR(IF(AND(T168="Probabilidad",T169="Probabilidad"),(AC168-(+AC168*W169)),IF(AND(T168="Impacto",T169="Probabilidad"),(L168-(+L168*W169)),IF(T169="Impacto",AC168,""))),"")</f>
        <v>0.18</v>
      </c>
      <c r="AB169" s="88" t="str">
        <f t="shared" ref="AB169" si="101">IFERROR(IF(AA169="","",IF(AA169&lt;=0.2,"Muy Baja",IF(AA169&lt;=0.4,"Baja",IF(AA169&lt;=0.6,"Media",IF(AA169&lt;=0.8,"Alta","Muy Alta"))))),"")</f>
        <v>Muy Baja</v>
      </c>
      <c r="AC169" s="89">
        <f>+AA169</f>
        <v>0.18</v>
      </c>
      <c r="AD169" s="88" t="str">
        <f t="shared" ref="AD169" si="102">IFERROR(IF(AE169="","",IF(AE169&lt;=0.2,"Leve",IF(AE169&lt;=0.4,"Menor",IF(AE169&lt;=0.6,"Moderado",IF(AE169&lt;=0.8,"Mayor","Catastrófico"))))),"")</f>
        <v>Moderado</v>
      </c>
      <c r="AE169" s="89">
        <f>IFERROR(IF(AND(T168="Impacto",T169="Impacto"),(AE168-(+AE168*W169)),IF(AND(T168="Probabilidad",T169="Impacto"),(P168-(+P168*W169)),IF(T169="Probabilidad",AE168,""))),"")</f>
        <v>0.6</v>
      </c>
      <c r="AF169" s="90" t="str">
        <f t="shared" ref="AF169" si="103">IFERROR(IF(OR(AND(AB169="Muy Baja",AD169="Leve"),AND(AB169="Muy Baja",AD169="Menor"),AND(AB169="Baja",AD169="Leve")),"Bajo",IF(OR(AND(AB169="Muy baja",AD169="Moderado"),AND(AB169="Baja",AD169="Menor"),AND(AB169="Baja",AD169="Moderado"),AND(AB169="Media",AD169="Leve"),AND(AB169="Media",AD169="Menor"),AND(AB169="Media",AD169="Moderado"),AND(AB169="Alta",AD169="Leve"),AND(AB169="Alta",AD169="Menor")),"Moderado",IF(OR(AND(AB169="Muy Baja",AD169="Mayor"),AND(AB169="Baja",AD169="Mayor"),AND(AB169="Media",AD169="Mayor"),AND(AB169="Alta",AD169="Moderado"),AND(AB169="Alta",AD169="Mayor"),AND(AB169="Muy Alta",AD169="Leve"),AND(AB169="Muy Alta",AD169="Menor"),AND(AB169="Muy Alta",AD169="Moderado"),AND(AB169="Muy Alta",AD169="Mayor")),"Alto",IF(OR(AND(AB169="Muy Baja",AD169="Catastrófico"),AND(AB169="Baja",AD169="Catastrófico"),AND(AB169="Media",AD169="Catastrófico"),AND(AB169="Alta",AD169="Catastrófico"),AND(AB169="Muy Alta",AD169="Catastrófico")),"Extremo","")))),"")</f>
        <v>Moderado</v>
      </c>
      <c r="AG169" s="91"/>
      <c r="AH169" s="250" t="s">
        <v>593</v>
      </c>
      <c r="AI169" s="251" t="s">
        <v>590</v>
      </c>
      <c r="AJ169" s="252" t="s">
        <v>579</v>
      </c>
      <c r="AK169" s="459">
        <v>45754</v>
      </c>
      <c r="AL169" s="457" t="s">
        <v>196</v>
      </c>
    </row>
    <row r="170" spans="1:39" x14ac:dyDescent="0.3">
      <c r="A170" s="718" t="s">
        <v>594</v>
      </c>
      <c r="B170" s="719"/>
      <c r="C170" s="719"/>
      <c r="D170" s="719"/>
      <c r="E170" s="719"/>
      <c r="F170" s="719"/>
      <c r="G170" s="719"/>
      <c r="H170" s="719"/>
      <c r="I170" s="719"/>
      <c r="J170" s="719"/>
      <c r="K170" s="719"/>
      <c r="L170" s="719"/>
      <c r="M170" s="719"/>
      <c r="N170" s="719"/>
      <c r="O170" s="719"/>
      <c r="P170" s="719"/>
      <c r="Q170" s="719"/>
      <c r="R170" s="719"/>
      <c r="S170" s="719"/>
      <c r="T170" s="719"/>
      <c r="U170" s="719"/>
      <c r="V170" s="719"/>
      <c r="W170" s="719"/>
      <c r="X170" s="719"/>
      <c r="Y170" s="719"/>
      <c r="Z170" s="719"/>
      <c r="AA170" s="719"/>
      <c r="AB170" s="719"/>
      <c r="AC170" s="719"/>
      <c r="AD170" s="719"/>
      <c r="AE170" s="719"/>
      <c r="AF170" s="719"/>
      <c r="AG170" s="719"/>
      <c r="AH170" s="719"/>
      <c r="AI170" s="719"/>
      <c r="AJ170" s="719"/>
      <c r="AK170" s="719"/>
      <c r="AL170" s="719"/>
      <c r="AM170" s="720"/>
    </row>
    <row r="171" spans="1:39" x14ac:dyDescent="0.3">
      <c r="A171" s="721"/>
      <c r="B171" s="722"/>
      <c r="C171" s="722"/>
      <c r="D171" s="722"/>
      <c r="E171" s="722"/>
      <c r="F171" s="722"/>
      <c r="G171" s="722"/>
      <c r="H171" s="722"/>
      <c r="I171" s="722"/>
      <c r="J171" s="722"/>
      <c r="K171" s="722"/>
      <c r="L171" s="722"/>
      <c r="M171" s="722"/>
      <c r="N171" s="722"/>
      <c r="O171" s="722"/>
      <c r="P171" s="722"/>
      <c r="Q171" s="722"/>
      <c r="R171" s="722"/>
      <c r="S171" s="722"/>
      <c r="T171" s="722"/>
      <c r="U171" s="722"/>
      <c r="V171" s="722"/>
      <c r="W171" s="722"/>
      <c r="X171" s="722"/>
      <c r="Y171" s="722"/>
      <c r="Z171" s="722"/>
      <c r="AA171" s="722"/>
      <c r="AB171" s="722"/>
      <c r="AC171" s="722"/>
      <c r="AD171" s="722"/>
      <c r="AE171" s="722"/>
      <c r="AF171" s="722"/>
      <c r="AG171" s="722"/>
      <c r="AH171" s="722"/>
      <c r="AI171" s="722"/>
      <c r="AJ171" s="722"/>
      <c r="AK171" s="722"/>
      <c r="AL171" s="722"/>
      <c r="AM171" s="723"/>
    </row>
    <row r="172" spans="1:39" ht="14.4" x14ac:dyDescent="0.3">
      <c r="A172" s="42"/>
      <c r="B172" s="43"/>
      <c r="C172" s="42"/>
      <c r="D172" s="42"/>
      <c r="E172" s="42"/>
      <c r="F172" s="41"/>
      <c r="G172" s="41"/>
      <c r="H172" s="41"/>
      <c r="I172" s="44"/>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row>
    <row r="173" spans="1:39" ht="23.4" x14ac:dyDescent="0.3">
      <c r="A173" s="711" t="s">
        <v>149</v>
      </c>
      <c r="B173" s="712"/>
      <c r="C173" s="724" t="s">
        <v>595</v>
      </c>
      <c r="D173" s="724"/>
      <c r="E173" s="724"/>
      <c r="F173" s="724"/>
      <c r="G173" s="724"/>
      <c r="H173" s="724"/>
      <c r="I173" s="724"/>
      <c r="J173" s="724"/>
      <c r="K173" s="724"/>
      <c r="L173" s="724"/>
      <c r="M173" s="724"/>
      <c r="N173" s="724"/>
      <c r="O173" s="724"/>
      <c r="P173" s="724"/>
      <c r="Q173" s="724"/>
      <c r="R173" s="724"/>
      <c r="S173" s="724"/>
      <c r="T173" s="724"/>
      <c r="U173" s="724"/>
      <c r="V173" s="724"/>
      <c r="W173" s="724"/>
      <c r="X173" s="724"/>
      <c r="Y173" s="724"/>
      <c r="Z173" s="724"/>
      <c r="AA173" s="724"/>
      <c r="AB173" s="724"/>
      <c r="AC173" s="724"/>
      <c r="AD173" s="724"/>
      <c r="AE173" s="724"/>
      <c r="AF173" s="724"/>
      <c r="AG173" s="724"/>
      <c r="AH173" s="724"/>
      <c r="AI173" s="724"/>
      <c r="AJ173" s="724"/>
      <c r="AK173" s="724"/>
      <c r="AL173" s="724"/>
      <c r="AM173" s="724"/>
    </row>
    <row r="174" spans="1:39" ht="23.4" x14ac:dyDescent="0.3">
      <c r="A174" s="711" t="s">
        <v>150</v>
      </c>
      <c r="B174" s="712"/>
      <c r="C174" s="713" t="s">
        <v>596</v>
      </c>
      <c r="D174" s="713"/>
      <c r="E174" s="713"/>
      <c r="F174" s="713"/>
      <c r="G174" s="713"/>
      <c r="H174" s="713"/>
      <c r="I174" s="713"/>
      <c r="J174" s="713"/>
      <c r="K174" s="713"/>
      <c r="L174" s="713"/>
      <c r="M174" s="713"/>
      <c r="N174" s="713"/>
      <c r="O174" s="713"/>
      <c r="P174" s="713"/>
      <c r="Q174" s="713"/>
      <c r="R174" s="713"/>
      <c r="S174" s="713"/>
      <c r="T174" s="713"/>
      <c r="U174" s="713"/>
      <c r="V174" s="713"/>
      <c r="W174" s="713"/>
      <c r="X174" s="713"/>
      <c r="Y174" s="713"/>
      <c r="Z174" s="713"/>
      <c r="AA174" s="713"/>
      <c r="AB174" s="713"/>
      <c r="AC174" s="713"/>
      <c r="AD174" s="713"/>
      <c r="AE174" s="713"/>
      <c r="AF174" s="713"/>
      <c r="AG174" s="713"/>
      <c r="AH174" s="713"/>
      <c r="AI174" s="713"/>
      <c r="AJ174" s="713"/>
      <c r="AK174" s="713"/>
      <c r="AL174" s="713"/>
      <c r="AM174" s="713"/>
    </row>
    <row r="175" spans="1:39" ht="23.4" x14ac:dyDescent="0.3">
      <c r="A175" s="711" t="s">
        <v>151</v>
      </c>
      <c r="B175" s="712"/>
      <c r="C175" s="713" t="s">
        <v>597</v>
      </c>
      <c r="D175" s="713"/>
      <c r="E175" s="713"/>
      <c r="F175" s="713"/>
      <c r="G175" s="713"/>
      <c r="H175" s="713"/>
      <c r="I175" s="713"/>
      <c r="J175" s="713"/>
      <c r="K175" s="713"/>
      <c r="L175" s="713"/>
      <c r="M175" s="713"/>
      <c r="N175" s="713"/>
      <c r="O175" s="713"/>
      <c r="P175" s="713"/>
      <c r="Q175" s="713"/>
      <c r="R175" s="713"/>
      <c r="S175" s="713"/>
      <c r="T175" s="713"/>
      <c r="U175" s="713"/>
      <c r="V175" s="713"/>
      <c r="W175" s="713"/>
      <c r="X175" s="713"/>
      <c r="Y175" s="713"/>
      <c r="Z175" s="713"/>
      <c r="AA175" s="713"/>
      <c r="AB175" s="713"/>
      <c r="AC175" s="713"/>
      <c r="AD175" s="713"/>
      <c r="AE175" s="713"/>
      <c r="AF175" s="713"/>
      <c r="AG175" s="713"/>
      <c r="AH175" s="713"/>
      <c r="AI175" s="713"/>
      <c r="AJ175" s="713"/>
      <c r="AK175" s="713"/>
      <c r="AL175" s="713"/>
      <c r="AM175" s="713"/>
    </row>
    <row r="176" spans="1:39" x14ac:dyDescent="0.3">
      <c r="A176" s="714" t="s">
        <v>152</v>
      </c>
      <c r="B176" s="715"/>
      <c r="C176" s="716"/>
      <c r="D176" s="716"/>
      <c r="E176" s="716"/>
      <c r="F176" s="716"/>
      <c r="G176" s="716"/>
      <c r="H176" s="716"/>
      <c r="I176" s="716"/>
      <c r="J176" s="717"/>
      <c r="K176" s="701" t="s">
        <v>153</v>
      </c>
      <c r="L176" s="716"/>
      <c r="M176" s="716"/>
      <c r="N176" s="716"/>
      <c r="O176" s="716"/>
      <c r="P176" s="716"/>
      <c r="Q176" s="717"/>
      <c r="R176" s="701" t="s">
        <v>154</v>
      </c>
      <c r="S176" s="716"/>
      <c r="T176" s="716"/>
      <c r="U176" s="716"/>
      <c r="V176" s="716"/>
      <c r="W176" s="716"/>
      <c r="X176" s="716"/>
      <c r="Y176" s="716"/>
      <c r="Z176" s="717"/>
      <c r="AA176" s="701" t="s">
        <v>155</v>
      </c>
      <c r="AB176" s="716"/>
      <c r="AC176" s="716"/>
      <c r="AD176" s="716"/>
      <c r="AE176" s="716"/>
      <c r="AF176" s="716"/>
      <c r="AG176" s="717"/>
      <c r="AH176" s="701" t="s">
        <v>156</v>
      </c>
      <c r="AI176" s="716"/>
      <c r="AJ176" s="716"/>
      <c r="AK176" s="716"/>
      <c r="AL176" s="716"/>
      <c r="AM176" s="717"/>
    </row>
    <row r="177" spans="1:45" x14ac:dyDescent="0.3">
      <c r="A177" s="705" t="s">
        <v>157</v>
      </c>
      <c r="B177" s="707" t="s">
        <v>141</v>
      </c>
      <c r="C177" s="703" t="s">
        <v>158</v>
      </c>
      <c r="D177" s="703" t="s">
        <v>159</v>
      </c>
      <c r="E177" s="702" t="s">
        <v>160</v>
      </c>
      <c r="F177" s="709" t="s">
        <v>60</v>
      </c>
      <c r="G177" s="38"/>
      <c r="H177" s="38"/>
      <c r="I177" s="702" t="s">
        <v>161</v>
      </c>
      <c r="J177" s="703" t="s">
        <v>162</v>
      </c>
      <c r="K177" s="708" t="s">
        <v>163</v>
      </c>
      <c r="L177" s="700" t="s">
        <v>164</v>
      </c>
      <c r="M177" s="702" t="s">
        <v>165</v>
      </c>
      <c r="N177" s="702" t="s">
        <v>166</v>
      </c>
      <c r="O177" s="704" t="s">
        <v>167</v>
      </c>
      <c r="P177" s="700" t="s">
        <v>164</v>
      </c>
      <c r="Q177" s="703" t="s">
        <v>168</v>
      </c>
      <c r="R177" s="698" t="s">
        <v>169</v>
      </c>
      <c r="S177" s="676" t="s">
        <v>170</v>
      </c>
      <c r="T177" s="702" t="s">
        <v>171</v>
      </c>
      <c r="U177" s="676" t="s">
        <v>172</v>
      </c>
      <c r="V177" s="676"/>
      <c r="W177" s="676"/>
      <c r="X177" s="676"/>
      <c r="Y177" s="676"/>
      <c r="Z177" s="676"/>
      <c r="AA177" s="697" t="s">
        <v>173</v>
      </c>
      <c r="AB177" s="697" t="s">
        <v>174</v>
      </c>
      <c r="AC177" s="697" t="s">
        <v>164</v>
      </c>
      <c r="AD177" s="697" t="s">
        <v>175</v>
      </c>
      <c r="AE177" s="697" t="s">
        <v>164</v>
      </c>
      <c r="AF177" s="697" t="s">
        <v>176</v>
      </c>
      <c r="AG177" s="698" t="s">
        <v>177</v>
      </c>
      <c r="AH177" s="676" t="s">
        <v>156</v>
      </c>
      <c r="AI177" s="676" t="s">
        <v>142</v>
      </c>
      <c r="AJ177" s="676" t="s">
        <v>178</v>
      </c>
      <c r="AK177" s="676" t="s">
        <v>179</v>
      </c>
      <c r="AL177" s="676" t="s">
        <v>598</v>
      </c>
      <c r="AM177" s="676" t="s">
        <v>181</v>
      </c>
    </row>
    <row r="178" spans="1:45" ht="72.599999999999994" x14ac:dyDescent="0.3">
      <c r="A178" s="706"/>
      <c r="B178" s="707"/>
      <c r="C178" s="676"/>
      <c r="D178" s="676"/>
      <c r="E178" s="708"/>
      <c r="F178" s="710"/>
      <c r="G178" s="38" t="s">
        <v>201</v>
      </c>
      <c r="H178" s="38" t="s">
        <v>182</v>
      </c>
      <c r="I178" s="703"/>
      <c r="J178" s="676"/>
      <c r="K178" s="703"/>
      <c r="L178" s="701"/>
      <c r="M178" s="703"/>
      <c r="N178" s="703"/>
      <c r="O178" s="701"/>
      <c r="P178" s="701"/>
      <c r="Q178" s="676"/>
      <c r="R178" s="699"/>
      <c r="S178" s="676"/>
      <c r="T178" s="703"/>
      <c r="U178" s="39" t="s">
        <v>183</v>
      </c>
      <c r="V178" s="39" t="s">
        <v>184</v>
      </c>
      <c r="W178" s="39" t="s">
        <v>185</v>
      </c>
      <c r="X178" s="39" t="s">
        <v>186</v>
      </c>
      <c r="Y178" s="39" t="s">
        <v>187</v>
      </c>
      <c r="Z178" s="39" t="s">
        <v>188</v>
      </c>
      <c r="AA178" s="697"/>
      <c r="AB178" s="697"/>
      <c r="AC178" s="697"/>
      <c r="AD178" s="697"/>
      <c r="AE178" s="697"/>
      <c r="AF178" s="697"/>
      <c r="AG178" s="699"/>
      <c r="AH178" s="676"/>
      <c r="AI178" s="676"/>
      <c r="AJ178" s="676"/>
      <c r="AK178" s="676"/>
      <c r="AL178" s="676"/>
      <c r="AM178" s="676"/>
    </row>
    <row r="179" spans="1:45" ht="102.6" customHeight="1" x14ac:dyDescent="0.3">
      <c r="A179" s="630">
        <v>1</v>
      </c>
      <c r="B179" s="677" t="s">
        <v>199</v>
      </c>
      <c r="C179" s="679" t="s">
        <v>599</v>
      </c>
      <c r="D179" s="681" t="s">
        <v>600</v>
      </c>
      <c r="E179" s="463" t="s">
        <v>624</v>
      </c>
      <c r="F179" s="652" t="s">
        <v>601</v>
      </c>
      <c r="G179" s="652" t="s">
        <v>202</v>
      </c>
      <c r="H179" s="683" t="s">
        <v>602</v>
      </c>
      <c r="I179" s="684" t="s">
        <v>190</v>
      </c>
      <c r="J179" s="686">
        <v>360</v>
      </c>
      <c r="K179" s="688" t="str">
        <f>IF(J179&lt;=0,"",IF(J179&lt;=2,"Muy Baja",IF(J179&lt;=24,"Baja",IF(J179&lt;=500,"Media",IF(J179&lt;=5000,"Alta","Muy Alta")))))</f>
        <v>Media</v>
      </c>
      <c r="L179" s="690">
        <f>IF(K179="","",IF(K179="Muy Baja",0.2,IF(K179="Baja",0.4,IF(K179="Media",0.6,IF(K179="Alta",0.8,IF(K179="Muy Alta",1,))))))</f>
        <v>0.6</v>
      </c>
      <c r="M179" s="692" t="s">
        <v>200</v>
      </c>
      <c r="N179" s="690" t="str">
        <f>IF(NOT(ISERROR(MATCH(M179,'[13]Tabla Impacto'!$B$221:$B$223,0))),'[13]Tabla Impacto'!$F$223&amp;"Por favor no seleccionar los criterios de impacto(Afectación Económica o presupuestal y Pérdida Reputacional)",M179)</f>
        <v xml:space="preserve">     El riesgo afecta la imagen de la entidad con algunos usuarios de relevancia frente al logro de los objetivos</v>
      </c>
      <c r="O179" s="688" t="str">
        <f>IF(OR(N179='[13]Tabla Impacto'!$C$11,N179='[13]Tabla Impacto'!$D$11),"Leve",IF(OR(N179='[13]Tabla Impacto'!$C$12,N179='[13]Tabla Impacto'!$D$12),"Menor",IF(OR(N179='[13]Tabla Impacto'!$C$13,N179='[13]Tabla Impacto'!$D$13),"Moderado",IF(OR(N179='[13]Tabla Impacto'!$C$14,N179='[13]Tabla Impacto'!$D$14),"Mayor",IF(OR(N179='[13]Tabla Impacto'!$C$15,N179='[13]Tabla Impacto'!$D$15),"Catastrófico","")))))</f>
        <v>Moderado</v>
      </c>
      <c r="P179" s="690">
        <f>IF(O179="","",IF(O179="Leve",0.2,IF(O179="Menor",0.4,IF(O179="Moderado",0.6,IF(O179="Mayor",0.8,IF(O179="Catastrófico",1,))))))</f>
        <v>0.6</v>
      </c>
      <c r="Q179" s="694" t="str">
        <f>IF(OR(AND(K179="Muy Baja",O179="Leve"),AND(K179="Muy Baja",O179="Menor"),AND(K179="Baja",O179="Leve")),"Bajo",IF(OR(AND(K179="Muy baja",O179="Moderado"),AND(K179="Baja",O179="Menor"),AND(K179="Baja",O179="Moderado"),AND(K179="Media",O179="Leve"),AND(K179="Media",O179="Menor"),AND(K179="Media",O179="Moderado"),AND(K179="Alta",O179="Leve"),AND(K179="Alta",O179="Menor")),"Moderado",IF(OR(AND(K179="Muy Baja",O179="Mayor"),AND(K179="Baja",O179="Mayor"),AND(K179="Media",O179="Mayor"),AND(K179="Alta",O179="Moderado"),AND(K179="Alta",O179="Mayor"),AND(K179="Muy Alta",O179="Leve"),AND(K179="Muy Alta",O179="Menor"),AND(K179="Muy Alta",O179="Moderado"),AND(K179="Muy Alta",O179="Mayor")),"Alto",IF(OR(AND(K179="Muy Baja",O179="Catastrófico"),AND(K179="Baja",O179="Catastrófico"),AND(K179="Media",O179="Catastrófico"),AND(K179="Alta",O179="Catastrófico"),AND(K179="Muy Alta",O179="Catastrófico")),"Extremo",""))))</f>
        <v>Moderado</v>
      </c>
      <c r="R179" s="464">
        <v>1</v>
      </c>
      <c r="S179" s="465" t="s">
        <v>603</v>
      </c>
      <c r="T179" s="466" t="str">
        <f>IF(OR(U180="preventivo",U180="detectivo"),"probabilidad",IF(U180="Correctivo","impacto",""))</f>
        <v>probabilidad</v>
      </c>
      <c r="U179" s="467" t="s">
        <v>197</v>
      </c>
      <c r="V179" s="467" t="s">
        <v>191</v>
      </c>
      <c r="W179" s="468" t="str">
        <f>IF(AND(U179="Preventivo",V179="Automático"),"50%",IF(AND(U179="Preventivo",V179="Manual"),"40%",IF(AND(U179="Detectivo",V179="Automático"),"40%",IF(AND(U179="Detectivo",V179="Manual"),"30%",IF(AND(U179="Correctivo",V179="Automático"),"35%",IF(AND(U179="Correctivo",V179="Manual"),"25%",""))))))</f>
        <v>40%</v>
      </c>
      <c r="X179" s="467" t="s">
        <v>198</v>
      </c>
      <c r="Y179" s="467" t="s">
        <v>193</v>
      </c>
      <c r="Z179" s="467" t="s">
        <v>194</v>
      </c>
      <c r="AA179" s="469">
        <f>IFERROR(IF(T179="Probabilidad",(L179-(+L179*W179)),IF(T179="Impacto",L179,"")),"")</f>
        <v>0.36</v>
      </c>
      <c r="AB179" s="470" t="str">
        <f>IFERROR(IF(AA179="","",IF(AA179&lt;=0.2,"Muy Baja",IF(AA179&lt;=0.4,"Baja",IF(AA179&lt;=0.6,"Media",IF(AA179&lt;=0.8,"Alta","Muy Alta"))))),"")</f>
        <v>Baja</v>
      </c>
      <c r="AC179" s="471">
        <f>+AA179</f>
        <v>0.36</v>
      </c>
      <c r="AD179" s="470" t="str">
        <f>IFERROR(IF(AE179="","",IF(AE179&lt;=0.2,"Leve",IF(AE179&lt;=0.4,"Menor",IF(AE179&lt;=0.6,"Moderado",IF(AE179&lt;=0.8,"Mayor","Catastrófico"))))),"")</f>
        <v>Moderado</v>
      </c>
      <c r="AE179" s="471">
        <f>IFERROR(IF(T179="Impacto",(P179-(+P179*W179)),IF(T179="Probabilidad",P179,"")),"")</f>
        <v>0.6</v>
      </c>
      <c r="AF179" s="472" t="str">
        <f>IFERROR(IF(OR(AND(AB179="Muy Baja",AD179="Leve"),AND(AB179="Muy Baja",AD179="Menor"),AND(AB179="Baja",AD179="Leve")),"Bajo",IF(OR(AND(AB179="Muy baja",AD179="Moderado"),AND(AB179="Baja",AD179="Menor"),AND(AB179="Baja",AD179="Moderado"),AND(AB179="Media",AD179="Leve"),AND(AB179="Media",AD179="Menor"),AND(AB179="Media",AD179="Moderado"),AND(AB179="Alta",AD179="Leve"),AND(AB179="Alta",AD179="Menor")),"Moderado",IF(OR(AND(AB179="Muy Baja",AD179="Mayor"),AND(AB179="Baja",AD179="Mayor"),AND(AB179="Media",AD179="Mayor"),AND(AB179="Alta",AD179="Moderado"),AND(AB179="Alta",AD179="Mayor"),AND(AB179="Muy Alta",AD179="Leve"),AND(AB179="Muy Alta",AD179="Menor"),AND(AB179="Muy Alta",AD179="Moderado"),AND(AB179="Muy Alta",AD179="Mayor")),"Alto",IF(OR(AND(AB179="Muy Baja",AD179="Catastrófico"),AND(AB179="Baja",AD179="Catastrófico"),AND(AB179="Media",AD179="Catastrófico"),AND(AB179="Alta",AD179="Catastrófico"),AND(AB179="Muy Alta",AD179="Catastrófico")),"Extremo","")))),"")</f>
        <v>Moderado</v>
      </c>
      <c r="AG179" s="406" t="s">
        <v>195</v>
      </c>
      <c r="AH179" s="350">
        <f>[13]DOFA!G208</f>
        <v>0</v>
      </c>
      <c r="AI179" s="350" t="s">
        <v>604</v>
      </c>
      <c r="AJ179" s="351">
        <v>45659</v>
      </c>
      <c r="AK179" s="351">
        <v>46021</v>
      </c>
      <c r="AL179" s="622" t="s">
        <v>605</v>
      </c>
      <c r="AM179" s="401" t="s">
        <v>196</v>
      </c>
    </row>
    <row r="180" spans="1:45" ht="157.19999999999999" customHeight="1" x14ac:dyDescent="0.3">
      <c r="A180" s="644"/>
      <c r="B180" s="678"/>
      <c r="C180" s="680"/>
      <c r="D180" s="682"/>
      <c r="E180" s="463" t="s">
        <v>625</v>
      </c>
      <c r="F180" s="653"/>
      <c r="G180" s="653"/>
      <c r="H180" s="683"/>
      <c r="I180" s="685"/>
      <c r="J180" s="687"/>
      <c r="K180" s="689"/>
      <c r="L180" s="691"/>
      <c r="M180" s="693"/>
      <c r="N180" s="691">
        <f>IF(NOT(ISERROR(MATCH(M180,_xlfn.ANCHORARRAY(F184),0))),L186&amp;"Por favor no seleccionar los criterios de impacto",M180)</f>
        <v>0</v>
      </c>
      <c r="O180" s="689"/>
      <c r="P180" s="691"/>
      <c r="Q180" s="695"/>
      <c r="R180" s="464">
        <v>2</v>
      </c>
      <c r="S180" s="465" t="s">
        <v>606</v>
      </c>
      <c r="T180" s="466" t="str">
        <f>IF(OR(U180="Preventivo",U180="Detectivo"),"Probabilidad",IF(U180="Correctivo","Impacto",""))</f>
        <v>Probabilidad</v>
      </c>
      <c r="U180" s="467" t="s">
        <v>197</v>
      </c>
      <c r="V180" s="467" t="s">
        <v>191</v>
      </c>
      <c r="W180" s="468" t="str">
        <f t="shared" ref="W180" si="104">IF(AND(U180="Preventivo",V180="Automático"),"50%",IF(AND(U180="Preventivo",V180="Manual"),"40%",IF(AND(U180="Detectivo",V180="Automático"),"40%",IF(AND(U180="Detectivo",V180="Manual"),"30%",IF(AND(U180="Correctivo",V180="Automático"),"35%",IF(AND(U180="Correctivo",V180="Manual"),"25%",""))))))</f>
        <v>40%</v>
      </c>
      <c r="X180" s="467" t="s">
        <v>198</v>
      </c>
      <c r="Y180" s="467" t="s">
        <v>193</v>
      </c>
      <c r="Z180" s="467" t="s">
        <v>194</v>
      </c>
      <c r="AA180" s="469">
        <f>IFERROR(IF(AND(T179="Probabilidad",T180="Probabilidad"),(AC179-(+AC179*W180)),IF(AND(T179="Impacto",T180="Probabilidad"),(L179-(+L179*W180)),IF(T180="Impacto",AC179,""))),"")</f>
        <v>0.216</v>
      </c>
      <c r="AB180" s="470" t="str">
        <f t="shared" ref="AB180" si="105">IFERROR(IF(AA180="","",IF(AA180&lt;=0.2,"Muy Baja",IF(AA180&lt;=0.4,"Baja",IF(AA180&lt;=0.6,"Media",IF(AA180&lt;=0.8,"Alta","Muy Alta"))))),"")</f>
        <v>Baja</v>
      </c>
      <c r="AC180" s="471">
        <f>+AA180</f>
        <v>0.216</v>
      </c>
      <c r="AD180" s="470" t="str">
        <f t="shared" ref="AD180" si="106">IFERROR(IF(AE180="","",IF(AE180&lt;=0.2,"Leve",IF(AE180&lt;=0.4,"Menor",IF(AE180&lt;=0.6,"Moderado",IF(AE180&lt;=0.8,"Mayor","Catastrófico"))))),"")</f>
        <v>Moderado</v>
      </c>
      <c r="AE180" s="471">
        <f>IFERROR(IF(AND(T179="Impacto",T180="Impacto"),(AE179-(+AE179*W180)),IF(AND(T179="Probabilidad",T180="Impacto"),(P179-(+P179*W180)),IF(T180="Probabilidad",AE179,""))),"")</f>
        <v>0.6</v>
      </c>
      <c r="AF180" s="472" t="str">
        <f t="shared" ref="AF180" si="107">IFERROR(IF(OR(AND(AB180="Muy Baja",AD180="Leve"),AND(AB180="Muy Baja",AD180="Menor"),AND(AB180="Baja",AD180="Leve")),"Bajo",IF(OR(AND(AB180="Muy baja",AD180="Moderado"),AND(AB180="Baja",AD180="Menor"),AND(AB180="Baja",AD180="Moderado"),AND(AB180="Media",AD180="Leve"),AND(AB180="Media",AD180="Menor"),AND(AB180="Media",AD180="Moderado"),AND(AB180="Alta",AD180="Leve"),AND(AB180="Alta",AD180="Menor")),"Moderado",IF(OR(AND(AB180="Muy Baja",AD180="Mayor"),AND(AB180="Baja",AD180="Mayor"),AND(AB180="Media",AD180="Mayor"),AND(AB180="Alta",AD180="Moderado"),AND(AB180="Alta",AD180="Mayor"),AND(AB180="Muy Alta",AD180="Leve"),AND(AB180="Muy Alta",AD180="Menor"),AND(AB180="Muy Alta",AD180="Moderado"),AND(AB180="Muy Alta",AD180="Mayor")),"Alto",IF(OR(AND(AB180="Muy Baja",AD180="Catastrófico"),AND(AB180="Baja",AD180="Catastrófico"),AND(AB180="Media",AD180="Catastrófico"),AND(AB180="Alta",AD180="Catastrófico"),AND(AB180="Muy Alta",AD180="Catastrófico")),"Extremo","")))),"")</f>
        <v>Moderado</v>
      </c>
      <c r="AG180" s="406" t="s">
        <v>195</v>
      </c>
      <c r="AH180" s="473">
        <f>[13]DOFA!G210</f>
        <v>0</v>
      </c>
      <c r="AI180" s="350" t="s">
        <v>604</v>
      </c>
      <c r="AJ180" s="351">
        <v>45659</v>
      </c>
      <c r="AK180" s="351">
        <v>46021</v>
      </c>
      <c r="AL180" s="696"/>
      <c r="AM180" s="251" t="s">
        <v>196</v>
      </c>
    </row>
    <row r="181" spans="1:45" ht="276" x14ac:dyDescent="0.3">
      <c r="A181" s="630">
        <v>2</v>
      </c>
      <c r="B181" s="669" t="s">
        <v>354</v>
      </c>
      <c r="C181" s="647" t="s">
        <v>607</v>
      </c>
      <c r="D181" s="671" t="s">
        <v>608</v>
      </c>
      <c r="E181" s="314" t="s">
        <v>626</v>
      </c>
      <c r="F181" s="651" t="s">
        <v>609</v>
      </c>
      <c r="G181" s="652" t="s">
        <v>203</v>
      </c>
      <c r="H181" s="673" t="s">
        <v>610</v>
      </c>
      <c r="I181" s="657" t="s">
        <v>190</v>
      </c>
      <c r="J181" s="659">
        <v>360</v>
      </c>
      <c r="K181" s="636" t="str">
        <f>IF(J181&lt;=0,"",IF(J181&lt;=2,"Muy Baja",IF(J181&lt;=24,"Baja",IF(J181&lt;=500,"Media",IF(J181&lt;=5000,"Alta","Muy Alta")))))</f>
        <v>Media</v>
      </c>
      <c r="L181" s="638">
        <f>IF(K181="","",IF(K181="Muy Baja",0.2,IF(K181="Baja",0.4,IF(K181="Media",0.6,IF(K181="Alta",0.8,IF(K181="Muy Alta",1,))))))</f>
        <v>0.6</v>
      </c>
      <c r="M181" s="640" t="s">
        <v>321</v>
      </c>
      <c r="N181" s="638" t="str">
        <f>IF(NOT(ISERROR(MATCH(M181,'[13]Tabla Impacto'!$B$221:$B$223,0))),'[13]Tabla Impacto'!$F$223&amp;"Por favor no seleccionar los criterios de impacto(Afectación Económica o presupuestal y Pérdida Reputacional)",M181)</f>
        <v xml:space="preserve">     Entre 200 y 1000 SMLMV</v>
      </c>
      <c r="O181" s="636" t="str">
        <f>IF(OR(N181='[13]Tabla Impacto'!$C$11,N181='[13]Tabla Impacto'!$D$11),"Leve",IF(OR(N181='[13]Tabla Impacto'!$C$12,N181='[13]Tabla Impacto'!$D$12),"Menor",IF(OR(N181='[13]Tabla Impacto'!$C$13,N181='[13]Tabla Impacto'!$D$13),"Moderado",IF(OR(N181='[13]Tabla Impacto'!$C$14,N181='[13]Tabla Impacto'!$D$14),"Mayor",IF(OR(N181='[13]Tabla Impacto'!$C$15,N181='[13]Tabla Impacto'!$D$15),"Catastrófico","")))))</f>
        <v>Menor</v>
      </c>
      <c r="P181" s="638">
        <f>IF(O181="","",IF(O181="Leve",0.2,IF(O181="Menor",0.4,IF(O181="Moderado",0.6,IF(O181="Mayor",0.8,IF(O181="Catastrófico",1,))))))</f>
        <v>0.4</v>
      </c>
      <c r="Q181" s="642" t="str">
        <f>IF(OR(AND(K181="Muy Baja",O181="Leve"),AND(K181="Muy Baja",O181="Menor"),AND(K181="Baja",O181="Leve")),"Bajo",IF(OR(AND(K181="Muy baja",O181="Moderado"),AND(K181="Baja",O181="Menor"),AND(K181="Baja",O181="Moderado"),AND(K181="Media",O181="Leve"),AND(K181="Media",O181="Menor"),AND(K181="Media",O181="Moderado"),AND(K181="Alta",O181="Leve"),AND(K181="Alta",O181="Menor")),"Moderado",IF(OR(AND(K181="Muy Baja",O181="Mayor"),AND(K181="Baja",O181="Mayor"),AND(K181="Media",O181="Mayor"),AND(K181="Alta",O181="Moderado"),AND(K181="Alta",O181="Mayor"),AND(K181="Muy Alta",O181="Leve"),AND(K181="Muy Alta",O181="Menor"),AND(K181="Muy Alta",O181="Moderado"),AND(K181="Muy Alta",O181="Mayor")),"Alto",IF(OR(AND(K181="Muy Baja",O181="Catastrófico"),AND(K181="Baja",O181="Catastrófico"),AND(K181="Media",O181="Catastrófico"),AND(K181="Alta",O181="Catastrófico"),AND(K181="Muy Alta",O181="Catastrófico")),"Extremo",""))))</f>
        <v>Moderado</v>
      </c>
      <c r="R181" s="249">
        <v>1</v>
      </c>
      <c r="S181" s="455" t="s">
        <v>611</v>
      </c>
      <c r="T181" s="94" t="str">
        <f>IF(OR(U181="Preventivo",U181="Detectivo"),"Probabilidad",IF(U181="Correctivo","Impacto",""))</f>
        <v>Probabilidad</v>
      </c>
      <c r="U181" s="86" t="s">
        <v>197</v>
      </c>
      <c r="V181" s="86" t="s">
        <v>191</v>
      </c>
      <c r="W181" s="87" t="str">
        <f>IF(AND(U181="Preventivo",V181="Automático"),"50%",IF(AND(U181="Preventivo",V181="Manual"),"40%",IF(AND(U181="Detectivo",V181="Automático"),"40%",IF(AND(U181="Detectivo",V181="Manual"),"30%",IF(AND(U181="Correctivo",V181="Automático"),"35%",IF(AND(U181="Correctivo",V181="Manual"),"25%",""))))))</f>
        <v>40%</v>
      </c>
      <c r="X181" s="86" t="s">
        <v>198</v>
      </c>
      <c r="Y181" s="86" t="s">
        <v>193</v>
      </c>
      <c r="Z181" s="86" t="s">
        <v>194</v>
      </c>
      <c r="AA181" s="95">
        <f>IFERROR(IF(T181="Probabilidad",(L181-(+L181*W181)),IF(T181="Impacto",L181,"")),"")</f>
        <v>0.36</v>
      </c>
      <c r="AB181" s="88" t="str">
        <f>IFERROR(IF(AA181="","",IF(AA181&lt;=0.2,"Muy Baja",IF(AA181&lt;=0.4,"Baja",IF(AA181&lt;=0.6,"Media",IF(AA181&lt;=0.8,"Alta","Muy Alta"))))),"")</f>
        <v>Baja</v>
      </c>
      <c r="AC181" s="89">
        <f>+AA181</f>
        <v>0.36</v>
      </c>
      <c r="AD181" s="88" t="str">
        <f>IFERROR(IF(AE181="","",IF(AE181&lt;=0.2,"Leve",IF(AE181&lt;=0.4,"Menor",IF(AE181&lt;=0.6,"Moderado",IF(AE181&lt;=0.8,"Mayor","Catastrófico"))))),"")</f>
        <v>Menor</v>
      </c>
      <c r="AE181" s="89">
        <f>IFERROR(IF(T181="Impacto",(P181-(+P181*W181)),IF(T181="Probabilidad",P181,"")),"")</f>
        <v>0.4</v>
      </c>
      <c r="AF181" s="90" t="str">
        <f>IFERROR(IF(OR(AND(AB181="Muy Baja",AD181="Leve"),AND(AB181="Muy Baja",AD181="Menor"),AND(AB181="Baja",AD181="Leve")),"Bajo",IF(OR(AND(AB181="Muy baja",AD181="Moderado"),AND(AB181="Baja",AD181="Menor"),AND(AB181="Baja",AD181="Moderado"),AND(AB181="Media",AD181="Leve"),AND(AB181="Media",AD181="Menor"),AND(AB181="Media",AD181="Moderado"),AND(AB181="Alta",AD181="Leve"),AND(AB181="Alta",AD181="Menor")),"Moderado",IF(OR(AND(AB181="Muy Baja",AD181="Mayor"),AND(AB181="Baja",AD181="Mayor"),AND(AB181="Media",AD181="Mayor"),AND(AB181="Alta",AD181="Moderado"),AND(AB181="Alta",AD181="Mayor"),AND(AB181="Muy Alta",AD181="Leve"),AND(AB181="Muy Alta",AD181="Menor"),AND(AB181="Muy Alta",AD181="Moderado"),AND(AB181="Muy Alta",AD181="Mayor")),"Alto",IF(OR(AND(AB181="Muy Baja",AD181="Catastrófico"),AND(AB181="Baja",AD181="Catastrófico"),AND(AB181="Media",AD181="Catastrófico"),AND(AB181="Alta",AD181="Catastrófico"),AND(AB181="Muy Alta",AD181="Catastrófico")),"Extremo","")))),"")</f>
        <v>Moderado</v>
      </c>
      <c r="AG181" s="91" t="s">
        <v>195</v>
      </c>
      <c r="AH181" s="455">
        <f>[13]DOFA!E202</f>
        <v>0</v>
      </c>
      <c r="AI181" s="350" t="s">
        <v>612</v>
      </c>
      <c r="AJ181" s="351">
        <v>45659</v>
      </c>
      <c r="AK181" s="351">
        <v>46021</v>
      </c>
      <c r="AL181" s="476" t="s">
        <v>613</v>
      </c>
      <c r="AM181" s="251" t="s">
        <v>196</v>
      </c>
    </row>
    <row r="182" spans="1:45" ht="79.8" x14ac:dyDescent="0.3">
      <c r="A182" s="644"/>
      <c r="B182" s="670"/>
      <c r="C182" s="648"/>
      <c r="D182" s="672"/>
      <c r="E182" s="314" t="s">
        <v>627</v>
      </c>
      <c r="F182" s="651"/>
      <c r="G182" s="653"/>
      <c r="H182" s="674"/>
      <c r="I182" s="658"/>
      <c r="J182" s="660"/>
      <c r="K182" s="637"/>
      <c r="L182" s="639"/>
      <c r="M182" s="641"/>
      <c r="N182" s="639">
        <f>IF(NOT(ISERROR(MATCH(M182,_xlfn.ANCHORARRAY(F187),0))),L189&amp;"Por favor no seleccionar los criterios de impacto",M182)</f>
        <v>0</v>
      </c>
      <c r="O182" s="637"/>
      <c r="P182" s="639"/>
      <c r="Q182" s="643"/>
      <c r="R182" s="249">
        <v>2</v>
      </c>
      <c r="S182" s="477" t="s">
        <v>614</v>
      </c>
      <c r="T182" s="94" t="str">
        <f>IF(OR(U182="Preventivo",U182="Detectivo"),"Probabilidad",IF(U182="Correctivo","Impacto",""))</f>
        <v>Probabilidad</v>
      </c>
      <c r="U182" s="86" t="s">
        <v>197</v>
      </c>
      <c r="V182" s="86" t="s">
        <v>191</v>
      </c>
      <c r="W182" s="87" t="str">
        <f t="shared" ref="W182:W183" si="108">IF(AND(U182="Preventivo",V182="Automático"),"50%",IF(AND(U182="Preventivo",V182="Manual"),"40%",IF(AND(U182="Detectivo",V182="Automático"),"40%",IF(AND(U182="Detectivo",V182="Manual"),"30%",IF(AND(U182="Correctivo",V182="Automático"),"35%",IF(AND(U182="Correctivo",V182="Manual"),"25%",""))))))</f>
        <v>40%</v>
      </c>
      <c r="X182" s="86" t="s">
        <v>198</v>
      </c>
      <c r="Y182" s="86" t="s">
        <v>193</v>
      </c>
      <c r="Z182" s="86" t="s">
        <v>194</v>
      </c>
      <c r="AA182" s="95">
        <f>IFERROR(IF(AND(T181="Probabilidad",T182="Probabilidad"),(AC181-(+AC181*W182)),IF(AND(T181="Impacto",T182="Probabilidad"),(L181-(+L181*W182)),IF(T182="Impacto",AC181,""))),"")</f>
        <v>0.216</v>
      </c>
      <c r="AB182" s="88" t="str">
        <f t="shared" ref="AB182:AB184" si="109">IFERROR(IF(AA182="","",IF(AA182&lt;=0.2,"Muy Baja",IF(AA182&lt;=0.4,"Baja",IF(AA182&lt;=0.6,"Media",IF(AA182&lt;=0.8,"Alta","Muy Alta"))))),"")</f>
        <v>Baja</v>
      </c>
      <c r="AC182" s="89">
        <f>+AA182</f>
        <v>0.216</v>
      </c>
      <c r="AD182" s="88" t="str">
        <f t="shared" ref="AD182:AD184" si="110">IFERROR(IF(AE182="","",IF(AE182&lt;=0.2,"Leve",IF(AE182&lt;=0.4,"Menor",IF(AE182&lt;=0.6,"Moderado",IF(AE182&lt;=0.8,"Mayor","Catastrófico"))))),"")</f>
        <v>Menor</v>
      </c>
      <c r="AE182" s="89">
        <f>IFERROR(IF(AND(T181="Impacto",T182="Impacto"),(AE181-(+AE181*W182)),IF(AND(T181="Probabilidad",T182="Impacto"),(P181-(+P181*W182)),IF(T182="Probabilidad",AE181,""))),"")</f>
        <v>0.4</v>
      </c>
      <c r="AF182" s="90" t="str">
        <f t="shared" ref="AF182:AF184" si="111">IFERROR(IF(OR(AND(AB182="Muy Baja",AD182="Leve"),AND(AB182="Muy Baja",AD182="Menor"),AND(AB182="Baja",AD182="Leve")),"Bajo",IF(OR(AND(AB182="Muy baja",AD182="Moderado"),AND(AB182="Baja",AD182="Menor"),AND(AB182="Baja",AD182="Moderado"),AND(AB182="Media",AD182="Leve"),AND(AB182="Media",AD182="Menor"),AND(AB182="Media",AD182="Moderado"),AND(AB182="Alta",AD182="Leve"),AND(AB182="Alta",AD182="Menor")),"Moderado",IF(OR(AND(AB182="Muy Baja",AD182="Mayor"),AND(AB182="Baja",AD182="Mayor"),AND(AB182="Media",AD182="Mayor"),AND(AB182="Alta",AD182="Moderado"),AND(AB182="Alta",AD182="Mayor"),AND(AB182="Muy Alta",AD182="Leve"),AND(AB182="Muy Alta",AD182="Menor"),AND(AB182="Muy Alta",AD182="Moderado"),AND(AB182="Muy Alta",AD182="Mayor")),"Alto",IF(OR(AND(AB182="Muy Baja",AD182="Catastrófico"),AND(AB182="Baja",AD182="Catastrófico"),AND(AB182="Media",AD182="Catastrófico"),AND(AB182="Alta",AD182="Catastrófico"),AND(AB182="Muy Alta",AD182="Catastrófico")),"Extremo","")))),"")</f>
        <v>Moderado</v>
      </c>
      <c r="AG182" s="91" t="s">
        <v>195</v>
      </c>
      <c r="AH182" s="478">
        <f>[13]DOFA!G211</f>
        <v>0</v>
      </c>
      <c r="AI182" s="350" t="s">
        <v>612</v>
      </c>
      <c r="AJ182" s="351">
        <v>45659</v>
      </c>
      <c r="AK182" s="351">
        <v>46021</v>
      </c>
      <c r="AL182" s="479"/>
      <c r="AM182" s="251" t="s">
        <v>196</v>
      </c>
    </row>
    <row r="183" spans="1:45" ht="409.6" x14ac:dyDescent="0.3">
      <c r="A183" s="644"/>
      <c r="B183" s="670"/>
      <c r="C183" s="648"/>
      <c r="D183" s="672"/>
      <c r="E183" s="314" t="s">
        <v>628</v>
      </c>
      <c r="F183" s="651"/>
      <c r="G183" s="653"/>
      <c r="H183" s="675"/>
      <c r="I183" s="658"/>
      <c r="J183" s="660"/>
      <c r="K183" s="637"/>
      <c r="L183" s="639"/>
      <c r="M183" s="641"/>
      <c r="N183" s="639">
        <f>IF(NOT(ISERROR(MATCH(M183,_xlfn.ANCHORARRAY(F188),0))),L190&amp;"Por favor no seleccionar los criterios de impacto",M183)</f>
        <v>0</v>
      </c>
      <c r="O183" s="637"/>
      <c r="P183" s="639"/>
      <c r="Q183" s="643"/>
      <c r="R183" s="249">
        <v>3</v>
      </c>
      <c r="S183" s="253" t="s">
        <v>615</v>
      </c>
      <c r="T183" s="94" t="str">
        <f t="shared" ref="T183" si="112">IF(OR(U183="Preventivo",U183="Detectivo"),"Probabilidad",IF(U183="Correctivo","Impacto",""))</f>
        <v>Probabilidad</v>
      </c>
      <c r="U183" s="86" t="s">
        <v>197</v>
      </c>
      <c r="V183" s="86" t="s">
        <v>191</v>
      </c>
      <c r="W183" s="87" t="str">
        <f t="shared" si="108"/>
        <v>40%</v>
      </c>
      <c r="X183" s="86" t="s">
        <v>198</v>
      </c>
      <c r="Y183" s="86" t="s">
        <v>193</v>
      </c>
      <c r="Z183" s="95" t="str">
        <f>IFERROR(IF(AND(S182="Probabilidad",S183="Probabilidad"),(AB182-(+AB182*V183)),IF(AND(S182="Impacto",S183="Probabilidad"),(AB181-(+AB181*V183)),IF(S183="Impacto",AB182,""))),"")</f>
        <v/>
      </c>
      <c r="AA183" s="95">
        <f>IFERROR(IF(AND(T182="Probabilidad",T183="Probabilidad"),(AC182-(+AC182*W183)),IF(AND(T182="Impacto",T183="Probabilidad"),(L182-(+L182*W183)),IF(T183="Impacto",AC182,""))),"")</f>
        <v>0.12959999999999999</v>
      </c>
      <c r="AB183" s="88" t="str">
        <f t="shared" si="109"/>
        <v>Muy Baja</v>
      </c>
      <c r="AC183" s="89">
        <f>+AA183</f>
        <v>0.12959999999999999</v>
      </c>
      <c r="AD183" s="88" t="str">
        <f t="shared" si="110"/>
        <v>Menor</v>
      </c>
      <c r="AE183" s="89">
        <f>IFERROR(IF(AND(T182="Impacto",T183="Impacto"),(AE182-(+AE182*W183)),IF(AND(T182="Probabilidad",T183="Impacto"),(P182-(+P182*W183)),IF(T183="Probabilidad",AE182,""))),"")</f>
        <v>0.4</v>
      </c>
      <c r="AF183" s="90" t="str">
        <f t="shared" si="111"/>
        <v>Bajo</v>
      </c>
      <c r="AG183" s="91" t="s">
        <v>195</v>
      </c>
      <c r="AH183" s="473">
        <f>[13]DOFA!E198</f>
        <v>0</v>
      </c>
      <c r="AI183" s="474" t="s">
        <v>612</v>
      </c>
      <c r="AJ183" s="351">
        <v>45659</v>
      </c>
      <c r="AK183" s="351">
        <v>46021</v>
      </c>
      <c r="AL183" s="480" t="s">
        <v>616</v>
      </c>
      <c r="AM183" s="251" t="s">
        <v>196</v>
      </c>
    </row>
    <row r="184" spans="1:45" ht="60" customHeight="1" x14ac:dyDescent="0.3">
      <c r="A184" s="630">
        <v>3</v>
      </c>
      <c r="B184" s="645" t="s">
        <v>354</v>
      </c>
      <c r="C184" s="647" t="s">
        <v>607</v>
      </c>
      <c r="D184" s="649" t="s">
        <v>617</v>
      </c>
      <c r="E184" s="481" t="s">
        <v>629</v>
      </c>
      <c r="F184" s="651" t="s">
        <v>618</v>
      </c>
      <c r="G184" s="652" t="s">
        <v>203</v>
      </c>
      <c r="H184" s="654" t="s">
        <v>619</v>
      </c>
      <c r="I184" s="657" t="s">
        <v>190</v>
      </c>
      <c r="J184" s="659">
        <v>360</v>
      </c>
      <c r="K184" s="661" t="str">
        <f t="shared" ref="K184" si="113">IF(J184&lt;=0,"",IF(J184&lt;=2,"Muy Baja",IF(J184&lt;=24,"Baja",IF(J184&lt;=500,"Media",IF(J184&lt;=5000,"Alta","Muy Alta")))))</f>
        <v>Media</v>
      </c>
      <c r="L184" s="663">
        <f t="shared" ref="L184" si="114">IF(K184="","",IF(K184="Muy Baja",0.2,IF(K184="Baja",0.4,IF(K184="Media",0.6,IF(K184="Alta",0.8,IF(K184="Muy Alta",1,))))))</f>
        <v>0.6</v>
      </c>
      <c r="M184" s="665" t="s">
        <v>321</v>
      </c>
      <c r="N184" s="663" t="str">
        <f>IF(NOT(ISERROR(MATCH(M184,'[13]Tabla Impacto'!$B$221:$B$223,0))),'[13]Tabla Impacto'!$F$223&amp;"Por favor no seleccionar los criterios de impacto(Afectación Económica o presupuestal y Pérdida Reputacional)",M184)</f>
        <v xml:space="preserve">     Entre 200 y 1000 SMLMV</v>
      </c>
      <c r="O184" s="661" t="str">
        <f>IF(OR(N184='[13]Tabla Impacto'!$C$11,N184='[13]Tabla Impacto'!$D$11),"Leve",IF(OR(N184='[13]Tabla Impacto'!$C$12,N184='[13]Tabla Impacto'!$D$12),"Menor",IF(OR(N184='[13]Tabla Impacto'!$C$13,N184='[13]Tabla Impacto'!$D$13),"Moderado",IF(OR(N184='[13]Tabla Impacto'!$C$14,N184='[13]Tabla Impacto'!$D$14),"Mayor",IF(OR(N184='[13]Tabla Impacto'!$C$15,N184='[13]Tabla Impacto'!$D$15),"Catastrófico","")))))</f>
        <v>Menor</v>
      </c>
      <c r="P184" s="663">
        <f t="shared" ref="P184" si="115">IF(O184="","",IF(O184="Leve",0.2,IF(O184="Menor",0.4,IF(O184="Moderado",0.6,IF(O184="Mayor",0.8,IF(O184="Catastrófico",1,))))))</f>
        <v>0.4</v>
      </c>
      <c r="Q184" s="667" t="str">
        <f t="shared" ref="Q184" si="116">IF(OR(AND(K184="Muy Baja",O184="Leve"),AND(K184="Muy Baja",O184="Menor"),AND(K184="Baja",O184="Leve")),"Bajo",IF(OR(AND(K184="Muy baja",O184="Moderado"),AND(K184="Baja",O184="Menor"),AND(K184="Baja",O184="Moderado"),AND(K184="Media",O184="Leve"),AND(K184="Media",O184="Menor"),AND(K184="Media",O184="Moderado"),AND(K184="Alta",O184="Leve"),AND(K184="Alta",O184="Menor")),"Moderado",IF(OR(AND(K184="Muy Baja",O184="Mayor"),AND(K184="Baja",O184="Mayor"),AND(K184="Media",O184="Mayor"),AND(K184="Alta",O184="Moderado"),AND(K184="Alta",O184="Mayor"),AND(K184="Muy Alta",O184="Leve"),AND(K184="Muy Alta",O184="Menor"),AND(K184="Muy Alta",O184="Moderado"),AND(K184="Muy Alta",O184="Mayor")),"Alto",IF(OR(AND(K184="Muy Baja",O184="Catastrófico"),AND(K184="Baja",O184="Catastrófico"),AND(K184="Media",O184="Catastrófico"),AND(K184="Alta",O184="Catastrófico"),AND(K184="Muy Alta",O184="Catastrófico")),"Extremo",""))))</f>
        <v>Moderado</v>
      </c>
      <c r="R184" s="630">
        <v>1</v>
      </c>
      <c r="S184" s="632" t="s">
        <v>620</v>
      </c>
      <c r="T184" s="634" t="s">
        <v>484</v>
      </c>
      <c r="U184" s="620" t="s">
        <v>197</v>
      </c>
      <c r="V184" s="620" t="s">
        <v>191</v>
      </c>
      <c r="W184" s="616" t="str">
        <f>IF(AND(U184="Preventivo",V184="Automático"),"50%",IF(AND(U184="Preventivo",V184="Manual"),"40%",IF(AND(U184="Detectivo",V184="Automático"),"40%",IF(AND(U184="Detectivo",V184="Manual"),"30%",IF(AND(U184="Correctivo",V184="Automático"),"35%",IF(AND(U184="Correctivo",V184="Manual"),"25%",""))))))</f>
        <v>40%</v>
      </c>
      <c r="X184" s="620" t="s">
        <v>198</v>
      </c>
      <c r="Y184" s="620" t="s">
        <v>193</v>
      </c>
      <c r="Z184" s="620" t="s">
        <v>194</v>
      </c>
      <c r="AA184" s="612">
        <f t="shared" ref="AA184" si="117">IFERROR(IF(AND(T183="Probabilidad",T184="Probabilidad"),(AC183-(+AC183*W184)),IF(AND(T183="Impacto",T184="Probabilidad"),(L183-(+L183*W184)),IF(T184="Impacto",AC183,""))),"")</f>
        <v>7.7759999999999996E-2</v>
      </c>
      <c r="AB184" s="614" t="str">
        <f t="shared" si="109"/>
        <v>Muy Baja</v>
      </c>
      <c r="AC184" s="616">
        <f t="shared" ref="AC184" si="118">+AA184</f>
        <v>7.7759999999999996E-2</v>
      </c>
      <c r="AD184" s="614" t="str">
        <f t="shared" si="110"/>
        <v>Menor</v>
      </c>
      <c r="AE184" s="616">
        <f t="shared" ref="AE184" si="119">IFERROR(IF(AND(T183="Impacto",T184="Impacto"),(AE183-(+AE183*W184)),IF(AND(T183="Probabilidad",T184="Impacto"),(P183-(+P183*W184)),IF(T184="Probabilidad",AE183,""))),"")</f>
        <v>0.4</v>
      </c>
      <c r="AF184" s="618" t="str">
        <f t="shared" si="111"/>
        <v>Bajo</v>
      </c>
      <c r="AG184" s="620" t="s">
        <v>195</v>
      </c>
      <c r="AH184" s="476">
        <f>[13]DOFA!G212</f>
        <v>0</v>
      </c>
      <c r="AI184" s="473" t="s">
        <v>604</v>
      </c>
      <c r="AJ184" s="351">
        <v>45293</v>
      </c>
      <c r="AK184" s="351">
        <v>45656</v>
      </c>
      <c r="AL184" s="622" t="s">
        <v>621</v>
      </c>
      <c r="AM184" s="251" t="s">
        <v>196</v>
      </c>
    </row>
    <row r="185" spans="1:45" ht="79.2" customHeight="1" x14ac:dyDescent="0.3">
      <c r="A185" s="644"/>
      <c r="B185" s="646"/>
      <c r="C185" s="648"/>
      <c r="D185" s="650"/>
      <c r="E185" s="481" t="s">
        <v>630</v>
      </c>
      <c r="F185" s="651"/>
      <c r="G185" s="653"/>
      <c r="H185" s="655"/>
      <c r="I185" s="658"/>
      <c r="J185" s="660"/>
      <c r="K185" s="662"/>
      <c r="L185" s="664"/>
      <c r="M185" s="666"/>
      <c r="N185" s="664">
        <f>IF(NOT(ISERROR(MATCH(M185,_xlfn.ANCHORARRAY(F193),0))),L195&amp;"Por favor no seleccionar los criterios de impacto",M185)</f>
        <v>0</v>
      </c>
      <c r="O185" s="662"/>
      <c r="P185" s="664"/>
      <c r="Q185" s="668"/>
      <c r="R185" s="631"/>
      <c r="S185" s="633"/>
      <c r="T185" s="635"/>
      <c r="U185" s="621"/>
      <c r="V185" s="621"/>
      <c r="W185" s="617"/>
      <c r="X185" s="621"/>
      <c r="Y185" s="621"/>
      <c r="Z185" s="621"/>
      <c r="AA185" s="613"/>
      <c r="AB185" s="615"/>
      <c r="AC185" s="617"/>
      <c r="AD185" s="615"/>
      <c r="AE185" s="617"/>
      <c r="AF185" s="619"/>
      <c r="AG185" s="621"/>
      <c r="AH185" s="482">
        <f>[13]DOFA!G213</f>
        <v>0</v>
      </c>
      <c r="AI185" s="473" t="s">
        <v>604</v>
      </c>
      <c r="AJ185" s="351">
        <v>45659</v>
      </c>
      <c r="AK185" s="351">
        <v>46021</v>
      </c>
      <c r="AL185" s="623"/>
      <c r="AM185" s="251" t="s">
        <v>196</v>
      </c>
    </row>
    <row r="186" spans="1:45" ht="409.6" x14ac:dyDescent="0.3">
      <c r="A186" s="644"/>
      <c r="B186" s="646"/>
      <c r="C186" s="648"/>
      <c r="D186" s="650"/>
      <c r="E186" s="314" t="s">
        <v>631</v>
      </c>
      <c r="F186" s="651"/>
      <c r="G186" s="653"/>
      <c r="H186" s="656"/>
      <c r="I186" s="658"/>
      <c r="J186" s="660"/>
      <c r="K186" s="662"/>
      <c r="L186" s="664"/>
      <c r="M186" s="666"/>
      <c r="N186" s="664">
        <f>IF(NOT(ISERROR(MATCH(M186,_xlfn.ANCHORARRAY(F194),0))),L196&amp;"Por favor no seleccionar los criterios de impacto",M186)</f>
        <v>0</v>
      </c>
      <c r="O186" s="662"/>
      <c r="P186" s="664"/>
      <c r="Q186" s="668"/>
      <c r="R186" s="249">
        <v>2</v>
      </c>
      <c r="S186" s="473" t="s">
        <v>622</v>
      </c>
      <c r="T186" s="94" t="str">
        <f>IF(OR(U186="Preventivo",U186="Detectivo"),"Probabilidad",IF(U186="Correctivo","Impacto",""))</f>
        <v>Probabilidad</v>
      </c>
      <c r="U186" s="86" t="s">
        <v>197</v>
      </c>
      <c r="V186" s="86" t="s">
        <v>191</v>
      </c>
      <c r="W186" s="87" t="str">
        <f t="shared" ref="W186" si="120">IF(AND(U186="Preventivo",V186="Automático"),"50%",IF(AND(U186="Preventivo",V186="Manual"),"40%",IF(AND(U186="Detectivo",V186="Automático"),"40%",IF(AND(U186="Detectivo",V186="Manual"),"30%",IF(AND(U186="Correctivo",V186="Automático"),"35%",IF(AND(U186="Correctivo",V186="Manual"),"25%",""))))))</f>
        <v>40%</v>
      </c>
      <c r="X186" s="86" t="s">
        <v>198</v>
      </c>
      <c r="Y186" s="86" t="s">
        <v>193</v>
      </c>
      <c r="Z186" s="86" t="s">
        <v>194</v>
      </c>
      <c r="AA186" s="95">
        <f>AA184</f>
        <v>7.7759999999999996E-2</v>
      </c>
      <c r="AB186" s="88" t="str">
        <f t="shared" ref="AB186" si="121">IFERROR(IF(AA186="","",IF(AA186&lt;=0.2,"Muy Baja",IF(AA186&lt;=0.4,"Baja",IF(AA186&lt;=0.6,"Media",IF(AA186&lt;=0.8,"Alta","Muy Alta"))))),"")</f>
        <v>Muy Baja</v>
      </c>
      <c r="AC186" s="89">
        <f t="shared" ref="AC186" si="122">+AA186</f>
        <v>7.7759999999999996E-2</v>
      </c>
      <c r="AD186" s="88" t="str">
        <f>IFERROR(IF(AE186="","",IF(AE186&lt;=0.2,"Leve",IF(AE186&lt;=0.4,"Menor",IF(AE186&lt;=0.6,"Moderado",IF(AE186&lt;=0.8,"Mayor","Catastrófico"))))),"")</f>
        <v>Leve</v>
      </c>
      <c r="AE186" s="89">
        <f t="shared" ref="AE186" si="123">IFERROR(IF(AND(T185="Impacto",T186="Impacto"),(AE185-(+AE185*W186)),IF(AND(T185="Probabilidad",T186="Impacto"),(P185-(+P185*W186)),IF(T186="Probabilidad",AE185,""))),"")</f>
        <v>0</v>
      </c>
      <c r="AF186" s="90" t="str">
        <f t="shared" ref="AF186" si="124">IFERROR(IF(OR(AND(AB186="Muy Baja",AD186="Leve"),AND(AB186="Muy Baja",AD186="Menor"),AND(AB186="Baja",AD186="Leve")),"Bajo",IF(OR(AND(AB186="Muy baja",AD186="Moderado"),AND(AB186="Baja",AD186="Menor"),AND(AB186="Baja",AD186="Moderado"),AND(AB186="Media",AD186="Leve"),AND(AB186="Media",AD186="Menor"),AND(AB186="Media",AD186="Moderado"),AND(AB186="Alta",AD186="Leve"),AND(AB186="Alta",AD186="Menor")),"Moderado",IF(OR(AND(AB186="Muy Baja",AD186="Mayor"),AND(AB186="Baja",AD186="Mayor"),AND(AB186="Media",AD186="Mayor"),AND(AB186="Alta",AD186="Moderado"),AND(AB186="Alta",AD186="Mayor"),AND(AB186="Muy Alta",AD186="Leve"),AND(AB186="Muy Alta",AD186="Menor"),AND(AB186="Muy Alta",AD186="Moderado"),AND(AB186="Muy Alta",AD186="Mayor")),"Alto",IF(OR(AND(AB186="Muy Baja",AD186="Catastrófico"),AND(AB186="Baja",AD186="Catastrófico"),AND(AB186="Media",AD186="Catastrófico"),AND(AB186="Alta",AD186="Catastrófico"),AND(AB186="Muy Alta",AD186="Catastrófico")),"Extremo","")))),"")</f>
        <v>Bajo</v>
      </c>
      <c r="AG186" s="91" t="s">
        <v>195</v>
      </c>
      <c r="AH186" s="483">
        <f>[13]DOFA!G214</f>
        <v>0</v>
      </c>
      <c r="AI186" s="473" t="s">
        <v>604</v>
      </c>
      <c r="AJ186" s="351">
        <v>45659</v>
      </c>
      <c r="AK186" s="351">
        <v>46021</v>
      </c>
      <c r="AL186" s="205" t="s">
        <v>623</v>
      </c>
      <c r="AM186" s="251" t="s">
        <v>196</v>
      </c>
    </row>
    <row r="187" spans="1:45" x14ac:dyDescent="0.3">
      <c r="A187" s="624" t="s">
        <v>148</v>
      </c>
      <c r="B187" s="625"/>
      <c r="C187" s="625"/>
      <c r="D187" s="625"/>
      <c r="E187" s="625"/>
      <c r="F187" s="625"/>
      <c r="G187" s="625"/>
      <c r="H187" s="625"/>
      <c r="I187" s="625"/>
      <c r="J187" s="625"/>
      <c r="K187" s="625"/>
      <c r="L187" s="625"/>
      <c r="M187" s="625"/>
      <c r="N187" s="625"/>
      <c r="O187" s="625"/>
      <c r="P187" s="625"/>
      <c r="Q187" s="625"/>
      <c r="R187" s="625"/>
      <c r="S187" s="625"/>
      <c r="T187" s="625"/>
      <c r="U187" s="625"/>
      <c r="V187" s="625"/>
      <c r="W187" s="625"/>
      <c r="X187" s="625"/>
      <c r="Y187" s="625"/>
      <c r="Z187" s="625"/>
      <c r="AA187" s="625"/>
      <c r="AB187" s="625"/>
      <c r="AC187" s="625"/>
      <c r="AD187" s="625"/>
      <c r="AE187" s="625"/>
      <c r="AF187" s="625"/>
      <c r="AG187" s="625"/>
      <c r="AH187" s="625"/>
      <c r="AI187" s="625"/>
      <c r="AJ187" s="625"/>
      <c r="AK187" s="625"/>
      <c r="AL187" s="625"/>
      <c r="AM187" s="626"/>
      <c r="AN187" s="484"/>
      <c r="AO187" s="484"/>
      <c r="AP187" s="484"/>
      <c r="AQ187" s="484"/>
      <c r="AR187" s="484"/>
      <c r="AS187" s="484"/>
    </row>
    <row r="188" spans="1:45" x14ac:dyDescent="0.3">
      <c r="A188" s="627"/>
      <c r="B188" s="628"/>
      <c r="C188" s="628"/>
      <c r="D188" s="628"/>
      <c r="E188" s="628"/>
      <c r="F188" s="628"/>
      <c r="G188" s="628"/>
      <c r="H188" s="628"/>
      <c r="I188" s="628"/>
      <c r="J188" s="628"/>
      <c r="K188" s="628"/>
      <c r="L188" s="628"/>
      <c r="M188" s="628"/>
      <c r="N188" s="628"/>
      <c r="O188" s="628"/>
      <c r="P188" s="628"/>
      <c r="Q188" s="628"/>
      <c r="R188" s="628"/>
      <c r="S188" s="628"/>
      <c r="T188" s="628"/>
      <c r="U188" s="628"/>
      <c r="V188" s="628"/>
      <c r="W188" s="628"/>
      <c r="X188" s="628"/>
      <c r="Y188" s="628"/>
      <c r="Z188" s="628"/>
      <c r="AA188" s="628"/>
      <c r="AB188" s="628"/>
      <c r="AC188" s="628"/>
      <c r="AD188" s="628"/>
      <c r="AE188" s="628"/>
      <c r="AF188" s="628"/>
      <c r="AG188" s="628"/>
      <c r="AH188" s="628"/>
      <c r="AI188" s="628"/>
      <c r="AJ188" s="628"/>
      <c r="AK188" s="628"/>
      <c r="AL188" s="628"/>
      <c r="AM188" s="629"/>
      <c r="AN188" s="484"/>
      <c r="AO188" s="484"/>
      <c r="AP188" s="484"/>
      <c r="AQ188" s="484"/>
      <c r="AR188" s="484"/>
      <c r="AS188" s="484"/>
    </row>
    <row r="189" spans="1:45" x14ac:dyDescent="0.3">
      <c r="A189" s="485"/>
      <c r="B189" s="486"/>
      <c r="C189" s="485"/>
      <c r="D189" s="485"/>
      <c r="E189" s="485"/>
      <c r="F189" s="484"/>
      <c r="G189" s="484"/>
      <c r="H189" s="484"/>
      <c r="I189" s="487"/>
      <c r="J189" s="484"/>
      <c r="K189" s="484"/>
      <c r="L189" s="484"/>
      <c r="M189" s="484"/>
      <c r="N189" s="484"/>
      <c r="O189" s="484"/>
      <c r="P189" s="484"/>
      <c r="Q189" s="484"/>
      <c r="R189" s="484"/>
      <c r="S189" s="484"/>
      <c r="T189" s="484"/>
      <c r="U189" s="484"/>
      <c r="V189" s="484"/>
      <c r="W189" s="484"/>
      <c r="X189" s="484"/>
      <c r="Y189" s="484"/>
      <c r="Z189" s="484"/>
      <c r="AA189" s="484"/>
      <c r="AB189" s="484"/>
      <c r="AC189" s="484"/>
      <c r="AD189" s="484"/>
      <c r="AE189" s="484"/>
      <c r="AF189" s="484"/>
      <c r="AG189" s="484"/>
      <c r="AH189" s="484"/>
      <c r="AI189" s="484"/>
      <c r="AJ189" s="484"/>
      <c r="AK189" s="484"/>
      <c r="AL189" s="484"/>
      <c r="AM189" s="484"/>
      <c r="AN189" s="484"/>
      <c r="AO189" s="484"/>
      <c r="AP189" s="484"/>
      <c r="AQ189" s="484"/>
      <c r="AR189" s="484"/>
      <c r="AS189" s="484"/>
    </row>
    <row r="190" spans="1:45" x14ac:dyDescent="0.3">
      <c r="A190" s="602" t="s">
        <v>149</v>
      </c>
      <c r="B190" s="603"/>
      <c r="C190" s="604" t="s">
        <v>632</v>
      </c>
      <c r="D190" s="604"/>
      <c r="E190" s="604"/>
      <c r="F190" s="604"/>
      <c r="G190" s="604"/>
      <c r="H190" s="604"/>
      <c r="I190" s="604"/>
      <c r="J190" s="604"/>
      <c r="K190" s="604"/>
      <c r="L190" s="604"/>
      <c r="M190" s="604"/>
      <c r="N190" s="604"/>
      <c r="O190" s="604"/>
      <c r="P190" s="604"/>
      <c r="Q190" s="604"/>
      <c r="R190" s="604"/>
      <c r="S190" s="604"/>
      <c r="T190" s="604"/>
      <c r="U190" s="604"/>
      <c r="V190" s="604"/>
      <c r="W190" s="604"/>
      <c r="X190" s="604"/>
      <c r="Y190" s="604"/>
      <c r="Z190" s="604"/>
      <c r="AA190" s="604"/>
      <c r="AB190" s="604"/>
      <c r="AC190" s="604"/>
      <c r="AD190" s="604"/>
      <c r="AE190" s="604"/>
      <c r="AF190" s="604"/>
      <c r="AG190" s="604"/>
      <c r="AH190" s="604"/>
      <c r="AI190" s="604"/>
      <c r="AJ190" s="604"/>
      <c r="AK190" s="604"/>
      <c r="AL190" s="604"/>
      <c r="AM190" s="604"/>
      <c r="AN190" s="484"/>
      <c r="AO190" s="484"/>
      <c r="AP190" s="484"/>
      <c r="AQ190" s="484"/>
      <c r="AR190" s="484"/>
      <c r="AS190" s="484"/>
    </row>
    <row r="191" spans="1:45" x14ac:dyDescent="0.3">
      <c r="A191" s="602" t="s">
        <v>150</v>
      </c>
      <c r="B191" s="603"/>
      <c r="C191" s="605" t="s">
        <v>633</v>
      </c>
      <c r="D191" s="605"/>
      <c r="E191" s="605"/>
      <c r="F191" s="605"/>
      <c r="G191" s="605"/>
      <c r="H191" s="605"/>
      <c r="I191" s="605"/>
      <c r="J191" s="605"/>
      <c r="K191" s="605"/>
      <c r="L191" s="605"/>
      <c r="M191" s="605"/>
      <c r="N191" s="605"/>
      <c r="O191" s="605"/>
      <c r="P191" s="605"/>
      <c r="Q191" s="605"/>
      <c r="R191" s="605"/>
      <c r="S191" s="605"/>
      <c r="T191" s="605"/>
      <c r="U191" s="605"/>
      <c r="V191" s="605"/>
      <c r="W191" s="605"/>
      <c r="X191" s="605"/>
      <c r="Y191" s="605"/>
      <c r="Z191" s="605"/>
      <c r="AA191" s="605"/>
      <c r="AB191" s="605"/>
      <c r="AC191" s="605"/>
      <c r="AD191" s="605"/>
      <c r="AE191" s="605"/>
      <c r="AF191" s="605"/>
      <c r="AG191" s="605"/>
      <c r="AH191" s="605"/>
      <c r="AI191" s="605"/>
      <c r="AJ191" s="605"/>
      <c r="AK191" s="605"/>
      <c r="AL191" s="605"/>
      <c r="AM191" s="605"/>
      <c r="AN191" s="484"/>
      <c r="AO191" s="484"/>
      <c r="AP191" s="484"/>
      <c r="AQ191" s="484"/>
      <c r="AR191" s="484"/>
      <c r="AS191" s="484"/>
    </row>
    <row r="192" spans="1:45" x14ac:dyDescent="0.3">
      <c r="A192" s="602" t="s">
        <v>151</v>
      </c>
      <c r="B192" s="603"/>
      <c r="C192" s="605" t="s">
        <v>634</v>
      </c>
      <c r="D192" s="605"/>
      <c r="E192" s="605"/>
      <c r="F192" s="605"/>
      <c r="G192" s="605"/>
      <c r="H192" s="605"/>
      <c r="I192" s="605"/>
      <c r="J192" s="605"/>
      <c r="K192" s="605"/>
      <c r="L192" s="605"/>
      <c r="M192" s="605"/>
      <c r="N192" s="605"/>
      <c r="O192" s="605"/>
      <c r="P192" s="605"/>
      <c r="Q192" s="605"/>
      <c r="R192" s="605"/>
      <c r="S192" s="605"/>
      <c r="T192" s="605"/>
      <c r="U192" s="605"/>
      <c r="V192" s="605"/>
      <c r="W192" s="605"/>
      <c r="X192" s="605"/>
      <c r="Y192" s="605"/>
      <c r="Z192" s="605"/>
      <c r="AA192" s="605"/>
      <c r="AB192" s="605"/>
      <c r="AC192" s="605"/>
      <c r="AD192" s="605"/>
      <c r="AE192" s="605"/>
      <c r="AF192" s="605"/>
      <c r="AG192" s="605"/>
      <c r="AH192" s="606"/>
      <c r="AI192" s="606"/>
      <c r="AJ192" s="606"/>
      <c r="AK192" s="606"/>
      <c r="AL192" s="606"/>
      <c r="AM192" s="606"/>
      <c r="AN192" s="484"/>
      <c r="AO192" s="484"/>
      <c r="AP192" s="484"/>
      <c r="AQ192" s="484"/>
      <c r="AR192" s="484"/>
      <c r="AS192" s="484"/>
    </row>
    <row r="193" spans="1:45" x14ac:dyDescent="0.3">
      <c r="A193" s="607" t="s">
        <v>152</v>
      </c>
      <c r="B193" s="608"/>
      <c r="C193" s="609"/>
      <c r="D193" s="609"/>
      <c r="E193" s="609"/>
      <c r="F193" s="609"/>
      <c r="G193" s="609"/>
      <c r="H193" s="609"/>
      <c r="I193" s="609"/>
      <c r="J193" s="610"/>
      <c r="K193" s="594" t="s">
        <v>153</v>
      </c>
      <c r="L193" s="609"/>
      <c r="M193" s="609"/>
      <c r="N193" s="609"/>
      <c r="O193" s="609"/>
      <c r="P193" s="609"/>
      <c r="Q193" s="610"/>
      <c r="R193" s="594" t="s">
        <v>154</v>
      </c>
      <c r="S193" s="609"/>
      <c r="T193" s="609"/>
      <c r="U193" s="609"/>
      <c r="V193" s="609"/>
      <c r="W193" s="609"/>
      <c r="X193" s="609"/>
      <c r="Y193" s="609"/>
      <c r="Z193" s="610"/>
      <c r="AA193" s="594" t="s">
        <v>155</v>
      </c>
      <c r="AB193" s="609"/>
      <c r="AC193" s="609"/>
      <c r="AD193" s="609"/>
      <c r="AE193" s="609"/>
      <c r="AF193" s="609"/>
      <c r="AG193" s="609"/>
      <c r="AH193" s="611" t="s">
        <v>156</v>
      </c>
      <c r="AI193" s="611"/>
      <c r="AJ193" s="611"/>
      <c r="AK193" s="611"/>
      <c r="AL193" s="611"/>
      <c r="AM193" s="611"/>
      <c r="AN193" s="611"/>
      <c r="AO193" s="611"/>
      <c r="AP193" s="611"/>
      <c r="AQ193" s="611"/>
      <c r="AR193" s="611"/>
      <c r="AS193" s="611"/>
    </row>
    <row r="194" spans="1:45" x14ac:dyDescent="0.3">
      <c r="A194" s="596" t="s">
        <v>157</v>
      </c>
      <c r="B194" s="598" t="s">
        <v>141</v>
      </c>
      <c r="C194" s="584" t="s">
        <v>158</v>
      </c>
      <c r="D194" s="584" t="s">
        <v>635</v>
      </c>
      <c r="E194" s="588" t="s">
        <v>636</v>
      </c>
      <c r="F194" s="599" t="s">
        <v>60</v>
      </c>
      <c r="G194" s="600" t="s">
        <v>637</v>
      </c>
      <c r="H194" s="488"/>
      <c r="I194" s="588" t="s">
        <v>161</v>
      </c>
      <c r="J194" s="584" t="s">
        <v>162</v>
      </c>
      <c r="K194" s="592" t="s">
        <v>163</v>
      </c>
      <c r="L194" s="593" t="s">
        <v>164</v>
      </c>
      <c r="M194" s="588" t="s">
        <v>165</v>
      </c>
      <c r="N194" s="588" t="s">
        <v>166</v>
      </c>
      <c r="O194" s="595" t="s">
        <v>167</v>
      </c>
      <c r="P194" s="593" t="s">
        <v>164</v>
      </c>
      <c r="Q194" s="584" t="s">
        <v>168</v>
      </c>
      <c r="R194" s="590" t="s">
        <v>169</v>
      </c>
      <c r="S194" s="585" t="s">
        <v>170</v>
      </c>
      <c r="T194" s="588" t="s">
        <v>171</v>
      </c>
      <c r="U194" s="585" t="s">
        <v>172</v>
      </c>
      <c r="V194" s="585"/>
      <c r="W194" s="585"/>
      <c r="X194" s="585"/>
      <c r="Y194" s="585"/>
      <c r="Z194" s="585"/>
      <c r="AA194" s="589" t="s">
        <v>173</v>
      </c>
      <c r="AB194" s="589" t="s">
        <v>174</v>
      </c>
      <c r="AC194" s="589" t="s">
        <v>164</v>
      </c>
      <c r="AD194" s="589" t="s">
        <v>175</v>
      </c>
      <c r="AE194" s="589" t="s">
        <v>164</v>
      </c>
      <c r="AF194" s="589" t="s">
        <v>176</v>
      </c>
      <c r="AG194" s="590" t="s">
        <v>177</v>
      </c>
      <c r="AH194" s="584" t="s">
        <v>156</v>
      </c>
      <c r="AI194" s="584" t="s">
        <v>142</v>
      </c>
      <c r="AJ194" s="584" t="s">
        <v>178</v>
      </c>
      <c r="AK194" s="584" t="s">
        <v>179</v>
      </c>
      <c r="AL194" s="584" t="s">
        <v>180</v>
      </c>
      <c r="AM194" s="586" t="s">
        <v>181</v>
      </c>
      <c r="AN194" s="579" t="s">
        <v>638</v>
      </c>
      <c r="AO194" s="579" t="s">
        <v>639</v>
      </c>
      <c r="AP194" s="579" t="s">
        <v>640</v>
      </c>
      <c r="AQ194" s="579" t="s">
        <v>641</v>
      </c>
      <c r="AR194" s="579" t="s">
        <v>642</v>
      </c>
      <c r="AS194" s="579" t="s">
        <v>643</v>
      </c>
    </row>
    <row r="195" spans="1:45" ht="72.599999999999994" x14ac:dyDescent="0.3">
      <c r="A195" s="597"/>
      <c r="B195" s="598"/>
      <c r="C195" s="585"/>
      <c r="D195" s="585"/>
      <c r="E195" s="592"/>
      <c r="F195" s="600"/>
      <c r="G195" s="601"/>
      <c r="H195" s="488" t="s">
        <v>182</v>
      </c>
      <c r="I195" s="584"/>
      <c r="J195" s="585"/>
      <c r="K195" s="584"/>
      <c r="L195" s="594"/>
      <c r="M195" s="584"/>
      <c r="N195" s="584"/>
      <c r="O195" s="594"/>
      <c r="P195" s="594"/>
      <c r="Q195" s="585"/>
      <c r="R195" s="591"/>
      <c r="S195" s="585"/>
      <c r="T195" s="584"/>
      <c r="U195" s="489" t="s">
        <v>183</v>
      </c>
      <c r="V195" s="489" t="s">
        <v>184</v>
      </c>
      <c r="W195" s="489" t="s">
        <v>185</v>
      </c>
      <c r="X195" s="489" t="s">
        <v>186</v>
      </c>
      <c r="Y195" s="489" t="s">
        <v>187</v>
      </c>
      <c r="Z195" s="489" t="s">
        <v>188</v>
      </c>
      <c r="AA195" s="589"/>
      <c r="AB195" s="589"/>
      <c r="AC195" s="589"/>
      <c r="AD195" s="589"/>
      <c r="AE195" s="589"/>
      <c r="AF195" s="589"/>
      <c r="AG195" s="591"/>
      <c r="AH195" s="585"/>
      <c r="AI195" s="585"/>
      <c r="AJ195" s="585"/>
      <c r="AK195" s="585"/>
      <c r="AL195" s="585"/>
      <c r="AM195" s="587"/>
      <c r="AN195" s="580"/>
      <c r="AO195" s="580"/>
      <c r="AP195" s="580"/>
      <c r="AQ195" s="580"/>
      <c r="AR195" s="580"/>
      <c r="AS195" s="580"/>
    </row>
    <row r="196" spans="1:45" ht="67.8" x14ac:dyDescent="0.3">
      <c r="A196" s="557">
        <v>1</v>
      </c>
      <c r="B196" s="581" t="s">
        <v>189</v>
      </c>
      <c r="C196" s="559" t="s">
        <v>644</v>
      </c>
      <c r="D196" s="561" t="s">
        <v>645</v>
      </c>
      <c r="E196" s="490" t="s">
        <v>646</v>
      </c>
      <c r="F196" s="563" t="s">
        <v>647</v>
      </c>
      <c r="G196" s="564" t="s">
        <v>648</v>
      </c>
      <c r="H196" s="563" t="s">
        <v>649</v>
      </c>
      <c r="I196" s="567" t="s">
        <v>190</v>
      </c>
      <c r="J196" s="569">
        <v>360</v>
      </c>
      <c r="K196" s="571" t="str">
        <f>IF(J196&lt;=0,"",IF(J196&lt;=2,"Muy Baja",IF(J196&lt;=24,"Baja",IF(J196&lt;=500,"Media",IF(J196&lt;=5000,"Alta","Muy Alta")))))</f>
        <v>Media</v>
      </c>
      <c r="L196" s="573">
        <f>IF(K196="","",IF(K196="Muy Baja",0.2,IF(K196="Baja",0.4,IF(K196="Media",0.6,IF(K196="Alta",0.8,IF(K196="Muy Alta",1,))))))</f>
        <v>0.6</v>
      </c>
      <c r="M196" s="575" t="s">
        <v>214</v>
      </c>
      <c r="N196" s="573" t="str">
        <f>IF(NOT(ISERROR(MATCH(M196,'[14]Tabla Impacto'!$B$221:$B$223,0))),'[14]Tabla Impacto'!$F$223&amp;"Por favor no seleccionar los criterios de impacto(Afectación Económica o presupuestal y Pérdida Reputacional)",M196)</f>
        <v xml:space="preserve">     El riesgo afecta la imagen de de la entidad con efecto publicitario sostenido a nivel de sector administrativo, nivel departamental o municipal</v>
      </c>
      <c r="O196" s="571" t="str">
        <f>IF(OR(N196='[14]Tabla Impacto'!$C$11,N196='[14]Tabla Impacto'!$D$11),"Leve",IF(OR(N196='[14]Tabla Impacto'!$C$12,N196='[14]Tabla Impacto'!$D$12),"Menor",IF(OR(N196='[14]Tabla Impacto'!$C$13,N196='[14]Tabla Impacto'!$D$13),"Moderado",IF(OR(N196='[14]Tabla Impacto'!$C$14,N196='[14]Tabla Impacto'!$D$14),"Mayor",IF(OR(N196='[14]Tabla Impacto'!$C$15,N196='[14]Tabla Impacto'!$D$15),"Catastrófico","")))))</f>
        <v>Mayor</v>
      </c>
      <c r="P196" s="573">
        <f>IF(O196="","",IF(O196="Leve",0.2,IF(O196="Menor",0.4,IF(O196="Moderado",0.6,IF(O196="Mayor",0.8,IF(O196="Catastrófico",1,))))))</f>
        <v>0.8</v>
      </c>
      <c r="Q196" s="577" t="str">
        <f>IF(OR(AND(K196="Muy Baja",O196="Leve"),AND(K196="Muy Baja",O196="Menor"),AND(K196="Baja",O196="Leve")),"Bajo",IF(OR(AND(K196="Muy baja",O196="Moderado"),AND(K196="Baja",O196="Menor"),AND(K196="Baja",O196="Moderado"),AND(K196="Media",O196="Leve"),AND(K196="Media",O196="Menor"),AND(K196="Media",O196="Moderado"),AND(K196="Alta",O196="Leve"),AND(K196="Alta",O196="Menor")),"Moderado",IF(OR(AND(K196="Muy Baja",O196="Mayor"),AND(K196="Baja",O196="Mayor"),AND(K196="Media",O196="Mayor"),AND(K196="Alta",O196="Moderado"),AND(K196="Alta",O196="Mayor"),AND(K196="Muy Alta",O196="Leve"),AND(K196="Muy Alta",O196="Menor"),AND(K196="Muy Alta",O196="Moderado"),AND(K196="Muy Alta",O196="Mayor")),"Alto",IF(OR(AND(K196="Muy Baja",O196="Catastrófico"),AND(K196="Baja",O196="Catastrófico"),AND(K196="Media",O196="Catastrófico"),AND(K196="Alta",O196="Catastrófico"),AND(K196="Muy Alta",O196="Catastrófico")),"Extremo",""))))</f>
        <v>Alto</v>
      </c>
      <c r="R196" s="492">
        <v>1</v>
      </c>
      <c r="S196" s="475" t="s">
        <v>650</v>
      </c>
      <c r="T196" s="493" t="str">
        <f>IF(OR(U196="Preventivo",U196="Detectivo"),"Probabilidad",IF(U196="Correctivo","Impacto",""))</f>
        <v>Probabilidad</v>
      </c>
      <c r="U196" s="494" t="s">
        <v>243</v>
      </c>
      <c r="V196" s="494" t="s">
        <v>191</v>
      </c>
      <c r="W196" s="495" t="str">
        <f>IF(AND(U196="Preventivo",V196="Automático"),"50%",IF(AND(U196="Preventivo",V196="Manual"),"40%",IF(AND(U196="Detectivo",V196="Automático"),"40%",IF(AND(U196="Detectivo",V196="Manual"),"30%",IF(AND(U196="Correctivo",V196="Automático"),"35%",IF(AND(U196="Correctivo",V196="Manual"),"25%",""))))))</f>
        <v>30%</v>
      </c>
      <c r="X196" s="494" t="s">
        <v>192</v>
      </c>
      <c r="Y196" s="494" t="s">
        <v>193</v>
      </c>
      <c r="Z196" s="494" t="s">
        <v>194</v>
      </c>
      <c r="AA196" s="496">
        <f>IFERROR(IF(T196="Probabilidad",(L196-(+L196*W196)),IF(T196="Impacto",L196,"")),"")</f>
        <v>0.42</v>
      </c>
      <c r="AB196" s="497" t="str">
        <f>IFERROR(IF(AA196="","",IF(AA196&lt;=0.2,"Muy Baja",IF(AA196&lt;=0.4,"Baja",IF(AA196&lt;=0.6,"Media",IF(AA196&lt;=0.8,"Alta","Muy Alta"))))),"")</f>
        <v>Media</v>
      </c>
      <c r="AC196" s="498">
        <f>+AA196</f>
        <v>0.42</v>
      </c>
      <c r="AD196" s="497" t="str">
        <f>IFERROR(IF(AE196="","",IF(AE196&lt;=0.2,"Leve",IF(AE196&lt;=0.4,"Menor",IF(AE196&lt;=0.6,"Moderado",IF(AE196&lt;=0.8,"Mayor","Catastrófico"))))),"")</f>
        <v>Mayor</v>
      </c>
      <c r="AE196" s="498">
        <f>IFERROR(IF(T196="Impacto",(P196-(+P196*W196)),IF(T196="Probabilidad",P196,"")),"")</f>
        <v>0.8</v>
      </c>
      <c r="AF196" s="499" t="str">
        <f>IFERROR(IF(OR(AND(AB196="Muy Baja",AD196="Leve"),AND(AB196="Muy Baja",AD196="Menor"),AND(AB196="Baja",AD196="Leve")),"Bajo",IF(OR(AND(AB196="Muy baja",AD196="Moderado"),AND(AB196="Baja",AD196="Menor"),AND(AB196="Baja",AD196="Moderado"),AND(AB196="Media",AD196="Leve"),AND(AB196="Media",AD196="Menor"),AND(AB196="Media",AD196="Moderado"),AND(AB196="Alta",AD196="Leve"),AND(AB196="Alta",AD196="Menor")),"Moderado",IF(OR(AND(AB196="Muy Baja",AD196="Mayor"),AND(AB196="Baja",AD196="Mayor"),AND(AB196="Media",AD196="Mayor"),AND(AB196="Alta",AD196="Moderado"),AND(AB196="Alta",AD196="Mayor"),AND(AB196="Muy Alta",AD196="Leve"),AND(AB196="Muy Alta",AD196="Menor"),AND(AB196="Muy Alta",AD196="Moderado"),AND(AB196="Muy Alta",AD196="Mayor")),"Alto",IF(OR(AND(AB196="Muy Baja",AD196="Catastrófico"),AND(AB196="Baja",AD196="Catastrófico"),AND(AB196="Media",AD196="Catastrófico"),AND(AB196="Alta",AD196="Catastrófico"),AND(AB196="Muy Alta",AD196="Catastrófico")),"Extremo","")))),"")</f>
        <v>Alto</v>
      </c>
      <c r="AG196" s="543" t="s">
        <v>195</v>
      </c>
      <c r="AH196" s="545" t="s">
        <v>651</v>
      </c>
      <c r="AI196" s="545" t="s">
        <v>652</v>
      </c>
      <c r="AJ196" s="547" t="s">
        <v>653</v>
      </c>
      <c r="AK196" s="550" t="s">
        <v>654</v>
      </c>
      <c r="AL196" s="545" t="s">
        <v>655</v>
      </c>
      <c r="AM196" s="554" t="s">
        <v>656</v>
      </c>
      <c r="AN196" s="545" t="s">
        <v>657</v>
      </c>
      <c r="AO196" s="545"/>
      <c r="AP196" s="545"/>
      <c r="AQ196" s="545"/>
      <c r="AR196" s="545"/>
      <c r="AS196" s="545"/>
    </row>
    <row r="197" spans="1:45" ht="82.8" x14ac:dyDescent="0.3">
      <c r="A197" s="558"/>
      <c r="B197" s="582"/>
      <c r="C197" s="560"/>
      <c r="D197" s="562"/>
      <c r="E197" s="490" t="s">
        <v>658</v>
      </c>
      <c r="F197" s="563"/>
      <c r="G197" s="565"/>
      <c r="H197" s="563"/>
      <c r="I197" s="568"/>
      <c r="J197" s="570"/>
      <c r="K197" s="572"/>
      <c r="L197" s="574"/>
      <c r="M197" s="576"/>
      <c r="N197" s="574">
        <f>IF(NOT(ISERROR(MATCH(M197,_xlfn.ANCHORARRAY(#REF!),0))),#REF!&amp;"Por favor no seleccionar los criterios de impacto",M197)</f>
        <v>0</v>
      </c>
      <c r="O197" s="572"/>
      <c r="P197" s="574"/>
      <c r="Q197" s="578"/>
      <c r="R197" s="492">
        <v>2</v>
      </c>
      <c r="S197" s="500" t="s">
        <v>659</v>
      </c>
      <c r="T197" s="493" t="str">
        <f>IF(OR(U197="Preventivo",U197="Detectivo"),"Probabilidad",IF(U197="Correctivo","Impacto",""))</f>
        <v>Probabilidad</v>
      </c>
      <c r="U197" s="494" t="s">
        <v>197</v>
      </c>
      <c r="V197" s="494" t="s">
        <v>191</v>
      </c>
      <c r="W197" s="495" t="str">
        <f t="shared" ref="W197:W200" si="125">IF(AND(U197="Preventivo",V197="Automático"),"50%",IF(AND(U197="Preventivo",V197="Manual"),"40%",IF(AND(U197="Detectivo",V197="Automático"),"40%",IF(AND(U197="Detectivo",V197="Manual"),"30%",IF(AND(U197="Correctivo",V197="Automático"),"35%",IF(AND(U197="Correctivo",V197="Manual"),"25%",""))))))</f>
        <v>40%</v>
      </c>
      <c r="X197" s="494" t="s">
        <v>198</v>
      </c>
      <c r="Y197" s="494" t="s">
        <v>193</v>
      </c>
      <c r="Z197" s="494" t="s">
        <v>194</v>
      </c>
      <c r="AA197" s="496">
        <f>IFERROR(IF(AND(T196="Probabilidad",T197="Probabilidad"),(AC196-(+AC196*W197)),IF(AND(T196="Impacto",T197="Probabilidad"),(L196-(+L196*W197)),IF(T197="Impacto",AC196,""))),"")</f>
        <v>0.252</v>
      </c>
      <c r="AB197" s="497" t="str">
        <f t="shared" ref="AB197:AB200" si="126">IFERROR(IF(AA197="","",IF(AA197&lt;=0.2,"Muy Baja",IF(AA197&lt;=0.4,"Baja",IF(AA197&lt;=0.6,"Media",IF(AA197&lt;=0.8,"Alta","Muy Alta"))))),"")</f>
        <v>Baja</v>
      </c>
      <c r="AC197" s="498">
        <f>+AA197</f>
        <v>0.252</v>
      </c>
      <c r="AD197" s="497" t="str">
        <f t="shared" ref="AD197:AD200" si="127">IFERROR(IF(AE197="","",IF(AE197&lt;=0.2,"Leve",IF(AE197&lt;=0.4,"Menor",IF(AE197&lt;=0.6,"Moderado",IF(AE197&lt;=0.8,"Mayor","Catastrófico"))))),"")</f>
        <v>Mayor</v>
      </c>
      <c r="AE197" s="498">
        <f>IFERROR(IF(AND(T196="Impacto",T197="Impacto"),(AE196-(+AE196*W197)),IF(AND(T196="Probabilidad",T197="Impacto"),(P196-(+P196*W197)),IF(T197="Probabilidad",AE196,""))),"")</f>
        <v>0.8</v>
      </c>
      <c r="AF197" s="499" t="str">
        <f t="shared" ref="AF197:AF200" si="128">IFERROR(IF(OR(AND(AB197="Muy Baja",AD197="Leve"),AND(AB197="Muy Baja",AD197="Menor"),AND(AB197="Baja",AD197="Leve")),"Bajo",IF(OR(AND(AB197="Muy baja",AD197="Moderado"),AND(AB197="Baja",AD197="Menor"),AND(AB197="Baja",AD197="Moderado"),AND(AB197="Media",AD197="Leve"),AND(AB197="Media",AD197="Menor"),AND(AB197="Media",AD197="Moderado"),AND(AB197="Alta",AD197="Leve"),AND(AB197="Alta",AD197="Menor")),"Moderado",IF(OR(AND(AB197="Muy Baja",AD197="Mayor"),AND(AB197="Baja",AD197="Mayor"),AND(AB197="Media",AD197="Mayor"),AND(AB197="Alta",AD197="Moderado"),AND(AB197="Alta",AD197="Mayor"),AND(AB197="Muy Alta",AD197="Leve"),AND(AB197="Muy Alta",AD197="Menor"),AND(AB197="Muy Alta",AD197="Moderado"),AND(AB197="Muy Alta",AD197="Mayor")),"Alto",IF(OR(AND(AB197="Muy Baja",AD197="Catastrófico"),AND(AB197="Baja",AD197="Catastrófico"),AND(AB197="Media",AD197="Catastrófico"),AND(AB197="Alta",AD197="Catastrófico"),AND(AB197="Muy Alta",AD197="Catastrófico")),"Extremo","")))),"")</f>
        <v>Alto</v>
      </c>
      <c r="AG197" s="544"/>
      <c r="AH197" s="546"/>
      <c r="AI197" s="546"/>
      <c r="AJ197" s="548"/>
      <c r="AK197" s="551"/>
      <c r="AL197" s="546"/>
      <c r="AM197" s="555"/>
      <c r="AN197" s="546"/>
      <c r="AO197" s="546"/>
      <c r="AP197" s="546"/>
      <c r="AQ197" s="546"/>
      <c r="AR197" s="546"/>
      <c r="AS197" s="546"/>
    </row>
    <row r="198" spans="1:45" ht="96.6" x14ac:dyDescent="0.3">
      <c r="A198" s="558"/>
      <c r="B198" s="582"/>
      <c r="C198" s="560"/>
      <c r="D198" s="562"/>
      <c r="E198" s="490" t="s">
        <v>660</v>
      </c>
      <c r="F198" s="563"/>
      <c r="G198" s="565"/>
      <c r="H198" s="563"/>
      <c r="I198" s="568"/>
      <c r="J198" s="570"/>
      <c r="K198" s="572"/>
      <c r="L198" s="574"/>
      <c r="M198" s="576"/>
      <c r="N198" s="574">
        <f>IF(NOT(ISERROR(MATCH(M198,_xlfn.ANCHORARRAY(#REF!),0))),#REF!&amp;"Por favor no seleccionar los criterios de impacto",M198)</f>
        <v>0</v>
      </c>
      <c r="O198" s="572"/>
      <c r="P198" s="574"/>
      <c r="Q198" s="578"/>
      <c r="R198" s="492">
        <v>3</v>
      </c>
      <c r="S198" s="501" t="s">
        <v>661</v>
      </c>
      <c r="T198" s="493" t="str">
        <f t="shared" ref="T198:T200" si="129">IF(OR(U198="Preventivo",U198="Detectivo"),"Probabilidad",IF(U198="Correctivo","Impacto",""))</f>
        <v>Probabilidad</v>
      </c>
      <c r="U198" s="494" t="s">
        <v>197</v>
      </c>
      <c r="V198" s="494" t="s">
        <v>191</v>
      </c>
      <c r="W198" s="495" t="str">
        <f t="shared" si="125"/>
        <v>40%</v>
      </c>
      <c r="X198" s="494" t="s">
        <v>198</v>
      </c>
      <c r="Y198" s="494" t="s">
        <v>193</v>
      </c>
      <c r="Z198" s="494" t="s">
        <v>194</v>
      </c>
      <c r="AA198" s="496">
        <f>IFERROR(IF(AND(T197="Probabilidad",T198="Probabilidad"),(AC197-(+AC197*W198)),IF(AND(T197="Impacto",T198="Probabilidad"),(AC196-(+AC196*W198)),IF(T198="Impacto",AC197,""))),"")</f>
        <v>0.1512</v>
      </c>
      <c r="AB198" s="497" t="str">
        <f t="shared" si="126"/>
        <v>Muy Baja</v>
      </c>
      <c r="AC198" s="498">
        <f t="shared" ref="AC198:AC204" si="130">+AA198</f>
        <v>0.1512</v>
      </c>
      <c r="AD198" s="497" t="str">
        <f t="shared" si="127"/>
        <v>Mayor</v>
      </c>
      <c r="AE198" s="498">
        <f t="shared" ref="AE198" si="131">IFERROR(IF(AND(T197="Impacto",T198="Impacto"),(AE197-(+AE197*W198)),IF(AND(T197="Probabilidad",T198="Impacto"),(AE196-(+AE196*W198)),IF(T198="Probabilidad",AE197,""))),"")</f>
        <v>0.8</v>
      </c>
      <c r="AF198" s="499" t="str">
        <f t="shared" si="128"/>
        <v>Alto</v>
      </c>
      <c r="AG198" s="544"/>
      <c r="AH198" s="546"/>
      <c r="AI198" s="546"/>
      <c r="AJ198" s="548"/>
      <c r="AK198" s="551"/>
      <c r="AL198" s="546"/>
      <c r="AM198" s="555"/>
      <c r="AN198" s="546"/>
      <c r="AO198" s="546"/>
      <c r="AP198" s="546"/>
      <c r="AQ198" s="546"/>
      <c r="AR198" s="546"/>
      <c r="AS198" s="546"/>
    </row>
    <row r="199" spans="1:45" ht="59.4" x14ac:dyDescent="0.3">
      <c r="A199" s="558"/>
      <c r="B199" s="582"/>
      <c r="C199" s="560"/>
      <c r="D199" s="562"/>
      <c r="E199" s="491" t="s">
        <v>662</v>
      </c>
      <c r="F199" s="563"/>
      <c r="G199" s="565"/>
      <c r="H199" s="563"/>
      <c r="I199" s="568"/>
      <c r="J199" s="570"/>
      <c r="K199" s="572"/>
      <c r="L199" s="574"/>
      <c r="M199" s="576"/>
      <c r="N199" s="574">
        <f>IF(NOT(ISERROR(MATCH(M199,_xlfn.ANCHORARRAY(#REF!),0))),#REF!&amp;"Por favor no seleccionar los criterios de impacto",M199)</f>
        <v>0</v>
      </c>
      <c r="O199" s="572"/>
      <c r="P199" s="574"/>
      <c r="Q199" s="578"/>
      <c r="R199" s="492">
        <v>4</v>
      </c>
      <c r="S199" s="475" t="s">
        <v>663</v>
      </c>
      <c r="T199" s="493" t="str">
        <f t="shared" si="129"/>
        <v>Probabilidad</v>
      </c>
      <c r="U199" s="494" t="s">
        <v>197</v>
      </c>
      <c r="V199" s="494" t="s">
        <v>191</v>
      </c>
      <c r="W199" s="495" t="str">
        <f t="shared" si="125"/>
        <v>40%</v>
      </c>
      <c r="X199" s="494" t="s">
        <v>198</v>
      </c>
      <c r="Y199" s="494" t="s">
        <v>193</v>
      </c>
      <c r="Z199" s="494" t="s">
        <v>194</v>
      </c>
      <c r="AA199" s="496">
        <f>IFERROR(IF(AND(T198="Probabilidad",T199="Probabilidad"),(AC198-(+AC198*W199)),IF(AND(T198="Impacto",T199="Probabilidad"),(AC197-(+AC197*W199)),IF(T199="Impacto",AC198,""))),"")</f>
        <v>9.0719999999999995E-2</v>
      </c>
      <c r="AB199" s="497" t="str">
        <f t="shared" si="126"/>
        <v>Muy Baja</v>
      </c>
      <c r="AC199" s="498">
        <f t="shared" si="130"/>
        <v>9.0719999999999995E-2</v>
      </c>
      <c r="AD199" s="497" t="str">
        <f t="shared" si="127"/>
        <v>Mayor</v>
      </c>
      <c r="AE199" s="498">
        <f>IFERROR(IF(AND(T198="Impacto",T199="Impacto"),(AE198-(+AE198*W199)),IF(AND(T198="Probabilidad",T199="Impacto"),(AE197-(+AE197*W199)),IF(T199="Probabilidad",AE198,""))),"")</f>
        <v>0.8</v>
      </c>
      <c r="AF199" s="499" t="str">
        <f t="shared" si="128"/>
        <v>Alto</v>
      </c>
      <c r="AG199" s="544"/>
      <c r="AH199" s="546"/>
      <c r="AI199" s="546"/>
      <c r="AJ199" s="548"/>
      <c r="AK199" s="551"/>
      <c r="AL199" s="546"/>
      <c r="AM199" s="555"/>
      <c r="AN199" s="546"/>
      <c r="AO199" s="546"/>
      <c r="AP199" s="546"/>
      <c r="AQ199" s="546"/>
      <c r="AR199" s="546"/>
      <c r="AS199" s="546"/>
    </row>
    <row r="200" spans="1:45" ht="59.4" x14ac:dyDescent="0.3">
      <c r="A200" s="558"/>
      <c r="B200" s="582"/>
      <c r="C200" s="560"/>
      <c r="D200" s="562"/>
      <c r="E200" s="490" t="s">
        <v>664</v>
      </c>
      <c r="F200" s="563"/>
      <c r="G200" s="566"/>
      <c r="H200" s="563"/>
      <c r="I200" s="568"/>
      <c r="J200" s="570"/>
      <c r="K200" s="572"/>
      <c r="L200" s="574"/>
      <c r="M200" s="576"/>
      <c r="N200" s="574">
        <f>IF(NOT(ISERROR(MATCH(M200,_xlfn.ANCHORARRAY(#REF!),0))),#REF!&amp;"Por favor no seleccionar los criterios de impacto",M200)</f>
        <v>0</v>
      </c>
      <c r="O200" s="572"/>
      <c r="P200" s="574"/>
      <c r="Q200" s="578"/>
      <c r="R200" s="492">
        <v>5</v>
      </c>
      <c r="S200" s="475" t="s">
        <v>665</v>
      </c>
      <c r="T200" s="493" t="str">
        <f t="shared" si="129"/>
        <v>Probabilidad</v>
      </c>
      <c r="U200" s="494" t="s">
        <v>243</v>
      </c>
      <c r="V200" s="494" t="s">
        <v>191</v>
      </c>
      <c r="W200" s="495" t="str">
        <f t="shared" si="125"/>
        <v>30%</v>
      </c>
      <c r="X200" s="494" t="s">
        <v>198</v>
      </c>
      <c r="Y200" s="494" t="s">
        <v>193</v>
      </c>
      <c r="Z200" s="494" t="s">
        <v>194</v>
      </c>
      <c r="AA200" s="496">
        <f>IFERROR(IF(AND(T199="Probabilidad",T200="Probabilidad"),(AC199-(+AC199*W200)),IF(AND(T199="Impacto",T200="Probabilidad"),(AC198-(+AC198*W200)),IF(T200="Impacto",AC199,""))),"")</f>
        <v>6.3504000000000005E-2</v>
      </c>
      <c r="AB200" s="497" t="str">
        <f t="shared" si="126"/>
        <v>Muy Baja</v>
      </c>
      <c r="AC200" s="498">
        <f t="shared" si="130"/>
        <v>6.3504000000000005E-2</v>
      </c>
      <c r="AD200" s="497" t="str">
        <f t="shared" si="127"/>
        <v>Mayor</v>
      </c>
      <c r="AE200" s="498">
        <f>IFERROR(IF(AND(T199="Impacto",T200="Impacto"),(AE199-(+AE199*W200)),IF(AND(T199="Probabilidad",T200="Impacto"),(AE198-(+AE198*W200)),IF(T200="Probabilidad",AE199,""))),"")</f>
        <v>0.8</v>
      </c>
      <c r="AF200" s="499" t="str">
        <f t="shared" si="128"/>
        <v>Alto</v>
      </c>
      <c r="AG200" s="583"/>
      <c r="AH200" s="553"/>
      <c r="AI200" s="553"/>
      <c r="AJ200" s="549"/>
      <c r="AK200" s="552"/>
      <c r="AL200" s="553"/>
      <c r="AM200" s="556"/>
      <c r="AN200" s="553"/>
      <c r="AO200" s="553"/>
      <c r="AP200" s="553"/>
      <c r="AQ200" s="553"/>
      <c r="AR200" s="553"/>
      <c r="AS200" s="553"/>
    </row>
    <row r="201" spans="1:45" ht="82.8" x14ac:dyDescent="0.3">
      <c r="A201" s="557">
        <v>2</v>
      </c>
      <c r="B201" s="545" t="s">
        <v>199</v>
      </c>
      <c r="C201" s="559" t="s">
        <v>666</v>
      </c>
      <c r="D201" s="561" t="s">
        <v>667</v>
      </c>
      <c r="E201" s="490" t="s">
        <v>668</v>
      </c>
      <c r="F201" s="563" t="s">
        <v>669</v>
      </c>
      <c r="G201" s="564" t="s">
        <v>648</v>
      </c>
      <c r="H201" s="564" t="s">
        <v>670</v>
      </c>
      <c r="I201" s="567" t="s">
        <v>190</v>
      </c>
      <c r="J201" s="569">
        <v>360</v>
      </c>
      <c r="K201" s="571" t="str">
        <f>IF(J201&lt;=0,"",IF(J201&lt;=2,"Muy Baja",IF(J201&lt;=24,"Baja",IF(J201&lt;=500,"Media",IF(J201&lt;=5000,"Alta","Muy Alta")))))</f>
        <v>Media</v>
      </c>
      <c r="L201" s="573">
        <f>IF(K201="","",IF(K201="Muy Baja",0.2,IF(K201="Baja",0.4,IF(K201="Media",0.6,IF(K201="Alta",0.8,IF(K201="Muy Alta",1,))))))</f>
        <v>0.6</v>
      </c>
      <c r="M201" s="575" t="s">
        <v>214</v>
      </c>
      <c r="N201" s="573" t="str">
        <f>IF(NOT(ISERROR(MATCH(M201,'[14]Tabla Impacto'!$B$221:$B$223,0))),'[14]Tabla Impacto'!$F$223&amp;"Por favor no seleccionar los criterios de impacto(Afectación Económica o presupuestal y Pérdida Reputacional)",M201)</f>
        <v xml:space="preserve">     El riesgo afecta la imagen de de la entidad con efecto publicitario sostenido a nivel de sector administrativo, nivel departamental o municipal</v>
      </c>
      <c r="O201" s="571" t="str">
        <f>IF(OR(N201='[14]Tabla Impacto'!$C$11,N201='[14]Tabla Impacto'!$D$11),"Leve",IF(OR(N201='[14]Tabla Impacto'!$C$12,N201='[14]Tabla Impacto'!$D$12),"Menor",IF(OR(N201='[14]Tabla Impacto'!$C$13,N201='[14]Tabla Impacto'!$D$13),"Moderado",IF(OR(N201='[14]Tabla Impacto'!$C$14,N201='[14]Tabla Impacto'!$D$14),"Mayor",IF(OR(N201='[14]Tabla Impacto'!$C$15,N201='[14]Tabla Impacto'!$D$15),"Catastrófico","")))))</f>
        <v>Mayor</v>
      </c>
      <c r="P201" s="573">
        <f>IF(O201="","",IF(O201="Leve",0.2,IF(O201="Menor",0.4,IF(O201="Moderado",0.6,IF(O201="Mayor",0.8,IF(O201="Catastrófico",1,))))))</f>
        <v>0.8</v>
      </c>
      <c r="Q201" s="577" t="str">
        <f>IF(OR(AND(K201="Muy Baja",O201="Leve"),AND(K201="Muy Baja",O201="Menor"),AND(K201="Baja",O201="Leve")),"Bajo",IF(OR(AND(K201="Muy baja",O201="Moderado"),AND(K201="Baja",O201="Menor"),AND(K201="Baja",O201="Moderado"),AND(K201="Media",O201="Leve"),AND(K201="Media",O201="Menor"),AND(K201="Media",O201="Moderado"),AND(K201="Alta",O201="Leve"),AND(K201="Alta",O201="Menor")),"Moderado",IF(OR(AND(K201="Muy Baja",O201="Mayor"),AND(K201="Baja",O201="Mayor"),AND(K201="Media",O201="Mayor"),AND(K201="Alta",O201="Moderado"),AND(K201="Alta",O201="Mayor"),AND(K201="Muy Alta",O201="Leve"),AND(K201="Muy Alta",O201="Menor"),AND(K201="Muy Alta",O201="Moderado"),AND(K201="Muy Alta",O201="Mayor")),"Alto",IF(OR(AND(K201="Muy Baja",O201="Catastrófico"),AND(K201="Baja",O201="Catastrófico"),AND(K201="Media",O201="Catastrófico"),AND(K201="Alta",O201="Catastrófico"),AND(K201="Muy Alta",O201="Catastrófico")),"Extremo",""))))</f>
        <v>Alto</v>
      </c>
      <c r="R201" s="502">
        <v>1</v>
      </c>
      <c r="S201" s="503" t="s">
        <v>671</v>
      </c>
      <c r="T201" s="493" t="str">
        <f>IF(OR(U201="Preventivo",U201="Detectivo"),"Probabilidad",IF(U201="Correctivo","Impacto",""))</f>
        <v>Probabilidad</v>
      </c>
      <c r="U201" s="494" t="s">
        <v>197</v>
      </c>
      <c r="V201" s="494" t="s">
        <v>191</v>
      </c>
      <c r="W201" s="495" t="str">
        <f>IF(AND(U201="Preventivo",V201="Automático"),"50%",IF(AND(U201="Preventivo",V201="Manual"),"40%",IF(AND(U201="Detectivo",V201="Automático"),"40%",IF(AND(U201="Detectivo",V201="Manual"),"30%",IF(AND(U201="Correctivo",V201="Automático"),"35%",IF(AND(U201="Correctivo",V201="Manual"),"25%",""))))))</f>
        <v>40%</v>
      </c>
      <c r="X201" s="494" t="s">
        <v>192</v>
      </c>
      <c r="Y201" s="494" t="s">
        <v>193</v>
      </c>
      <c r="Z201" s="494" t="s">
        <v>194</v>
      </c>
      <c r="AA201" s="504">
        <f>IFERROR(IF(T201="Probabilidad",(L201-(+L201*W201)),IF(T201="Impacto",L201,"")),"")</f>
        <v>0.36</v>
      </c>
      <c r="AB201" s="505" t="str">
        <f>IFERROR(IF(AA201="","",IF(AA201&lt;=0.2,"Muy Baja",IF(AA201&lt;=0.4,"Baja",IF(AA201&lt;=0.6,"Media",IF(AA201&lt;=0.8,"Alta","Muy Alta"))))),"")</f>
        <v>Baja</v>
      </c>
      <c r="AC201" s="506">
        <f t="shared" si="130"/>
        <v>0.36</v>
      </c>
      <c r="AD201" s="505" t="str">
        <f>IFERROR(IF(AE201="","",IF(AE201&lt;=0.2,"Leve",IF(AE201&lt;=0.4,"Menor",IF(AE201&lt;=0.6,"Moderado",IF(AE201&lt;=0.8,"Mayor","Catastrófico"))))),"")</f>
        <v>Mayor</v>
      </c>
      <c r="AE201" s="506">
        <f>IFERROR(IF(T201="Impacto",(P201-(+P201*W201)),IF(T201="Probabilidad",P201,"")),"")</f>
        <v>0.8</v>
      </c>
      <c r="AF201" s="507" t="str">
        <f>IFERROR(IF(OR(AND(AB201="Muy Baja",AD201="Leve"),AND(AB201="Muy Baja",AD201="Menor"),AND(AB201="Baja",AD201="Leve")),"Bajo",IF(OR(AND(AB201="Muy baja",AD201="Moderado"),AND(AB201="Baja",AD201="Menor"),AND(AB201="Baja",AD201="Moderado"),AND(AB201="Media",AD201="Leve"),AND(AB201="Media",AD201="Menor"),AND(AB201="Media",AD201="Moderado"),AND(AB201="Alta",AD201="Leve"),AND(AB201="Alta",AD201="Menor")),"Moderado",IF(OR(AND(AB201="Muy Baja",AD201="Mayor"),AND(AB201="Baja",AD201="Mayor"),AND(AB201="Media",AD201="Mayor"),AND(AB201="Alta",AD201="Moderado"),AND(AB201="Alta",AD201="Mayor"),AND(AB201="Muy Alta",AD201="Leve"),AND(AB201="Muy Alta",AD201="Menor"),AND(AB201="Muy Alta",AD201="Moderado"),AND(AB201="Muy Alta",AD201="Mayor")),"Alto",IF(OR(AND(AB201="Muy Baja",AD201="Catastrófico"),AND(AB201="Baja",AD201="Catastrófico"),AND(AB201="Media",AD201="Catastrófico"),AND(AB201="Alta",AD201="Catastrófico"),AND(AB201="Muy Alta",AD201="Catastrófico")),"Extremo","")))),"")</f>
        <v>Alto</v>
      </c>
      <c r="AG201" s="543" t="s">
        <v>195</v>
      </c>
      <c r="AH201" s="545" t="s">
        <v>672</v>
      </c>
      <c r="AI201" s="545" t="s">
        <v>673</v>
      </c>
      <c r="AJ201" s="547" t="s">
        <v>674</v>
      </c>
      <c r="AK201" s="550" t="s">
        <v>675</v>
      </c>
      <c r="AL201" s="545" t="s">
        <v>676</v>
      </c>
      <c r="AM201" s="554" t="s">
        <v>656</v>
      </c>
      <c r="AN201" s="537" t="s">
        <v>677</v>
      </c>
      <c r="AO201" s="537"/>
      <c r="AP201" s="537"/>
      <c r="AQ201" s="540"/>
      <c r="AR201" s="540"/>
      <c r="AS201" s="540"/>
    </row>
    <row r="202" spans="1:45" ht="82.8" x14ac:dyDescent="0.3">
      <c r="A202" s="558"/>
      <c r="B202" s="546"/>
      <c r="C202" s="560"/>
      <c r="D202" s="562"/>
      <c r="E202" s="490" t="s">
        <v>678</v>
      </c>
      <c r="F202" s="563"/>
      <c r="G202" s="565"/>
      <c r="H202" s="565"/>
      <c r="I202" s="568"/>
      <c r="J202" s="570"/>
      <c r="K202" s="572"/>
      <c r="L202" s="574"/>
      <c r="M202" s="576"/>
      <c r="N202" s="574">
        <f>IF(NOT(ISERROR(MATCH(M202,_xlfn.ANCHORARRAY(F201),0))),#REF!&amp;"Por favor no seleccionar los criterios de impacto",M202)</f>
        <v>0</v>
      </c>
      <c r="O202" s="572"/>
      <c r="P202" s="574"/>
      <c r="Q202" s="578"/>
      <c r="R202" s="502">
        <v>2</v>
      </c>
      <c r="S202" s="503" t="s">
        <v>679</v>
      </c>
      <c r="T202" s="493" t="str">
        <f>IF(OR(U202="Preventivo",U202="Detectivo"),"Probabilidad",IF(U202="Correctivo","Impacto",""))</f>
        <v>Probabilidad</v>
      </c>
      <c r="U202" s="494" t="s">
        <v>197</v>
      </c>
      <c r="V202" s="494" t="s">
        <v>191</v>
      </c>
      <c r="W202" s="495" t="str">
        <f t="shared" ref="W202:W204" si="132">IF(AND(U202="Preventivo",V202="Automático"),"50%",IF(AND(U202="Preventivo",V202="Manual"),"40%",IF(AND(U202="Detectivo",V202="Automático"),"40%",IF(AND(U202="Detectivo",V202="Manual"),"30%",IF(AND(U202="Correctivo",V202="Automático"),"35%",IF(AND(U202="Correctivo",V202="Manual"),"25%",""))))))</f>
        <v>40%</v>
      </c>
      <c r="X202" s="494" t="s">
        <v>192</v>
      </c>
      <c r="Y202" s="494" t="s">
        <v>471</v>
      </c>
      <c r="Z202" s="494" t="s">
        <v>194</v>
      </c>
      <c r="AA202" s="504">
        <f>IFERROR(IF(AND(T201="Probabilidad",T202="Probabilidad"),(AC201-(+AC201*W202)),IF(AND(T201="Impacto",T202="Probabilidad"),(L201-(+L201*W202)),IF(T202="Impacto",AC201,""))),"")</f>
        <v>0.216</v>
      </c>
      <c r="AB202" s="505" t="str">
        <f t="shared" ref="AB202:AB204" si="133">IFERROR(IF(AA202="","",IF(AA202&lt;=0.2,"Muy Baja",IF(AA202&lt;=0.4,"Baja",IF(AA202&lt;=0.6,"Media",IF(AA202&lt;=0.8,"Alta","Muy Alta"))))),"")</f>
        <v>Baja</v>
      </c>
      <c r="AC202" s="506">
        <f t="shared" si="130"/>
        <v>0.216</v>
      </c>
      <c r="AD202" s="505" t="str">
        <f t="shared" ref="AD202:AD204" si="134">IFERROR(IF(AE202="","",IF(AE202&lt;=0.2,"Leve",IF(AE202&lt;=0.4,"Menor",IF(AE202&lt;=0.6,"Moderado",IF(AE202&lt;=0.8,"Mayor","Catastrófico"))))),"")</f>
        <v>Mayor</v>
      </c>
      <c r="AE202" s="506">
        <f>IFERROR(IF(AND(T201="Impacto",T202="Impacto"),(AE201-(+AE201*W202)),IF(AND(T201="Probabilidad",T202="Impacto"),(P201-(+P201*W202)),IF(T202="Probabilidad",AE201,""))),"")</f>
        <v>0.8</v>
      </c>
      <c r="AF202" s="507" t="str">
        <f t="shared" ref="AF202:AF204" si="135">IFERROR(IF(OR(AND(AB202="Muy Baja",AD202="Leve"),AND(AB202="Muy Baja",AD202="Menor"),AND(AB202="Baja",AD202="Leve")),"Bajo",IF(OR(AND(AB202="Muy baja",AD202="Moderado"),AND(AB202="Baja",AD202="Menor"),AND(AB202="Baja",AD202="Moderado"),AND(AB202="Media",AD202="Leve"),AND(AB202="Media",AD202="Menor"),AND(AB202="Media",AD202="Moderado"),AND(AB202="Alta",AD202="Leve"),AND(AB202="Alta",AD202="Menor")),"Moderado",IF(OR(AND(AB202="Muy Baja",AD202="Mayor"),AND(AB202="Baja",AD202="Mayor"),AND(AB202="Media",AD202="Mayor"),AND(AB202="Alta",AD202="Moderado"),AND(AB202="Alta",AD202="Mayor"),AND(AB202="Muy Alta",AD202="Leve"),AND(AB202="Muy Alta",AD202="Menor"),AND(AB202="Muy Alta",AD202="Moderado"),AND(AB202="Muy Alta",AD202="Mayor")),"Alto",IF(OR(AND(AB202="Muy Baja",AD202="Catastrófico"),AND(AB202="Baja",AD202="Catastrófico"),AND(AB202="Media",AD202="Catastrófico"),AND(AB202="Alta",AD202="Catastrófico"),AND(AB202="Muy Alta",AD202="Catastrófico")),"Extremo","")))),"")</f>
        <v>Alto</v>
      </c>
      <c r="AG202" s="544"/>
      <c r="AH202" s="546"/>
      <c r="AI202" s="546"/>
      <c r="AJ202" s="548"/>
      <c r="AK202" s="551"/>
      <c r="AL202" s="546"/>
      <c r="AM202" s="555"/>
      <c r="AN202" s="538"/>
      <c r="AO202" s="538"/>
      <c r="AP202" s="538"/>
      <c r="AQ202" s="541"/>
      <c r="AR202" s="541"/>
      <c r="AS202" s="541"/>
    </row>
    <row r="203" spans="1:45" ht="110.4" x14ac:dyDescent="0.3">
      <c r="A203" s="558"/>
      <c r="B203" s="546"/>
      <c r="C203" s="560"/>
      <c r="D203" s="562"/>
      <c r="E203" s="490" t="s">
        <v>680</v>
      </c>
      <c r="F203" s="563"/>
      <c r="G203" s="565"/>
      <c r="H203" s="565"/>
      <c r="I203" s="568"/>
      <c r="J203" s="570"/>
      <c r="K203" s="572"/>
      <c r="L203" s="574"/>
      <c r="M203" s="576"/>
      <c r="N203" s="574"/>
      <c r="O203" s="572"/>
      <c r="P203" s="574"/>
      <c r="Q203" s="578"/>
      <c r="R203" s="502">
        <v>3</v>
      </c>
      <c r="S203" s="508" t="s">
        <v>681</v>
      </c>
      <c r="T203" s="493" t="str">
        <f t="shared" ref="T203:T204" si="136">IF(OR(U203="Preventivo",U203="Detectivo"),"Probabilidad",IF(U203="Correctivo","Impacto",""))</f>
        <v>Probabilidad</v>
      </c>
      <c r="U203" s="494" t="s">
        <v>243</v>
      </c>
      <c r="V203" s="494" t="s">
        <v>588</v>
      </c>
      <c r="W203" s="495" t="str">
        <f t="shared" si="132"/>
        <v>40%</v>
      </c>
      <c r="X203" s="494" t="s">
        <v>198</v>
      </c>
      <c r="Y203" s="494" t="s">
        <v>193</v>
      </c>
      <c r="Z203" s="494" t="s">
        <v>194</v>
      </c>
      <c r="AA203" s="504">
        <f>IFERROR(IF(AND(T202="Probabilidad",T203="Probabilidad"),(AC202-(+AC202*W203)),IF(AND(T202="Impacto",T203="Probabilidad"),(L202-(+L202*W203)),IF(T203="Impacto",AC202,""))),"")</f>
        <v>0.12959999999999999</v>
      </c>
      <c r="AB203" s="505" t="str">
        <f t="shared" si="133"/>
        <v>Muy Baja</v>
      </c>
      <c r="AC203" s="506">
        <f t="shared" si="130"/>
        <v>0.12959999999999999</v>
      </c>
      <c r="AD203" s="505" t="str">
        <f t="shared" si="134"/>
        <v>Mayor</v>
      </c>
      <c r="AE203" s="506">
        <f>IFERROR(IF(AND(T202="Impacto",T203="Impacto"),(AE202-(+AE202*W203)),IF(AND(T202="Probabilidad",T203="Impacto"),(P202-(+P202*W203)),IF(T203="Probabilidad",AE202,""))),"")</f>
        <v>0.8</v>
      </c>
      <c r="AF203" s="507" t="str">
        <f t="shared" si="135"/>
        <v>Alto</v>
      </c>
      <c r="AG203" s="544"/>
      <c r="AH203" s="546"/>
      <c r="AI203" s="546"/>
      <c r="AJ203" s="548"/>
      <c r="AK203" s="551"/>
      <c r="AL203" s="546"/>
      <c r="AM203" s="555"/>
      <c r="AN203" s="538"/>
      <c r="AO203" s="538"/>
      <c r="AP203" s="538"/>
      <c r="AQ203" s="541"/>
      <c r="AR203" s="541"/>
      <c r="AS203" s="541"/>
    </row>
    <row r="204" spans="1:45" ht="69" x14ac:dyDescent="0.3">
      <c r="A204" s="558"/>
      <c r="B204" s="546"/>
      <c r="C204" s="560"/>
      <c r="D204" s="562"/>
      <c r="E204" s="490" t="s">
        <v>682</v>
      </c>
      <c r="F204" s="563"/>
      <c r="G204" s="566"/>
      <c r="H204" s="565"/>
      <c r="I204" s="568"/>
      <c r="J204" s="570"/>
      <c r="K204" s="572"/>
      <c r="L204" s="574"/>
      <c r="M204" s="576"/>
      <c r="N204" s="574"/>
      <c r="O204" s="572"/>
      <c r="P204" s="574"/>
      <c r="Q204" s="578"/>
      <c r="R204" s="502">
        <v>4</v>
      </c>
      <c r="S204" s="508" t="s">
        <v>683</v>
      </c>
      <c r="T204" s="493" t="str">
        <f t="shared" si="136"/>
        <v>Probabilidad</v>
      </c>
      <c r="U204" s="494" t="s">
        <v>197</v>
      </c>
      <c r="V204" s="494" t="s">
        <v>191</v>
      </c>
      <c r="W204" s="495" t="str">
        <f t="shared" si="132"/>
        <v>40%</v>
      </c>
      <c r="X204" s="494" t="s">
        <v>192</v>
      </c>
      <c r="Y204" s="494" t="s">
        <v>471</v>
      </c>
      <c r="Z204" s="494" t="s">
        <v>194</v>
      </c>
      <c r="AA204" s="504">
        <f>IFERROR(IF(AND(T203="Probabilidad",T204="Probabilidad"),(AC203-(+AC203*W204)),IF(AND(T203="Impacto",T204="Probabilidad"),(L203-(+L203*W204)),IF(T204="Impacto",AC203,""))),"")</f>
        <v>7.7759999999999996E-2</v>
      </c>
      <c r="AB204" s="505" t="str">
        <f t="shared" si="133"/>
        <v>Muy Baja</v>
      </c>
      <c r="AC204" s="506">
        <f t="shared" si="130"/>
        <v>7.7759999999999996E-2</v>
      </c>
      <c r="AD204" s="505" t="str">
        <f t="shared" si="134"/>
        <v>Mayor</v>
      </c>
      <c r="AE204" s="506">
        <f>IFERROR(IF(AND(T203="Impacto",T204="Impacto"),(AE203-(+AE203*W204)),IF(AND(T203="Probabilidad",T204="Impacto"),(P203-(+P203*W204)),IF(T204="Probabilidad",AE203,""))),"")</f>
        <v>0.8</v>
      </c>
      <c r="AF204" s="507" t="str">
        <f t="shared" si="135"/>
        <v>Alto</v>
      </c>
      <c r="AG204" s="544"/>
      <c r="AH204" s="546"/>
      <c r="AI204" s="546"/>
      <c r="AJ204" s="549"/>
      <c r="AK204" s="552"/>
      <c r="AL204" s="553"/>
      <c r="AM204" s="556"/>
      <c r="AN204" s="539"/>
      <c r="AO204" s="539"/>
      <c r="AP204" s="539"/>
      <c r="AQ204" s="542"/>
      <c r="AR204" s="542"/>
      <c r="AS204" s="542"/>
    </row>
    <row r="281" spans="1:39" s="40" customFormat="1" x14ac:dyDescent="0.25">
      <c r="A281" s="42"/>
      <c r="B281" s="43"/>
      <c r="C281" s="42"/>
      <c r="D281" s="42"/>
      <c r="E281" s="42"/>
      <c r="F281" s="41"/>
      <c r="G281" s="41"/>
      <c r="H281" s="41"/>
      <c r="I281" s="44"/>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row>
  </sheetData>
  <mergeCells count="1133">
    <mergeCell ref="P8:P9"/>
    <mergeCell ref="Q8:Q9"/>
    <mergeCell ref="R8:R9"/>
    <mergeCell ref="S8:S9"/>
    <mergeCell ref="T8:T9"/>
    <mergeCell ref="A8:A9"/>
    <mergeCell ref="B8:B9"/>
    <mergeCell ref="C8:C9"/>
    <mergeCell ref="D8:D9"/>
    <mergeCell ref="E8:E9"/>
    <mergeCell ref="F8:F9"/>
    <mergeCell ref="I8:I9"/>
    <mergeCell ref="J8:J9"/>
    <mergeCell ref="K8:K9"/>
    <mergeCell ref="A1:AM2"/>
    <mergeCell ref="A4:B4"/>
    <mergeCell ref="C4:AM4"/>
    <mergeCell ref="A5:B5"/>
    <mergeCell ref="C5:AM5"/>
    <mergeCell ref="A6:B6"/>
    <mergeCell ref="C6:AM6"/>
    <mergeCell ref="A7:J7"/>
    <mergeCell ref="K7:Q7"/>
    <mergeCell ref="R7:Z7"/>
    <mergeCell ref="AA7:AG7"/>
    <mergeCell ref="AH7:AM7"/>
    <mergeCell ref="A17:AM18"/>
    <mergeCell ref="A20:B20"/>
    <mergeCell ref="C20:AM20"/>
    <mergeCell ref="A21:B21"/>
    <mergeCell ref="C21:AM21"/>
    <mergeCell ref="A22:B22"/>
    <mergeCell ref="C22:AM22"/>
    <mergeCell ref="B14:B15"/>
    <mergeCell ref="C14:C15"/>
    <mergeCell ref="D14:D15"/>
    <mergeCell ref="F14:F15"/>
    <mergeCell ref="G14:G15"/>
    <mergeCell ref="I14:I15"/>
    <mergeCell ref="N14:N15"/>
    <mergeCell ref="AI8:AI9"/>
    <mergeCell ref="AJ8:AJ9"/>
    <mergeCell ref="AK8:AK9"/>
    <mergeCell ref="AL8:AL9"/>
    <mergeCell ref="AM8:AM9"/>
    <mergeCell ref="U8:Z8"/>
    <mergeCell ref="AA8:AA9"/>
    <mergeCell ref="AB8:AB9"/>
    <mergeCell ref="AC8:AC9"/>
    <mergeCell ref="AD8:AD9"/>
    <mergeCell ref="AE8:AE9"/>
    <mergeCell ref="AF8:AF9"/>
    <mergeCell ref="AG8:AG9"/>
    <mergeCell ref="AH8:AH9"/>
    <mergeCell ref="L8:L9"/>
    <mergeCell ref="M8:M9"/>
    <mergeCell ref="N8:N9"/>
    <mergeCell ref="O8:O9"/>
    <mergeCell ref="AI24:AI25"/>
    <mergeCell ref="A23:J23"/>
    <mergeCell ref="K23:Q23"/>
    <mergeCell ref="R23:Z23"/>
    <mergeCell ref="AA23:AG23"/>
    <mergeCell ref="AH23:AM23"/>
    <mergeCell ref="A24:A25"/>
    <mergeCell ref="B24:B25"/>
    <mergeCell ref="C24:C25"/>
    <mergeCell ref="D24:D25"/>
    <mergeCell ref="E24:E25"/>
    <mergeCell ref="F24:F25"/>
    <mergeCell ref="I24:I25"/>
    <mergeCell ref="J24:J25"/>
    <mergeCell ref="K24:K25"/>
    <mergeCell ref="L24:L25"/>
    <mergeCell ref="M24:M25"/>
    <mergeCell ref="N24:N25"/>
    <mergeCell ref="O24:O25"/>
    <mergeCell ref="P24:P25"/>
    <mergeCell ref="Q24:Q25"/>
    <mergeCell ref="R24:R25"/>
    <mergeCell ref="S24:S25"/>
    <mergeCell ref="T24:T25"/>
    <mergeCell ref="U24:Z24"/>
    <mergeCell ref="AJ24:AJ25"/>
    <mergeCell ref="AK24:AK25"/>
    <mergeCell ref="AL24:AL25"/>
    <mergeCell ref="AM24:AM25"/>
    <mergeCell ref="A26:A27"/>
    <mergeCell ref="B26:B27"/>
    <mergeCell ref="C26:C27"/>
    <mergeCell ref="D26:D27"/>
    <mergeCell ref="F26:F27"/>
    <mergeCell ref="G26:G27"/>
    <mergeCell ref="J26:J27"/>
    <mergeCell ref="K26:K27"/>
    <mergeCell ref="L26:L27"/>
    <mergeCell ref="M26:M27"/>
    <mergeCell ref="N26:N31"/>
    <mergeCell ref="O26:O27"/>
    <mergeCell ref="P26:P27"/>
    <mergeCell ref="Q26:Q31"/>
    <mergeCell ref="S26:S27"/>
    <mergeCell ref="T26:T27"/>
    <mergeCell ref="U26:U27"/>
    <mergeCell ref="V26:V27"/>
    <mergeCell ref="W26:W27"/>
    <mergeCell ref="X26:X27"/>
    <mergeCell ref="AA24:AA25"/>
    <mergeCell ref="AB24:AB25"/>
    <mergeCell ref="AC24:AC25"/>
    <mergeCell ref="AD24:AD25"/>
    <mergeCell ref="AE24:AE25"/>
    <mergeCell ref="AF24:AF25"/>
    <mergeCell ref="AG24:AG25"/>
    <mergeCell ref="AH24:AH25"/>
    <mergeCell ref="U28:U29"/>
    <mergeCell ref="V28:V29"/>
    <mergeCell ref="W28:W29"/>
    <mergeCell ref="X28:X29"/>
    <mergeCell ref="Y28:Y29"/>
    <mergeCell ref="Z28:Z29"/>
    <mergeCell ref="AH28:AH29"/>
    <mergeCell ref="AI28:AI29"/>
    <mergeCell ref="Y26:Y27"/>
    <mergeCell ref="Z26:Z27"/>
    <mergeCell ref="AA26:AA27"/>
    <mergeCell ref="AB26:AB27"/>
    <mergeCell ref="AC26:AC27"/>
    <mergeCell ref="AD26:AD27"/>
    <mergeCell ref="AE26:AE27"/>
    <mergeCell ref="AF26:AF27"/>
    <mergeCell ref="AG26:AG27"/>
    <mergeCell ref="AJ28:AJ29"/>
    <mergeCell ref="AK28:AK29"/>
    <mergeCell ref="AL28:AL29"/>
    <mergeCell ref="AM28:AM29"/>
    <mergeCell ref="B30:B32"/>
    <mergeCell ref="C30:C32"/>
    <mergeCell ref="D30:D32"/>
    <mergeCell ref="F30:F32"/>
    <mergeCell ref="G30:G32"/>
    <mergeCell ref="H30:H32"/>
    <mergeCell ref="I30:I32"/>
    <mergeCell ref="J30:J32"/>
    <mergeCell ref="K30:K32"/>
    <mergeCell ref="L30:L32"/>
    <mergeCell ref="M30:M32"/>
    <mergeCell ref="O30:O32"/>
    <mergeCell ref="AH26:AH27"/>
    <mergeCell ref="AI26:AI27"/>
    <mergeCell ref="AJ26:AJ27"/>
    <mergeCell ref="AK26:AK27"/>
    <mergeCell ref="AL26:AL27"/>
    <mergeCell ref="AM26:AM27"/>
    <mergeCell ref="F28:F29"/>
    <mergeCell ref="G28:G29"/>
    <mergeCell ref="H28:H29"/>
    <mergeCell ref="I28:I29"/>
    <mergeCell ref="J28:J29"/>
    <mergeCell ref="K28:K29"/>
    <mergeCell ref="L28:L29"/>
    <mergeCell ref="M28:M29"/>
    <mergeCell ref="O28:O29"/>
    <mergeCell ref="T28:T29"/>
    <mergeCell ref="T40:T41"/>
    <mergeCell ref="U40:Z40"/>
    <mergeCell ref="AA40:AA41"/>
    <mergeCell ref="AB40:AB41"/>
    <mergeCell ref="AC40:AC41"/>
    <mergeCell ref="AD40:AD41"/>
    <mergeCell ref="A33:AM34"/>
    <mergeCell ref="A36:B36"/>
    <mergeCell ref="C36:AM36"/>
    <mergeCell ref="A37:B37"/>
    <mergeCell ref="C37:AM37"/>
    <mergeCell ref="A38:B38"/>
    <mergeCell ref="C38:AM38"/>
    <mergeCell ref="A39:J39"/>
    <mergeCell ref="K39:Q39"/>
    <mergeCell ref="R39:Z39"/>
    <mergeCell ref="AA39:AG39"/>
    <mergeCell ref="AH39:AM39"/>
    <mergeCell ref="F42:F45"/>
    <mergeCell ref="G42:G45"/>
    <mergeCell ref="H42:H45"/>
    <mergeCell ref="I42:I45"/>
    <mergeCell ref="J42:J45"/>
    <mergeCell ref="AE40:AE41"/>
    <mergeCell ref="AF40:AF41"/>
    <mergeCell ref="AG40:AG41"/>
    <mergeCell ref="AH40:AH41"/>
    <mergeCell ref="AI40:AI41"/>
    <mergeCell ref="AJ40:AJ41"/>
    <mergeCell ref="AK40:AK41"/>
    <mergeCell ref="AL40:AL41"/>
    <mergeCell ref="AM40:AM41"/>
    <mergeCell ref="AN39:AN41"/>
    <mergeCell ref="A40:A41"/>
    <mergeCell ref="B40:B41"/>
    <mergeCell ref="C40:C41"/>
    <mergeCell ref="D40:D41"/>
    <mergeCell ref="E40:E41"/>
    <mergeCell ref="F40:F41"/>
    <mergeCell ref="I40:I41"/>
    <mergeCell ref="J40:J41"/>
    <mergeCell ref="K40:K41"/>
    <mergeCell ref="L40:L41"/>
    <mergeCell ref="M40:M41"/>
    <mergeCell ref="N40:N41"/>
    <mergeCell ref="O40:O41"/>
    <mergeCell ref="P40:P41"/>
    <mergeCell ref="Q40:Q41"/>
    <mergeCell ref="R40:R41"/>
    <mergeCell ref="S40:S41"/>
    <mergeCell ref="A50:AL51"/>
    <mergeCell ref="A53:B53"/>
    <mergeCell ref="C53:AL53"/>
    <mergeCell ref="AH46:AH47"/>
    <mergeCell ref="AI46:AI47"/>
    <mergeCell ref="K42:K45"/>
    <mergeCell ref="L42:L45"/>
    <mergeCell ref="M42:M45"/>
    <mergeCell ref="N42:N45"/>
    <mergeCell ref="O42:O45"/>
    <mergeCell ref="P42:P45"/>
    <mergeCell ref="Q42:Q45"/>
    <mergeCell ref="E44:E45"/>
    <mergeCell ref="A46:A47"/>
    <mergeCell ref="B46:B47"/>
    <mergeCell ref="C46:C47"/>
    <mergeCell ref="D46:D47"/>
    <mergeCell ref="F46:F47"/>
    <mergeCell ref="G46:G47"/>
    <mergeCell ref="I46:I47"/>
    <mergeCell ref="J46:J47"/>
    <mergeCell ref="K46:K47"/>
    <mergeCell ref="L46:L47"/>
    <mergeCell ref="M46:M47"/>
    <mergeCell ref="N46:N47"/>
    <mergeCell ref="O46:O47"/>
    <mergeCell ref="P46:P47"/>
    <mergeCell ref="Q46:Q47"/>
    <mergeCell ref="A42:A45"/>
    <mergeCell ref="B42:B45"/>
    <mergeCell ref="C42:C45"/>
    <mergeCell ref="D42:D45"/>
    <mergeCell ref="AJ57:AJ58"/>
    <mergeCell ref="A54:B54"/>
    <mergeCell ref="C54:AL54"/>
    <mergeCell ref="A55:B55"/>
    <mergeCell ref="C55:AL55"/>
    <mergeCell ref="A57:A58"/>
    <mergeCell ref="B57:B58"/>
    <mergeCell ref="C57:C58"/>
    <mergeCell ref="D57:D58"/>
    <mergeCell ref="E57:E58"/>
    <mergeCell ref="F57:F58"/>
    <mergeCell ref="I57:I58"/>
    <mergeCell ref="J57:J58"/>
    <mergeCell ref="K57:K58"/>
    <mergeCell ref="L57:L58"/>
    <mergeCell ref="M57:M58"/>
    <mergeCell ref="N57:N58"/>
    <mergeCell ref="O57:O58"/>
    <mergeCell ref="P57:P58"/>
    <mergeCell ref="Q57:Q58"/>
    <mergeCell ref="R57:R58"/>
    <mergeCell ref="S57:S58"/>
    <mergeCell ref="T57:T58"/>
    <mergeCell ref="U57:Z57"/>
    <mergeCell ref="AA57:AA58"/>
    <mergeCell ref="AK57:AK58"/>
    <mergeCell ref="AL57:AL58"/>
    <mergeCell ref="A59:A62"/>
    <mergeCell ref="B59:B62"/>
    <mergeCell ref="C59:C62"/>
    <mergeCell ref="D59:D62"/>
    <mergeCell ref="F59:F62"/>
    <mergeCell ref="G59:G64"/>
    <mergeCell ref="H59:H62"/>
    <mergeCell ref="I59:I62"/>
    <mergeCell ref="J59:J62"/>
    <mergeCell ref="K59:K62"/>
    <mergeCell ref="L59:L62"/>
    <mergeCell ref="M59:M62"/>
    <mergeCell ref="N59:N62"/>
    <mergeCell ref="O59:O62"/>
    <mergeCell ref="P59:P62"/>
    <mergeCell ref="Q59:Q62"/>
    <mergeCell ref="E60:E61"/>
    <mergeCell ref="R60:R61"/>
    <mergeCell ref="S60:S61"/>
    <mergeCell ref="A63:A64"/>
    <mergeCell ref="B63:B64"/>
    <mergeCell ref="C63:C64"/>
    <mergeCell ref="AB57:AB58"/>
    <mergeCell ref="AC57:AC58"/>
    <mergeCell ref="AD57:AD58"/>
    <mergeCell ref="AE57:AE58"/>
    <mergeCell ref="AF57:AF58"/>
    <mergeCell ref="AG57:AG58"/>
    <mergeCell ref="AH57:AH58"/>
    <mergeCell ref="AI57:AI58"/>
    <mergeCell ref="O63:O64"/>
    <mergeCell ref="P63:P64"/>
    <mergeCell ref="Q63:Q64"/>
    <mergeCell ref="A65:A67"/>
    <mergeCell ref="B65:B67"/>
    <mergeCell ref="C65:C67"/>
    <mergeCell ref="D65:D67"/>
    <mergeCell ref="F65:F67"/>
    <mergeCell ref="G65:G68"/>
    <mergeCell ref="H65:H67"/>
    <mergeCell ref="I65:I67"/>
    <mergeCell ref="J65:J67"/>
    <mergeCell ref="K65:K67"/>
    <mergeCell ref="L65:L67"/>
    <mergeCell ref="M65:M67"/>
    <mergeCell ref="N65:N67"/>
    <mergeCell ref="O65:O67"/>
    <mergeCell ref="P65:P67"/>
    <mergeCell ref="Q65:Q67"/>
    <mergeCell ref="D63:D64"/>
    <mergeCell ref="F63:F64"/>
    <mergeCell ref="H63:H64"/>
    <mergeCell ref="I63:I64"/>
    <mergeCell ref="J63:J64"/>
    <mergeCell ref="K63:K64"/>
    <mergeCell ref="L63:L64"/>
    <mergeCell ref="M63:M64"/>
    <mergeCell ref="N63:N64"/>
    <mergeCell ref="A76:A77"/>
    <mergeCell ref="B76:B77"/>
    <mergeCell ref="C76:C77"/>
    <mergeCell ref="D76:D77"/>
    <mergeCell ref="E76:E77"/>
    <mergeCell ref="F76:F77"/>
    <mergeCell ref="I76:I77"/>
    <mergeCell ref="J76:J77"/>
    <mergeCell ref="K76:K77"/>
    <mergeCell ref="A69:AL70"/>
    <mergeCell ref="A72:B72"/>
    <mergeCell ref="C72:AL72"/>
    <mergeCell ref="A73:B73"/>
    <mergeCell ref="C73:AL73"/>
    <mergeCell ref="A74:B74"/>
    <mergeCell ref="C74:AL74"/>
    <mergeCell ref="A75:J75"/>
    <mergeCell ref="K75:Q75"/>
    <mergeCell ref="R75:Z75"/>
    <mergeCell ref="AA75:AG75"/>
    <mergeCell ref="AH75:AL75"/>
    <mergeCell ref="U76:Z76"/>
    <mergeCell ref="AA76:AA77"/>
    <mergeCell ref="AB76:AB77"/>
    <mergeCell ref="AC76:AC77"/>
    <mergeCell ref="AD76:AD77"/>
    <mergeCell ref="AE76:AE77"/>
    <mergeCell ref="AF76:AF77"/>
    <mergeCell ref="AG76:AG77"/>
    <mergeCell ref="AH76:AH77"/>
    <mergeCell ref="L76:L77"/>
    <mergeCell ref="M76:M77"/>
    <mergeCell ref="N76:N77"/>
    <mergeCell ref="O76:O77"/>
    <mergeCell ref="P76:P77"/>
    <mergeCell ref="Q76:Q77"/>
    <mergeCell ref="R76:R77"/>
    <mergeCell ref="S76:S77"/>
    <mergeCell ref="T76:T77"/>
    <mergeCell ref="AK79:AK81"/>
    <mergeCell ref="AL79:AL81"/>
    <mergeCell ref="U79:U81"/>
    <mergeCell ref="V79:V81"/>
    <mergeCell ref="W79:W81"/>
    <mergeCell ref="X79:X81"/>
    <mergeCell ref="Y79:Y81"/>
    <mergeCell ref="Z79:Z81"/>
    <mergeCell ref="AA79:AA81"/>
    <mergeCell ref="AB79:AB81"/>
    <mergeCell ref="AC79:AC81"/>
    <mergeCell ref="AI76:AI77"/>
    <mergeCell ref="AJ76:AJ77"/>
    <mergeCell ref="AK76:AK77"/>
    <mergeCell ref="AL76:AL77"/>
    <mergeCell ref="A78:A81"/>
    <mergeCell ref="B78:B81"/>
    <mergeCell ref="C78:C81"/>
    <mergeCell ref="D78:D81"/>
    <mergeCell ref="E78:E79"/>
    <mergeCell ref="F78:F81"/>
    <mergeCell ref="G78:G81"/>
    <mergeCell ref="H78:H81"/>
    <mergeCell ref="I78:I81"/>
    <mergeCell ref="J78:J81"/>
    <mergeCell ref="K78:K81"/>
    <mergeCell ref="L78:L81"/>
    <mergeCell ref="M78:M81"/>
    <mergeCell ref="N78:N81"/>
    <mergeCell ref="O78:O81"/>
    <mergeCell ref="P78:P81"/>
    <mergeCell ref="Q78:Q81"/>
    <mergeCell ref="E83:E85"/>
    <mergeCell ref="E80:E81"/>
    <mergeCell ref="B82:B85"/>
    <mergeCell ref="C82:C85"/>
    <mergeCell ref="D82:D85"/>
    <mergeCell ref="F82:F85"/>
    <mergeCell ref="G82:G85"/>
    <mergeCell ref="H82:H85"/>
    <mergeCell ref="I82:I85"/>
    <mergeCell ref="J82:J85"/>
    <mergeCell ref="AD79:AD81"/>
    <mergeCell ref="AE79:AE81"/>
    <mergeCell ref="AF79:AF81"/>
    <mergeCell ref="AG79:AG81"/>
    <mergeCell ref="AH79:AH81"/>
    <mergeCell ref="AI79:AI81"/>
    <mergeCell ref="AJ79:AJ81"/>
    <mergeCell ref="R79:R81"/>
    <mergeCell ref="S79:S81"/>
    <mergeCell ref="T79:T81"/>
    <mergeCell ref="AI83:AI85"/>
    <mergeCell ref="AJ83:AJ85"/>
    <mergeCell ref="AK83:AK85"/>
    <mergeCell ref="T83:T85"/>
    <mergeCell ref="U83:U85"/>
    <mergeCell ref="V83:V85"/>
    <mergeCell ref="W83:W85"/>
    <mergeCell ref="X83:X85"/>
    <mergeCell ref="Y83:Y85"/>
    <mergeCell ref="Z83:Z85"/>
    <mergeCell ref="AA83:AA85"/>
    <mergeCell ref="AB83:AB85"/>
    <mergeCell ref="K82:K85"/>
    <mergeCell ref="L82:L85"/>
    <mergeCell ref="M82:M85"/>
    <mergeCell ref="N82:N83"/>
    <mergeCell ref="O82:O85"/>
    <mergeCell ref="P82:P85"/>
    <mergeCell ref="Q82:Q85"/>
    <mergeCell ref="R82:R83"/>
    <mergeCell ref="M86:M89"/>
    <mergeCell ref="N86:N89"/>
    <mergeCell ref="O86:O89"/>
    <mergeCell ref="P86:P89"/>
    <mergeCell ref="Q86:Q89"/>
    <mergeCell ref="S86:S89"/>
    <mergeCell ref="T86:T89"/>
    <mergeCell ref="U86:U89"/>
    <mergeCell ref="V86:V89"/>
    <mergeCell ref="W86:W89"/>
    <mergeCell ref="X86:X89"/>
    <mergeCell ref="AC83:AC85"/>
    <mergeCell ref="AD83:AD85"/>
    <mergeCell ref="AE83:AE85"/>
    <mergeCell ref="AF83:AF85"/>
    <mergeCell ref="AG83:AG85"/>
    <mergeCell ref="AH83:AH85"/>
    <mergeCell ref="AH86:AH89"/>
    <mergeCell ref="AI86:AI89"/>
    <mergeCell ref="AJ86:AJ89"/>
    <mergeCell ref="AK86:AK89"/>
    <mergeCell ref="AL86:AL89"/>
    <mergeCell ref="A82:A85"/>
    <mergeCell ref="A86:A89"/>
    <mergeCell ref="A90:AM91"/>
    <mergeCell ref="A93:B93"/>
    <mergeCell ref="C93:AM93"/>
    <mergeCell ref="Y86:Y89"/>
    <mergeCell ref="Z86:Z89"/>
    <mergeCell ref="AA86:AA89"/>
    <mergeCell ref="AB86:AB89"/>
    <mergeCell ref="AC86:AC89"/>
    <mergeCell ref="AD86:AD89"/>
    <mergeCell ref="AE86:AE89"/>
    <mergeCell ref="AF86:AF89"/>
    <mergeCell ref="AG86:AG89"/>
    <mergeCell ref="AL83:AL85"/>
    <mergeCell ref="R84:R85"/>
    <mergeCell ref="B86:B89"/>
    <mergeCell ref="C86:C89"/>
    <mergeCell ref="D86:D89"/>
    <mergeCell ref="E86:E89"/>
    <mergeCell ref="F86:F89"/>
    <mergeCell ref="G86:G89"/>
    <mergeCell ref="H86:H89"/>
    <mergeCell ref="I86:I89"/>
    <mergeCell ref="J86:J89"/>
    <mergeCell ref="K86:K89"/>
    <mergeCell ref="L86:L89"/>
    <mergeCell ref="N97:N98"/>
    <mergeCell ref="O97:O98"/>
    <mergeCell ref="P97:P98"/>
    <mergeCell ref="Q97:Q98"/>
    <mergeCell ref="R97:R98"/>
    <mergeCell ref="S97:S98"/>
    <mergeCell ref="T97:T98"/>
    <mergeCell ref="A97:A98"/>
    <mergeCell ref="B97:B98"/>
    <mergeCell ref="C97:C98"/>
    <mergeCell ref="D97:D98"/>
    <mergeCell ref="E97:E98"/>
    <mergeCell ref="F97:F98"/>
    <mergeCell ref="I97:I98"/>
    <mergeCell ref="J97:J98"/>
    <mergeCell ref="K97:K98"/>
    <mergeCell ref="A94:B94"/>
    <mergeCell ref="C94:AM94"/>
    <mergeCell ref="A95:B95"/>
    <mergeCell ref="C95:AM95"/>
    <mergeCell ref="A96:J96"/>
    <mergeCell ref="K96:Q96"/>
    <mergeCell ref="R96:Z96"/>
    <mergeCell ref="AA96:AG96"/>
    <mergeCell ref="AH96:AM96"/>
    <mergeCell ref="AI97:AI98"/>
    <mergeCell ref="AJ97:AJ98"/>
    <mergeCell ref="AK97:AK98"/>
    <mergeCell ref="AL97:AL98"/>
    <mergeCell ref="AM97:AM98"/>
    <mergeCell ref="A99:A101"/>
    <mergeCell ref="B99:B101"/>
    <mergeCell ref="C99:C101"/>
    <mergeCell ref="D99:D101"/>
    <mergeCell ref="F99:F101"/>
    <mergeCell ref="G99:G102"/>
    <mergeCell ref="H99:H102"/>
    <mergeCell ref="I99:I101"/>
    <mergeCell ref="J99:J102"/>
    <mergeCell ref="K99:K102"/>
    <mergeCell ref="L99:L102"/>
    <mergeCell ref="M99:M102"/>
    <mergeCell ref="N99:N101"/>
    <mergeCell ref="O99:O102"/>
    <mergeCell ref="P99:P101"/>
    <mergeCell ref="Q99:Q102"/>
    <mergeCell ref="U97:Z97"/>
    <mergeCell ref="AA97:AA98"/>
    <mergeCell ref="AB97:AB98"/>
    <mergeCell ref="AC97:AC98"/>
    <mergeCell ref="AD97:AD98"/>
    <mergeCell ref="AE97:AE98"/>
    <mergeCell ref="AF97:AF98"/>
    <mergeCell ref="AG97:AG98"/>
    <mergeCell ref="AH97:AH98"/>
    <mergeCell ref="L97:L98"/>
    <mergeCell ref="M97:M98"/>
    <mergeCell ref="T110:T111"/>
    <mergeCell ref="A110:A111"/>
    <mergeCell ref="B110:B111"/>
    <mergeCell ref="C110:C111"/>
    <mergeCell ref="D110:D111"/>
    <mergeCell ref="E110:E111"/>
    <mergeCell ref="F110:F111"/>
    <mergeCell ref="I110:I111"/>
    <mergeCell ref="J110:J111"/>
    <mergeCell ref="K110:K111"/>
    <mergeCell ref="A103:AM104"/>
    <mergeCell ref="A106:B106"/>
    <mergeCell ref="C106:AM106"/>
    <mergeCell ref="A107:B107"/>
    <mergeCell ref="C107:AM107"/>
    <mergeCell ref="A108:B108"/>
    <mergeCell ref="C108:AM108"/>
    <mergeCell ref="A109:J109"/>
    <mergeCell ref="K109:Q109"/>
    <mergeCell ref="R109:Z109"/>
    <mergeCell ref="AA109:AG109"/>
    <mergeCell ref="AH109:AM109"/>
    <mergeCell ref="AI110:AI111"/>
    <mergeCell ref="AJ110:AJ111"/>
    <mergeCell ref="AK110:AK111"/>
    <mergeCell ref="AL110:AL111"/>
    <mergeCell ref="AM110:AM111"/>
    <mergeCell ref="A112:A115"/>
    <mergeCell ref="B112:B115"/>
    <mergeCell ref="C112:C115"/>
    <mergeCell ref="D112:D115"/>
    <mergeCell ref="F112:F115"/>
    <mergeCell ref="G112:G115"/>
    <mergeCell ref="H112:H115"/>
    <mergeCell ref="I112:I115"/>
    <mergeCell ref="AD112:AD115"/>
    <mergeCell ref="AF112:AF115"/>
    <mergeCell ref="U110:Z110"/>
    <mergeCell ref="AA110:AA111"/>
    <mergeCell ref="AB110:AB111"/>
    <mergeCell ref="AC110:AC111"/>
    <mergeCell ref="AD110:AD111"/>
    <mergeCell ref="AE110:AE111"/>
    <mergeCell ref="AF110:AF111"/>
    <mergeCell ref="AG110:AG111"/>
    <mergeCell ref="AH110:AH111"/>
    <mergeCell ref="L110:L111"/>
    <mergeCell ref="M110:M111"/>
    <mergeCell ref="N110:N111"/>
    <mergeCell ref="O110:O111"/>
    <mergeCell ref="P110:P111"/>
    <mergeCell ref="Q110:Q111"/>
    <mergeCell ref="R110:R111"/>
    <mergeCell ref="S110:S111"/>
    <mergeCell ref="A124:A125"/>
    <mergeCell ref="B124:B125"/>
    <mergeCell ref="C124:C125"/>
    <mergeCell ref="D124:D125"/>
    <mergeCell ref="E124:E125"/>
    <mergeCell ref="F124:F125"/>
    <mergeCell ref="I124:I125"/>
    <mergeCell ref="J124:J125"/>
    <mergeCell ref="K124:K125"/>
    <mergeCell ref="A117:AM118"/>
    <mergeCell ref="A120:B120"/>
    <mergeCell ref="C120:AM120"/>
    <mergeCell ref="A121:B121"/>
    <mergeCell ref="C121:AM121"/>
    <mergeCell ref="A122:B122"/>
    <mergeCell ref="C122:AM122"/>
    <mergeCell ref="A123:J123"/>
    <mergeCell ref="K123:Q123"/>
    <mergeCell ref="R123:Z123"/>
    <mergeCell ref="AA123:AG123"/>
    <mergeCell ref="AH123:AM123"/>
    <mergeCell ref="AI126:AI128"/>
    <mergeCell ref="U124:Z124"/>
    <mergeCell ref="AA124:AA125"/>
    <mergeCell ref="AB124:AB125"/>
    <mergeCell ref="AC124:AC125"/>
    <mergeCell ref="AD124:AD125"/>
    <mergeCell ref="AE124:AE125"/>
    <mergeCell ref="AF124:AF125"/>
    <mergeCell ref="AG124:AG125"/>
    <mergeCell ref="AH124:AH125"/>
    <mergeCell ref="L124:L125"/>
    <mergeCell ref="M124:M125"/>
    <mergeCell ref="N124:N125"/>
    <mergeCell ref="O124:O125"/>
    <mergeCell ref="P124:P125"/>
    <mergeCell ref="Q124:Q125"/>
    <mergeCell ref="R124:R125"/>
    <mergeCell ref="S124:S125"/>
    <mergeCell ref="T124:T125"/>
    <mergeCell ref="AJ126:AJ128"/>
    <mergeCell ref="AK126:AK128"/>
    <mergeCell ref="AL126:AL128"/>
    <mergeCell ref="AM126:AM128"/>
    <mergeCell ref="A129:AL130"/>
    <mergeCell ref="A132:B132"/>
    <mergeCell ref="C132:AL132"/>
    <mergeCell ref="A133:B133"/>
    <mergeCell ref="C133:AL133"/>
    <mergeCell ref="AI124:AI125"/>
    <mergeCell ref="AJ124:AJ125"/>
    <mergeCell ref="AK124:AK125"/>
    <mergeCell ref="AL124:AL125"/>
    <mergeCell ref="AM124:AM125"/>
    <mergeCell ref="A126:A128"/>
    <mergeCell ref="B126:B128"/>
    <mergeCell ref="C126:C128"/>
    <mergeCell ref="D126:D128"/>
    <mergeCell ref="F126:F128"/>
    <mergeCell ref="G126:G128"/>
    <mergeCell ref="H126:H128"/>
    <mergeCell ref="I126:I128"/>
    <mergeCell ref="J126:J128"/>
    <mergeCell ref="K126:K128"/>
    <mergeCell ref="L126:L128"/>
    <mergeCell ref="M126:M128"/>
    <mergeCell ref="N126:N128"/>
    <mergeCell ref="O126:O128"/>
    <mergeCell ref="P126:P128"/>
    <mergeCell ref="Q126:Q128"/>
    <mergeCell ref="AG126:AG128"/>
    <mergeCell ref="AH126:AH128"/>
    <mergeCell ref="AF136:AF137"/>
    <mergeCell ref="A134:B134"/>
    <mergeCell ref="C134:AL134"/>
    <mergeCell ref="A135:J135"/>
    <mergeCell ref="K135:Q135"/>
    <mergeCell ref="R135:Z135"/>
    <mergeCell ref="AA135:AG135"/>
    <mergeCell ref="AH135:AL135"/>
    <mergeCell ref="A136:A137"/>
    <mergeCell ref="B136:B137"/>
    <mergeCell ref="C136:C137"/>
    <mergeCell ref="D136:D137"/>
    <mergeCell ref="E136:E137"/>
    <mergeCell ref="F136:F137"/>
    <mergeCell ref="G136:G137"/>
    <mergeCell ref="I136:I137"/>
    <mergeCell ref="J136:J137"/>
    <mergeCell ref="K136:K137"/>
    <mergeCell ref="L136:L137"/>
    <mergeCell ref="M136:M137"/>
    <mergeCell ref="N136:N137"/>
    <mergeCell ref="O136:O137"/>
    <mergeCell ref="P136:P137"/>
    <mergeCell ref="Q136:Q137"/>
    <mergeCell ref="R136:R137"/>
    <mergeCell ref="AG136:AG137"/>
    <mergeCell ref="AH136:AH137"/>
    <mergeCell ref="AI136:AI137"/>
    <mergeCell ref="AJ136:AJ137"/>
    <mergeCell ref="AK136:AK137"/>
    <mergeCell ref="AL136:AL137"/>
    <mergeCell ref="A138:A140"/>
    <mergeCell ref="B138:B140"/>
    <mergeCell ref="C138:C140"/>
    <mergeCell ref="D138:D140"/>
    <mergeCell ref="F138:F140"/>
    <mergeCell ref="G138:G140"/>
    <mergeCell ref="H138:H140"/>
    <mergeCell ref="I138:I140"/>
    <mergeCell ref="J138:J140"/>
    <mergeCell ref="K138:K140"/>
    <mergeCell ref="L138:L140"/>
    <mergeCell ref="M138:M140"/>
    <mergeCell ref="N138:N140"/>
    <mergeCell ref="O138:O140"/>
    <mergeCell ref="P138:P140"/>
    <mergeCell ref="Q138:Q140"/>
    <mergeCell ref="AG138:AG139"/>
    <mergeCell ref="AI138:AI139"/>
    <mergeCell ref="S136:S137"/>
    <mergeCell ref="T136:T137"/>
    <mergeCell ref="U136:Z136"/>
    <mergeCell ref="AA136:AA137"/>
    <mergeCell ref="AB136:AB137"/>
    <mergeCell ref="AC136:AC137"/>
    <mergeCell ref="AD136:AD137"/>
    <mergeCell ref="AE136:AE137"/>
    <mergeCell ref="AJ138:AJ139"/>
    <mergeCell ref="AL138:AL139"/>
    <mergeCell ref="A141:A142"/>
    <mergeCell ref="B141:B142"/>
    <mergeCell ref="C141:C142"/>
    <mergeCell ref="D141:D142"/>
    <mergeCell ref="F141:F142"/>
    <mergeCell ref="G141:G142"/>
    <mergeCell ref="H141:H142"/>
    <mergeCell ref="I141:I142"/>
    <mergeCell ref="J141:J142"/>
    <mergeCell ref="K141:K142"/>
    <mergeCell ref="L141:L142"/>
    <mergeCell ref="M141:M142"/>
    <mergeCell ref="N141:N142"/>
    <mergeCell ref="O141:O142"/>
    <mergeCell ref="P141:P142"/>
    <mergeCell ref="Q141:Q142"/>
    <mergeCell ref="AG141:AG142"/>
    <mergeCell ref="AI141:AI142"/>
    <mergeCell ref="AJ141:AJ142"/>
    <mergeCell ref="AL141:AL142"/>
    <mergeCell ref="AH143:AH144"/>
    <mergeCell ref="AI143:AI144"/>
    <mergeCell ref="AJ143:AJ144"/>
    <mergeCell ref="AK143:AK144"/>
    <mergeCell ref="AL143:AL144"/>
    <mergeCell ref="A145:AM146"/>
    <mergeCell ref="A148:B148"/>
    <mergeCell ref="C148:AM148"/>
    <mergeCell ref="A149:B149"/>
    <mergeCell ref="C149:AM149"/>
    <mergeCell ref="K143:K144"/>
    <mergeCell ref="L143:L144"/>
    <mergeCell ref="M143:M144"/>
    <mergeCell ref="N143:N144"/>
    <mergeCell ref="O143:O144"/>
    <mergeCell ref="P143:P144"/>
    <mergeCell ref="Q143:Q144"/>
    <mergeCell ref="R143:R144"/>
    <mergeCell ref="AG143:AG144"/>
    <mergeCell ref="A143:A144"/>
    <mergeCell ref="B143:B144"/>
    <mergeCell ref="C143:C144"/>
    <mergeCell ref="D143:D144"/>
    <mergeCell ref="F143:F144"/>
    <mergeCell ref="G143:G144"/>
    <mergeCell ref="H143:H144"/>
    <mergeCell ref="I143:I144"/>
    <mergeCell ref="J143:J144"/>
    <mergeCell ref="A150:B150"/>
    <mergeCell ref="C150:AM150"/>
    <mergeCell ref="A151:J151"/>
    <mergeCell ref="K151:Q151"/>
    <mergeCell ref="R151:Z151"/>
    <mergeCell ref="AA151:AG151"/>
    <mergeCell ref="AH151:AM151"/>
    <mergeCell ref="A152:A153"/>
    <mergeCell ref="B152:B153"/>
    <mergeCell ref="C152:C153"/>
    <mergeCell ref="D152:D153"/>
    <mergeCell ref="E152:E153"/>
    <mergeCell ref="F152:F153"/>
    <mergeCell ref="I152:I153"/>
    <mergeCell ref="J152:J153"/>
    <mergeCell ref="K152:K153"/>
    <mergeCell ref="L152:L153"/>
    <mergeCell ref="M152:M153"/>
    <mergeCell ref="N152:N153"/>
    <mergeCell ref="O152:O153"/>
    <mergeCell ref="P152:P153"/>
    <mergeCell ref="Q152:Q153"/>
    <mergeCell ref="R152:R153"/>
    <mergeCell ref="S152:S153"/>
    <mergeCell ref="AM152:AM153"/>
    <mergeCell ref="A154:A156"/>
    <mergeCell ref="B154:B156"/>
    <mergeCell ref="C154:C156"/>
    <mergeCell ref="D154:D156"/>
    <mergeCell ref="F154:F156"/>
    <mergeCell ref="G154:G156"/>
    <mergeCell ref="H154:H156"/>
    <mergeCell ref="I154:I156"/>
    <mergeCell ref="J154:J156"/>
    <mergeCell ref="K154:K156"/>
    <mergeCell ref="L154:L156"/>
    <mergeCell ref="M154:M156"/>
    <mergeCell ref="N154:N156"/>
    <mergeCell ref="O154:O156"/>
    <mergeCell ref="P154:P156"/>
    <mergeCell ref="Q154:Q156"/>
    <mergeCell ref="T152:T153"/>
    <mergeCell ref="U152:Z152"/>
    <mergeCell ref="AA152:AA153"/>
    <mergeCell ref="AB152:AB153"/>
    <mergeCell ref="AC152:AC153"/>
    <mergeCell ref="AD152:AD153"/>
    <mergeCell ref="AE152:AE153"/>
    <mergeCell ref="AF152:AF153"/>
    <mergeCell ref="AG152:AG153"/>
    <mergeCell ref="A157:AL158"/>
    <mergeCell ref="A160:B160"/>
    <mergeCell ref="C160:AL160"/>
    <mergeCell ref="A161:B161"/>
    <mergeCell ref="C161:AL161"/>
    <mergeCell ref="A162:B162"/>
    <mergeCell ref="C162:AL162"/>
    <mergeCell ref="A163:J163"/>
    <mergeCell ref="K163:Q163"/>
    <mergeCell ref="R163:Z163"/>
    <mergeCell ref="AA163:AG163"/>
    <mergeCell ref="AH163:AL163"/>
    <mergeCell ref="AH152:AH153"/>
    <mergeCell ref="AI152:AI153"/>
    <mergeCell ref="AJ152:AJ153"/>
    <mergeCell ref="AK152:AK153"/>
    <mergeCell ref="AL152:AL153"/>
    <mergeCell ref="AH164:AH165"/>
    <mergeCell ref="L164:L165"/>
    <mergeCell ref="M164:M165"/>
    <mergeCell ref="N164:N165"/>
    <mergeCell ref="O164:O165"/>
    <mergeCell ref="P164:P165"/>
    <mergeCell ref="Q164:Q165"/>
    <mergeCell ref="R164:R165"/>
    <mergeCell ref="S164:S165"/>
    <mergeCell ref="T164:T165"/>
    <mergeCell ref="A164:A165"/>
    <mergeCell ref="B164:B165"/>
    <mergeCell ref="C164:C165"/>
    <mergeCell ref="D164:D165"/>
    <mergeCell ref="E164:E165"/>
    <mergeCell ref="F164:F165"/>
    <mergeCell ref="I164:I165"/>
    <mergeCell ref="J164:J165"/>
    <mergeCell ref="K164:K165"/>
    <mergeCell ref="AI164:AI165"/>
    <mergeCell ref="AJ164:AJ165"/>
    <mergeCell ref="AK164:AK165"/>
    <mergeCell ref="AL164:AL165"/>
    <mergeCell ref="A166:A167"/>
    <mergeCell ref="B166:B167"/>
    <mergeCell ref="C166:C167"/>
    <mergeCell ref="D166:D167"/>
    <mergeCell ref="F166:F167"/>
    <mergeCell ref="H166:H167"/>
    <mergeCell ref="I166:I167"/>
    <mergeCell ref="J166:J167"/>
    <mergeCell ref="K166:K167"/>
    <mergeCell ref="L166:L167"/>
    <mergeCell ref="M166:M167"/>
    <mergeCell ref="N166:N167"/>
    <mergeCell ref="O166:O167"/>
    <mergeCell ref="P166:P167"/>
    <mergeCell ref="Q166:Q167"/>
    <mergeCell ref="AG166:AG167"/>
    <mergeCell ref="AH166:AH167"/>
    <mergeCell ref="AI166:AI167"/>
    <mergeCell ref="AJ166:AJ167"/>
    <mergeCell ref="AK166:AK167"/>
    <mergeCell ref="U164:Z164"/>
    <mergeCell ref="AA164:AA165"/>
    <mergeCell ref="AB164:AB165"/>
    <mergeCell ref="AC164:AC165"/>
    <mergeCell ref="AD164:AD165"/>
    <mergeCell ref="AE164:AE165"/>
    <mergeCell ref="AF164:AF165"/>
    <mergeCell ref="AG164:AG165"/>
    <mergeCell ref="A174:B174"/>
    <mergeCell ref="C174:AM174"/>
    <mergeCell ref="A175:B175"/>
    <mergeCell ref="C175:AM175"/>
    <mergeCell ref="A176:J176"/>
    <mergeCell ref="K176:Q176"/>
    <mergeCell ref="R176:Z176"/>
    <mergeCell ref="AA176:AG176"/>
    <mergeCell ref="AH176:AM176"/>
    <mergeCell ref="L168:L169"/>
    <mergeCell ref="M168:M169"/>
    <mergeCell ref="N168:N169"/>
    <mergeCell ref="O168:O169"/>
    <mergeCell ref="P168:P169"/>
    <mergeCell ref="Q168:Q169"/>
    <mergeCell ref="A170:AM171"/>
    <mergeCell ref="A173:B173"/>
    <mergeCell ref="C173:AM173"/>
    <mergeCell ref="A168:A169"/>
    <mergeCell ref="B168:B169"/>
    <mergeCell ref="C168:C169"/>
    <mergeCell ref="D168:D169"/>
    <mergeCell ref="F168:F169"/>
    <mergeCell ref="H168:H169"/>
    <mergeCell ref="I168:I169"/>
    <mergeCell ref="J168:J169"/>
    <mergeCell ref="K168:K169"/>
    <mergeCell ref="M177:M178"/>
    <mergeCell ref="N177:N178"/>
    <mergeCell ref="O177:O178"/>
    <mergeCell ref="P177:P178"/>
    <mergeCell ref="Q177:Q178"/>
    <mergeCell ref="R177:R178"/>
    <mergeCell ref="S177:S178"/>
    <mergeCell ref="T177:T178"/>
    <mergeCell ref="A177:A178"/>
    <mergeCell ref="B177:B178"/>
    <mergeCell ref="C177:C178"/>
    <mergeCell ref="D177:D178"/>
    <mergeCell ref="E177:E178"/>
    <mergeCell ref="F177:F178"/>
    <mergeCell ref="I177:I178"/>
    <mergeCell ref="J177:J178"/>
    <mergeCell ref="K177:K178"/>
    <mergeCell ref="AI177:AI178"/>
    <mergeCell ref="AJ177:AJ178"/>
    <mergeCell ref="AK177:AK178"/>
    <mergeCell ref="AL177:AL178"/>
    <mergeCell ref="AM177:AM178"/>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O179:O180"/>
    <mergeCell ref="P179:P180"/>
    <mergeCell ref="Q179:Q180"/>
    <mergeCell ref="AL179:AL180"/>
    <mergeCell ref="U177:Z177"/>
    <mergeCell ref="AA177:AA178"/>
    <mergeCell ref="AB177:AB178"/>
    <mergeCell ref="AC177:AC178"/>
    <mergeCell ref="AD177:AD178"/>
    <mergeCell ref="AE177:AE178"/>
    <mergeCell ref="AF177:AF178"/>
    <mergeCell ref="AG177:AG178"/>
    <mergeCell ref="AH177:AH178"/>
    <mergeCell ref="L177:L178"/>
    <mergeCell ref="K181:K183"/>
    <mergeCell ref="L181:L183"/>
    <mergeCell ref="M181:M183"/>
    <mergeCell ref="N181:N183"/>
    <mergeCell ref="O181:O183"/>
    <mergeCell ref="P181:P183"/>
    <mergeCell ref="Q181:Q183"/>
    <mergeCell ref="A184:A186"/>
    <mergeCell ref="B184:B186"/>
    <mergeCell ref="C184:C186"/>
    <mergeCell ref="D184:D186"/>
    <mergeCell ref="F184:F186"/>
    <mergeCell ref="G184:G186"/>
    <mergeCell ref="H184:H186"/>
    <mergeCell ref="I184:I186"/>
    <mergeCell ref="J184:J186"/>
    <mergeCell ref="K184:K186"/>
    <mergeCell ref="L184:L186"/>
    <mergeCell ref="M184:M186"/>
    <mergeCell ref="N184:N186"/>
    <mergeCell ref="O184:O186"/>
    <mergeCell ref="P184:P186"/>
    <mergeCell ref="Q184:Q186"/>
    <mergeCell ref="A181:A183"/>
    <mergeCell ref="B181:B183"/>
    <mergeCell ref="C181:C183"/>
    <mergeCell ref="D181:D183"/>
    <mergeCell ref="F181:F183"/>
    <mergeCell ref="G181:G183"/>
    <mergeCell ref="H181:H183"/>
    <mergeCell ref="I181:I183"/>
    <mergeCell ref="J181:J183"/>
    <mergeCell ref="AA184:AA185"/>
    <mergeCell ref="AB184:AB185"/>
    <mergeCell ref="AC184:AC185"/>
    <mergeCell ref="AD184:AD185"/>
    <mergeCell ref="AE184:AE185"/>
    <mergeCell ref="AF184:AF185"/>
    <mergeCell ref="AG184:AG185"/>
    <mergeCell ref="AL184:AL185"/>
    <mergeCell ref="A187:AM188"/>
    <mergeCell ref="R184:R185"/>
    <mergeCell ref="S184:S185"/>
    <mergeCell ref="T184:T185"/>
    <mergeCell ref="U184:U185"/>
    <mergeCell ref="V184:V185"/>
    <mergeCell ref="W184:W185"/>
    <mergeCell ref="X184:X185"/>
    <mergeCell ref="Y184:Y185"/>
    <mergeCell ref="Z184:Z185"/>
    <mergeCell ref="Q194:Q195"/>
    <mergeCell ref="R194:R195"/>
    <mergeCell ref="S194:S195"/>
    <mergeCell ref="A194:A195"/>
    <mergeCell ref="B194:B195"/>
    <mergeCell ref="C194:C195"/>
    <mergeCell ref="D194:D195"/>
    <mergeCell ref="E194:E195"/>
    <mergeCell ref="F194:F195"/>
    <mergeCell ref="G194:G195"/>
    <mergeCell ref="I194:I195"/>
    <mergeCell ref="J194:J195"/>
    <mergeCell ref="A190:B190"/>
    <mergeCell ref="C190:AM190"/>
    <mergeCell ref="A191:B191"/>
    <mergeCell ref="C191:AM191"/>
    <mergeCell ref="A192:B192"/>
    <mergeCell ref="C192:AM192"/>
    <mergeCell ref="A193:J193"/>
    <mergeCell ref="K193:Q193"/>
    <mergeCell ref="R193:Z193"/>
    <mergeCell ref="AA193:AG193"/>
    <mergeCell ref="AH193:AS193"/>
    <mergeCell ref="AR194:AR195"/>
    <mergeCell ref="AS194:AS195"/>
    <mergeCell ref="A196:A200"/>
    <mergeCell ref="B196:B200"/>
    <mergeCell ref="C196:C200"/>
    <mergeCell ref="D196:D200"/>
    <mergeCell ref="F196:F200"/>
    <mergeCell ref="G196:G200"/>
    <mergeCell ref="H196:H200"/>
    <mergeCell ref="I196:I200"/>
    <mergeCell ref="J196:J200"/>
    <mergeCell ref="K196:K200"/>
    <mergeCell ref="L196:L200"/>
    <mergeCell ref="M196:M200"/>
    <mergeCell ref="N196:N200"/>
    <mergeCell ref="O196:O200"/>
    <mergeCell ref="P196:P200"/>
    <mergeCell ref="Q196:Q200"/>
    <mergeCell ref="AG196:AG200"/>
    <mergeCell ref="AH196:AH200"/>
    <mergeCell ref="AI196:AI200"/>
    <mergeCell ref="AJ196:AJ200"/>
    <mergeCell ref="AK196:AK200"/>
    <mergeCell ref="AH194:AH195"/>
    <mergeCell ref="AI194:AI195"/>
    <mergeCell ref="AJ194:AJ195"/>
    <mergeCell ref="AK194:AK195"/>
    <mergeCell ref="AL194:AL195"/>
    <mergeCell ref="AM194:AM195"/>
    <mergeCell ref="AN194:AN195"/>
    <mergeCell ref="AO194:AO195"/>
    <mergeCell ref="AP194:AP195"/>
    <mergeCell ref="A201:A204"/>
    <mergeCell ref="B201:B204"/>
    <mergeCell ref="C201:C204"/>
    <mergeCell ref="D201:D204"/>
    <mergeCell ref="F201:F204"/>
    <mergeCell ref="G201:G204"/>
    <mergeCell ref="H201:H204"/>
    <mergeCell ref="I201:I204"/>
    <mergeCell ref="J201:J204"/>
    <mergeCell ref="K201:K204"/>
    <mergeCell ref="L201:L204"/>
    <mergeCell ref="M201:M204"/>
    <mergeCell ref="N201:N204"/>
    <mergeCell ref="O201:O204"/>
    <mergeCell ref="P201:P204"/>
    <mergeCell ref="Q201:Q204"/>
    <mergeCell ref="AQ194:AQ195"/>
    <mergeCell ref="T194:T195"/>
    <mergeCell ref="U194:Z194"/>
    <mergeCell ref="AA194:AA195"/>
    <mergeCell ref="AB194:AB195"/>
    <mergeCell ref="AC194:AC195"/>
    <mergeCell ref="AD194:AD195"/>
    <mergeCell ref="AE194:AE195"/>
    <mergeCell ref="AF194:AF195"/>
    <mergeCell ref="AG194:AG195"/>
    <mergeCell ref="K194:K195"/>
    <mergeCell ref="L194:L195"/>
    <mergeCell ref="M194:M195"/>
    <mergeCell ref="N194:N195"/>
    <mergeCell ref="O194:O195"/>
    <mergeCell ref="P194:P195"/>
    <mergeCell ref="AP201:AP204"/>
    <mergeCell ref="AQ201:AQ204"/>
    <mergeCell ref="AR201:AR204"/>
    <mergeCell ref="AS201:AS204"/>
    <mergeCell ref="AG201:AG204"/>
    <mergeCell ref="AH201:AH204"/>
    <mergeCell ref="AI201:AI204"/>
    <mergeCell ref="AJ201:AJ204"/>
    <mergeCell ref="AK201:AK204"/>
    <mergeCell ref="AL201:AL204"/>
    <mergeCell ref="AM201:AM204"/>
    <mergeCell ref="AN201:AN204"/>
    <mergeCell ref="AO201:AO204"/>
    <mergeCell ref="AL196:AL200"/>
    <mergeCell ref="AM196:AM200"/>
    <mergeCell ref="AN196:AN200"/>
    <mergeCell ref="AO196:AO200"/>
    <mergeCell ref="AP196:AP200"/>
    <mergeCell ref="AQ196:AQ200"/>
    <mergeCell ref="AR196:AR200"/>
    <mergeCell ref="AS196:AS200"/>
  </mergeCells>
  <conditionalFormatting sqref="K10:K16">
    <cfRule type="cellIs" dxfId="502" priority="388" operator="equal">
      <formula>"Media"</formula>
    </cfRule>
    <cfRule type="cellIs" dxfId="501" priority="387" operator="equal">
      <formula>"Alta"</formula>
    </cfRule>
    <cfRule type="cellIs" dxfId="500" priority="386" operator="equal">
      <formula>"Muy Alta"</formula>
    </cfRule>
    <cfRule type="cellIs" dxfId="499" priority="390" operator="equal">
      <formula>"Muy Baja"</formula>
    </cfRule>
    <cfRule type="cellIs" dxfId="498" priority="389" operator="equal">
      <formula>"Baja"</formula>
    </cfRule>
  </conditionalFormatting>
  <conditionalFormatting sqref="K26">
    <cfRule type="cellIs" dxfId="497" priority="336" operator="equal">
      <formula>"Media"</formula>
    </cfRule>
    <cfRule type="cellIs" dxfId="496" priority="337" operator="equal">
      <formula>"Baja"</formula>
    </cfRule>
    <cfRule type="cellIs" dxfId="495" priority="338" operator="equal">
      <formula>"Muy Baja"</formula>
    </cfRule>
    <cfRule type="cellIs" dxfId="494" priority="334" operator="equal">
      <formula>"Muy Alta"</formula>
    </cfRule>
    <cfRule type="cellIs" dxfId="493" priority="335" operator="equal">
      <formula>"Alta"</formula>
    </cfRule>
  </conditionalFormatting>
  <conditionalFormatting sqref="K28">
    <cfRule type="cellIs" dxfId="492" priority="370" operator="equal">
      <formula>"Baja"</formula>
    </cfRule>
    <cfRule type="cellIs" dxfId="491" priority="369" operator="equal">
      <formula>"Media"</formula>
    </cfRule>
    <cfRule type="cellIs" dxfId="490" priority="368" operator="equal">
      <formula>"Alta"</formula>
    </cfRule>
    <cfRule type="cellIs" dxfId="489" priority="367" operator="equal">
      <formula>"Muy Alta"</formula>
    </cfRule>
    <cfRule type="cellIs" dxfId="488" priority="371" operator="equal">
      <formula>"Muy Baja"</formula>
    </cfRule>
  </conditionalFormatting>
  <conditionalFormatting sqref="K30">
    <cfRule type="cellIs" dxfId="487" priority="376" operator="equal">
      <formula>"Muy Baja"</formula>
    </cfRule>
    <cfRule type="cellIs" dxfId="486" priority="373" operator="equal">
      <formula>"Alta"</formula>
    </cfRule>
    <cfRule type="cellIs" dxfId="485" priority="375" operator="equal">
      <formula>"Baja"</formula>
    </cfRule>
    <cfRule type="cellIs" dxfId="484" priority="372" operator="equal">
      <formula>"Muy Alta"</formula>
    </cfRule>
    <cfRule type="cellIs" dxfId="483" priority="374" operator="equal">
      <formula>"Media"</formula>
    </cfRule>
  </conditionalFormatting>
  <conditionalFormatting sqref="K42 K46 K48:K49">
    <cfRule type="cellIs" dxfId="482" priority="330" operator="equal">
      <formula>"Alta"</formula>
    </cfRule>
    <cfRule type="cellIs" dxfId="481" priority="329" operator="equal">
      <formula>"Muy Alta"</formula>
    </cfRule>
    <cfRule type="cellIs" dxfId="480" priority="331" operator="equal">
      <formula>"Media"</formula>
    </cfRule>
    <cfRule type="cellIs" dxfId="479" priority="333" operator="equal">
      <formula>"Muy Baja"</formula>
    </cfRule>
    <cfRule type="cellIs" dxfId="478" priority="332" operator="equal">
      <formula>"Baja"</formula>
    </cfRule>
  </conditionalFormatting>
  <conditionalFormatting sqref="K59:K60 K63 K65 K68">
    <cfRule type="cellIs" dxfId="477" priority="313" operator="equal">
      <formula>"Baja"</formula>
    </cfRule>
    <cfRule type="cellIs" dxfId="476" priority="314" operator="equal">
      <formula>"Muy Baja"</formula>
    </cfRule>
    <cfRule type="cellIs" dxfId="475" priority="312" operator="equal">
      <formula>"Media"</formula>
    </cfRule>
    <cfRule type="cellIs" dxfId="474" priority="311" operator="equal">
      <formula>"Alta"</formula>
    </cfRule>
    <cfRule type="cellIs" dxfId="473" priority="310" operator="equal">
      <formula>"Muy Alta"</formula>
    </cfRule>
  </conditionalFormatting>
  <conditionalFormatting sqref="K78 K82">
    <cfRule type="cellIs" dxfId="472" priority="279" operator="equal">
      <formula>"Media"</formula>
    </cfRule>
    <cfRule type="cellIs" dxfId="471" priority="278" operator="equal">
      <formula>"Alta"</formula>
    </cfRule>
    <cfRule type="cellIs" dxfId="470" priority="277" operator="equal">
      <formula>"Muy Alta"</formula>
    </cfRule>
    <cfRule type="cellIs" dxfId="469" priority="280" operator="equal">
      <formula>"Baja"</formula>
    </cfRule>
    <cfRule type="cellIs" dxfId="468" priority="281" operator="equal">
      <formula>"Muy Baja"</formula>
    </cfRule>
  </conditionalFormatting>
  <conditionalFormatting sqref="K86">
    <cfRule type="cellIs" dxfId="467" priority="231" operator="equal">
      <formula>"Muy Alta"</formula>
    </cfRule>
    <cfRule type="cellIs" dxfId="466" priority="232" operator="equal">
      <formula>"Alta"</formula>
    </cfRule>
    <cfRule type="cellIs" dxfId="465" priority="233" operator="equal">
      <formula>"Media"</formula>
    </cfRule>
    <cfRule type="cellIs" dxfId="464" priority="234" operator="equal">
      <formula>"Baja"</formula>
    </cfRule>
    <cfRule type="cellIs" dxfId="463" priority="235" operator="equal">
      <formula>"Muy Baja"</formula>
    </cfRule>
  </conditionalFormatting>
  <conditionalFormatting sqref="K99">
    <cfRule type="cellIs" dxfId="462" priority="206" operator="equal">
      <formula>"Muy Baja"</formula>
    </cfRule>
    <cfRule type="cellIs" dxfId="461" priority="205" operator="equal">
      <formula>"Baja"</formula>
    </cfRule>
    <cfRule type="cellIs" dxfId="460" priority="204" operator="equal">
      <formula>"Media"</formula>
    </cfRule>
    <cfRule type="cellIs" dxfId="459" priority="202" operator="equal">
      <formula>"Muy Alta"</formula>
    </cfRule>
    <cfRule type="cellIs" dxfId="458" priority="203" operator="equal">
      <formula>"Alta"</formula>
    </cfRule>
  </conditionalFormatting>
  <conditionalFormatting sqref="K112:K116">
    <cfRule type="cellIs" dxfId="457" priority="163" operator="equal">
      <formula>"Muy Baja"</formula>
    </cfRule>
    <cfRule type="cellIs" dxfId="456" priority="162" operator="equal">
      <formula>"Baja"</formula>
    </cfRule>
    <cfRule type="cellIs" dxfId="455" priority="161" operator="equal">
      <formula>"Media"</formula>
    </cfRule>
    <cfRule type="cellIs" dxfId="454" priority="160" operator="equal">
      <formula>"Alta"</formula>
    </cfRule>
    <cfRule type="cellIs" dxfId="453" priority="159" operator="equal">
      <formula>"Muy Alta"</formula>
    </cfRule>
  </conditionalFormatting>
  <conditionalFormatting sqref="K126">
    <cfRule type="cellIs" dxfId="452" priority="145" operator="equal">
      <formula>"Alta"</formula>
    </cfRule>
    <cfRule type="cellIs" dxfId="451" priority="147" operator="equal">
      <formula>"Baja"</formula>
    </cfRule>
    <cfRule type="cellIs" dxfId="450" priority="144" operator="equal">
      <formula>"Muy Alta"</formula>
    </cfRule>
    <cfRule type="cellIs" dxfId="449" priority="146" operator="equal">
      <formula>"Media"</formula>
    </cfRule>
    <cfRule type="cellIs" dxfId="448" priority="148" operator="equal">
      <formula>"Muy Baja"</formula>
    </cfRule>
  </conditionalFormatting>
  <conditionalFormatting sqref="K138 AB138:AB144 K141 K143">
    <cfRule type="cellIs" dxfId="447" priority="102" operator="equal">
      <formula>"Alta"</formula>
    </cfRule>
    <cfRule type="cellIs" dxfId="446" priority="103" operator="equal">
      <formula>"Media"</formula>
    </cfRule>
    <cfRule type="cellIs" dxfId="445" priority="104" operator="equal">
      <formula>"Baja"</formula>
    </cfRule>
    <cfRule type="cellIs" dxfId="444" priority="105" operator="equal">
      <formula>"Muy Baja"</formula>
    </cfRule>
    <cfRule type="cellIs" dxfId="443" priority="101" operator="equal">
      <formula>"Muy Alta"</formula>
    </cfRule>
  </conditionalFormatting>
  <conditionalFormatting sqref="K154 AB154:AB156">
    <cfRule type="cellIs" dxfId="442" priority="100" operator="equal">
      <formula>"Muy Baja"</formula>
    </cfRule>
    <cfRule type="cellIs" dxfId="441" priority="99" operator="equal">
      <formula>"Baja"</formula>
    </cfRule>
    <cfRule type="cellIs" dxfId="440" priority="98" operator="equal">
      <formula>"Media"</formula>
    </cfRule>
    <cfRule type="cellIs" dxfId="439" priority="97" operator="equal">
      <formula>"Alta"</formula>
    </cfRule>
    <cfRule type="cellIs" dxfId="438" priority="96" operator="equal">
      <formula>"Muy Alta"</formula>
    </cfRule>
  </conditionalFormatting>
  <conditionalFormatting sqref="K166 K168">
    <cfRule type="cellIs" dxfId="437" priority="85" operator="equal">
      <formula>"Muy Baja"</formula>
    </cfRule>
    <cfRule type="cellIs" dxfId="436" priority="81" operator="equal">
      <formula>"Muy Alta"</formula>
    </cfRule>
    <cfRule type="cellIs" dxfId="435" priority="82" operator="equal">
      <formula>"Alta"</formula>
    </cfRule>
    <cfRule type="cellIs" dxfId="434" priority="83" operator="equal">
      <formula>"Media"</formula>
    </cfRule>
    <cfRule type="cellIs" dxfId="433" priority="84" operator="equal">
      <formula>"Baja"</formula>
    </cfRule>
  </conditionalFormatting>
  <conditionalFormatting sqref="K179 K181 K184">
    <cfRule type="cellIs" dxfId="432" priority="66" operator="equal">
      <formula>"Muy Baja"</formula>
    </cfRule>
    <cfRule type="cellIs" dxfId="431" priority="62" operator="equal">
      <formula>"Muy Alta"</formula>
    </cfRule>
    <cfRule type="cellIs" dxfId="430" priority="63" operator="equal">
      <formula>"Alta"</formula>
    </cfRule>
    <cfRule type="cellIs" dxfId="429" priority="64" operator="equal">
      <formula>"Media"</formula>
    </cfRule>
    <cfRule type="cellIs" dxfId="428" priority="65" operator="equal">
      <formula>"Baja"</formula>
    </cfRule>
  </conditionalFormatting>
  <conditionalFormatting sqref="K196 AB196:AB204 K201">
    <cfRule type="cellIs" dxfId="427" priority="15" operator="equal">
      <formula>"Muy Alta"</formula>
    </cfRule>
    <cfRule type="cellIs" dxfId="426" priority="16" operator="equal">
      <formula>"Alta"</formula>
    </cfRule>
    <cfRule type="cellIs" dxfId="425" priority="17" operator="equal">
      <formula>"Media"</formula>
    </cfRule>
    <cfRule type="cellIs" dxfId="424" priority="18" operator="equal">
      <formula>"Baja"</formula>
    </cfRule>
    <cfRule type="cellIs" dxfId="423" priority="19" operator="equal">
      <formula>"Muy Baja"</formula>
    </cfRule>
  </conditionalFormatting>
  <conditionalFormatting sqref="N10:N16 N42:N49 N138:N144 N166:N169 N179:N186 M282:M389">
    <cfRule type="containsText" dxfId="422" priority="1399" operator="containsText" text="❌">
      <formula>NOT(ISERROR(SEARCH("❌",M10)))</formula>
    </cfRule>
  </conditionalFormatting>
  <conditionalFormatting sqref="N26:N32">
    <cfRule type="containsText" dxfId="421" priority="339" operator="containsText" text="❌">
      <formula>NOT(ISERROR(SEARCH(("❌"),(N26))))</formula>
    </cfRule>
  </conditionalFormatting>
  <conditionalFormatting sqref="N59:N68">
    <cfRule type="containsText" dxfId="420" priority="282" operator="containsText" text="❌">
      <formula>NOT(ISERROR(SEARCH("❌",N59)))</formula>
    </cfRule>
  </conditionalFormatting>
  <conditionalFormatting sqref="N78:N86">
    <cfRule type="containsText" dxfId="419" priority="207" operator="containsText" text="❌">
      <formula>NOT(ISERROR(SEARCH("❌",N78)))</formula>
    </cfRule>
  </conditionalFormatting>
  <conditionalFormatting sqref="N99:N102">
    <cfRule type="containsText" dxfId="418" priority="192" operator="containsText" text="❌">
      <formula>NOT(ISERROR(SEARCH("❌",N99)))</formula>
    </cfRule>
  </conditionalFormatting>
  <conditionalFormatting sqref="N112:N116">
    <cfRule type="containsText" dxfId="417" priority="149" operator="containsText" text="❌">
      <formula>NOT(ISERROR(SEARCH("❌",N112)))</formula>
    </cfRule>
  </conditionalFormatting>
  <conditionalFormatting sqref="N126:N128">
    <cfRule type="containsText" dxfId="416" priority="134" operator="containsText" text="❌">
      <formula>NOT(ISERROR(SEARCH("❌",N126)))</formula>
    </cfRule>
  </conditionalFormatting>
  <conditionalFormatting sqref="N154:N156">
    <cfRule type="containsText" dxfId="415" priority="86" operator="containsText" text="❌">
      <formula>NOT(ISERROR(SEARCH("❌",N154)))</formula>
    </cfRule>
  </conditionalFormatting>
  <conditionalFormatting sqref="N196:N204">
    <cfRule type="containsText" dxfId="414" priority="1" operator="containsText" text="❌">
      <formula>NOT(ISERROR(SEARCH("❌",N196)))</formula>
    </cfRule>
  </conditionalFormatting>
  <conditionalFormatting sqref="O10:O16">
    <cfRule type="cellIs" dxfId="413" priority="385" operator="equal">
      <formula>"Leve"</formula>
    </cfRule>
    <cfRule type="cellIs" dxfId="412" priority="381" operator="equal">
      <formula>"Catastrófico"</formula>
    </cfRule>
    <cfRule type="cellIs" dxfId="411" priority="382" operator="equal">
      <formula>"Mayor"</formula>
    </cfRule>
    <cfRule type="cellIs" dxfId="410" priority="383" operator="equal">
      <formula>"Moderado"</formula>
    </cfRule>
    <cfRule type="cellIs" dxfId="409" priority="384" operator="equal">
      <formula>"Menor"</formula>
    </cfRule>
  </conditionalFormatting>
  <conditionalFormatting sqref="O26 O30">
    <cfRule type="cellIs" dxfId="408" priority="342" operator="equal">
      <formula>"Moderado"</formula>
    </cfRule>
    <cfRule type="cellIs" dxfId="407" priority="341" operator="equal">
      <formula>"Mayor"</formula>
    </cfRule>
    <cfRule type="cellIs" dxfId="406" priority="344" operator="equal">
      <formula>"Leve"</formula>
    </cfRule>
    <cfRule type="cellIs" dxfId="405" priority="340" operator="equal">
      <formula>"Catastrófico"</formula>
    </cfRule>
    <cfRule type="cellIs" dxfId="404" priority="343" operator="equal">
      <formula>"Menor"</formula>
    </cfRule>
  </conditionalFormatting>
  <conditionalFormatting sqref="O42 O46 O48:O49">
    <cfRule type="cellIs" dxfId="403" priority="324" operator="equal">
      <formula>"Catastrófico"</formula>
    </cfRule>
    <cfRule type="cellIs" dxfId="402" priority="327" operator="equal">
      <formula>"Menor"</formula>
    </cfRule>
    <cfRule type="cellIs" dxfId="401" priority="328" operator="equal">
      <formula>"Leve"</formula>
    </cfRule>
    <cfRule type="cellIs" dxfId="400" priority="325" operator="equal">
      <formula>"Mayor"</formula>
    </cfRule>
    <cfRule type="cellIs" dxfId="399" priority="326" operator="equal">
      <formula>"Moderado"</formula>
    </cfRule>
  </conditionalFormatting>
  <conditionalFormatting sqref="O59:O60 O63 O65 O68">
    <cfRule type="cellIs" dxfId="398" priority="306" operator="equal">
      <formula>"Mayor"</formula>
    </cfRule>
    <cfRule type="cellIs" dxfId="397" priority="307" operator="equal">
      <formula>"Moderado"</formula>
    </cfRule>
    <cfRule type="cellIs" dxfId="396" priority="308" operator="equal">
      <formula>"Menor"</formula>
    </cfRule>
    <cfRule type="cellIs" dxfId="395" priority="309" operator="equal">
      <formula>"Leve"</formula>
    </cfRule>
    <cfRule type="cellIs" dxfId="394" priority="305" operator="equal">
      <formula>"Catastrófico"</formula>
    </cfRule>
  </conditionalFormatting>
  <conditionalFormatting sqref="O78 O82">
    <cfRule type="cellIs" dxfId="393" priority="276" operator="equal">
      <formula>"Leve"</formula>
    </cfRule>
    <cfRule type="cellIs" dxfId="392" priority="275" operator="equal">
      <formula>"Menor"</formula>
    </cfRule>
    <cfRule type="cellIs" dxfId="391" priority="274" operator="equal">
      <formula>"Moderado"</formula>
    </cfRule>
    <cfRule type="cellIs" dxfId="390" priority="273" operator="equal">
      <formula>"Mayor"</formula>
    </cfRule>
    <cfRule type="cellIs" dxfId="389" priority="272" operator="equal">
      <formula>"Catastrófico"</formula>
    </cfRule>
  </conditionalFormatting>
  <conditionalFormatting sqref="O86">
    <cfRule type="cellIs" dxfId="388" priority="228" operator="equal">
      <formula>"Moderado"</formula>
    </cfRule>
    <cfRule type="cellIs" dxfId="387" priority="227" operator="equal">
      <formula>"Mayor"</formula>
    </cfRule>
    <cfRule type="cellIs" dxfId="386" priority="226" operator="equal">
      <formula>"Catastrófico"</formula>
    </cfRule>
    <cfRule type="cellIs" dxfId="385" priority="230" operator="equal">
      <formula>"Leve"</formula>
    </cfRule>
    <cfRule type="cellIs" dxfId="384" priority="229" operator="equal">
      <formula>"Menor"</formula>
    </cfRule>
  </conditionalFormatting>
  <conditionalFormatting sqref="O99">
    <cfRule type="cellIs" dxfId="383" priority="199" operator="equal">
      <formula>"Moderado"</formula>
    </cfRule>
    <cfRule type="cellIs" dxfId="382" priority="201" operator="equal">
      <formula>"Leve"</formula>
    </cfRule>
    <cfRule type="cellIs" dxfId="381" priority="200" operator="equal">
      <formula>"Menor"</formula>
    </cfRule>
    <cfRule type="cellIs" dxfId="380" priority="198" operator="equal">
      <formula>"Mayor"</formula>
    </cfRule>
    <cfRule type="cellIs" dxfId="379" priority="197" operator="equal">
      <formula>"Catastrófico"</formula>
    </cfRule>
  </conditionalFormatting>
  <conditionalFormatting sqref="O112:O116">
    <cfRule type="cellIs" dxfId="378" priority="158" operator="equal">
      <formula>"Leve"</formula>
    </cfRule>
    <cfRule type="cellIs" dxfId="377" priority="157" operator="equal">
      <formula>"Menor"</formula>
    </cfRule>
    <cfRule type="cellIs" dxfId="376" priority="155" operator="equal">
      <formula>"Mayor"</formula>
    </cfRule>
    <cfRule type="cellIs" dxfId="375" priority="154" operator="equal">
      <formula>"Catastrófico"</formula>
    </cfRule>
    <cfRule type="cellIs" dxfId="374" priority="156" operator="equal">
      <formula>"Moderado"</formula>
    </cfRule>
  </conditionalFormatting>
  <conditionalFormatting sqref="O126">
    <cfRule type="cellIs" dxfId="373" priority="140" operator="equal">
      <formula>"Mayor"</formula>
    </cfRule>
    <cfRule type="cellIs" dxfId="372" priority="141" operator="equal">
      <formula>"Moderado"</formula>
    </cfRule>
    <cfRule type="cellIs" dxfId="371" priority="142" operator="equal">
      <formula>"Menor"</formula>
    </cfRule>
    <cfRule type="cellIs" dxfId="370" priority="143" operator="equal">
      <formula>"Leve"</formula>
    </cfRule>
    <cfRule type="cellIs" dxfId="369" priority="139" operator="equal">
      <formula>"Catastrófico"</formula>
    </cfRule>
  </conditionalFormatting>
  <conditionalFormatting sqref="O138 AD138:AD144 O141 O143">
    <cfRule type="cellIs" dxfId="368" priority="110" operator="equal">
      <formula>"Leve"</formula>
    </cfRule>
    <cfRule type="cellIs" dxfId="367" priority="109" operator="equal">
      <formula>"Menor"</formula>
    </cfRule>
    <cfRule type="cellIs" dxfId="366" priority="108" operator="equal">
      <formula>"Moderado"</formula>
    </cfRule>
    <cfRule type="cellIs" dxfId="365" priority="107" operator="equal">
      <formula>"Mayor"</formula>
    </cfRule>
    <cfRule type="cellIs" dxfId="364" priority="106" operator="equal">
      <formula>"Catastrófico"</formula>
    </cfRule>
  </conditionalFormatting>
  <conditionalFormatting sqref="O154 AD154:AD156">
    <cfRule type="cellIs" dxfId="363" priority="92" operator="equal">
      <formula>"Mayor"</formula>
    </cfRule>
    <cfRule type="cellIs" dxfId="362" priority="91" operator="equal">
      <formula>"Catastrófico"</formula>
    </cfRule>
    <cfRule type="cellIs" dxfId="361" priority="93" operator="equal">
      <formula>"Moderado"</formula>
    </cfRule>
    <cfRule type="cellIs" dxfId="360" priority="95" operator="equal">
      <formula>"Leve"</formula>
    </cfRule>
    <cfRule type="cellIs" dxfId="359" priority="94" operator="equal">
      <formula>"Menor"</formula>
    </cfRule>
  </conditionalFormatting>
  <conditionalFormatting sqref="O166 O168">
    <cfRule type="cellIs" dxfId="358" priority="79" operator="equal">
      <formula>"Menor"</formula>
    </cfRule>
    <cfRule type="cellIs" dxfId="357" priority="78" operator="equal">
      <formula>"Moderado"</formula>
    </cfRule>
    <cfRule type="cellIs" dxfId="356" priority="77" operator="equal">
      <formula>"Mayor"</formula>
    </cfRule>
    <cfRule type="cellIs" dxfId="355" priority="76" operator="equal">
      <formula>"Catastrófico"</formula>
    </cfRule>
    <cfRule type="cellIs" dxfId="354" priority="80" operator="equal">
      <formula>"Leve"</formula>
    </cfRule>
  </conditionalFormatting>
  <conditionalFormatting sqref="O179 O181 O184">
    <cfRule type="cellIs" dxfId="353" priority="60" operator="equal">
      <formula>"Menor"</formula>
    </cfRule>
    <cfRule type="cellIs" dxfId="352" priority="57" operator="equal">
      <formula>"Catastrófico"</formula>
    </cfRule>
    <cfRule type="cellIs" dxfId="351" priority="58" operator="equal">
      <formula>"Mayor"</formula>
    </cfRule>
    <cfRule type="cellIs" dxfId="350" priority="59" operator="equal">
      <formula>"Moderado"</formula>
    </cfRule>
    <cfRule type="cellIs" dxfId="349" priority="61" operator="equal">
      <formula>"Leve"</formula>
    </cfRule>
  </conditionalFormatting>
  <conditionalFormatting sqref="O196 AD196:AD204 O201">
    <cfRule type="cellIs" dxfId="348" priority="10" operator="equal">
      <formula>"Catastrófico"</formula>
    </cfRule>
    <cfRule type="cellIs" dxfId="347" priority="14" operator="equal">
      <formula>"Leve"</formula>
    </cfRule>
    <cfRule type="cellIs" dxfId="346" priority="13" operator="equal">
      <formula>"Menor"</formula>
    </cfRule>
    <cfRule type="cellIs" dxfId="345" priority="12" operator="equal">
      <formula>"Moderado"</formula>
    </cfRule>
    <cfRule type="cellIs" dxfId="344" priority="11" operator="equal">
      <formula>"Mayor"</formula>
    </cfRule>
  </conditionalFormatting>
  <conditionalFormatting sqref="Q10:Q16">
    <cfRule type="cellIs" dxfId="343" priority="377" operator="equal">
      <formula>"Extremo"</formula>
    </cfRule>
    <cfRule type="cellIs" dxfId="342" priority="379" operator="equal">
      <formula>"Moderado"</formula>
    </cfRule>
    <cfRule type="cellIs" dxfId="341" priority="380" operator="equal">
      <formula>"Bajo"</formula>
    </cfRule>
    <cfRule type="cellIs" dxfId="340" priority="378" operator="equal">
      <formula>"Alto"</formula>
    </cfRule>
  </conditionalFormatting>
  <conditionalFormatting sqref="Q26">
    <cfRule type="cellIs" dxfId="339" priority="346" operator="equal">
      <formula>"Alto"</formula>
    </cfRule>
    <cfRule type="cellIs" dxfId="338" priority="348" operator="equal">
      <formula>"Bajo"</formula>
    </cfRule>
    <cfRule type="cellIs" dxfId="337" priority="347" operator="equal">
      <formula>"Moderado"</formula>
    </cfRule>
    <cfRule type="cellIs" dxfId="336" priority="345" operator="equal">
      <formula>"Extremo"</formula>
    </cfRule>
  </conditionalFormatting>
  <conditionalFormatting sqref="Q32">
    <cfRule type="cellIs" dxfId="335" priority="351" operator="equal">
      <formula>"Moderado"</formula>
    </cfRule>
    <cfRule type="cellIs" dxfId="334" priority="352" operator="equal">
      <formula>"Bajo"</formula>
    </cfRule>
    <cfRule type="cellIs" dxfId="333" priority="349" operator="equal">
      <formula>"Extremo"</formula>
    </cfRule>
    <cfRule type="cellIs" dxfId="332" priority="350" operator="equal">
      <formula>"Alto"</formula>
    </cfRule>
  </conditionalFormatting>
  <conditionalFormatting sqref="Q42">
    <cfRule type="cellIs" dxfId="331" priority="320" operator="equal">
      <formula>"Extremo"</formula>
    </cfRule>
    <cfRule type="cellIs" dxfId="330" priority="321" operator="equal">
      <formula>"Alto"</formula>
    </cfRule>
    <cfRule type="cellIs" dxfId="329" priority="322" operator="equal">
      <formula>"Moderado"</formula>
    </cfRule>
    <cfRule type="cellIs" dxfId="328" priority="323" operator="equal">
      <formula>"Bajo"</formula>
    </cfRule>
  </conditionalFormatting>
  <conditionalFormatting sqref="Q46 Q48:Q49">
    <cfRule type="cellIs" dxfId="327" priority="319" operator="equal">
      <formula>"Bajo"</formula>
    </cfRule>
    <cfRule type="cellIs" dxfId="326" priority="316" operator="equal">
      <formula>"Extremo"</formula>
    </cfRule>
    <cfRule type="cellIs" dxfId="325" priority="317" operator="equal">
      <formula>"Alto"</formula>
    </cfRule>
    <cfRule type="cellIs" dxfId="324" priority="318" operator="equal">
      <formula>"Moderado"</formula>
    </cfRule>
  </conditionalFormatting>
  <conditionalFormatting sqref="Q59:Q60">
    <cfRule type="cellIs" dxfId="323" priority="301" operator="equal">
      <formula>"Extremo"</formula>
    </cfRule>
    <cfRule type="cellIs" dxfId="322" priority="302" operator="equal">
      <formula>"Alto"</formula>
    </cfRule>
    <cfRule type="cellIs" dxfId="321" priority="303" operator="equal">
      <formula>"Moderado"</formula>
    </cfRule>
    <cfRule type="cellIs" dxfId="320" priority="304" operator="equal">
      <formula>"Bajo"</formula>
    </cfRule>
  </conditionalFormatting>
  <conditionalFormatting sqref="Q63 Q65 Q68">
    <cfRule type="cellIs" dxfId="319" priority="286" operator="equal">
      <formula>"Bajo"</formula>
    </cfRule>
    <cfRule type="cellIs" dxfId="318" priority="285" operator="equal">
      <formula>"Moderado"</formula>
    </cfRule>
    <cfRule type="cellIs" dxfId="317" priority="284" operator="equal">
      <formula>"Alto"</formula>
    </cfRule>
    <cfRule type="cellIs" dxfId="316" priority="283" operator="equal">
      <formula>"Extremo"</formula>
    </cfRule>
  </conditionalFormatting>
  <conditionalFormatting sqref="Q78">
    <cfRule type="cellIs" dxfId="315" priority="270" operator="equal">
      <formula>"Moderado"</formula>
    </cfRule>
    <cfRule type="cellIs" dxfId="314" priority="269" operator="equal">
      <formula>"Alto"</formula>
    </cfRule>
    <cfRule type="cellIs" dxfId="313" priority="271" operator="equal">
      <formula>"Bajo"</formula>
    </cfRule>
    <cfRule type="cellIs" dxfId="312" priority="268" operator="equal">
      <formula>"Extremo"</formula>
    </cfRule>
  </conditionalFormatting>
  <conditionalFormatting sqref="Q82">
    <cfRule type="cellIs" dxfId="311" priority="262" operator="equal">
      <formula>"Bajo"</formula>
    </cfRule>
    <cfRule type="cellIs" dxfId="310" priority="261" operator="equal">
      <formula>"Moderado"</formula>
    </cfRule>
    <cfRule type="cellIs" dxfId="309" priority="260" operator="equal">
      <formula>"Alto"</formula>
    </cfRule>
    <cfRule type="cellIs" dxfId="308" priority="259" operator="equal">
      <formula>"Extremo"</formula>
    </cfRule>
  </conditionalFormatting>
  <conditionalFormatting sqref="Q86">
    <cfRule type="cellIs" dxfId="307" priority="222" operator="equal">
      <formula>"Extremo"</formula>
    </cfRule>
    <cfRule type="cellIs" dxfId="306" priority="223" operator="equal">
      <formula>"Alto"</formula>
    </cfRule>
    <cfRule type="cellIs" dxfId="305" priority="224" operator="equal">
      <formula>"Moderado"</formula>
    </cfRule>
    <cfRule type="cellIs" dxfId="304" priority="225" operator="equal">
      <formula>"Bajo"</formula>
    </cfRule>
  </conditionalFormatting>
  <conditionalFormatting sqref="Q99">
    <cfRule type="cellIs" dxfId="303" priority="196" operator="equal">
      <formula>"Bajo"</formula>
    </cfRule>
    <cfRule type="cellIs" dxfId="302" priority="194" operator="equal">
      <formula>"Alto"</formula>
    </cfRule>
    <cfRule type="cellIs" dxfId="301" priority="193" operator="equal">
      <formula>"Extremo"</formula>
    </cfRule>
    <cfRule type="cellIs" dxfId="300" priority="195" operator="equal">
      <formula>"Moderado"</formula>
    </cfRule>
  </conditionalFormatting>
  <conditionalFormatting sqref="Q112:Q116">
    <cfRule type="cellIs" dxfId="299" priority="153" operator="equal">
      <formula>"Bajo"</formula>
    </cfRule>
    <cfRule type="cellIs" dxfId="298" priority="151" operator="equal">
      <formula>"Alto"</formula>
    </cfRule>
    <cfRule type="cellIs" dxfId="297" priority="150" operator="equal">
      <formula>"Extremo"</formula>
    </cfRule>
    <cfRule type="cellIs" dxfId="296" priority="152" operator="equal">
      <formula>"Moderado"</formula>
    </cfRule>
  </conditionalFormatting>
  <conditionalFormatting sqref="Q126">
    <cfRule type="cellIs" dxfId="295" priority="138" operator="equal">
      <formula>"Bajo"</formula>
    </cfRule>
    <cfRule type="cellIs" dxfId="294" priority="136" operator="equal">
      <formula>"Alto"</formula>
    </cfRule>
    <cfRule type="cellIs" dxfId="293" priority="137" operator="equal">
      <formula>"Moderado"</formula>
    </cfRule>
    <cfRule type="cellIs" dxfId="292" priority="135" operator="equal">
      <formula>"Extremo"</formula>
    </cfRule>
  </conditionalFormatting>
  <conditionalFormatting sqref="Q138 AF138:AF144">
    <cfRule type="cellIs" dxfId="291" priority="114" operator="equal">
      <formula>"Bajo"</formula>
    </cfRule>
    <cfRule type="cellIs" dxfId="290" priority="113" operator="equal">
      <formula>"Moderado"</formula>
    </cfRule>
    <cfRule type="cellIs" dxfId="289" priority="112" operator="equal">
      <formula>"Alto"</formula>
    </cfRule>
    <cfRule type="cellIs" dxfId="288" priority="111" operator="equal">
      <formula>"Extremo"</formula>
    </cfRule>
  </conditionalFormatting>
  <conditionalFormatting sqref="Q141 Q143">
    <cfRule type="cellIs" dxfId="287" priority="118" operator="equal">
      <formula>"Bajo"</formula>
    </cfRule>
    <cfRule type="cellIs" dxfId="286" priority="115" operator="equal">
      <formula>"Extremo"</formula>
    </cfRule>
    <cfRule type="cellIs" dxfId="285" priority="116" operator="equal">
      <formula>"Alto"</formula>
    </cfRule>
    <cfRule type="cellIs" dxfId="284" priority="117" operator="equal">
      <formula>"Moderado"</formula>
    </cfRule>
  </conditionalFormatting>
  <conditionalFormatting sqref="Q154 AF154:AF156">
    <cfRule type="cellIs" dxfId="283" priority="87" operator="equal">
      <formula>"Extremo"</formula>
    </cfRule>
    <cfRule type="cellIs" dxfId="282" priority="88" operator="equal">
      <formula>"Alto"</formula>
    </cfRule>
    <cfRule type="cellIs" dxfId="281" priority="89" operator="equal">
      <formula>"Moderado"</formula>
    </cfRule>
    <cfRule type="cellIs" dxfId="280" priority="90" operator="equal">
      <formula>"Bajo"</formula>
    </cfRule>
  </conditionalFormatting>
  <conditionalFormatting sqref="Q166">
    <cfRule type="cellIs" dxfId="279" priority="75" operator="equal">
      <formula>"Bajo"</formula>
    </cfRule>
    <cfRule type="cellIs" dxfId="278" priority="74" operator="equal">
      <formula>"Moderado"</formula>
    </cfRule>
    <cfRule type="cellIs" dxfId="277" priority="72" operator="equal">
      <formula>"Extremo"</formula>
    </cfRule>
    <cfRule type="cellIs" dxfId="276" priority="73" operator="equal">
      <formula>"Alto"</formula>
    </cfRule>
  </conditionalFormatting>
  <conditionalFormatting sqref="Q168">
    <cfRule type="cellIs" dxfId="275" priority="71" operator="equal">
      <formula>"Bajo"</formula>
    </cfRule>
    <cfRule type="cellIs" dxfId="274" priority="70" operator="equal">
      <formula>"Moderado"</formula>
    </cfRule>
    <cfRule type="cellIs" dxfId="273" priority="69" operator="equal">
      <formula>"Alto"</formula>
    </cfRule>
    <cfRule type="cellIs" dxfId="272" priority="68" operator="equal">
      <formula>"Extremo"</formula>
    </cfRule>
  </conditionalFormatting>
  <conditionalFormatting sqref="Q179">
    <cfRule type="cellIs" dxfId="271" priority="55" operator="equal">
      <formula>"Moderado"</formula>
    </cfRule>
    <cfRule type="cellIs" dxfId="270" priority="56" operator="equal">
      <formula>"Bajo"</formula>
    </cfRule>
    <cfRule type="cellIs" dxfId="269" priority="53" operator="equal">
      <formula>"Extremo"</formula>
    </cfRule>
    <cfRule type="cellIs" dxfId="268" priority="54" operator="equal">
      <formula>"Alto"</formula>
    </cfRule>
  </conditionalFormatting>
  <conditionalFormatting sqref="Q181 Q184">
    <cfRule type="cellIs" dxfId="267" priority="49" operator="equal">
      <formula>"Extremo"</formula>
    </cfRule>
    <cfRule type="cellIs" dxfId="266" priority="50" operator="equal">
      <formula>"Alto"</formula>
    </cfRule>
    <cfRule type="cellIs" dxfId="265" priority="51" operator="equal">
      <formula>"Moderado"</formula>
    </cfRule>
    <cfRule type="cellIs" dxfId="264" priority="52" operator="equal">
      <formula>"Bajo"</formula>
    </cfRule>
  </conditionalFormatting>
  <conditionalFormatting sqref="Q196 AF196:AF204">
    <cfRule type="cellIs" dxfId="263" priority="6" operator="equal">
      <formula>"Extremo"</formula>
    </cfRule>
    <cfRule type="cellIs" dxfId="262" priority="7" operator="equal">
      <formula>"Alto"</formula>
    </cfRule>
    <cfRule type="cellIs" dxfId="261" priority="8" operator="equal">
      <formula>"Moderado"</formula>
    </cfRule>
    <cfRule type="cellIs" dxfId="260" priority="9" operator="equal">
      <formula>"Bajo"</formula>
    </cfRule>
  </conditionalFormatting>
  <conditionalFormatting sqref="Q201">
    <cfRule type="cellIs" dxfId="259" priority="3" operator="equal">
      <formula>"Alto"</formula>
    </cfRule>
    <cfRule type="cellIs" dxfId="258" priority="2" operator="equal">
      <formula>"Extremo"</formula>
    </cfRule>
    <cfRule type="cellIs" dxfId="257" priority="4" operator="equal">
      <formula>"Moderado"</formula>
    </cfRule>
    <cfRule type="cellIs" dxfId="256" priority="5" operator="equal">
      <formula>"Bajo"</formula>
    </cfRule>
  </conditionalFormatting>
  <conditionalFormatting sqref="AA282:AA389">
    <cfRule type="cellIs" dxfId="255" priority="2102" operator="equal">
      <formula>"Media"</formula>
    </cfRule>
    <cfRule type="cellIs" dxfId="254" priority="2101" operator="equal">
      <formula>"Baja"</formula>
    </cfRule>
    <cfRule type="cellIs" dxfId="253" priority="2099" operator="equal">
      <formula>"Muy Alta"</formula>
    </cfRule>
    <cfRule type="cellIs" dxfId="252" priority="2098" operator="equal">
      <formula>"Alta"</formula>
    </cfRule>
    <cfRule type="cellIs" dxfId="251" priority="2100" operator="equal">
      <formula>"Muy Baja"</formula>
    </cfRule>
  </conditionalFormatting>
  <conditionalFormatting sqref="AB10:AB16 AB42:AB49 AB166:AB169 AB179:AB184">
    <cfRule type="cellIs" dxfId="250" priority="408" operator="equal">
      <formula>"Baja"</formula>
    </cfRule>
    <cfRule type="cellIs" dxfId="249" priority="409" operator="equal">
      <formula>"Muy Baja"</formula>
    </cfRule>
    <cfRule type="cellIs" dxfId="248" priority="405" operator="equal">
      <formula>"Muy Alta"</formula>
    </cfRule>
    <cfRule type="cellIs" dxfId="247" priority="406" operator="equal">
      <formula>"Alta"</formula>
    </cfRule>
    <cfRule type="cellIs" dxfId="246" priority="407" operator="equal">
      <formula>"Media"</formula>
    </cfRule>
  </conditionalFormatting>
  <conditionalFormatting sqref="AB26 AB28:AB32">
    <cfRule type="cellIs" dxfId="245" priority="357" operator="equal">
      <formula>"Muy Baja"</formula>
    </cfRule>
    <cfRule type="cellIs" dxfId="244" priority="356" operator="equal">
      <formula>"Baja"</formula>
    </cfRule>
    <cfRule type="cellIs" dxfId="243" priority="353" operator="equal">
      <formula>"Muy Alta"</formula>
    </cfRule>
    <cfRule type="cellIs" dxfId="242" priority="355" operator="equal">
      <formula>"Media"</formula>
    </cfRule>
    <cfRule type="cellIs" dxfId="241" priority="354" operator="equal">
      <formula>"Alta"</formula>
    </cfRule>
  </conditionalFormatting>
  <conditionalFormatting sqref="AB59:AB68">
    <cfRule type="cellIs" dxfId="240" priority="300" operator="equal">
      <formula>"Muy Baja"</formula>
    </cfRule>
    <cfRule type="cellIs" dxfId="239" priority="296" operator="equal">
      <formula>"Muy Alta"</formula>
    </cfRule>
    <cfRule type="cellIs" dxfId="238" priority="297" operator="equal">
      <formula>"Alta"</formula>
    </cfRule>
    <cfRule type="cellIs" dxfId="237" priority="298" operator="equal">
      <formula>"Media"</formula>
    </cfRule>
    <cfRule type="cellIs" dxfId="236" priority="299" operator="equal">
      <formula>"Baja"</formula>
    </cfRule>
  </conditionalFormatting>
  <conditionalFormatting sqref="AB78:AB79">
    <cfRule type="cellIs" dxfId="235" priority="263" operator="equal">
      <formula>"Muy Alta"</formula>
    </cfRule>
    <cfRule type="cellIs" dxfId="234" priority="266" operator="equal">
      <formula>"Baja"</formula>
    </cfRule>
    <cfRule type="cellIs" dxfId="233" priority="267" operator="equal">
      <formula>"Muy Baja"</formula>
    </cfRule>
    <cfRule type="cellIs" dxfId="232" priority="265" operator="equal">
      <formula>"Media"</formula>
    </cfRule>
    <cfRule type="cellIs" dxfId="231" priority="264" operator="equal">
      <formula>"Alta"</formula>
    </cfRule>
  </conditionalFormatting>
  <conditionalFormatting sqref="AB82:AB83">
    <cfRule type="cellIs" dxfId="230" priority="258" operator="equal">
      <formula>"Muy Baja"</formula>
    </cfRule>
    <cfRule type="cellIs" dxfId="229" priority="257" operator="equal">
      <formula>"Baja"</formula>
    </cfRule>
    <cfRule type="cellIs" dxfId="228" priority="256" operator="equal">
      <formula>"Media"</formula>
    </cfRule>
    <cfRule type="cellIs" dxfId="227" priority="255" operator="equal">
      <formula>"Alta"</formula>
    </cfRule>
    <cfRule type="cellIs" dxfId="226" priority="254" operator="equal">
      <formula>"Muy Alta"</formula>
    </cfRule>
  </conditionalFormatting>
  <conditionalFormatting sqref="AB86">
    <cfRule type="cellIs" dxfId="225" priority="219" operator="equal">
      <formula>"Media"</formula>
    </cfRule>
    <cfRule type="cellIs" dxfId="224" priority="218" operator="equal">
      <formula>"Alta"</formula>
    </cfRule>
    <cfRule type="cellIs" dxfId="223" priority="217" operator="equal">
      <formula>"Muy Alta"</formula>
    </cfRule>
    <cfRule type="cellIs" dxfId="222" priority="220" operator="equal">
      <formula>"Baja"</formula>
    </cfRule>
    <cfRule type="cellIs" dxfId="221" priority="221" operator="equal">
      <formula>"Muy Baja"</formula>
    </cfRule>
  </conditionalFormatting>
  <conditionalFormatting sqref="AB99:AB102">
    <cfRule type="cellIs" dxfId="220" priority="190" operator="equal">
      <formula>"Baja"</formula>
    </cfRule>
    <cfRule type="cellIs" dxfId="219" priority="188" operator="equal">
      <formula>"Alta"</formula>
    </cfRule>
    <cfRule type="cellIs" dxfId="218" priority="187" operator="equal">
      <formula>"Muy Alta"</formula>
    </cfRule>
    <cfRule type="cellIs" dxfId="217" priority="189" operator="equal">
      <formula>"Media"</formula>
    </cfRule>
    <cfRule type="cellIs" dxfId="216" priority="191" operator="equal">
      <formula>"Muy Baja"</formula>
    </cfRule>
  </conditionalFormatting>
  <conditionalFormatting sqref="AB112:AB116">
    <cfRule type="cellIs" dxfId="215" priority="165" operator="equal">
      <formula>"Alta"</formula>
    </cfRule>
    <cfRule type="cellIs" dxfId="214" priority="168" operator="equal">
      <formula>"Muy Baja"</formula>
    </cfRule>
    <cfRule type="cellIs" dxfId="213" priority="167" operator="equal">
      <formula>"Baja"</formula>
    </cfRule>
    <cfRule type="cellIs" dxfId="212" priority="166" operator="equal">
      <formula>"Media"</formula>
    </cfRule>
    <cfRule type="cellIs" dxfId="211" priority="164" operator="equal">
      <formula>"Muy Alta"</formula>
    </cfRule>
  </conditionalFormatting>
  <conditionalFormatting sqref="AB126:AB128">
    <cfRule type="cellIs" dxfId="210" priority="129" operator="equal">
      <formula>"Muy Alta"</formula>
    </cfRule>
    <cfRule type="cellIs" dxfId="209" priority="130" operator="equal">
      <formula>"Alta"</formula>
    </cfRule>
    <cfRule type="cellIs" dxfId="208" priority="131" operator="equal">
      <formula>"Media"</formula>
    </cfRule>
    <cfRule type="cellIs" dxfId="207" priority="132" operator="equal">
      <formula>"Baja"</formula>
    </cfRule>
    <cfRule type="cellIs" dxfId="206" priority="133" operator="equal">
      <formula>"Muy Baja"</formula>
    </cfRule>
  </conditionalFormatting>
  <conditionalFormatting sqref="AB186">
    <cfRule type="cellIs" dxfId="205" priority="29" operator="equal">
      <formula>"Muy Alta"</formula>
    </cfRule>
    <cfRule type="cellIs" dxfId="204" priority="30" operator="equal">
      <formula>"Alta"</formula>
    </cfRule>
    <cfRule type="cellIs" dxfId="203" priority="31" operator="equal">
      <formula>"Media"</formula>
    </cfRule>
    <cfRule type="cellIs" dxfId="202" priority="32" operator="equal">
      <formula>"Baja"</formula>
    </cfRule>
    <cfRule type="cellIs" dxfId="201" priority="33" operator="equal">
      <formula>"Muy Baja"</formula>
    </cfRule>
  </conditionalFormatting>
  <conditionalFormatting sqref="AC282:AC389">
    <cfRule type="cellIs" dxfId="200" priority="2093" operator="equal">
      <formula>"Menor"</formula>
    </cfRule>
    <cfRule type="cellIs" dxfId="199" priority="2096" operator="equal">
      <formula>"Catastrófico"</formula>
    </cfRule>
    <cfRule type="cellIs" dxfId="198" priority="2095" operator="equal">
      <formula>"Mayor"</formula>
    </cfRule>
    <cfRule type="cellIs" dxfId="197" priority="2094" operator="equal">
      <formula>"Moderado"</formula>
    </cfRule>
    <cfRule type="cellIs" dxfId="196" priority="2097" operator="equal">
      <formula>"Leve"</formula>
    </cfRule>
  </conditionalFormatting>
  <conditionalFormatting sqref="AD10:AD16 AD42:AD49 AD166:AD169 AD179:AD184">
    <cfRule type="cellIs" dxfId="195" priority="404" operator="equal">
      <formula>"Leve"</formula>
    </cfRule>
    <cfRule type="cellIs" dxfId="194" priority="400" operator="equal">
      <formula>"Catastrófico"</formula>
    </cfRule>
    <cfRule type="cellIs" dxfId="193" priority="403" operator="equal">
      <formula>"Menor"</formula>
    </cfRule>
    <cfRule type="cellIs" dxfId="192" priority="402" operator="equal">
      <formula>"Moderado"</formula>
    </cfRule>
    <cfRule type="cellIs" dxfId="191" priority="401" operator="equal">
      <formula>"Mayor"</formula>
    </cfRule>
  </conditionalFormatting>
  <conditionalFormatting sqref="AD26 AD28:AD32">
    <cfRule type="cellIs" dxfId="190" priority="358" operator="equal">
      <formula>"Catastrófico"</formula>
    </cfRule>
    <cfRule type="cellIs" dxfId="189" priority="362" operator="equal">
      <formula>"Leve"</formula>
    </cfRule>
    <cfRule type="cellIs" dxfId="188" priority="359" operator="equal">
      <formula>"Mayor"</formula>
    </cfRule>
    <cfRule type="cellIs" dxfId="187" priority="360" operator="equal">
      <formula>"Moderado"</formula>
    </cfRule>
    <cfRule type="cellIs" dxfId="186" priority="361" operator="equal">
      <formula>"Menor"</formula>
    </cfRule>
  </conditionalFormatting>
  <conditionalFormatting sqref="AD59:AD68">
    <cfRule type="cellIs" dxfId="185" priority="291" operator="equal">
      <formula>"Catastrófico"</formula>
    </cfRule>
    <cfRule type="cellIs" dxfId="184" priority="292" operator="equal">
      <formula>"Mayor"</formula>
    </cfRule>
    <cfRule type="cellIs" dxfId="183" priority="293" operator="equal">
      <formula>"Moderado"</formula>
    </cfRule>
    <cfRule type="cellIs" dxfId="182" priority="294" operator="equal">
      <formula>"Menor"</formula>
    </cfRule>
    <cfRule type="cellIs" dxfId="181" priority="295" operator="equal">
      <formula>"Leve"</formula>
    </cfRule>
  </conditionalFormatting>
  <conditionalFormatting sqref="AD78:AD79">
    <cfRule type="cellIs" dxfId="180" priority="241" operator="equal">
      <formula>"Mayor"</formula>
    </cfRule>
    <cfRule type="cellIs" dxfId="179" priority="243" operator="equal">
      <formula>"Menor"</formula>
    </cfRule>
    <cfRule type="cellIs" dxfId="178" priority="244" operator="equal">
      <formula>"Leve"</formula>
    </cfRule>
    <cfRule type="cellIs" dxfId="177" priority="242" operator="equal">
      <formula>"Moderado"</formula>
    </cfRule>
    <cfRule type="cellIs" dxfId="176" priority="240" operator="equal">
      <formula>"Catastrófico"</formula>
    </cfRule>
  </conditionalFormatting>
  <conditionalFormatting sqref="AD82:AD83">
    <cfRule type="cellIs" dxfId="175" priority="253" operator="equal">
      <formula>"Leve"</formula>
    </cfRule>
    <cfRule type="cellIs" dxfId="174" priority="252" operator="equal">
      <formula>"Menor"</formula>
    </cfRule>
    <cfRule type="cellIs" dxfId="173" priority="251" operator="equal">
      <formula>"Moderado"</formula>
    </cfRule>
    <cfRule type="cellIs" dxfId="172" priority="250" operator="equal">
      <formula>"Mayor"</formula>
    </cfRule>
    <cfRule type="cellIs" dxfId="171" priority="249" operator="equal">
      <formula>"Catastrófico"</formula>
    </cfRule>
  </conditionalFormatting>
  <conditionalFormatting sqref="AD86">
    <cfRule type="cellIs" dxfId="170" priority="212" operator="equal">
      <formula>"Catastrófico"</formula>
    </cfRule>
    <cfRule type="cellIs" dxfId="169" priority="216" operator="equal">
      <formula>"Leve"</formula>
    </cfRule>
    <cfRule type="cellIs" dxfId="168" priority="215" operator="equal">
      <formula>"Menor"</formula>
    </cfRule>
    <cfRule type="cellIs" dxfId="167" priority="214" operator="equal">
      <formula>"Moderado"</formula>
    </cfRule>
    <cfRule type="cellIs" dxfId="166" priority="213" operator="equal">
      <formula>"Mayor"</formula>
    </cfRule>
  </conditionalFormatting>
  <conditionalFormatting sqref="AD99:AD102">
    <cfRule type="cellIs" dxfId="165" priority="182" operator="equal">
      <formula>"Catastrófico"</formula>
    </cfRule>
    <cfRule type="cellIs" dxfId="164" priority="184" operator="equal">
      <formula>"Moderado"</formula>
    </cfRule>
    <cfRule type="cellIs" dxfId="163" priority="185" operator="equal">
      <formula>"Menor"</formula>
    </cfRule>
    <cfRule type="cellIs" dxfId="162" priority="186" operator="equal">
      <formula>"Leve"</formula>
    </cfRule>
    <cfRule type="cellIs" dxfId="161" priority="183" operator="equal">
      <formula>"Mayor"</formula>
    </cfRule>
  </conditionalFormatting>
  <conditionalFormatting sqref="AD112 AD116">
    <cfRule type="cellIs" dxfId="160" priority="177" operator="equal">
      <formula>"Leve"</formula>
    </cfRule>
    <cfRule type="cellIs" dxfId="159" priority="173" operator="equal">
      <formula>"Catastrófico"</formula>
    </cfRule>
    <cfRule type="cellIs" dxfId="158" priority="174" operator="equal">
      <formula>"Mayor"</formula>
    </cfRule>
    <cfRule type="cellIs" dxfId="157" priority="175" operator="equal">
      <formula>"Moderado"</formula>
    </cfRule>
    <cfRule type="cellIs" dxfId="156" priority="176" operator="equal">
      <formula>"Menor"</formula>
    </cfRule>
  </conditionalFormatting>
  <conditionalFormatting sqref="AD126:AD128">
    <cfRule type="cellIs" dxfId="155" priority="124" operator="equal">
      <formula>"Catastrófico"</formula>
    </cfRule>
    <cfRule type="cellIs" dxfId="154" priority="128" operator="equal">
      <formula>"Leve"</formula>
    </cfRule>
    <cfRule type="cellIs" dxfId="153" priority="127" operator="equal">
      <formula>"Menor"</formula>
    </cfRule>
    <cfRule type="cellIs" dxfId="152" priority="125" operator="equal">
      <formula>"Mayor"</formula>
    </cfRule>
    <cfRule type="cellIs" dxfId="151" priority="126" operator="equal">
      <formula>"Moderado"</formula>
    </cfRule>
  </conditionalFormatting>
  <conditionalFormatting sqref="AD186">
    <cfRule type="cellIs" dxfId="150" priority="24" operator="equal">
      <formula>"Catastrófico"</formula>
    </cfRule>
    <cfRule type="cellIs" dxfId="149" priority="26" operator="equal">
      <formula>"Moderado"</formula>
    </cfRule>
    <cfRule type="cellIs" dxfId="148" priority="27" operator="equal">
      <formula>"Menor"</formula>
    </cfRule>
    <cfRule type="cellIs" dxfId="147" priority="28" operator="equal">
      <formula>"Leve"</formula>
    </cfRule>
    <cfRule type="cellIs" dxfId="146" priority="25" operator="equal">
      <formula>"Mayor"</formula>
    </cfRule>
  </conditionalFormatting>
  <conditionalFormatting sqref="AE282:AE389">
    <cfRule type="cellIs" dxfId="145" priority="2092" operator="equal">
      <formula>"Extremo"</formula>
    </cfRule>
    <cfRule type="cellIs" dxfId="144" priority="2091" operator="equal">
      <formula>"Alto"</formula>
    </cfRule>
    <cfRule type="cellIs" dxfId="143" priority="2090" operator="equal">
      <formula>"Moderado"</formula>
    </cfRule>
    <cfRule type="cellIs" dxfId="142" priority="2089" operator="equal">
      <formula>"Bajo"</formula>
    </cfRule>
  </conditionalFormatting>
  <conditionalFormatting sqref="AF10:AF16 AF42:AF49 AF166:AF169 AF179:AF184">
    <cfRule type="cellIs" dxfId="141" priority="396" operator="equal">
      <formula>"Extremo"</formula>
    </cfRule>
    <cfRule type="cellIs" dxfId="140" priority="397" operator="equal">
      <formula>"Alto"</formula>
    </cfRule>
    <cfRule type="cellIs" dxfId="139" priority="399" operator="equal">
      <formula>"Bajo"</formula>
    </cfRule>
    <cfRule type="cellIs" dxfId="138" priority="398" operator="equal">
      <formula>"Moderado"</formula>
    </cfRule>
  </conditionalFormatting>
  <conditionalFormatting sqref="AF26 AF28:AF32">
    <cfRule type="cellIs" dxfId="137" priority="364" operator="equal">
      <formula>"Alto"</formula>
    </cfRule>
    <cfRule type="cellIs" dxfId="136" priority="363" operator="equal">
      <formula>"Extremo"</formula>
    </cfRule>
    <cfRule type="cellIs" dxfId="135" priority="365" operator="equal">
      <formula>"Moderado"</formula>
    </cfRule>
    <cfRule type="cellIs" dxfId="134" priority="366" operator="equal">
      <formula>"Bajo"</formula>
    </cfRule>
  </conditionalFormatting>
  <conditionalFormatting sqref="AF59:AF68">
    <cfRule type="cellIs" dxfId="133" priority="288" operator="equal">
      <formula>"Alto"</formula>
    </cfRule>
    <cfRule type="cellIs" dxfId="132" priority="289" operator="equal">
      <formula>"Moderado"</formula>
    </cfRule>
    <cfRule type="cellIs" dxfId="131" priority="290" operator="equal">
      <formula>"Bajo"</formula>
    </cfRule>
    <cfRule type="cellIs" dxfId="130" priority="287" operator="equal">
      <formula>"Extremo"</formula>
    </cfRule>
  </conditionalFormatting>
  <conditionalFormatting sqref="AF78:AF79">
    <cfRule type="cellIs" dxfId="129" priority="237" operator="equal">
      <formula>"Alto"</formula>
    </cfRule>
    <cfRule type="cellIs" dxfId="128" priority="238" operator="equal">
      <formula>"Moderado"</formula>
    </cfRule>
    <cfRule type="cellIs" dxfId="127" priority="239" operator="equal">
      <formula>"Bajo"</formula>
    </cfRule>
    <cfRule type="cellIs" dxfId="126" priority="236" operator="equal">
      <formula>"Extremo"</formula>
    </cfRule>
  </conditionalFormatting>
  <conditionalFormatting sqref="AF82:AF83">
    <cfRule type="cellIs" dxfId="125" priority="245" operator="equal">
      <formula>"Extremo"</formula>
    </cfRule>
    <cfRule type="cellIs" dxfId="124" priority="248" operator="equal">
      <formula>"Bajo"</formula>
    </cfRule>
    <cfRule type="cellIs" dxfId="123" priority="246" operator="equal">
      <formula>"Alto"</formula>
    </cfRule>
    <cfRule type="cellIs" dxfId="122" priority="247" operator="equal">
      <formula>"Moderado"</formula>
    </cfRule>
  </conditionalFormatting>
  <conditionalFormatting sqref="AF86">
    <cfRule type="cellIs" dxfId="121" priority="211" operator="equal">
      <formula>"Bajo"</formula>
    </cfRule>
    <cfRule type="cellIs" dxfId="120" priority="210" operator="equal">
      <formula>"Moderado"</formula>
    </cfRule>
    <cfRule type="cellIs" dxfId="119" priority="209" operator="equal">
      <formula>"Alto"</formula>
    </cfRule>
    <cfRule type="cellIs" dxfId="118" priority="208" operator="equal">
      <formula>"Extremo"</formula>
    </cfRule>
  </conditionalFormatting>
  <conditionalFormatting sqref="AF99:AF102">
    <cfRule type="cellIs" dxfId="117" priority="181" operator="equal">
      <formula>"Bajo"</formula>
    </cfRule>
    <cfRule type="cellIs" dxfId="116" priority="178" operator="equal">
      <formula>"Extremo"</formula>
    </cfRule>
    <cfRule type="cellIs" dxfId="115" priority="179" operator="equal">
      <formula>"Alto"</formula>
    </cfRule>
    <cfRule type="cellIs" dxfId="114" priority="180" operator="equal">
      <formula>"Moderado"</formula>
    </cfRule>
  </conditionalFormatting>
  <conditionalFormatting sqref="AF112 AF116">
    <cfRule type="cellIs" dxfId="113" priority="171" operator="equal">
      <formula>"Moderado"</formula>
    </cfRule>
    <cfRule type="cellIs" dxfId="112" priority="172" operator="equal">
      <formula>"Bajo"</formula>
    </cfRule>
    <cfRule type="cellIs" dxfId="111" priority="170" operator="equal">
      <formula>"Alto"</formula>
    </cfRule>
    <cfRule type="cellIs" dxfId="110" priority="169" operator="equal">
      <formula>"Extremo"</formula>
    </cfRule>
  </conditionalFormatting>
  <conditionalFormatting sqref="AF126:AF128">
    <cfRule type="cellIs" dxfId="109" priority="120" operator="equal">
      <formula>"Extremo"</formula>
    </cfRule>
    <cfRule type="cellIs" dxfId="108" priority="123" operator="equal">
      <formula>"Bajo"</formula>
    </cfRule>
    <cfRule type="cellIs" dxfId="107" priority="121" operator="equal">
      <formula>"Alto"</formula>
    </cfRule>
    <cfRule type="cellIs" dxfId="106" priority="122" operator="equal">
      <formula>"Moderado"</formula>
    </cfRule>
  </conditionalFormatting>
  <conditionalFormatting sqref="AF186">
    <cfRule type="cellIs" dxfId="105" priority="22" operator="equal">
      <formula>"Moderado"</formula>
    </cfRule>
    <cfRule type="cellIs" dxfId="104" priority="21" operator="equal">
      <formula>"Alto"</formula>
    </cfRule>
    <cfRule type="cellIs" dxfId="103" priority="20" operator="equal">
      <formula>"Extremo"</formula>
    </cfRule>
    <cfRule type="cellIs" dxfId="102" priority="23" operator="equal">
      <formula>"Bajo"</formula>
    </cfRule>
  </conditionalFormatting>
  <dataValidations disablePrompts="1" count="4">
    <dataValidation type="list" allowBlank="1" showErrorMessage="1" sqref="G26 G28 G30 G138 G141 G143" xr:uid="{B95821E7-EAE5-4F5E-9E33-B7E0800A488E}">
      <formula1>"Gestión,FISCAL"</formula1>
    </dataValidation>
    <dataValidation type="list" allowBlank="1" showInputMessage="1" showErrorMessage="1" sqref="G10:G16 G42:G49 G78 G82 G86 G99 G112:G116 G126:G128 G154:G156 G179:G186" xr:uid="{3C37AA88-CD9C-49C5-8838-ED5D59283398}">
      <formula1>"Gestión, FISCAL,"</formula1>
    </dataValidation>
    <dataValidation type="list" allowBlank="1" showInputMessage="1" showErrorMessage="1" sqref="G59:G64" xr:uid="{1496234F-80A6-4D03-BDDA-D7567B0E11CC}">
      <formula1>"Gestión,Fiscal"</formula1>
    </dataValidation>
    <dataValidation type="list" allowBlank="1" showInputMessage="1" showErrorMessage="1" sqref="G201" xr:uid="{DD43CDE7-666E-4FBE-AC77-BA62E202C641}">
      <formula1>"Gestion,Fiscal"</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CB89B-67B6-450F-BE78-ECD628C14BB3}">
  <dimension ref="A1:AQ39"/>
  <sheetViews>
    <sheetView tabSelected="1" topLeftCell="A26" zoomScale="70" zoomScaleNormal="70" workbookViewId="0">
      <selection activeCell="A28" sqref="A28:AM29"/>
    </sheetView>
  </sheetViews>
  <sheetFormatPr baseColWidth="10" defaultColWidth="11.44140625" defaultRowHeight="13.8" x14ac:dyDescent="0.3"/>
  <cols>
    <col min="1" max="1" width="4" style="36" bestFit="1" customWidth="1"/>
    <col min="2" max="2" width="15.5546875" style="36" customWidth="1"/>
    <col min="3" max="3" width="31.109375" style="36" customWidth="1"/>
    <col min="4" max="4" width="38.109375" style="36" customWidth="1"/>
    <col min="5" max="5" width="57.33203125" style="36" customWidth="1"/>
    <col min="6" max="6" width="61.6640625" style="35" customWidth="1"/>
    <col min="7" max="7" width="18.77734375" style="35" customWidth="1"/>
    <col min="8" max="8" width="31.6640625" style="37" customWidth="1"/>
    <col min="9" max="9" width="32.21875" style="35" customWidth="1"/>
    <col min="10" max="10" width="33.6640625" style="35" bestFit="1" customWidth="1"/>
    <col min="11" max="11" width="11.33203125" style="35" customWidth="1"/>
    <col min="12" max="12" width="24.77734375" style="35" customWidth="1"/>
    <col min="13" max="13" width="28.33203125" style="35" customWidth="1"/>
    <col min="14" max="14" width="31.6640625" style="35" customWidth="1"/>
    <col min="15" max="15" width="23.88671875" style="35" customWidth="1"/>
    <col min="16" max="16" width="18.5546875" style="35" customWidth="1"/>
    <col min="17" max="17" width="14.33203125" style="35" customWidth="1"/>
    <col min="18" max="18" width="25.5546875" style="35" customWidth="1"/>
    <col min="19" max="19" width="73.44140625" style="35" customWidth="1"/>
    <col min="20" max="20" width="16.21875" style="35" customWidth="1"/>
    <col min="21" max="21" width="13.6640625" style="35" customWidth="1"/>
    <col min="22" max="22" width="12" style="35" customWidth="1"/>
    <col min="23" max="23" width="11.5546875" style="35" customWidth="1"/>
    <col min="24" max="24" width="6.6640625" style="35" customWidth="1"/>
    <col min="25" max="25" width="4.6640625" style="35" customWidth="1"/>
    <col min="26" max="26" width="16" style="35" customWidth="1"/>
    <col min="27" max="27" width="8.6640625" style="35" customWidth="1"/>
    <col min="28" max="28" width="10.44140625" style="35" customWidth="1"/>
    <col min="29" max="29" width="9.33203125" style="35" customWidth="1"/>
    <col min="30" max="30" width="9.109375" style="35" customWidth="1"/>
    <col min="31" max="31" width="8.44140625" style="35" customWidth="1"/>
    <col min="32" max="32" width="10" style="35" customWidth="1"/>
    <col min="33" max="33" width="28.6640625" style="35" customWidth="1"/>
    <col min="34" max="34" width="61.77734375" style="35" customWidth="1"/>
    <col min="35" max="35" width="47.21875" style="35" customWidth="1"/>
    <col min="36" max="36" width="29.44140625" style="35" customWidth="1"/>
    <col min="37" max="37" width="13.88671875" style="35" customWidth="1"/>
    <col min="38" max="38" width="33" style="35" customWidth="1"/>
    <col min="39" max="39" width="16.33203125" style="35" customWidth="1"/>
    <col min="40" max="40" width="68.21875" style="35" customWidth="1"/>
    <col min="41" max="41" width="90.109375" style="35" customWidth="1"/>
    <col min="42" max="42" width="66.109375" style="35" customWidth="1"/>
    <col min="43" max="43" width="48.6640625" style="35" bestFit="1" customWidth="1"/>
    <col min="44" max="44" width="32.5546875" style="35" customWidth="1"/>
    <col min="45" max="45" width="19.5546875" style="35" customWidth="1"/>
    <col min="46" max="46" width="57.6640625" style="35" customWidth="1"/>
    <col min="47" max="47" width="22.88671875" style="35" customWidth="1"/>
    <col min="48" max="48" width="19.44140625" style="35" customWidth="1"/>
    <col min="49" max="49" width="27" style="35" customWidth="1"/>
    <col min="50" max="50" width="18.109375" style="35" customWidth="1"/>
    <col min="51" max="51" width="19.44140625" style="35" customWidth="1"/>
    <col min="52" max="16384" width="11.44140625" style="35"/>
  </cols>
  <sheetData>
    <row r="1" spans="1:43" x14ac:dyDescent="0.3">
      <c r="A1" s="869" t="s">
        <v>148</v>
      </c>
      <c r="B1" s="870"/>
      <c r="C1" s="870"/>
      <c r="D1" s="870"/>
      <c r="E1" s="870"/>
      <c r="F1" s="870"/>
      <c r="G1" s="870"/>
      <c r="H1" s="870"/>
      <c r="I1" s="870"/>
      <c r="J1" s="870"/>
      <c r="K1" s="870"/>
      <c r="L1" s="870"/>
      <c r="M1" s="870"/>
      <c r="N1" s="870"/>
      <c r="O1" s="870"/>
      <c r="P1" s="870"/>
      <c r="Q1" s="870"/>
      <c r="R1" s="870"/>
      <c r="S1" s="870"/>
      <c r="T1" s="870"/>
      <c r="U1" s="870"/>
      <c r="V1" s="870"/>
      <c r="W1" s="870"/>
      <c r="X1" s="870"/>
      <c r="Y1" s="870"/>
      <c r="Z1" s="870"/>
      <c r="AA1" s="870"/>
      <c r="AB1" s="870"/>
      <c r="AC1" s="870"/>
      <c r="AD1" s="870"/>
      <c r="AE1" s="870"/>
      <c r="AF1" s="870"/>
      <c r="AG1" s="870"/>
      <c r="AH1" s="870"/>
      <c r="AI1" s="870"/>
      <c r="AJ1" s="870"/>
      <c r="AK1" s="870"/>
      <c r="AL1" s="870"/>
      <c r="AM1" s="871"/>
    </row>
    <row r="2" spans="1:43" x14ac:dyDescent="0.3">
      <c r="A2" s="872"/>
      <c r="B2" s="873"/>
      <c r="C2" s="873"/>
      <c r="D2" s="873"/>
      <c r="E2" s="873"/>
      <c r="F2" s="873"/>
      <c r="G2" s="873"/>
      <c r="H2" s="873"/>
      <c r="I2" s="873"/>
      <c r="J2" s="873"/>
      <c r="K2" s="873"/>
      <c r="L2" s="873"/>
      <c r="M2" s="873"/>
      <c r="N2" s="873"/>
      <c r="O2" s="873"/>
      <c r="P2" s="873"/>
      <c r="Q2" s="873"/>
      <c r="R2" s="873"/>
      <c r="S2" s="873"/>
      <c r="T2" s="873"/>
      <c r="U2" s="873"/>
      <c r="V2" s="873"/>
      <c r="W2" s="873"/>
      <c r="X2" s="873"/>
      <c r="Y2" s="873"/>
      <c r="Z2" s="873"/>
      <c r="AA2" s="873"/>
      <c r="AB2" s="873"/>
      <c r="AC2" s="873"/>
      <c r="AD2" s="873"/>
      <c r="AE2" s="873"/>
      <c r="AF2" s="873"/>
      <c r="AG2" s="873"/>
      <c r="AH2" s="873"/>
      <c r="AI2" s="873"/>
      <c r="AJ2" s="873"/>
      <c r="AK2" s="873"/>
      <c r="AL2" s="873"/>
      <c r="AM2" s="874"/>
    </row>
    <row r="3" spans="1:43" ht="23.4" x14ac:dyDescent="0.3">
      <c r="A3" s="1029" t="s">
        <v>149</v>
      </c>
      <c r="B3" s="1010"/>
      <c r="C3" s="1030" t="s">
        <v>204</v>
      </c>
      <c r="D3" s="1031"/>
      <c r="E3" s="1031"/>
      <c r="F3" s="1031"/>
      <c r="G3" s="1031"/>
      <c r="H3" s="1031"/>
      <c r="I3" s="1031"/>
      <c r="J3" s="1031"/>
      <c r="K3" s="1031"/>
      <c r="L3" s="1031"/>
      <c r="M3" s="1031"/>
      <c r="N3" s="1031"/>
      <c r="O3" s="1031"/>
      <c r="P3" s="1031"/>
      <c r="Q3" s="1031"/>
      <c r="R3" s="1031"/>
      <c r="S3" s="1031"/>
      <c r="T3" s="1031"/>
      <c r="U3" s="1031"/>
      <c r="V3" s="1031"/>
      <c r="W3" s="1031"/>
      <c r="X3" s="1031"/>
      <c r="Y3" s="1031"/>
      <c r="Z3" s="1031"/>
      <c r="AA3" s="1031"/>
      <c r="AB3" s="1031"/>
      <c r="AC3" s="1031"/>
      <c r="AD3" s="1031"/>
      <c r="AE3" s="1031"/>
      <c r="AF3" s="1031"/>
      <c r="AG3" s="1031"/>
      <c r="AH3" s="1031"/>
      <c r="AI3" s="1031"/>
      <c r="AJ3" s="1031"/>
      <c r="AK3" s="1031"/>
      <c r="AL3" s="1031"/>
      <c r="AM3" s="1032"/>
      <c r="AN3" s="46"/>
      <c r="AO3" s="46"/>
    </row>
    <row r="4" spans="1:43" ht="23.4" x14ac:dyDescent="0.3">
      <c r="A4" s="1029" t="s">
        <v>150</v>
      </c>
      <c r="B4" s="1010"/>
      <c r="C4" s="1033" t="s">
        <v>205</v>
      </c>
      <c r="D4" s="1010"/>
      <c r="E4" s="1010"/>
      <c r="F4" s="1010"/>
      <c r="G4" s="1010"/>
      <c r="H4" s="1010"/>
      <c r="I4" s="1010"/>
      <c r="J4" s="1010"/>
      <c r="K4" s="1010"/>
      <c r="L4" s="1010"/>
      <c r="M4" s="1010"/>
      <c r="N4" s="1010"/>
      <c r="O4" s="1010"/>
      <c r="P4" s="1010"/>
      <c r="Q4" s="1010"/>
      <c r="R4" s="1010"/>
      <c r="S4" s="1010"/>
      <c r="T4" s="1010"/>
      <c r="U4" s="1010"/>
      <c r="V4" s="1010"/>
      <c r="W4" s="1010"/>
      <c r="X4" s="1010"/>
      <c r="Y4" s="1010"/>
      <c r="Z4" s="1010"/>
      <c r="AA4" s="1010"/>
      <c r="AB4" s="1010"/>
      <c r="AC4" s="1010"/>
      <c r="AD4" s="1010"/>
      <c r="AE4" s="1010"/>
      <c r="AF4" s="1010"/>
      <c r="AG4" s="1010"/>
      <c r="AH4" s="1010"/>
      <c r="AI4" s="1010"/>
      <c r="AJ4" s="1010"/>
      <c r="AK4" s="1010"/>
      <c r="AL4" s="1010"/>
      <c r="AM4" s="1011"/>
      <c r="AN4" s="46"/>
      <c r="AO4" s="46"/>
    </row>
    <row r="5" spans="1:43" ht="23.4" x14ac:dyDescent="0.3">
      <c r="A5" s="1029" t="s">
        <v>151</v>
      </c>
      <c r="B5" s="1010"/>
      <c r="C5" s="1034" t="s">
        <v>206</v>
      </c>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1035"/>
      <c r="AM5" s="1036"/>
      <c r="AN5" s="46"/>
      <c r="AO5" s="46"/>
    </row>
    <row r="6" spans="1:43" ht="14.4" x14ac:dyDescent="0.3">
      <c r="A6" s="1009" t="s">
        <v>152</v>
      </c>
      <c r="B6" s="1010"/>
      <c r="C6" s="1010"/>
      <c r="D6" s="1010"/>
      <c r="E6" s="1010"/>
      <c r="F6" s="1010"/>
      <c r="G6" s="1010"/>
      <c r="H6" s="1010"/>
      <c r="I6" s="1010"/>
      <c r="J6" s="1011"/>
      <c r="K6" s="1012" t="s">
        <v>153</v>
      </c>
      <c r="L6" s="1013"/>
      <c r="M6" s="1013"/>
      <c r="N6" s="1013"/>
      <c r="O6" s="1013"/>
      <c r="P6" s="1013"/>
      <c r="Q6" s="1014"/>
      <c r="R6" s="1012" t="s">
        <v>154</v>
      </c>
      <c r="S6" s="1013"/>
      <c r="T6" s="1013"/>
      <c r="U6" s="1013"/>
      <c r="V6" s="1013"/>
      <c r="W6" s="1013"/>
      <c r="X6" s="1013"/>
      <c r="Y6" s="1013"/>
      <c r="Z6" s="1014"/>
      <c r="AA6" s="1012" t="s">
        <v>155</v>
      </c>
      <c r="AB6" s="1013"/>
      <c r="AC6" s="1013"/>
      <c r="AD6" s="1013"/>
      <c r="AE6" s="1013"/>
      <c r="AF6" s="1013"/>
      <c r="AG6" s="1014"/>
      <c r="AH6" s="1012" t="s">
        <v>156</v>
      </c>
      <c r="AI6" s="1013"/>
      <c r="AJ6" s="1013"/>
      <c r="AK6" s="1013"/>
      <c r="AL6" s="1013"/>
      <c r="AM6" s="1014"/>
      <c r="AN6" s="46"/>
      <c r="AO6" s="46"/>
    </row>
    <row r="7" spans="1:43" ht="14.4" x14ac:dyDescent="0.3">
      <c r="A7" s="1015" t="s">
        <v>157</v>
      </c>
      <c r="B7" s="1016" t="s">
        <v>141</v>
      </c>
      <c r="C7" s="1017" t="s">
        <v>158</v>
      </c>
      <c r="D7" s="1017" t="s">
        <v>159</v>
      </c>
      <c r="E7" s="998" t="s">
        <v>160</v>
      </c>
      <c r="F7" s="1018" t="s">
        <v>60</v>
      </c>
      <c r="G7" s="50"/>
      <c r="H7" s="50"/>
      <c r="I7" s="998" t="s">
        <v>161</v>
      </c>
      <c r="J7" s="1017" t="s">
        <v>162</v>
      </c>
      <c r="K7" s="1017" t="s">
        <v>163</v>
      </c>
      <c r="L7" s="1019" t="s">
        <v>164</v>
      </c>
      <c r="M7" s="998" t="s">
        <v>165</v>
      </c>
      <c r="N7" s="998" t="s">
        <v>166</v>
      </c>
      <c r="O7" s="1020" t="s">
        <v>167</v>
      </c>
      <c r="P7" s="1019" t="s">
        <v>164</v>
      </c>
      <c r="Q7" s="1017" t="s">
        <v>168</v>
      </c>
      <c r="R7" s="1008" t="s">
        <v>169</v>
      </c>
      <c r="S7" s="998" t="s">
        <v>170</v>
      </c>
      <c r="T7" s="1021" t="s">
        <v>171</v>
      </c>
      <c r="U7" s="1022" t="s">
        <v>172</v>
      </c>
      <c r="V7" s="1010"/>
      <c r="W7" s="1010"/>
      <c r="X7" s="1010"/>
      <c r="Y7" s="1010"/>
      <c r="Z7" s="1011"/>
      <c r="AA7" s="1008" t="s">
        <v>173</v>
      </c>
      <c r="AB7" s="1008" t="s">
        <v>174</v>
      </c>
      <c r="AC7" s="1008" t="s">
        <v>164</v>
      </c>
      <c r="AD7" s="1008" t="s">
        <v>175</v>
      </c>
      <c r="AE7" s="1008" t="s">
        <v>164</v>
      </c>
      <c r="AF7" s="1008" t="s">
        <v>176</v>
      </c>
      <c r="AG7" s="1008" t="s">
        <v>177</v>
      </c>
      <c r="AH7" s="998" t="s">
        <v>156</v>
      </c>
      <c r="AI7" s="998" t="s">
        <v>142</v>
      </c>
      <c r="AJ7" s="998" t="s">
        <v>178</v>
      </c>
      <c r="AK7" s="998" t="s">
        <v>179</v>
      </c>
      <c r="AL7" s="998" t="s">
        <v>180</v>
      </c>
      <c r="AM7" s="999" t="s">
        <v>181</v>
      </c>
      <c r="AN7" s="1067" t="s">
        <v>207</v>
      </c>
      <c r="AO7" s="1069" t="s">
        <v>208</v>
      </c>
      <c r="AP7" s="1061" t="s">
        <v>207</v>
      </c>
      <c r="AQ7" s="1071" t="s">
        <v>208</v>
      </c>
    </row>
    <row r="8" spans="1:43" ht="70.2" x14ac:dyDescent="0.3">
      <c r="A8" s="979"/>
      <c r="B8" s="979"/>
      <c r="C8" s="979"/>
      <c r="D8" s="979"/>
      <c r="E8" s="977"/>
      <c r="F8" s="977"/>
      <c r="G8" s="50" t="s">
        <v>201</v>
      </c>
      <c r="H8" s="50" t="s">
        <v>182</v>
      </c>
      <c r="I8" s="979"/>
      <c r="J8" s="979"/>
      <c r="K8" s="979"/>
      <c r="L8" s="1000"/>
      <c r="M8" s="979"/>
      <c r="N8" s="979"/>
      <c r="O8" s="1000"/>
      <c r="P8" s="1000"/>
      <c r="Q8" s="979"/>
      <c r="R8" s="979"/>
      <c r="S8" s="979"/>
      <c r="T8" s="511"/>
      <c r="U8" s="51" t="s">
        <v>183</v>
      </c>
      <c r="V8" s="51" t="s">
        <v>184</v>
      </c>
      <c r="W8" s="51" t="s">
        <v>185</v>
      </c>
      <c r="X8" s="51" t="s">
        <v>186</v>
      </c>
      <c r="Y8" s="51" t="s">
        <v>187</v>
      </c>
      <c r="Z8" s="51" t="s">
        <v>188</v>
      </c>
      <c r="AA8" s="979"/>
      <c r="AB8" s="979"/>
      <c r="AC8" s="979"/>
      <c r="AD8" s="979"/>
      <c r="AE8" s="979"/>
      <c r="AF8" s="979"/>
      <c r="AG8" s="979"/>
      <c r="AH8" s="979"/>
      <c r="AI8" s="979"/>
      <c r="AJ8" s="979"/>
      <c r="AK8" s="979"/>
      <c r="AL8" s="979"/>
      <c r="AM8" s="1000"/>
      <c r="AN8" s="1068"/>
      <c r="AO8" s="1070"/>
      <c r="AP8" s="1061"/>
      <c r="AQ8" s="1071"/>
    </row>
    <row r="9" spans="1:43" ht="140.4" x14ac:dyDescent="0.3">
      <c r="A9" s="1001">
        <v>1</v>
      </c>
      <c r="B9" s="1002" t="s">
        <v>199</v>
      </c>
      <c r="C9" s="1002" t="s">
        <v>209</v>
      </c>
      <c r="D9" s="1002" t="s">
        <v>210</v>
      </c>
      <c r="E9" s="53" t="s">
        <v>211</v>
      </c>
      <c r="F9" s="1002" t="s">
        <v>212</v>
      </c>
      <c r="G9" s="1002" t="s">
        <v>202</v>
      </c>
      <c r="H9" s="54" t="s">
        <v>213</v>
      </c>
      <c r="I9" s="55" t="s">
        <v>190</v>
      </c>
      <c r="J9" s="1003">
        <v>365</v>
      </c>
      <c r="K9" s="983" t="str">
        <f>IF(J9&lt;=0,"",IF(J9&lt;=2,"Muy Baja",IF(J9&lt;=L726,"Baja",IF(J9&lt;=500,"Media",IF(J9&lt;=5000,"Alta","Muy Alta")))))</f>
        <v>Media</v>
      </c>
      <c r="L9" s="984">
        <f>IF(K9="","",IF(K9="Muy Baja",0.2,IF(K9="Baja",0.4,IF(K9="Media",0.6,IF(K9="Alta",0.8,IF(K9="Muy Alta",1,))))))</f>
        <v>0.6</v>
      </c>
      <c r="M9" s="984" t="s">
        <v>214</v>
      </c>
      <c r="N9" s="984" t="str">
        <f>IF(NOT(ISERROR(MATCH(M9,'[15]Tabla Impacto'!$B$221:$B$223,0))),'[15]Tabla Impacto'!$F$223&amp;"Por favor no seleccionar los criterios de impacto(Afectación Económica o presupuestal y Pérdida Reputacional)",M9)</f>
        <v xml:space="preserve">     El riesgo afecta la imagen de de la entidad con efecto publicitario sostenido a nivel de sector administrativo, nivel departamental o municipal</v>
      </c>
      <c r="O9" s="983" t="str">
        <f>IF(OR(N9='[15]Tabla Impacto'!$C$11,N9='[15]Tabla Impacto'!$D$11),"Leve",IF(OR(N9='[15]Tabla Impacto'!$C$12,N9='[15]Tabla Impacto'!$D$12),"Menor",IF(OR(N9='[15]Tabla Impacto'!$C$13,N9='[15]Tabla Impacto'!$D$13),"Moderado",IF(OR(N9='[15]Tabla Impacto'!$C$14,N9='[15]Tabla Impacto'!$D$14),"Mayor",IF(OR(N9='[15]Tabla Impacto'!$C$15,N9='[15]Tabla Impacto'!$D$15),"Catastrófico","")))))</f>
        <v>Mayor</v>
      </c>
      <c r="P9" s="984">
        <f>IF(O9="","",IF(O9="Leve",0.2,IF(O9="Menor",0.4,IF(O9="Moderado",0.6,IF(O9="Mayor",0.8,IF(O9="Catastrófico",1,))))))</f>
        <v>0.8</v>
      </c>
      <c r="Q9" s="1004" t="str">
        <f>IF(OR(AND(K9="Muy Baja",O9="Leve"),AND(K9="Muy Baja",O9="Menor"),AND(K9="Baja",O9="Leve")),"Bajo",IF(OR(AND(K9="Muy baja",O9="Moderado"),AND(K9="Baja",O9="Menor"),AND(K9="Baja",O9="Moderado"),AND(K9="Media",O9="Leve"),AND(K9="Media",O9="Menor"),AND(K9="Media",O9="Moderado"),AND(K9="Alta",O9="Leve"),AND(K9="Alta",O9="Menor")),"Moderado",IF(OR(AND(K9="Muy Baja",O9="Mayor"),AND(K9="Baja",O9="Mayor"),AND(K9="Media",O9="Mayor"),AND(K9="Alta",O9="Moderado"),AND(K9="Alta",O9="Mayor"),AND(K9="Muy Alta",O9="Leve"),AND(K9="Muy Alta",O9="Menor"),AND(K9="Muy Alta",O9="Moderado"),AND(K9="Muy Alta",O9="Mayor")),"Alto",IF(OR(AND(K9="Muy Baja",O9="Catastrófico"),AND(K9="Baja",O9="Catastrófico"),AND(K9="Media",O9="Catastrófico"),AND(K9="Alta",O9="Catastrófico"),AND(K9="Muy Alta",O9="Catastrófico")),"Extremo",""))))</f>
        <v>Alto</v>
      </c>
      <c r="R9" s="56">
        <v>1</v>
      </c>
      <c r="S9" s="1005" t="s">
        <v>215</v>
      </c>
      <c r="T9" s="1007" t="str">
        <f>IF(OR(U9="Preventivo",U9="Detectivo"),"Probabilidad",IF(U9="Correctivo","Impacto",""))</f>
        <v>Probabilidad</v>
      </c>
      <c r="U9" s="991" t="s">
        <v>197</v>
      </c>
      <c r="V9" s="991" t="s">
        <v>191</v>
      </c>
      <c r="W9" s="992" t="str">
        <f>IF(AND(U9="Preventivo",V9="Automático"),"50%",IF(AND(U9="Preventivo",V9="Manual"),"40%",IF(AND(U9="Detectivo",V9="Automático"),"40%",IF(AND(U9="Detectivo",V9="Manual"),"30%",IF(AND(U9="Correctivo",V9="Automático"),"35%",IF(AND(U9="Correctivo",V9="Manual"),"25%",""))))))</f>
        <v>40%</v>
      </c>
      <c r="X9" s="991" t="s">
        <v>198</v>
      </c>
      <c r="Y9" s="991" t="s">
        <v>193</v>
      </c>
      <c r="Z9" s="991" t="s">
        <v>194</v>
      </c>
      <c r="AA9" s="995">
        <f>IFERROR(IF(T9="Probabilidad",(L9-(+L9*W9)),IF(T9="Impacto",L9,"")),"")</f>
        <v>0.36</v>
      </c>
      <c r="AB9" s="996" t="str">
        <f>IFERROR(IF(AA9="","",IF(AA9&lt;=0.2,"Muy Baja",IF(AA9&lt;=0.4,"Baja",IF(AA9&lt;=0.6,"Media",IF(AA9&lt;=0.8,"Alta","Muy Alta"))))),"")</f>
        <v>Baja</v>
      </c>
      <c r="AC9" s="992">
        <f>+AA9</f>
        <v>0.36</v>
      </c>
      <c r="AD9" s="996" t="str">
        <f>IFERROR(IF(AE9="","",IF(AE9&lt;=0.2,"Leve",IF(AE9&lt;=0.4,"Menor",IF(AE9&lt;=0.6,"Moderado",IF(AE9&lt;=0.8,"Mayor","Catastrófico"))))),"")</f>
        <v>Mayor</v>
      </c>
      <c r="AE9" s="992">
        <f>IFERROR(IF(T9="Impacto",(P9-(+P9*W9)),IF(T9="Probabilidad",P9,"")),"")</f>
        <v>0.8</v>
      </c>
      <c r="AF9" s="997"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Alto</v>
      </c>
      <c r="AG9" s="991" t="s">
        <v>195</v>
      </c>
      <c r="AH9" s="987" t="s">
        <v>216</v>
      </c>
      <c r="AI9" s="987" t="s">
        <v>217</v>
      </c>
      <c r="AJ9" s="972">
        <v>45412</v>
      </c>
      <c r="AK9" s="972">
        <v>45534</v>
      </c>
      <c r="AL9" s="987" t="s">
        <v>218</v>
      </c>
      <c r="AM9" s="987" t="s">
        <v>196</v>
      </c>
      <c r="AN9" s="59" t="s">
        <v>219</v>
      </c>
      <c r="AO9" s="133" t="s">
        <v>220</v>
      </c>
      <c r="AP9" s="136" t="s">
        <v>219</v>
      </c>
      <c r="AQ9" s="136" t="s">
        <v>286</v>
      </c>
    </row>
    <row r="10" spans="1:43" ht="82.8" x14ac:dyDescent="0.3">
      <c r="A10" s="977"/>
      <c r="B10" s="977"/>
      <c r="C10" s="977"/>
      <c r="D10" s="977"/>
      <c r="E10" s="60" t="s">
        <v>221</v>
      </c>
      <c r="F10" s="979"/>
      <c r="G10" s="977"/>
      <c r="H10" s="54"/>
      <c r="I10" s="61"/>
      <c r="J10" s="977"/>
      <c r="K10" s="977"/>
      <c r="L10" s="977"/>
      <c r="M10" s="977"/>
      <c r="N10" s="977"/>
      <c r="O10" s="977"/>
      <c r="P10" s="977"/>
      <c r="Q10" s="977"/>
      <c r="R10" s="56">
        <v>2</v>
      </c>
      <c r="S10" s="1006"/>
      <c r="T10" s="979"/>
      <c r="U10" s="979"/>
      <c r="V10" s="979"/>
      <c r="W10" s="979"/>
      <c r="X10" s="979"/>
      <c r="Y10" s="979"/>
      <c r="Z10" s="979"/>
      <c r="AA10" s="979"/>
      <c r="AB10" s="979"/>
      <c r="AC10" s="979"/>
      <c r="AD10" s="979"/>
      <c r="AE10" s="979"/>
      <c r="AF10" s="979"/>
      <c r="AG10" s="979"/>
      <c r="AH10" s="988"/>
      <c r="AI10" s="988"/>
      <c r="AJ10" s="973"/>
      <c r="AK10" s="973"/>
      <c r="AL10" s="988"/>
      <c r="AM10" s="988"/>
      <c r="AN10" s="62" t="s">
        <v>222</v>
      </c>
      <c r="AO10" s="134" t="s">
        <v>223</v>
      </c>
      <c r="AP10" s="137" t="s">
        <v>222</v>
      </c>
      <c r="AQ10" s="138" t="s">
        <v>287</v>
      </c>
    </row>
    <row r="11" spans="1:43" ht="69" x14ac:dyDescent="0.3">
      <c r="A11" s="63">
        <v>2</v>
      </c>
      <c r="B11" s="64" t="s">
        <v>199</v>
      </c>
      <c r="C11" s="64" t="s">
        <v>209</v>
      </c>
      <c r="D11" s="64" t="s">
        <v>224</v>
      </c>
      <c r="E11" s="65" t="s">
        <v>225</v>
      </c>
      <c r="F11" s="981" t="s">
        <v>226</v>
      </c>
      <c r="G11" s="976" t="s">
        <v>202</v>
      </c>
      <c r="H11" s="978" t="s">
        <v>227</v>
      </c>
      <c r="I11" s="976" t="s">
        <v>190</v>
      </c>
      <c r="J11" s="982">
        <v>365</v>
      </c>
      <c r="K11" s="983" t="str">
        <f>IF(J11&lt;=0,"",IF(J11&lt;=2,"Muy Baja",IF(J11&lt;=L728,"Baja",IF(J11&lt;=500,"Media",IF(J11&lt;=5000,"Alta","Muy Alta")))))</f>
        <v>Media</v>
      </c>
      <c r="L11" s="984">
        <f>IF(K11="","",IF(K11="Muy Baja",0.2,IF(K11="Baja",0.4,IF(K11="Media",0.6,IF(K11="Alta",0.8,IF(K11="Muy Alta",1,))))))</f>
        <v>0.6</v>
      </c>
      <c r="M11" s="985" t="s">
        <v>200</v>
      </c>
      <c r="N11" s="977"/>
      <c r="O11" s="989"/>
      <c r="P11" s="66"/>
      <c r="Q11" s="977"/>
      <c r="R11" s="56">
        <v>3</v>
      </c>
      <c r="S11" s="67" t="s">
        <v>228</v>
      </c>
      <c r="T11" s="990" t="str">
        <f>IF(OR(U11="Preventivo",U11="Detectivo"),"Probabilidad",IF(U11="Correctivo","Impacto",""))</f>
        <v>Probabilidad</v>
      </c>
      <c r="U11" s="991" t="s">
        <v>197</v>
      </c>
      <c r="V11" s="991" t="s">
        <v>191</v>
      </c>
      <c r="W11" s="992" t="str">
        <f>IF(AND(U11="Preventivo",V11="Automático"),"50%",IF(AND(U11="Preventivo",V11="Manual"),"40%",IF(AND(U11="Detectivo",V11="Automático"),"40%",IF(AND(U11="Detectivo",V11="Manual"),"30%",IF(AND(U11="Correctivo",V11="Automático"),"35%",IF(AND(U11="Correctivo",V11="Manual"),"25%",""))))))</f>
        <v>40%</v>
      </c>
      <c r="X11" s="991" t="s">
        <v>192</v>
      </c>
      <c r="Y11" s="991" t="s">
        <v>193</v>
      </c>
      <c r="Z11" s="991" t="s">
        <v>194</v>
      </c>
      <c r="AA11" s="68" t="str">
        <f t="shared" ref="AA11:AA14" si="0">IFERROR(IF(AND(T10="Probabilidad",T11="Probabilidad"),(AC10-(+AC10*W11)),IF(AND(T10="Impacto",T11="Probabilidad"),(AC9-(+AC9*W11)),IF(T11="Impacto",AC10,""))),"")</f>
        <v/>
      </c>
      <c r="AB11" s="69" t="str">
        <f t="shared" ref="AB11:AB15" si="1">IFERROR(IF(AA11="","",IF(AA11&lt;=0.2,"Muy Baja",IF(AA11&lt;=0.4,"Baja",IF(AA11&lt;=0.6,"Media",IF(AA11&lt;=0.8,"Alta","Muy Alta"))))),"")</f>
        <v/>
      </c>
      <c r="AC11" s="58" t="str">
        <f t="shared" ref="AC11:AC15" si="2">+AA11</f>
        <v/>
      </c>
      <c r="AD11" s="69" t="str">
        <f t="shared" ref="AD11:AD15" si="3">IFERROR(IF(AE11="","",IF(AE11&lt;=0.2,"Leve",IF(AE11&lt;=0.4,"Menor",IF(AE11&lt;=0.6,"Moderado",IF(AE11&lt;=0.8,"Mayor","Catastrófico"))))),"")</f>
        <v>Leve</v>
      </c>
      <c r="AE11" s="58">
        <f t="shared" ref="AE11:AE14" si="4">IFERROR(IF(AND(T10="Impacto",T11="Impacto"),(AE10-(+AE10*W11)),IF(AND(T10="Probabilidad",T11="Impacto"),(AE9-(+AE9*W11)),IF(T11="Probabilidad",AE10,""))),"")</f>
        <v>0</v>
      </c>
      <c r="AF11" s="70" t="str">
        <f t="shared" ref="AF11:AF15" si="5">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57"/>
      <c r="AH11" s="993" t="s">
        <v>229</v>
      </c>
      <c r="AI11" s="994" t="s">
        <v>230</v>
      </c>
      <c r="AJ11" s="972">
        <v>45412</v>
      </c>
      <c r="AK11" s="972">
        <v>45534</v>
      </c>
      <c r="AL11" s="974" t="s">
        <v>231</v>
      </c>
      <c r="AM11" s="974" t="s">
        <v>196</v>
      </c>
      <c r="AN11" s="1064" t="s">
        <v>232</v>
      </c>
      <c r="AO11" s="1066" t="s">
        <v>233</v>
      </c>
      <c r="AP11" s="1061" t="s">
        <v>288</v>
      </c>
      <c r="AQ11" s="1063"/>
    </row>
    <row r="12" spans="1:43" ht="55.2" x14ac:dyDescent="0.3">
      <c r="A12" s="63"/>
      <c r="B12" s="64"/>
      <c r="C12" s="64"/>
      <c r="D12" s="64"/>
      <c r="E12" s="65" t="s">
        <v>234</v>
      </c>
      <c r="F12" s="979"/>
      <c r="G12" s="977"/>
      <c r="H12" s="979"/>
      <c r="I12" s="977"/>
      <c r="J12" s="977"/>
      <c r="K12" s="977"/>
      <c r="L12" s="977"/>
      <c r="M12" s="977"/>
      <c r="N12" s="977"/>
      <c r="O12" s="977"/>
      <c r="P12" s="66"/>
      <c r="Q12" s="977"/>
      <c r="R12" s="56">
        <v>4</v>
      </c>
      <c r="S12" s="67" t="s">
        <v>235</v>
      </c>
      <c r="T12" s="979"/>
      <c r="U12" s="979"/>
      <c r="V12" s="979"/>
      <c r="W12" s="979"/>
      <c r="X12" s="979"/>
      <c r="Y12" s="979"/>
      <c r="Z12" s="979"/>
      <c r="AA12" s="68" t="str">
        <f t="shared" si="0"/>
        <v/>
      </c>
      <c r="AB12" s="69" t="str">
        <f t="shared" si="1"/>
        <v/>
      </c>
      <c r="AC12" s="58" t="str">
        <f t="shared" si="2"/>
        <v/>
      </c>
      <c r="AD12" s="69" t="str">
        <f t="shared" si="3"/>
        <v/>
      </c>
      <c r="AE12" s="58" t="str">
        <f t="shared" si="4"/>
        <v/>
      </c>
      <c r="AF12" s="70" t="str">
        <f t="shared" si="5"/>
        <v/>
      </c>
      <c r="AG12" s="57"/>
      <c r="AH12" s="979"/>
      <c r="AI12" s="979"/>
      <c r="AJ12" s="973"/>
      <c r="AK12" s="973"/>
      <c r="AL12" s="975"/>
      <c r="AM12" s="975"/>
      <c r="AN12" s="1065"/>
      <c r="AO12" s="1066"/>
      <c r="AP12" s="1062"/>
      <c r="AQ12" s="1063"/>
    </row>
    <row r="13" spans="1:43" ht="82.8" x14ac:dyDescent="0.3">
      <c r="A13" s="63"/>
      <c r="B13" s="976" t="s">
        <v>199</v>
      </c>
      <c r="C13" s="976" t="s">
        <v>236</v>
      </c>
      <c r="D13" s="976" t="s">
        <v>237</v>
      </c>
      <c r="E13" s="71" t="s">
        <v>238</v>
      </c>
      <c r="F13" s="978" t="s">
        <v>239</v>
      </c>
      <c r="G13" s="980" t="s">
        <v>203</v>
      </c>
      <c r="H13" s="981" t="s">
        <v>240</v>
      </c>
      <c r="I13" s="976" t="s">
        <v>190</v>
      </c>
      <c r="J13" s="982">
        <v>365</v>
      </c>
      <c r="K13" s="983" t="str">
        <f>IF(J13&lt;=0,"",IF(J13&lt;=2,"Muy Baja",IF(J13&lt;=L730,"Baja",IF(J13&lt;=500,"Media",IF(J13&lt;=5000,"Alta","Muy Alta")))))</f>
        <v>Media</v>
      </c>
      <c r="L13" s="984">
        <f>IF(K13="","",IF(K13="Muy Baja",0.2,IF(K13="Baja",0.4,IF(K13="Media",0.6,IF(K13="Alta",0.8,IF(K13="Muy Alta",1,))))))</f>
        <v>0.6</v>
      </c>
      <c r="M13" s="985" t="s">
        <v>241</v>
      </c>
      <c r="N13" s="977"/>
      <c r="O13" s="986" t="str">
        <f>IF(OR(N15='[15]Tabla Impacto'!$C$11,N15='[15]Tabla Impacto'!$D$11),"Leve",IF(OR(N15='[15]Tabla Impacto'!$C$12,N15='[15]Tabla Impacto'!$D$12),"Menor",IF(OR(N15='[15]Tabla Impacto'!$C$13,N15='[15]Tabla Impacto'!$D$13),"Moderado",IF(OR(N15='[15]Tabla Impacto'!$C$14,N15='[15]Tabla Impacto'!$D$14),"Mayor",IF(OR(N15='[15]Tabla Impacto'!$C$15,N15='[15]Tabla Impacto'!$D$15),"Catastrófico","")))))</f>
        <v/>
      </c>
      <c r="P13" s="66"/>
      <c r="Q13" s="977"/>
      <c r="R13" s="56">
        <v>5</v>
      </c>
      <c r="S13" s="67" t="s">
        <v>242</v>
      </c>
      <c r="T13" s="56" t="str">
        <f t="shared" ref="T13:T15" si="6">IF(OR(U13="Preventivo",U13="Detectivo"),"Probabilidad",IF(U13="Correctivo","Impacto",""))</f>
        <v>Probabilidad</v>
      </c>
      <c r="U13" s="72" t="s">
        <v>243</v>
      </c>
      <c r="V13" s="72" t="s">
        <v>191</v>
      </c>
      <c r="W13" s="73" t="str">
        <f t="shared" ref="W13:W15" si="7">IF(AND(U13="Preventivo",V13="Automático"),"50%",IF(AND(U13="Preventivo",V13="Manual"),"40%",IF(AND(U13="Detectivo",V13="Automático"),"40%",IF(AND(U13="Detectivo",V13="Manual"),"30%",IF(AND(U13="Correctivo",V13="Automático"),"35%",IF(AND(U13="Correctivo",V13="Manual"),"25%",""))))))</f>
        <v>30%</v>
      </c>
      <c r="X13" s="72" t="s">
        <v>198</v>
      </c>
      <c r="Y13" s="72" t="s">
        <v>193</v>
      </c>
      <c r="Z13" s="72" t="s">
        <v>194</v>
      </c>
      <c r="AA13" s="68" t="str">
        <f t="shared" si="0"/>
        <v/>
      </c>
      <c r="AB13" s="69" t="str">
        <f t="shared" si="1"/>
        <v/>
      </c>
      <c r="AC13" s="58" t="str">
        <f t="shared" si="2"/>
        <v/>
      </c>
      <c r="AD13" s="69" t="str">
        <f t="shared" si="3"/>
        <v/>
      </c>
      <c r="AE13" s="58" t="str">
        <f t="shared" si="4"/>
        <v/>
      </c>
      <c r="AF13" s="70" t="str">
        <f t="shared" si="5"/>
        <v/>
      </c>
      <c r="AG13" s="57"/>
      <c r="AH13" s="74" t="s">
        <v>244</v>
      </c>
      <c r="AI13" s="74" t="s">
        <v>245</v>
      </c>
      <c r="AJ13" s="75" t="s">
        <v>246</v>
      </c>
      <c r="AK13" s="75">
        <v>45534</v>
      </c>
      <c r="AL13" s="76" t="s">
        <v>231</v>
      </c>
      <c r="AM13" s="76" t="s">
        <v>196</v>
      </c>
      <c r="AN13" s="77" t="s">
        <v>247</v>
      </c>
      <c r="AO13" s="135" t="s">
        <v>248</v>
      </c>
      <c r="AP13" s="136" t="s">
        <v>247</v>
      </c>
      <c r="AQ13" s="139"/>
    </row>
    <row r="14" spans="1:43" ht="82.8" x14ac:dyDescent="0.3">
      <c r="A14" s="78"/>
      <c r="B14" s="977"/>
      <c r="C14" s="977"/>
      <c r="D14" s="977"/>
      <c r="E14" s="79" t="s">
        <v>249</v>
      </c>
      <c r="F14" s="977"/>
      <c r="G14" s="977"/>
      <c r="H14" s="977"/>
      <c r="I14" s="977"/>
      <c r="J14" s="977"/>
      <c r="K14" s="977"/>
      <c r="L14" s="977"/>
      <c r="M14" s="977"/>
      <c r="N14" s="979"/>
      <c r="O14" s="977"/>
      <c r="P14" s="80"/>
      <c r="Q14" s="979"/>
      <c r="R14" s="56">
        <v>6</v>
      </c>
      <c r="S14" s="67" t="s">
        <v>250</v>
      </c>
      <c r="T14" s="56" t="str">
        <f t="shared" si="6"/>
        <v/>
      </c>
      <c r="U14" s="72"/>
      <c r="V14" s="72"/>
      <c r="W14" s="73" t="str">
        <f t="shared" si="7"/>
        <v/>
      </c>
      <c r="X14" s="72"/>
      <c r="Y14" s="72"/>
      <c r="Z14" s="72"/>
      <c r="AA14" s="68" t="str">
        <f t="shared" si="0"/>
        <v/>
      </c>
      <c r="AB14" s="69" t="str">
        <f t="shared" si="1"/>
        <v/>
      </c>
      <c r="AC14" s="58" t="str">
        <f t="shared" si="2"/>
        <v/>
      </c>
      <c r="AD14" s="69" t="str">
        <f t="shared" si="3"/>
        <v/>
      </c>
      <c r="AE14" s="58" t="str">
        <f t="shared" si="4"/>
        <v/>
      </c>
      <c r="AF14" s="70" t="str">
        <f t="shared" si="5"/>
        <v/>
      </c>
      <c r="AG14" s="57"/>
      <c r="AH14" s="74"/>
      <c r="AI14" s="56"/>
      <c r="AJ14" s="81"/>
      <c r="AK14" s="81"/>
      <c r="AL14" s="74"/>
      <c r="AM14" s="56"/>
      <c r="AN14" s="46"/>
      <c r="AO14" s="46"/>
    </row>
    <row r="15" spans="1:43" ht="41.4" x14ac:dyDescent="0.3">
      <c r="A15" s="52">
        <v>2</v>
      </c>
      <c r="B15" s="977"/>
      <c r="C15" s="977"/>
      <c r="D15" s="977"/>
      <c r="E15" s="82" t="s">
        <v>251</v>
      </c>
      <c r="F15" s="979"/>
      <c r="G15" s="977"/>
      <c r="H15" s="979"/>
      <c r="I15" s="977"/>
      <c r="J15" s="977"/>
      <c r="K15" s="977"/>
      <c r="L15" s="977"/>
      <c r="M15" s="977"/>
      <c r="N15" s="85">
        <f>IF(NOT(ISERROR(MATCH(M15,'[15]Tabla Impacto'!$B$221:$B$223,0))),'[15]Tabla Impacto'!$F$223&amp;"Por favor no seleccionar los criterios de impacto(Afectación Económica o presupuestal y Pérdida Reputacional)",M15)</f>
        <v>0</v>
      </c>
      <c r="O15" s="977"/>
      <c r="P15" s="83" t="str">
        <f>IF(O13="","",IF(O13="Leve",0.2,IF(O13="Menor",0.4,IF(O13="Moderado",0.6,IF(O13="Mayor",0.8,IF(O13="Catastrófico",1,))))))</f>
        <v/>
      </c>
      <c r="Q15" s="84" t="str">
        <f>IF(OR(AND(K15="Muy Baja",O13="Leve"),AND(K15="Muy Baja",O13="Menor"),AND(K15="Baja",O13="Leve")),"Bajo",IF(OR(AND(K15="Muy baja",O13="Moderado"),AND(K15="Baja",O13="Menor"),AND(K15="Baja",O13="Moderado"),AND(K15="Media",O13="Leve"),AND(K15="Media",O13="Menor"),AND(K15="Media",O13="Moderado"),AND(K15="Alta",O13="Leve"),AND(K15="Alta",O13="Menor")),"Moderado",IF(OR(AND(K15="Muy Baja",O13="Mayor"),AND(K15="Baja",O13="Mayor"),AND(K15="Media",O13="Mayor"),AND(K15="Alta",O13="Moderado"),AND(K15="Alta",O13="Mayor"),AND(K15="Muy Alta",O13="Leve"),AND(K15="Muy Alta",O13="Menor"),AND(K15="Muy Alta",O13="Moderado"),AND(K15="Muy Alta",O13="Mayor")),"Alto",IF(OR(AND(K15="Muy Baja",O13="Catastrófico"),AND(K15="Baja",O13="Catastrófico"),AND(K15="Media",O13="Catastrófico"),AND(K15="Alta",O13="Catastrófico"),AND(K15="Muy Alta",O13="Catastrófico")),"Extremo",""))))</f>
        <v/>
      </c>
      <c r="R15" s="56">
        <v>1</v>
      </c>
      <c r="S15" s="67" t="s">
        <v>252</v>
      </c>
      <c r="T15" s="56" t="str">
        <f t="shared" si="6"/>
        <v/>
      </c>
      <c r="U15" s="72"/>
      <c r="V15" s="72"/>
      <c r="W15" s="73" t="str">
        <f t="shared" si="7"/>
        <v/>
      </c>
      <c r="X15" s="72"/>
      <c r="Y15" s="72"/>
      <c r="Z15" s="72"/>
      <c r="AA15" s="68" t="str">
        <f>IFERROR(IF(T15="Probabilidad",(L15-(+L15*W15)),IF(T15="Impacto",L15,"")),"")</f>
        <v/>
      </c>
      <c r="AB15" s="69" t="str">
        <f t="shared" si="1"/>
        <v/>
      </c>
      <c r="AC15" s="58" t="str">
        <f t="shared" si="2"/>
        <v/>
      </c>
      <c r="AD15" s="69" t="str">
        <f t="shared" si="3"/>
        <v/>
      </c>
      <c r="AE15" s="58" t="str">
        <f>IFERROR(IF(T15="Impacto",(P15-(+P15*W15)),IF(T15="Probabilidad",P15,"")),"")</f>
        <v/>
      </c>
      <c r="AF15" s="70" t="str">
        <f t="shared" si="5"/>
        <v/>
      </c>
      <c r="AG15" s="57"/>
      <c r="AH15" s="74"/>
      <c r="AI15" s="56"/>
      <c r="AJ15" s="81"/>
      <c r="AK15" s="81"/>
      <c r="AL15" s="74"/>
      <c r="AM15" s="56"/>
      <c r="AN15" s="46"/>
      <c r="AO15" s="46"/>
    </row>
    <row r="16" spans="1:43" ht="14.4" x14ac:dyDescent="0.3">
      <c r="A16" s="42"/>
      <c r="B16" s="43"/>
      <c r="C16" s="42"/>
      <c r="D16" s="42"/>
      <c r="E16" s="42"/>
      <c r="F16" s="41"/>
      <c r="G16" s="41"/>
      <c r="H16" s="41"/>
      <c r="I16" s="44"/>
      <c r="J16" s="44"/>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1:39" ht="23.4" x14ac:dyDescent="0.3">
      <c r="A17" s="711" t="s">
        <v>149</v>
      </c>
      <c r="B17" s="712"/>
      <c r="C17" s="724" t="s">
        <v>253</v>
      </c>
      <c r="D17" s="724"/>
      <c r="E17" s="724"/>
      <c r="F17" s="724"/>
      <c r="G17" s="724"/>
      <c r="H17" s="724"/>
      <c r="I17" s="724"/>
      <c r="J17" s="724"/>
      <c r="K17" s="724"/>
      <c r="L17" s="724"/>
      <c r="M17" s="724"/>
      <c r="N17" s="724"/>
      <c r="O17" s="724"/>
      <c r="P17" s="724"/>
      <c r="Q17" s="724"/>
      <c r="R17" s="724"/>
      <c r="S17" s="724"/>
      <c r="T17" s="724"/>
      <c r="U17" s="724"/>
      <c r="V17" s="724"/>
      <c r="W17" s="724"/>
      <c r="X17" s="724"/>
      <c r="Y17" s="724"/>
      <c r="Z17" s="724"/>
      <c r="AA17" s="724"/>
      <c r="AB17" s="724"/>
      <c r="AC17" s="724"/>
      <c r="AD17" s="724"/>
      <c r="AE17" s="724"/>
      <c r="AF17" s="724"/>
      <c r="AG17" s="724"/>
      <c r="AH17" s="724"/>
      <c r="AI17" s="724"/>
      <c r="AJ17" s="724"/>
      <c r="AK17" s="724"/>
      <c r="AL17" s="724"/>
      <c r="AM17" s="724"/>
    </row>
    <row r="18" spans="1:39" ht="23.4" x14ac:dyDescent="0.3">
      <c r="A18" s="711" t="s">
        <v>150</v>
      </c>
      <c r="B18" s="712"/>
      <c r="C18" s="713" t="s">
        <v>254</v>
      </c>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3"/>
      <c r="AF18" s="713"/>
      <c r="AG18" s="713"/>
      <c r="AH18" s="713"/>
      <c r="AI18" s="713"/>
      <c r="AJ18" s="713"/>
      <c r="AK18" s="713"/>
      <c r="AL18" s="713"/>
      <c r="AM18" s="713"/>
    </row>
    <row r="19" spans="1:39" ht="23.4" x14ac:dyDescent="0.3">
      <c r="A19" s="711" t="s">
        <v>151</v>
      </c>
      <c r="B19" s="712"/>
      <c r="C19" s="713" t="s">
        <v>255</v>
      </c>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c r="AC19" s="713"/>
      <c r="AD19" s="713"/>
      <c r="AE19" s="713"/>
      <c r="AF19" s="713"/>
      <c r="AG19" s="713"/>
      <c r="AH19" s="713"/>
      <c r="AI19" s="713"/>
      <c r="AJ19" s="713"/>
      <c r="AK19" s="713"/>
      <c r="AL19" s="713"/>
      <c r="AM19" s="713"/>
    </row>
    <row r="20" spans="1:39" x14ac:dyDescent="0.3">
      <c r="A20" s="714" t="s">
        <v>152</v>
      </c>
      <c r="B20" s="715"/>
      <c r="C20" s="716"/>
      <c r="D20" s="716"/>
      <c r="E20" s="716"/>
      <c r="F20" s="716"/>
      <c r="G20" s="716"/>
      <c r="H20" s="716"/>
      <c r="I20" s="716"/>
      <c r="J20" s="717"/>
      <c r="K20" s="701" t="s">
        <v>153</v>
      </c>
      <c r="L20" s="716"/>
      <c r="M20" s="716"/>
      <c r="N20" s="716"/>
      <c r="O20" s="716"/>
      <c r="P20" s="716"/>
      <c r="Q20" s="717"/>
      <c r="R20" s="701" t="s">
        <v>154</v>
      </c>
      <c r="S20" s="716"/>
      <c r="T20" s="716"/>
      <c r="U20" s="716"/>
      <c r="V20" s="716"/>
      <c r="W20" s="716"/>
      <c r="X20" s="716"/>
      <c r="Y20" s="716"/>
      <c r="Z20" s="717"/>
      <c r="AA20" s="701" t="s">
        <v>155</v>
      </c>
      <c r="AB20" s="716"/>
      <c r="AC20" s="716"/>
      <c r="AD20" s="716"/>
      <c r="AE20" s="716"/>
      <c r="AF20" s="716"/>
      <c r="AG20" s="717"/>
      <c r="AH20" s="701" t="s">
        <v>156</v>
      </c>
      <c r="AI20" s="716"/>
      <c r="AJ20" s="716"/>
      <c r="AK20" s="716"/>
      <c r="AL20" s="716"/>
      <c r="AM20" s="717"/>
    </row>
    <row r="21" spans="1:39" x14ac:dyDescent="0.3">
      <c r="A21" s="705" t="s">
        <v>157</v>
      </c>
      <c r="B21" s="707" t="s">
        <v>141</v>
      </c>
      <c r="C21" s="703" t="s">
        <v>158</v>
      </c>
      <c r="D21" s="703" t="s">
        <v>159</v>
      </c>
      <c r="E21" s="702" t="s">
        <v>160</v>
      </c>
      <c r="F21" s="709" t="s">
        <v>60</v>
      </c>
      <c r="G21" s="38"/>
      <c r="H21" s="38"/>
      <c r="I21" s="702" t="s">
        <v>161</v>
      </c>
      <c r="J21" s="703" t="s">
        <v>162</v>
      </c>
      <c r="K21" s="708" t="s">
        <v>163</v>
      </c>
      <c r="L21" s="700" t="s">
        <v>164</v>
      </c>
      <c r="M21" s="702" t="s">
        <v>165</v>
      </c>
      <c r="N21" s="702" t="s">
        <v>166</v>
      </c>
      <c r="O21" s="704" t="s">
        <v>167</v>
      </c>
      <c r="P21" s="700" t="s">
        <v>164</v>
      </c>
      <c r="Q21" s="703" t="s">
        <v>168</v>
      </c>
      <c r="R21" s="698" t="s">
        <v>169</v>
      </c>
      <c r="S21" s="676" t="s">
        <v>170</v>
      </c>
      <c r="T21" s="702" t="s">
        <v>171</v>
      </c>
      <c r="U21" s="676" t="s">
        <v>172</v>
      </c>
      <c r="V21" s="676"/>
      <c r="W21" s="676"/>
      <c r="X21" s="676"/>
      <c r="Y21" s="676"/>
      <c r="Z21" s="676"/>
      <c r="AA21" s="697" t="s">
        <v>173</v>
      </c>
      <c r="AB21" s="697" t="s">
        <v>174</v>
      </c>
      <c r="AC21" s="697" t="s">
        <v>164</v>
      </c>
      <c r="AD21" s="697" t="s">
        <v>175</v>
      </c>
      <c r="AE21" s="697" t="s">
        <v>164</v>
      </c>
      <c r="AF21" s="697" t="s">
        <v>176</v>
      </c>
      <c r="AG21" s="698" t="s">
        <v>177</v>
      </c>
      <c r="AH21" s="676" t="s">
        <v>156</v>
      </c>
      <c r="AI21" s="676" t="s">
        <v>142</v>
      </c>
      <c r="AJ21" s="676" t="s">
        <v>178</v>
      </c>
      <c r="AK21" s="676" t="s">
        <v>179</v>
      </c>
      <c r="AL21" s="676" t="s">
        <v>180</v>
      </c>
      <c r="AM21" s="676" t="s">
        <v>181</v>
      </c>
    </row>
    <row r="22" spans="1:39" ht="70.2" x14ac:dyDescent="0.3">
      <c r="A22" s="706"/>
      <c r="B22" s="707"/>
      <c r="C22" s="676"/>
      <c r="D22" s="676"/>
      <c r="E22" s="708"/>
      <c r="F22" s="710"/>
      <c r="G22" s="38" t="s">
        <v>201</v>
      </c>
      <c r="H22" s="38" t="s">
        <v>182</v>
      </c>
      <c r="I22" s="703"/>
      <c r="J22" s="676"/>
      <c r="K22" s="703"/>
      <c r="L22" s="701"/>
      <c r="M22" s="703"/>
      <c r="N22" s="703"/>
      <c r="O22" s="701"/>
      <c r="P22" s="701"/>
      <c r="Q22" s="676"/>
      <c r="R22" s="699"/>
      <c r="S22" s="676"/>
      <c r="T22" s="703"/>
      <c r="U22" s="39" t="s">
        <v>183</v>
      </c>
      <c r="V22" s="39" t="s">
        <v>184</v>
      </c>
      <c r="W22" s="39" t="s">
        <v>185</v>
      </c>
      <c r="X22" s="39" t="s">
        <v>186</v>
      </c>
      <c r="Y22" s="39" t="s">
        <v>187</v>
      </c>
      <c r="Z22" s="39" t="s">
        <v>188</v>
      </c>
      <c r="AA22" s="697"/>
      <c r="AB22" s="697"/>
      <c r="AC22" s="697"/>
      <c r="AD22" s="697"/>
      <c r="AE22" s="697"/>
      <c r="AF22" s="697"/>
      <c r="AG22" s="699"/>
      <c r="AH22" s="676"/>
      <c r="AI22" s="676"/>
      <c r="AJ22" s="676"/>
      <c r="AK22" s="676"/>
      <c r="AL22" s="676"/>
      <c r="AM22" s="676"/>
    </row>
    <row r="23" spans="1:39" ht="198" x14ac:dyDescent="0.3">
      <c r="A23" s="834">
        <v>1</v>
      </c>
      <c r="B23" s="836" t="s">
        <v>189</v>
      </c>
      <c r="C23" s="836" t="s">
        <v>256</v>
      </c>
      <c r="D23" s="838" t="s">
        <v>257</v>
      </c>
      <c r="E23" s="96" t="s">
        <v>281</v>
      </c>
      <c r="F23" s="840" t="s">
        <v>258</v>
      </c>
      <c r="G23" s="841" t="s">
        <v>202</v>
      </c>
      <c r="H23" s="840" t="s">
        <v>259</v>
      </c>
      <c r="I23" s="843" t="s">
        <v>190</v>
      </c>
      <c r="J23" s="97">
        <v>25</v>
      </c>
      <c r="K23" s="98" t="str">
        <f>IF(J23&lt;=0,"",IF(J23&lt;=2,"Muy Baja",IF(J23&lt;=24,"Baja",IF(J23&lt;=500,"Media",IF(J23&lt;=5000,"Alta","Muy Alta")))))</f>
        <v>Media</v>
      </c>
      <c r="L23" s="99">
        <f>IF(K23="","",IF(K23="Muy Baja",0.2,IF(K23="Baja",0.4,IF(K23="Media",0.6,IF(K23="Alta",0.8,IF(K23="Muy Alta",1,))))))</f>
        <v>0.6</v>
      </c>
      <c r="M23" s="100" t="s">
        <v>200</v>
      </c>
      <c r="N23" s="101" t="str">
        <f>IF(NOT(ISERROR(MATCH(M23,'[16]Tabla Impacto'!$B$221:$B$223,0))),'[16]Tabla Impacto'!$F$223&amp;"Por favor no seleccionar los criterios de impacto(Afectación Económica o presupuestal y Pérdida Reputacional)",M23)</f>
        <v xml:space="preserve">     El riesgo afecta la imagen de la entidad con algunos usuarios de relevancia frente al logro de los objetivos</v>
      </c>
      <c r="O23" s="98" t="str">
        <f>IF(OR(N23='[16]Tabla Impacto'!$C$11,N23='[16]Tabla Impacto'!$D$11),"Leve",IF(OR(N23='[16]Tabla Impacto'!$C$12,N23='[16]Tabla Impacto'!$D$12),"Menor",IF(OR(N23='[16]Tabla Impacto'!$C$13,N23='[16]Tabla Impacto'!$D$13),"Moderado",IF(OR(N23='[16]Tabla Impacto'!$C$14,N23='[16]Tabla Impacto'!$D$14),"Mayor",IF(OR(N23='[16]Tabla Impacto'!$C$15,N23='[16]Tabla Impacto'!$D$15),"Catastrófico","")))))</f>
        <v>Moderado</v>
      </c>
      <c r="P23" s="102">
        <f>IF(O23="","",IF(O23="Leve",0.2,IF(O23="Menor",0.4,IF(O23="Moderado",0.6,IF(O23="Mayor",0.8,IF(O23="Catastrófico",1,))))))</f>
        <v>0.6</v>
      </c>
      <c r="Q23" s="103"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c r="R23" s="104">
        <v>1</v>
      </c>
      <c r="S23" s="105" t="s">
        <v>260</v>
      </c>
      <c r="T23" s="106" t="str">
        <f t="shared" ref="T23:T27" si="8">IF(OR(U23="Preventivo",U23="Detectivo"),"Probabilidad",IF(U23="Correctivo","Impacto",""))</f>
        <v>Probabilidad</v>
      </c>
      <c r="U23" s="107" t="s">
        <v>197</v>
      </c>
      <c r="V23" s="107" t="s">
        <v>191</v>
      </c>
      <c r="W23" s="108" t="str">
        <f t="shared" ref="W23:W27" si="9">IF(AND(U23="Preventivo",V23="Automático"),"50%",IF(AND(U23="Preventivo",V23="Manual"),"40%",IF(AND(U23="Detectivo",V23="Automático"),"40%",IF(AND(U23="Detectivo",V23="Manual"),"30%",IF(AND(U23="Correctivo",V23="Automático"),"35%",IF(AND(U23="Correctivo",V23="Manual"),"25%",""))))))</f>
        <v>40%</v>
      </c>
      <c r="X23" s="107" t="s">
        <v>198</v>
      </c>
      <c r="Y23" s="107" t="s">
        <v>193</v>
      </c>
      <c r="Z23" s="107" t="s">
        <v>194</v>
      </c>
      <c r="AA23" s="109">
        <f>IFERROR(IF(T23="Probabilidad",(L23-(+L23*W23)),IF(T23="Impacto",L23,"")),"")</f>
        <v>0.36</v>
      </c>
      <c r="AB23" s="110" t="str">
        <f t="shared" ref="AB23:AB27" si="10">IFERROR(IF(AA23="","",IF(AA23&lt;=0.2,"Muy Baja",IF(AA23&lt;=0.4,"Baja",IF(AA23&lt;=0.6,"Media",IF(AA23&lt;=0.8,"Alta","Muy Alta"))))),"")</f>
        <v>Baja</v>
      </c>
      <c r="AC23" s="111">
        <f>+AA23</f>
        <v>0.36</v>
      </c>
      <c r="AD23" s="845" t="str">
        <f>IFERROR(IF(AE23="","",IF(AE23&lt;=0.2,"Leve",IF(AE23&lt;=0.4,"Menor",IF(AE23&lt;=0.6,"Moderado",IF(AE23&lt;=0.8,"Mayor","Catastrófico"))))),"")</f>
        <v>Moderado</v>
      </c>
      <c r="AE23" s="111">
        <f t="shared" ref="AE23:AE27" si="11">IFERROR(IF(T23="Impacto",(P23-(+P23*W23)),IF(T23="Probabilidad",P23,"")),"")</f>
        <v>0.6</v>
      </c>
      <c r="AF23" s="848"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Moderado</v>
      </c>
      <c r="AG23" s="91" t="s">
        <v>195</v>
      </c>
      <c r="AH23" s="112" t="s">
        <v>261</v>
      </c>
      <c r="AI23" s="113" t="s">
        <v>262</v>
      </c>
      <c r="AJ23" s="114" t="s">
        <v>263</v>
      </c>
      <c r="AK23" s="115" t="s">
        <v>264</v>
      </c>
      <c r="AL23" s="112" t="s">
        <v>265</v>
      </c>
      <c r="AM23" s="116" t="s">
        <v>196</v>
      </c>
    </row>
    <row r="24" spans="1:39" ht="184.8" x14ac:dyDescent="0.3">
      <c r="A24" s="835"/>
      <c r="B24" s="837"/>
      <c r="C24" s="837"/>
      <c r="D24" s="839"/>
      <c r="E24" s="96" t="s">
        <v>282</v>
      </c>
      <c r="F24" s="840"/>
      <c r="G24" s="842"/>
      <c r="H24" s="840"/>
      <c r="I24" s="844"/>
      <c r="J24" s="97">
        <v>25</v>
      </c>
      <c r="K24" s="98" t="str">
        <f>IF(J24&lt;=0,"",IF(J24&lt;=2,"Muy Baja",IF(J24&lt;=24,"Baja",IF(J24&lt;=500,"Media",IF(J24&lt;=5000,"Alta","Muy Alta")))))</f>
        <v>Media</v>
      </c>
      <c r="L24" s="99">
        <f>IF(K24="","",IF(K24="Muy Baja",0.2,IF(K24="Baja",0.4,IF(K24="Media",0.6,IF(K24="Alta",0.8,IF(K24="Muy Alta",1,))))))</f>
        <v>0.6</v>
      </c>
      <c r="M24" s="100" t="s">
        <v>200</v>
      </c>
      <c r="N24" s="101" t="str">
        <f>IF(NOT(ISERROR(MATCH(M24,'[16]Tabla Impacto'!$B$221:$B$223,0))),'[16]Tabla Impacto'!$F$223&amp;"Por favor no seleccionar los criterios de impacto(Afectación Económica o presupuestal y Pérdida Reputacional)",M24)</f>
        <v xml:space="preserve">     El riesgo afecta la imagen de la entidad con algunos usuarios de relevancia frente al logro de los objetivos</v>
      </c>
      <c r="O24" s="98" t="str">
        <f>IF(OR(N24='[16]Tabla Impacto'!$C$11,N24='[16]Tabla Impacto'!$D$11),"Leve",IF(OR(N24='[16]Tabla Impacto'!$C$12,N24='[16]Tabla Impacto'!$D$12),"Menor",IF(OR(N24='[16]Tabla Impacto'!$C$13,N24='[16]Tabla Impacto'!$D$13),"Moderado",IF(OR(N24='[16]Tabla Impacto'!$C$14,N24='[16]Tabla Impacto'!$D$14),"Mayor",IF(OR(N24='[16]Tabla Impacto'!$C$15,N24='[16]Tabla Impacto'!$D$15),"Catastrófico","")))))</f>
        <v>Moderado</v>
      </c>
      <c r="P24" s="102">
        <f>IF(O24="","",IF(O24="Leve",0.2,IF(O24="Menor",0.4,IF(O24="Moderado",0.6,IF(O24="Mayor",0.8,IF(O24="Catastrófico",1,))))))</f>
        <v>0.6</v>
      </c>
      <c r="Q24" s="103" t="str">
        <f>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Moderado</v>
      </c>
      <c r="R24" s="104">
        <v>2</v>
      </c>
      <c r="S24" s="105" t="s">
        <v>266</v>
      </c>
      <c r="T24" s="106" t="str">
        <f t="shared" si="8"/>
        <v>Probabilidad</v>
      </c>
      <c r="U24" s="107" t="s">
        <v>197</v>
      </c>
      <c r="V24" s="107" t="s">
        <v>191</v>
      </c>
      <c r="W24" s="108" t="str">
        <f t="shared" si="9"/>
        <v>40%</v>
      </c>
      <c r="X24" s="107" t="s">
        <v>198</v>
      </c>
      <c r="Y24" s="107" t="s">
        <v>193</v>
      </c>
      <c r="Z24" s="107" t="s">
        <v>194</v>
      </c>
      <c r="AA24" s="109">
        <f>IFERROR(IF(AND(T23="Probabilidad",T24="Probabilidad"),(AC23-(+AC23*W24)),IF(AND(T23="Impacto",T24="Probabilidad"),(L23-(+L23*W24)),IF(T24="Impacto",AC23,""))),"")</f>
        <v>0.216</v>
      </c>
      <c r="AB24" s="110" t="str">
        <f t="shared" si="10"/>
        <v>Baja</v>
      </c>
      <c r="AC24" s="111">
        <f t="shared" ref="AC24:AC27" si="12">+AA24</f>
        <v>0.216</v>
      </c>
      <c r="AD24" s="846"/>
      <c r="AE24" s="111">
        <f t="shared" si="11"/>
        <v>0.6</v>
      </c>
      <c r="AF24" s="849"/>
      <c r="AG24" s="91" t="s">
        <v>195</v>
      </c>
      <c r="AH24" s="112" t="s">
        <v>267</v>
      </c>
      <c r="AI24" s="113" t="s">
        <v>262</v>
      </c>
      <c r="AJ24" s="114" t="s">
        <v>263</v>
      </c>
      <c r="AK24" s="115" t="s">
        <v>264</v>
      </c>
      <c r="AL24" s="112" t="s">
        <v>268</v>
      </c>
      <c r="AM24" s="116" t="s">
        <v>196</v>
      </c>
    </row>
    <row r="25" spans="1:39" ht="303.60000000000002" x14ac:dyDescent="0.3">
      <c r="A25" s="835"/>
      <c r="B25" s="837"/>
      <c r="C25" s="837"/>
      <c r="D25" s="839"/>
      <c r="E25" s="117" t="s">
        <v>283</v>
      </c>
      <c r="F25" s="840"/>
      <c r="G25" s="842"/>
      <c r="H25" s="840"/>
      <c r="I25" s="844"/>
      <c r="J25" s="97">
        <v>25</v>
      </c>
      <c r="K25" s="98" t="str">
        <f>IF(J25&lt;=0,"",IF(J25&lt;=2,"Muy Baja",IF(J25&lt;=24,"Baja",IF(J25&lt;=500,"Media",IF(J25&lt;=5000,"Alta","Muy Alta")))))</f>
        <v>Media</v>
      </c>
      <c r="L25" s="99">
        <f>IF(K25="","",IF(K25="Muy Baja",0.2,IF(K25="Baja",0.4,IF(K25="Media",0.6,IF(K25="Alta",0.8,IF(K25="Muy Alta",1,))))))</f>
        <v>0.6</v>
      </c>
      <c r="M25" s="100" t="s">
        <v>200</v>
      </c>
      <c r="N25" s="101" t="str">
        <f>IF(NOT(ISERROR(MATCH(M25,'[16]Tabla Impacto'!$B$221:$B$223,0))),'[16]Tabla Impacto'!$F$223&amp;"Por favor no seleccionar los criterios de impacto(Afectación Económica o presupuestal y Pérdida Reputacional)",M25)</f>
        <v xml:space="preserve">     El riesgo afecta la imagen de la entidad con algunos usuarios de relevancia frente al logro de los objetivos</v>
      </c>
      <c r="O25" s="98" t="str">
        <f>IF(OR(N25='[16]Tabla Impacto'!$C$11,N25='[16]Tabla Impacto'!$D$11),"Leve",IF(OR(N25='[16]Tabla Impacto'!$C$12,N25='[16]Tabla Impacto'!$D$12),"Menor",IF(OR(N25='[16]Tabla Impacto'!$C$13,N25='[16]Tabla Impacto'!$D$13),"Moderado",IF(OR(N25='[16]Tabla Impacto'!$C$14,N25='[16]Tabla Impacto'!$D$14),"Mayor",IF(OR(N25='[16]Tabla Impacto'!$C$15,N25='[16]Tabla Impacto'!$D$15),"Catastrófico","")))))</f>
        <v>Moderado</v>
      </c>
      <c r="P25" s="102">
        <f>IF(O25="","",IF(O25="Leve",0.2,IF(O25="Menor",0.4,IF(O25="Moderado",0.6,IF(O25="Mayor",0.8,IF(O25="Catastrófico",1,))))))</f>
        <v>0.6</v>
      </c>
      <c r="Q25" s="103" t="str">
        <f>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Moderado</v>
      </c>
      <c r="R25" s="104">
        <v>3</v>
      </c>
      <c r="S25" s="105" t="s">
        <v>269</v>
      </c>
      <c r="T25" s="106" t="str">
        <f t="shared" si="8"/>
        <v>Probabilidad</v>
      </c>
      <c r="U25" s="107" t="s">
        <v>197</v>
      </c>
      <c r="V25" s="107" t="s">
        <v>191</v>
      </c>
      <c r="W25" s="108" t="str">
        <f t="shared" si="9"/>
        <v>40%</v>
      </c>
      <c r="X25" s="107" t="s">
        <v>198</v>
      </c>
      <c r="Y25" s="107" t="s">
        <v>193</v>
      </c>
      <c r="Z25" s="107" t="s">
        <v>194</v>
      </c>
      <c r="AA25" s="109">
        <f>IFERROR(IF(AND(T24="Probabilidad",T25="Probabilidad"),(AC24-(+AC24*W25)),IF(AND(T24="Impacto",T25="Probabilidad"),(AC23-(+AC23*W25)),IF(T25="Impacto",AC24,""))),"")</f>
        <v>0.12959999999999999</v>
      </c>
      <c r="AB25" s="110" t="str">
        <f t="shared" si="10"/>
        <v>Muy Baja</v>
      </c>
      <c r="AC25" s="111">
        <f t="shared" si="12"/>
        <v>0.12959999999999999</v>
      </c>
      <c r="AD25" s="846"/>
      <c r="AE25" s="111">
        <f t="shared" si="11"/>
        <v>0.6</v>
      </c>
      <c r="AF25" s="849"/>
      <c r="AG25" s="91" t="s">
        <v>195</v>
      </c>
      <c r="AH25" s="112" t="s">
        <v>270</v>
      </c>
      <c r="AI25" s="116" t="s">
        <v>262</v>
      </c>
      <c r="AJ25" s="114" t="s">
        <v>263</v>
      </c>
      <c r="AK25" s="115" t="s">
        <v>264</v>
      </c>
      <c r="AL25" s="112" t="s">
        <v>265</v>
      </c>
      <c r="AM25" s="116" t="s">
        <v>196</v>
      </c>
    </row>
    <row r="26" spans="1:39" ht="158.4" x14ac:dyDescent="0.3">
      <c r="A26" s="835"/>
      <c r="B26" s="837"/>
      <c r="C26" s="837"/>
      <c r="D26" s="839"/>
      <c r="E26" s="117" t="s">
        <v>284</v>
      </c>
      <c r="F26" s="840"/>
      <c r="G26" s="842"/>
      <c r="H26" s="840"/>
      <c r="I26" s="844"/>
      <c r="J26" s="97">
        <v>25</v>
      </c>
      <c r="K26" s="98" t="str">
        <f>IF(J26&lt;=0,"",IF(J26&lt;=2,"Muy Baja",IF(J26&lt;=24,"Baja",IF(J26&lt;=500,"Media",IF(J26&lt;=5000,"Alta","Muy Alta")))))</f>
        <v>Media</v>
      </c>
      <c r="L26" s="99">
        <f>IF(K26="","",IF(K26="Muy Baja",0.2,IF(K26="Baja",0.4,IF(K26="Media",0.6,IF(K26="Alta",0.8,IF(K26="Muy Alta",1,))))))</f>
        <v>0.6</v>
      </c>
      <c r="M26" s="100" t="s">
        <v>200</v>
      </c>
      <c r="N26" s="101" t="str">
        <f>IF(NOT(ISERROR(MATCH(M26,'[16]Tabla Impacto'!$B$221:$B$223,0))),'[16]Tabla Impacto'!$F$223&amp;"Por favor no seleccionar los criterios de impacto(Afectación Económica o presupuestal y Pérdida Reputacional)",M26)</f>
        <v xml:space="preserve">     El riesgo afecta la imagen de la entidad con algunos usuarios de relevancia frente al logro de los objetivos</v>
      </c>
      <c r="O26" s="98" t="str">
        <f>IF(OR(N26='[16]Tabla Impacto'!$C$11,N26='[16]Tabla Impacto'!$D$11),"Leve",IF(OR(N26='[16]Tabla Impacto'!$C$12,N26='[16]Tabla Impacto'!$D$12),"Menor",IF(OR(N26='[16]Tabla Impacto'!$C$13,N26='[16]Tabla Impacto'!$D$13),"Moderado",IF(OR(N26='[16]Tabla Impacto'!$C$14,N26='[16]Tabla Impacto'!$D$14),"Mayor",IF(OR(N26='[16]Tabla Impacto'!$C$15,N26='[16]Tabla Impacto'!$D$15),"Catastrófico","")))))</f>
        <v>Moderado</v>
      </c>
      <c r="P26" s="102">
        <f>IF(O26="","",IF(O26="Leve",0.2,IF(O26="Menor",0.4,IF(O26="Moderado",0.6,IF(O26="Mayor",0.8,IF(O26="Catastrófico",1,))))))</f>
        <v>0.6</v>
      </c>
      <c r="Q26" s="103"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Moderado</v>
      </c>
      <c r="R26" s="104">
        <v>4</v>
      </c>
      <c r="S26" s="105" t="s">
        <v>271</v>
      </c>
      <c r="T26" s="106" t="str">
        <f>IF(OR(U26="Preventivo",U26="Detectivo"),"Probabilidad",IF(U26="Correctivo","Impacto",""))</f>
        <v>Probabilidad</v>
      </c>
      <c r="U26" s="107" t="s">
        <v>197</v>
      </c>
      <c r="V26" s="107" t="s">
        <v>191</v>
      </c>
      <c r="W26" s="108" t="str">
        <f t="shared" si="9"/>
        <v>40%</v>
      </c>
      <c r="X26" s="107" t="s">
        <v>198</v>
      </c>
      <c r="Y26" s="107" t="s">
        <v>193</v>
      </c>
      <c r="Z26" s="107" t="s">
        <v>194</v>
      </c>
      <c r="AA26" s="109">
        <f>IFERROR(IF(AND(T25="Probabilidad",T26="Probabilidad"),(AC25-(+AC25*W26)),IF(AND(T25="Impacto",T26="Probabilidad"),(AC24-(+AC24*W26)),IF(T26="Impacto",AC25,""))),"")</f>
        <v>7.7759999999999996E-2</v>
      </c>
      <c r="AB26" s="110" t="str">
        <f t="shared" si="10"/>
        <v>Muy Baja</v>
      </c>
      <c r="AC26" s="111">
        <f t="shared" si="12"/>
        <v>7.7759999999999996E-2</v>
      </c>
      <c r="AD26" s="847"/>
      <c r="AE26" s="111">
        <f t="shared" si="11"/>
        <v>0.6</v>
      </c>
      <c r="AF26" s="850"/>
      <c r="AG26" s="91" t="s">
        <v>195</v>
      </c>
      <c r="AH26" s="112" t="s">
        <v>272</v>
      </c>
      <c r="AI26" s="116" t="s">
        <v>262</v>
      </c>
      <c r="AJ26" s="114" t="s">
        <v>263</v>
      </c>
      <c r="AK26" s="115" t="s">
        <v>264</v>
      </c>
      <c r="AL26" s="112" t="s">
        <v>273</v>
      </c>
      <c r="AM26" s="116" t="s">
        <v>196</v>
      </c>
    </row>
    <row r="27" spans="1:39" ht="207" x14ac:dyDescent="0.3">
      <c r="A27" s="118">
        <v>2</v>
      </c>
      <c r="B27" s="119" t="s">
        <v>189</v>
      </c>
      <c r="C27" s="119" t="s">
        <v>274</v>
      </c>
      <c r="D27" s="120" t="s">
        <v>275</v>
      </c>
      <c r="E27" s="121" t="s">
        <v>285</v>
      </c>
      <c r="F27" s="122" t="s">
        <v>276</v>
      </c>
      <c r="G27" s="92" t="s">
        <v>202</v>
      </c>
      <c r="H27" s="123" t="s">
        <v>277</v>
      </c>
      <c r="I27" s="124" t="s">
        <v>278</v>
      </c>
      <c r="J27" s="125">
        <v>4</v>
      </c>
      <c r="K27" s="126" t="str">
        <f>IF(J27&lt;=0,"",IF(J27&lt;=2,"Muy Baja",IF(J27&lt;=24,"Baja",IF(J27&lt;=500,"Media",IF(J27&lt;=5000,"Alta","Muy Alta")))))</f>
        <v>Baja</v>
      </c>
      <c r="L27" s="45">
        <f>IF(K27="","",IF(K27="Muy Baja",0.2,IF(K27="Baja",0.4,IF(K27="Media",0.6,IF(K27="Alta",0.8,IF(K27="Muy Alta",1,))))))</f>
        <v>0.4</v>
      </c>
      <c r="M27" s="127" t="s">
        <v>200</v>
      </c>
      <c r="N27" s="128" t="str">
        <f>IF(NOT(ISERROR(MATCH(M27,'[16]Tabla Impacto'!$B$221:$B$223,0))),'[16]Tabla Impacto'!$F$223&amp;"Por favor no seleccionar los criterios de impacto(Afectación Económica o presupuestal y Pérdida Reputacional)",M27)</f>
        <v xml:space="preserve">     El riesgo afecta la imagen de la entidad con algunos usuarios de relevancia frente al logro de los objetivos</v>
      </c>
      <c r="O27" s="129" t="str">
        <f>IF(OR(N27='[16]Tabla Impacto'!$C$11,N27='[16]Tabla Impacto'!$D$11),"Leve",IF(OR(N27='[16]Tabla Impacto'!$C$12,N27='[16]Tabla Impacto'!$D$12),"Menor",IF(OR(N27='[16]Tabla Impacto'!$C$13,N27='[16]Tabla Impacto'!$D$13),"Moderado",IF(OR(N27='[16]Tabla Impacto'!$C$14,N27='[16]Tabla Impacto'!$D$14),"Mayor",IF(OR(N27='[16]Tabla Impacto'!$C$15,N27='[16]Tabla Impacto'!$D$15),"Catastrófico","")))))</f>
        <v>Moderado</v>
      </c>
      <c r="P27" s="128">
        <f>IF(O27="","",IF(O27="Leve",0.2,IF(O27="Menor",0.4,IF(O27="Moderado",0.6,IF(O27="Mayor",0.8,IF(O27="Catastrófico",1,))))))</f>
        <v>0.6</v>
      </c>
      <c r="Q27" s="130" t="str">
        <f>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Moderado</v>
      </c>
      <c r="R27" s="118">
        <v>1</v>
      </c>
      <c r="S27" s="131" t="s">
        <v>279</v>
      </c>
      <c r="T27" s="94" t="str">
        <f t="shared" si="8"/>
        <v>Probabilidad</v>
      </c>
      <c r="U27" s="86" t="s">
        <v>197</v>
      </c>
      <c r="V27" s="86" t="s">
        <v>191</v>
      </c>
      <c r="W27" s="87" t="str">
        <f t="shared" si="9"/>
        <v>40%</v>
      </c>
      <c r="X27" s="86" t="s">
        <v>198</v>
      </c>
      <c r="Y27" s="86" t="s">
        <v>193</v>
      </c>
      <c r="Z27" s="86" t="s">
        <v>194</v>
      </c>
      <c r="AA27" s="95">
        <f>IFERROR(IF(T27="Probabilidad",(L27-(+L27*W27)),IF(T27="Impacto",L27,"")),"")</f>
        <v>0.24</v>
      </c>
      <c r="AB27" s="88" t="str">
        <f t="shared" si="10"/>
        <v>Baja</v>
      </c>
      <c r="AC27" s="89">
        <f t="shared" si="12"/>
        <v>0.24</v>
      </c>
      <c r="AD27" s="88" t="str">
        <f>IFERROR(IF(AE27="","",IF(AE27&lt;=0.2,"Leve",IF(AE27&lt;=0.4,"Menor",IF(AE27&lt;=0.6,"Moderado",IF(AE27&lt;=0.8,"Mayor","Catastrófico"))))),"")</f>
        <v>Moderado</v>
      </c>
      <c r="AE27" s="89">
        <f t="shared" si="11"/>
        <v>0.6</v>
      </c>
      <c r="AF27" s="90"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Moderado</v>
      </c>
      <c r="AG27" s="91" t="s">
        <v>195</v>
      </c>
      <c r="AH27" s="93" t="s">
        <v>280</v>
      </c>
      <c r="AI27" s="116" t="s">
        <v>262</v>
      </c>
      <c r="AJ27" s="114" t="s">
        <v>263</v>
      </c>
      <c r="AK27" s="132" t="s">
        <v>264</v>
      </c>
      <c r="AL27" s="112" t="s">
        <v>265</v>
      </c>
      <c r="AM27" s="116" t="s">
        <v>196</v>
      </c>
    </row>
    <row r="28" spans="1:39" x14ac:dyDescent="0.3">
      <c r="A28" s="718" t="s">
        <v>148</v>
      </c>
      <c r="B28" s="719"/>
      <c r="C28" s="719"/>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9"/>
      <c r="AD28" s="719"/>
      <c r="AE28" s="719"/>
      <c r="AF28" s="719"/>
      <c r="AG28" s="719"/>
      <c r="AH28" s="719"/>
      <c r="AI28" s="719"/>
      <c r="AJ28" s="719"/>
      <c r="AK28" s="719"/>
      <c r="AL28" s="719"/>
      <c r="AM28" s="720"/>
    </row>
    <row r="29" spans="1:39" x14ac:dyDescent="0.3">
      <c r="A29" s="721"/>
      <c r="B29" s="722"/>
      <c r="C29" s="722"/>
      <c r="D29" s="722"/>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3"/>
    </row>
    <row r="30" spans="1:39" ht="14.4" x14ac:dyDescent="0.3">
      <c r="A30" s="42"/>
      <c r="B30" s="43"/>
      <c r="C30" s="42"/>
      <c r="D30" s="42"/>
      <c r="E30" s="42"/>
      <c r="F30" s="41"/>
      <c r="G30" s="41"/>
      <c r="H30" s="41"/>
      <c r="I30" s="44"/>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row r="31" spans="1:39" ht="23.4" x14ac:dyDescent="0.3">
      <c r="A31" s="711" t="s">
        <v>149</v>
      </c>
      <c r="B31" s="712"/>
      <c r="C31" s="828" t="s">
        <v>486</v>
      </c>
      <c r="D31" s="829"/>
      <c r="E31" s="829"/>
      <c r="F31" s="829"/>
      <c r="G31" s="829"/>
      <c r="H31" s="829"/>
      <c r="I31" s="829"/>
      <c r="J31" s="829"/>
      <c r="K31" s="829"/>
      <c r="L31" s="829"/>
      <c r="M31" s="829"/>
      <c r="N31" s="829"/>
      <c r="O31" s="829"/>
      <c r="P31" s="829"/>
      <c r="Q31" s="829"/>
      <c r="R31" s="829"/>
      <c r="S31" s="829"/>
      <c r="T31" s="829"/>
      <c r="U31" s="829"/>
      <c r="V31" s="829"/>
      <c r="W31" s="829"/>
      <c r="X31" s="829"/>
      <c r="Y31" s="829"/>
      <c r="Z31" s="829"/>
      <c r="AA31" s="829"/>
      <c r="AB31" s="829"/>
      <c r="AC31" s="829"/>
      <c r="AD31" s="829"/>
      <c r="AE31" s="829"/>
      <c r="AF31" s="829"/>
      <c r="AG31" s="829"/>
      <c r="AH31" s="829"/>
      <c r="AI31" s="829"/>
      <c r="AJ31" s="829"/>
      <c r="AK31" s="829"/>
      <c r="AL31" s="829"/>
      <c r="AM31" s="830"/>
    </row>
    <row r="32" spans="1:39" ht="23.4" x14ac:dyDescent="0.3">
      <c r="A32" s="711" t="s">
        <v>150</v>
      </c>
      <c r="B32" s="712"/>
      <c r="C32" s="831" t="s">
        <v>487</v>
      </c>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832"/>
      <c r="AI32" s="832"/>
      <c r="AJ32" s="832"/>
      <c r="AK32" s="832"/>
      <c r="AL32" s="832"/>
      <c r="AM32" s="833"/>
    </row>
    <row r="33" spans="1:39" ht="23.4" x14ac:dyDescent="0.3">
      <c r="A33" s="711" t="s">
        <v>151</v>
      </c>
      <c r="B33" s="712"/>
      <c r="C33" s="831" t="s">
        <v>488</v>
      </c>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832"/>
      <c r="AM33" s="833"/>
    </row>
    <row r="34" spans="1:39" x14ac:dyDescent="0.3">
      <c r="A34" s="714" t="s">
        <v>152</v>
      </c>
      <c r="B34" s="715"/>
      <c r="C34" s="716"/>
      <c r="D34" s="716"/>
      <c r="E34" s="716"/>
      <c r="F34" s="716"/>
      <c r="G34" s="716"/>
      <c r="H34" s="716"/>
      <c r="I34" s="716"/>
      <c r="J34" s="717"/>
      <c r="K34" s="701" t="s">
        <v>153</v>
      </c>
      <c r="L34" s="716"/>
      <c r="M34" s="716"/>
      <c r="N34" s="716"/>
      <c r="O34" s="716"/>
      <c r="P34" s="716"/>
      <c r="Q34" s="717"/>
      <c r="R34" s="701" t="s">
        <v>154</v>
      </c>
      <c r="S34" s="716"/>
      <c r="T34" s="716"/>
      <c r="U34" s="716"/>
      <c r="V34" s="716"/>
      <c r="W34" s="716"/>
      <c r="X34" s="716"/>
      <c r="Y34" s="716"/>
      <c r="Z34" s="717"/>
      <c r="AA34" s="701" t="s">
        <v>155</v>
      </c>
      <c r="AB34" s="716"/>
      <c r="AC34" s="716"/>
      <c r="AD34" s="716"/>
      <c r="AE34" s="716"/>
      <c r="AF34" s="716"/>
      <c r="AG34" s="717"/>
      <c r="AH34" s="701" t="s">
        <v>156</v>
      </c>
      <c r="AI34" s="716"/>
      <c r="AJ34" s="716"/>
      <c r="AK34" s="716"/>
      <c r="AL34" s="716"/>
      <c r="AM34" s="717"/>
    </row>
    <row r="35" spans="1:39" x14ac:dyDescent="0.3">
      <c r="A35" s="705" t="s">
        <v>157</v>
      </c>
      <c r="B35" s="707" t="s">
        <v>141</v>
      </c>
      <c r="C35" s="703" t="s">
        <v>158</v>
      </c>
      <c r="D35" s="703" t="s">
        <v>159</v>
      </c>
      <c r="E35" s="702" t="s">
        <v>160</v>
      </c>
      <c r="F35" s="709" t="s">
        <v>60</v>
      </c>
      <c r="G35" s="38"/>
      <c r="H35" s="38"/>
      <c r="I35" s="702" t="s">
        <v>161</v>
      </c>
      <c r="J35" s="703" t="s">
        <v>162</v>
      </c>
      <c r="K35" s="708" t="s">
        <v>163</v>
      </c>
      <c r="L35" s="700" t="s">
        <v>164</v>
      </c>
      <c r="M35" s="702" t="s">
        <v>165</v>
      </c>
      <c r="N35" s="702" t="s">
        <v>166</v>
      </c>
      <c r="O35" s="704" t="s">
        <v>167</v>
      </c>
      <c r="P35" s="700" t="s">
        <v>164</v>
      </c>
      <c r="Q35" s="703" t="s">
        <v>168</v>
      </c>
      <c r="R35" s="698" t="s">
        <v>169</v>
      </c>
      <c r="S35" s="676" t="s">
        <v>170</v>
      </c>
      <c r="T35" s="702" t="s">
        <v>171</v>
      </c>
      <c r="U35" s="676" t="s">
        <v>172</v>
      </c>
      <c r="V35" s="676"/>
      <c r="W35" s="676"/>
      <c r="X35" s="676"/>
      <c r="Y35" s="676"/>
      <c r="Z35" s="676"/>
      <c r="AA35" s="697" t="s">
        <v>173</v>
      </c>
      <c r="AB35" s="697" t="s">
        <v>174</v>
      </c>
      <c r="AC35" s="697" t="s">
        <v>164</v>
      </c>
      <c r="AD35" s="697" t="s">
        <v>175</v>
      </c>
      <c r="AE35" s="697" t="s">
        <v>164</v>
      </c>
      <c r="AF35" s="697" t="s">
        <v>176</v>
      </c>
      <c r="AG35" s="698" t="s">
        <v>177</v>
      </c>
      <c r="AH35" s="676" t="s">
        <v>156</v>
      </c>
      <c r="AI35" s="676" t="s">
        <v>142</v>
      </c>
      <c r="AJ35" s="676" t="s">
        <v>178</v>
      </c>
      <c r="AK35" s="676" t="s">
        <v>179</v>
      </c>
      <c r="AL35" s="676" t="s">
        <v>180</v>
      </c>
      <c r="AM35" s="676" t="s">
        <v>181</v>
      </c>
    </row>
    <row r="36" spans="1:39" ht="70.2" x14ac:dyDescent="0.3">
      <c r="A36" s="706"/>
      <c r="B36" s="707"/>
      <c r="C36" s="676"/>
      <c r="D36" s="676"/>
      <c r="E36" s="708"/>
      <c r="F36" s="710"/>
      <c r="G36" s="38" t="s">
        <v>201</v>
      </c>
      <c r="H36" s="38" t="s">
        <v>182</v>
      </c>
      <c r="I36" s="703"/>
      <c r="J36" s="676"/>
      <c r="K36" s="703"/>
      <c r="L36" s="701"/>
      <c r="M36" s="703"/>
      <c r="N36" s="703"/>
      <c r="O36" s="701"/>
      <c r="P36" s="701"/>
      <c r="Q36" s="676"/>
      <c r="R36" s="699"/>
      <c r="S36" s="676"/>
      <c r="T36" s="703"/>
      <c r="U36" s="39" t="s">
        <v>183</v>
      </c>
      <c r="V36" s="39" t="s">
        <v>184</v>
      </c>
      <c r="W36" s="39" t="s">
        <v>185</v>
      </c>
      <c r="X36" s="39" t="s">
        <v>186</v>
      </c>
      <c r="Y36" s="39" t="s">
        <v>187</v>
      </c>
      <c r="Z36" s="39" t="s">
        <v>188</v>
      </c>
      <c r="AA36" s="697"/>
      <c r="AB36" s="697"/>
      <c r="AC36" s="697"/>
      <c r="AD36" s="697"/>
      <c r="AE36" s="697"/>
      <c r="AF36" s="697"/>
      <c r="AG36" s="699"/>
      <c r="AH36" s="676"/>
      <c r="AI36" s="676"/>
      <c r="AJ36" s="676"/>
      <c r="AK36" s="676"/>
      <c r="AL36" s="676"/>
      <c r="AM36" s="676"/>
    </row>
    <row r="37" spans="1:39" ht="69" x14ac:dyDescent="0.3">
      <c r="A37" s="630">
        <v>1</v>
      </c>
      <c r="B37" s="734" t="s">
        <v>199</v>
      </c>
      <c r="C37" s="734" t="s">
        <v>489</v>
      </c>
      <c r="D37" s="736" t="s">
        <v>490</v>
      </c>
      <c r="E37" s="405" t="s">
        <v>491</v>
      </c>
      <c r="F37" s="738" t="s">
        <v>492</v>
      </c>
      <c r="G37" s="760" t="s">
        <v>202</v>
      </c>
      <c r="H37" s="738" t="s">
        <v>493</v>
      </c>
      <c r="I37" s="739" t="s">
        <v>190</v>
      </c>
      <c r="J37" s="741">
        <v>16</v>
      </c>
      <c r="K37" s="743" t="str">
        <f>IF(J37&lt;=0,"",IF(J37&lt;=2,"Muy Baja",IF(J37&lt;=24,"Baja",IF(J37&lt;=500,"Media",IF(J37&lt;=5000,"Alta","Muy Alta")))))</f>
        <v>Baja</v>
      </c>
      <c r="L37" s="745">
        <f>IF(K37="","",IF(K37="Muy Baja",0.2,IF(K37="Baja",0.4,IF(K37="Media",0.6,IF(K37="Alta",0.8,IF(K37="Muy Alta",1,))))))</f>
        <v>0.4</v>
      </c>
      <c r="M37" s="747" t="s">
        <v>214</v>
      </c>
      <c r="N37" s="745" t="str">
        <f>IF(NOT(ISERROR(MATCH(M37,'[17]Tabla Impacto'!$B$221:$B$223,0))),'[17]Tabla Impacto'!$F$223&amp;"Por favor no seleccionar los criterios de impacto(Afectación Económica o presupuestal y Pérdida Reputacional)",M37)</f>
        <v xml:space="preserve">     El riesgo afecta la imagen de de la entidad con efecto publicitario sostenido a nivel de sector administrativo, nivel departamental o municipal</v>
      </c>
      <c r="O37" s="743" t="str">
        <f>IF(OR(N37='[17]Tabla Impacto'!$C$11,N37='[17]Tabla Impacto'!$D$11),"Leve",IF(OR(N37='[17]Tabla Impacto'!$C$12,N37='[17]Tabla Impacto'!$D$12),"Menor",IF(OR(N37='[17]Tabla Impacto'!$C$13,N37='[17]Tabla Impacto'!$D$13),"Moderado",IF(OR(N37='[17]Tabla Impacto'!$C$14,N37='[17]Tabla Impacto'!$D$14),"Mayor",IF(OR(N37='[17]Tabla Impacto'!$C$15,N37='[17]Tabla Impacto'!$D$15),"Catastrófico","")))))</f>
        <v>Mayor</v>
      </c>
      <c r="P37" s="745">
        <f>IF(O37="","",IF(O37="Leve",0.2,IF(O37="Menor",0.4,IF(O37="Moderado",0.6,IF(O37="Mayor",0.8,IF(O37="Catastrófico",1,))))))</f>
        <v>0.8</v>
      </c>
      <c r="Q37" s="749" t="str">
        <f>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Alto</v>
      </c>
      <c r="R37" s="249">
        <v>1</v>
      </c>
      <c r="S37" s="93">
        <f>+[17]DOFA!E64</f>
        <v>0</v>
      </c>
      <c r="T37" s="94" t="str">
        <f>IF(OR(U37="Preventivo",U37="Detectivo"),"Probabilidad",IF(U37="Correctivo","Impacto",""))</f>
        <v>Probabilidad</v>
      </c>
      <c r="U37" s="86" t="s">
        <v>197</v>
      </c>
      <c r="V37" s="86" t="s">
        <v>191</v>
      </c>
      <c r="W37" s="87" t="str">
        <f>IF(AND(U37="Preventivo",V37="Automático"),"50%",IF(AND(U37="Preventivo",V37="Manual"),"40%",IF(AND(U37="Detectivo",V37="Automático"),"40%",IF(AND(U37="Detectivo",V37="Manual"),"30%",IF(AND(U37="Correctivo",V37="Automático"),"35%",IF(AND(U37="Correctivo",V37="Manual"),"25%",""))))))</f>
        <v>40%</v>
      </c>
      <c r="X37" s="86" t="s">
        <v>198</v>
      </c>
      <c r="Y37" s="86" t="s">
        <v>193</v>
      </c>
      <c r="Z37" s="86" t="s">
        <v>194</v>
      </c>
      <c r="AA37" s="95">
        <f>IFERROR(IF(T37="Probabilidad",(L37-(+L37*W37)),IF(T37="Impacto",L37,"")),"")</f>
        <v>0.24</v>
      </c>
      <c r="AB37" s="88" t="str">
        <f>IFERROR(IF(AA37="","",IF(AA37&lt;=0.2,"Muy Baja",IF(AA37&lt;=0.4,"Baja",IF(AA37&lt;=0.6,"Media",IF(AA37&lt;=0.8,"Alta","Muy Alta"))))),"")</f>
        <v>Baja</v>
      </c>
      <c r="AC37" s="89">
        <f>+AA37</f>
        <v>0.24</v>
      </c>
      <c r="AD37" s="88" t="str">
        <f>IFERROR(IF(AE37="","",IF(AE37&lt;=0.2,"Leve",IF(AE37&lt;=0.4,"Menor",IF(AE37&lt;=0.6,"Moderado",IF(AE37&lt;=0.8,"Mayor","Catastrófico"))))),"")</f>
        <v>Mayor</v>
      </c>
      <c r="AE37" s="89">
        <f>IFERROR(IF(T37="Impacto",(P37-(+P37*W37)),IF(T37="Probabilidad",P37,"")),"")</f>
        <v>0.8</v>
      </c>
      <c r="AF37" s="90"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Alto</v>
      </c>
      <c r="AG37" s="620" t="s">
        <v>195</v>
      </c>
      <c r="AH37" s="819" t="s">
        <v>494</v>
      </c>
      <c r="AI37" s="819" t="s">
        <v>495</v>
      </c>
      <c r="AJ37" s="816">
        <v>45691</v>
      </c>
      <c r="AK37" s="816">
        <v>45751</v>
      </c>
      <c r="AL37" s="819" t="s">
        <v>684</v>
      </c>
      <c r="AM37" s="822" t="s">
        <v>685</v>
      </c>
    </row>
    <row r="38" spans="1:39" ht="69" x14ac:dyDescent="0.3">
      <c r="A38" s="644"/>
      <c r="B38" s="735"/>
      <c r="C38" s="735"/>
      <c r="D38" s="737"/>
      <c r="E38" s="405" t="s">
        <v>496</v>
      </c>
      <c r="F38" s="738"/>
      <c r="G38" s="761"/>
      <c r="H38" s="738"/>
      <c r="I38" s="740"/>
      <c r="J38" s="742"/>
      <c r="K38" s="744"/>
      <c r="L38" s="746"/>
      <c r="M38" s="748"/>
      <c r="N38" s="746">
        <f>IF(NOT(ISERROR(MATCH(M38,_xlfn.ANCHORARRAY(F46),0))),L48&amp;"Por favor no seleccionar los criterios de impacto",M38)</f>
        <v>0</v>
      </c>
      <c r="O38" s="744"/>
      <c r="P38" s="746"/>
      <c r="Q38" s="750"/>
      <c r="R38" s="249">
        <v>2</v>
      </c>
      <c r="S38" s="93">
        <f>+[17]DOFA!E65</f>
        <v>0</v>
      </c>
      <c r="T38" s="94" t="str">
        <f>IF(OR(U38="Preventivo",U38="Detectivo"),"Probabilidad",IF(U38="Correctivo","Impacto",""))</f>
        <v>Probabilidad</v>
      </c>
      <c r="U38" s="86" t="s">
        <v>197</v>
      </c>
      <c r="V38" s="86" t="s">
        <v>191</v>
      </c>
      <c r="W38" s="87" t="str">
        <f t="shared" ref="W38:W39" si="13">IF(AND(U38="Preventivo",V38="Automático"),"50%",IF(AND(U38="Preventivo",V38="Manual"),"40%",IF(AND(U38="Detectivo",V38="Automático"),"40%",IF(AND(U38="Detectivo",V38="Manual"),"30%",IF(AND(U38="Correctivo",V38="Automático"),"35%",IF(AND(U38="Correctivo",V38="Manual"),"25%",""))))))</f>
        <v>40%</v>
      </c>
      <c r="X38" s="86" t="s">
        <v>198</v>
      </c>
      <c r="Y38" s="86" t="s">
        <v>193</v>
      </c>
      <c r="Z38" s="86" t="s">
        <v>194</v>
      </c>
      <c r="AA38" s="95">
        <f>IFERROR(IF(AND(T37="Probabilidad",T38="Probabilidad"),(AC37-(+AC37*W38)),IF(AND(T37="Impacto",T38="Probabilidad"),(L37-(+L37*W38)),IF(T38="Impacto",AC37,""))),"")</f>
        <v>0.14399999999999999</v>
      </c>
      <c r="AB38" s="88" t="str">
        <f t="shared" ref="AB38:AB39" si="14">IFERROR(IF(AA38="","",IF(AA38&lt;=0.2,"Muy Baja",IF(AA38&lt;=0.4,"Baja",IF(AA38&lt;=0.6,"Media",IF(AA38&lt;=0.8,"Alta","Muy Alta"))))),"")</f>
        <v>Muy Baja</v>
      </c>
      <c r="AC38" s="89">
        <f>+AA38</f>
        <v>0.14399999999999999</v>
      </c>
      <c r="AD38" s="88" t="str">
        <f t="shared" ref="AD38:AD39" si="15">IFERROR(IF(AE38="","",IF(AE38&lt;=0.2,"Leve",IF(AE38&lt;=0.4,"Menor",IF(AE38&lt;=0.6,"Moderado",IF(AE38&lt;=0.8,"Mayor","Catastrófico"))))),"")</f>
        <v>Mayor</v>
      </c>
      <c r="AE38" s="89">
        <f>IFERROR(IF(AND(T37="Impacto",T38="Impacto"),(AE37-(+AE37*W38)),IF(AND(T37="Probabilidad",T38="Impacto"),(P37-(+P37*W38)),IF(T38="Probabilidad",AE37,""))),"")</f>
        <v>0.8</v>
      </c>
      <c r="AF38" s="90" t="str">
        <f t="shared" ref="AF38:AF39" si="16">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Alto</v>
      </c>
      <c r="AG38" s="827"/>
      <c r="AH38" s="820"/>
      <c r="AI38" s="820"/>
      <c r="AJ38" s="817"/>
      <c r="AK38" s="817"/>
      <c r="AL38" s="820"/>
      <c r="AM38" s="823"/>
    </row>
    <row r="39" spans="1:39" ht="67.8" x14ac:dyDescent="0.3">
      <c r="A39" s="644"/>
      <c r="B39" s="735"/>
      <c r="C39" s="735"/>
      <c r="D39" s="737"/>
      <c r="E39" s="407" t="s">
        <v>497</v>
      </c>
      <c r="F39" s="738"/>
      <c r="G39" s="761"/>
      <c r="H39" s="738"/>
      <c r="I39" s="740"/>
      <c r="J39" s="742"/>
      <c r="K39" s="744"/>
      <c r="L39" s="746"/>
      <c r="M39" s="748"/>
      <c r="N39" s="746">
        <f>IF(NOT(ISERROR(MATCH(M39,_xlfn.ANCHORARRAY(F47),0))),L49&amp;"Por favor no seleccionar los criterios de impacto",M39)</f>
        <v>0</v>
      </c>
      <c r="O39" s="744"/>
      <c r="P39" s="746"/>
      <c r="Q39" s="750"/>
      <c r="R39" s="249">
        <v>3</v>
      </c>
      <c r="S39" s="253">
        <f>[17]DOFA!E66</f>
        <v>0</v>
      </c>
      <c r="T39" s="94" t="str">
        <f t="shared" ref="T39" si="17">IF(OR(U39="Preventivo",U39="Detectivo"),"Probabilidad",IF(U39="Correctivo","Impacto",""))</f>
        <v>Probabilidad</v>
      </c>
      <c r="U39" s="86" t="s">
        <v>197</v>
      </c>
      <c r="V39" s="86" t="s">
        <v>191</v>
      </c>
      <c r="W39" s="87" t="str">
        <f t="shared" si="13"/>
        <v>40%</v>
      </c>
      <c r="X39" s="86" t="s">
        <v>198</v>
      </c>
      <c r="Y39" s="86" t="s">
        <v>193</v>
      </c>
      <c r="Z39" s="86" t="s">
        <v>194</v>
      </c>
      <c r="AA39" s="95">
        <f>IFERROR(IF(AND(T38="Probabilidad",T39="Probabilidad"),(AC38-(+AC38*W39)),IF(AND(T38="Impacto",T39="Probabilidad"),(AC37-(+AC37*W39)),IF(T39="Impacto",AC38,""))),"")</f>
        <v>8.6399999999999991E-2</v>
      </c>
      <c r="AB39" s="88" t="str">
        <f t="shared" si="14"/>
        <v>Muy Baja</v>
      </c>
      <c r="AC39" s="89">
        <f t="shared" ref="AC39" si="18">+AA39</f>
        <v>8.6399999999999991E-2</v>
      </c>
      <c r="AD39" s="88" t="str">
        <f t="shared" si="15"/>
        <v>Mayor</v>
      </c>
      <c r="AE39" s="89">
        <f t="shared" ref="AE39" si="19">IFERROR(IF(AND(T38="Impacto",T39="Impacto"),(AE38-(+AE38*W39)),IF(AND(T38="Probabilidad",T39="Impacto"),(AE37-(+AE37*W39)),IF(T39="Probabilidad",AE38,""))),"")</f>
        <v>0.8</v>
      </c>
      <c r="AF39" s="90" t="str">
        <f t="shared" si="16"/>
        <v>Alto</v>
      </c>
      <c r="AG39" s="621"/>
      <c r="AH39" s="821"/>
      <c r="AI39" s="821"/>
      <c r="AJ39" s="818"/>
      <c r="AK39" s="818"/>
      <c r="AL39" s="821"/>
      <c r="AM39" s="824"/>
    </row>
  </sheetData>
  <mergeCells count="241">
    <mergeCell ref="AJ37:AJ39"/>
    <mergeCell ref="AK37:AK39"/>
    <mergeCell ref="AL37:AL39"/>
    <mergeCell ref="AM37:AM39"/>
    <mergeCell ref="AI35:AI36"/>
    <mergeCell ref="AJ35:AJ36"/>
    <mergeCell ref="AK35:AK36"/>
    <mergeCell ref="AL35:AL36"/>
    <mergeCell ref="AM35:AM36"/>
    <mergeCell ref="A37:A39"/>
    <mergeCell ref="B37:B39"/>
    <mergeCell ref="C37:C39"/>
    <mergeCell ref="D37:D39"/>
    <mergeCell ref="F37:F39"/>
    <mergeCell ref="G37:G39"/>
    <mergeCell ref="H37:H39"/>
    <mergeCell ref="I37:I39"/>
    <mergeCell ref="J37:J39"/>
    <mergeCell ref="K37:K39"/>
    <mergeCell ref="L37:L39"/>
    <mergeCell ref="M37:M39"/>
    <mergeCell ref="N37:N39"/>
    <mergeCell ref="O37:O39"/>
    <mergeCell ref="P37:P39"/>
    <mergeCell ref="Q37:Q39"/>
    <mergeCell ref="AG37:AG39"/>
    <mergeCell ref="AH37:AH39"/>
    <mergeCell ref="AI37:AI39"/>
    <mergeCell ref="U35:Z35"/>
    <mergeCell ref="AA35:AA36"/>
    <mergeCell ref="AB35:AB36"/>
    <mergeCell ref="AC35:AC36"/>
    <mergeCell ref="AD35:AD36"/>
    <mergeCell ref="AE35:AE36"/>
    <mergeCell ref="AF35:AF36"/>
    <mergeCell ref="AG35:AG36"/>
    <mergeCell ref="AH35:AH36"/>
    <mergeCell ref="L35:L36"/>
    <mergeCell ref="M35:M36"/>
    <mergeCell ref="N35:N36"/>
    <mergeCell ref="O35:O36"/>
    <mergeCell ref="P35:P36"/>
    <mergeCell ref="Q35:Q36"/>
    <mergeCell ref="R35:R36"/>
    <mergeCell ref="S35:S36"/>
    <mergeCell ref="T35:T36"/>
    <mergeCell ref="A35:A36"/>
    <mergeCell ref="B35:B36"/>
    <mergeCell ref="C35:C36"/>
    <mergeCell ref="D35:D36"/>
    <mergeCell ref="E35:E36"/>
    <mergeCell ref="F35:F36"/>
    <mergeCell ref="I35:I36"/>
    <mergeCell ref="J35:J36"/>
    <mergeCell ref="K35:K36"/>
    <mergeCell ref="A28:AM29"/>
    <mergeCell ref="A31:B31"/>
    <mergeCell ref="C31:AM31"/>
    <mergeCell ref="A32:B32"/>
    <mergeCell ref="C32:AM32"/>
    <mergeCell ref="A33:B33"/>
    <mergeCell ref="C33:AM33"/>
    <mergeCell ref="A34:J34"/>
    <mergeCell ref="K34:Q34"/>
    <mergeCell ref="R34:Z34"/>
    <mergeCell ref="AA34:AG34"/>
    <mergeCell ref="AH34:AM34"/>
    <mergeCell ref="A1:AM2"/>
    <mergeCell ref="A4:B4"/>
    <mergeCell ref="C4:AM4"/>
    <mergeCell ref="A5:B5"/>
    <mergeCell ref="C5:AM5"/>
    <mergeCell ref="A6:J6"/>
    <mergeCell ref="K6:Q6"/>
    <mergeCell ref="R6:Z6"/>
    <mergeCell ref="AA6:AG6"/>
    <mergeCell ref="AH6:AM6"/>
    <mergeCell ref="A3:B3"/>
    <mergeCell ref="C3:AM3"/>
    <mergeCell ref="AN7:AN8"/>
    <mergeCell ref="AO7:AO8"/>
    <mergeCell ref="AP7:AP8"/>
    <mergeCell ref="AQ7:AQ8"/>
    <mergeCell ref="AF7:AF8"/>
    <mergeCell ref="AG7:AG8"/>
    <mergeCell ref="AH7:AH8"/>
    <mergeCell ref="AI7:AI8"/>
    <mergeCell ref="AJ7:AJ8"/>
    <mergeCell ref="AK7:AK8"/>
    <mergeCell ref="U7:Z7"/>
    <mergeCell ref="AA7:AA8"/>
    <mergeCell ref="AB7:AB8"/>
    <mergeCell ref="AC7:AC8"/>
    <mergeCell ref="AD7:AD8"/>
    <mergeCell ref="AE7:AE8"/>
    <mergeCell ref="O7:O8"/>
    <mergeCell ref="P7:P8"/>
    <mergeCell ref="Q7:Q8"/>
    <mergeCell ref="R7:R8"/>
    <mergeCell ref="S7:S8"/>
    <mergeCell ref="T7:T8"/>
    <mergeCell ref="K9:K10"/>
    <mergeCell ref="L9:L10"/>
    <mergeCell ref="M9:M10"/>
    <mergeCell ref="N9:N14"/>
    <mergeCell ref="O9:O10"/>
    <mergeCell ref="K11:K12"/>
    <mergeCell ref="L11:L12"/>
    <mergeCell ref="M11:M12"/>
    <mergeCell ref="O11:O12"/>
    <mergeCell ref="A9:A10"/>
    <mergeCell ref="B9:B10"/>
    <mergeCell ref="C9:C10"/>
    <mergeCell ref="D9:D10"/>
    <mergeCell ref="F9:F10"/>
    <mergeCell ref="G9:G10"/>
    <mergeCell ref="AL7:AL8"/>
    <mergeCell ref="AM7:AM8"/>
    <mergeCell ref="I7:I8"/>
    <mergeCell ref="J7:J8"/>
    <mergeCell ref="K7:K8"/>
    <mergeCell ref="L7:L8"/>
    <mergeCell ref="M7:M8"/>
    <mergeCell ref="N7:N8"/>
    <mergeCell ref="A7:A8"/>
    <mergeCell ref="B7:B8"/>
    <mergeCell ref="C7:C8"/>
    <mergeCell ref="D7:D8"/>
    <mergeCell ref="E7:E8"/>
    <mergeCell ref="F7:F8"/>
    <mergeCell ref="AI9:AI10"/>
    <mergeCell ref="AJ9:AJ10"/>
    <mergeCell ref="AK9:AK10"/>
    <mergeCell ref="AL9:AL10"/>
    <mergeCell ref="AM9:AM10"/>
    <mergeCell ref="F11:F12"/>
    <mergeCell ref="G11:G12"/>
    <mergeCell ref="H11:H12"/>
    <mergeCell ref="I11:I12"/>
    <mergeCell ref="J11:J12"/>
    <mergeCell ref="AC9:AC10"/>
    <mergeCell ref="AD9:AD10"/>
    <mergeCell ref="AE9:AE10"/>
    <mergeCell ref="AF9:AF10"/>
    <mergeCell ref="AG9:AG10"/>
    <mergeCell ref="AH9:AH10"/>
    <mergeCell ref="W9:W10"/>
    <mergeCell ref="X9:X10"/>
    <mergeCell ref="Y9:Y10"/>
    <mergeCell ref="Z9:Z10"/>
    <mergeCell ref="AA9:AA10"/>
    <mergeCell ref="AB9:AB10"/>
    <mergeCell ref="P9:P10"/>
    <mergeCell ref="Q9:Q14"/>
    <mergeCell ref="S9:S10"/>
    <mergeCell ref="T9:T10"/>
    <mergeCell ref="U9:U10"/>
    <mergeCell ref="V9:V10"/>
    <mergeCell ref="T11:T12"/>
    <mergeCell ref="U11:U12"/>
    <mergeCell ref="V11:V12"/>
    <mergeCell ref="J9:J10"/>
    <mergeCell ref="AP11:AP12"/>
    <mergeCell ref="AQ11:AQ12"/>
    <mergeCell ref="B13:B15"/>
    <mergeCell ref="C13:C15"/>
    <mergeCell ref="D13:D15"/>
    <mergeCell ref="F13:F15"/>
    <mergeCell ref="G13:G15"/>
    <mergeCell ref="H13:H15"/>
    <mergeCell ref="I13:I15"/>
    <mergeCell ref="J13:J15"/>
    <mergeCell ref="AJ11:AJ12"/>
    <mergeCell ref="AK11:AK12"/>
    <mergeCell ref="AL11:AL12"/>
    <mergeCell ref="AM11:AM12"/>
    <mergeCell ref="AN11:AN12"/>
    <mergeCell ref="AO11:AO12"/>
    <mergeCell ref="W11:W12"/>
    <mergeCell ref="X11:X12"/>
    <mergeCell ref="Y11:Y12"/>
    <mergeCell ref="Z11:Z12"/>
    <mergeCell ref="AH11:AH12"/>
    <mergeCell ref="AI11:AI12"/>
    <mergeCell ref="K13:K15"/>
    <mergeCell ref="L13:L15"/>
    <mergeCell ref="M13:M15"/>
    <mergeCell ref="O13:O15"/>
    <mergeCell ref="M21:M22"/>
    <mergeCell ref="N21:N22"/>
    <mergeCell ref="A21:A22"/>
    <mergeCell ref="B21:B22"/>
    <mergeCell ref="C21:C22"/>
    <mergeCell ref="D21:D22"/>
    <mergeCell ref="E21:E22"/>
    <mergeCell ref="F21:F22"/>
    <mergeCell ref="A19:B19"/>
    <mergeCell ref="C19:AM19"/>
    <mergeCell ref="A20:J20"/>
    <mergeCell ref="K20:Q20"/>
    <mergeCell ref="R20:Z20"/>
    <mergeCell ref="AA20:AG20"/>
    <mergeCell ref="AH20:AM20"/>
    <mergeCell ref="A17:B17"/>
    <mergeCell ref="C17:AM17"/>
    <mergeCell ref="A18:B18"/>
    <mergeCell ref="C18:AM18"/>
    <mergeCell ref="AL21:AL22"/>
    <mergeCell ref="AM21:AM22"/>
    <mergeCell ref="A23:A26"/>
    <mergeCell ref="B23:B26"/>
    <mergeCell ref="C23:C26"/>
    <mergeCell ref="D23:D26"/>
    <mergeCell ref="F23:F26"/>
    <mergeCell ref="G23:G26"/>
    <mergeCell ref="H23:H26"/>
    <mergeCell ref="I23:I26"/>
    <mergeCell ref="AF21:AF22"/>
    <mergeCell ref="AG21:AG22"/>
    <mergeCell ref="AH21:AH22"/>
    <mergeCell ref="AI21:AI22"/>
    <mergeCell ref="AJ21:AJ22"/>
    <mergeCell ref="AK21:AK22"/>
    <mergeCell ref="U21:Z21"/>
    <mergeCell ref="AA21:AA22"/>
    <mergeCell ref="AB21:AB22"/>
    <mergeCell ref="AC21:AC22"/>
    <mergeCell ref="AD21:AD22"/>
    <mergeCell ref="AE21:AE22"/>
    <mergeCell ref="O21:O22"/>
    <mergeCell ref="AD23:AD26"/>
    <mergeCell ref="AF23:AF26"/>
    <mergeCell ref="P21:P22"/>
    <mergeCell ref="Q21:Q22"/>
    <mergeCell ref="R21:R22"/>
    <mergeCell ref="S21:S22"/>
    <mergeCell ref="T21:T22"/>
    <mergeCell ref="I21:I22"/>
    <mergeCell ref="J21:J22"/>
    <mergeCell ref="K21:K22"/>
    <mergeCell ref="L21:L22"/>
  </mergeCells>
  <conditionalFormatting sqref="K9">
    <cfRule type="cellIs" dxfId="101" priority="327" operator="equal">
      <formula>"Media"</formula>
    </cfRule>
    <cfRule type="cellIs" dxfId="100" priority="328" operator="equal">
      <formula>"Baja"</formula>
    </cfRule>
    <cfRule type="cellIs" dxfId="99" priority="329" operator="equal">
      <formula>"Muy Baja"</formula>
    </cfRule>
    <cfRule type="cellIs" dxfId="98" priority="325" operator="equal">
      <formula>"Muy Alta"</formula>
    </cfRule>
    <cfRule type="cellIs" dxfId="97" priority="326" operator="equal">
      <formula>"Alta"</formula>
    </cfRule>
  </conditionalFormatting>
  <conditionalFormatting sqref="K11">
    <cfRule type="cellIs" dxfId="96" priority="360" operator="equal">
      <formula>"Media"</formula>
    </cfRule>
    <cfRule type="cellIs" dxfId="95" priority="361" operator="equal">
      <formula>"Baja"</formula>
    </cfRule>
    <cfRule type="cellIs" dxfId="94" priority="362" operator="equal">
      <formula>"Muy Baja"</formula>
    </cfRule>
    <cfRule type="cellIs" dxfId="93" priority="359" operator="equal">
      <formula>"Alta"</formula>
    </cfRule>
    <cfRule type="cellIs" dxfId="92" priority="358" operator="equal">
      <formula>"Muy Alta"</formula>
    </cfRule>
  </conditionalFormatting>
  <conditionalFormatting sqref="K13">
    <cfRule type="cellIs" dxfId="91" priority="363" operator="equal">
      <formula>"Muy Alta"</formula>
    </cfRule>
    <cfRule type="cellIs" dxfId="90" priority="364" operator="equal">
      <formula>"Alta"</formula>
    </cfRule>
    <cfRule type="cellIs" dxfId="89" priority="365" operator="equal">
      <formula>"Media"</formula>
    </cfRule>
    <cfRule type="cellIs" dxfId="88" priority="366" operator="equal">
      <formula>"Baja"</formula>
    </cfRule>
    <cfRule type="cellIs" dxfId="87" priority="367" operator="equal">
      <formula>"Muy Baja"</formula>
    </cfRule>
  </conditionalFormatting>
  <conditionalFormatting sqref="K23:K27">
    <cfRule type="cellIs" dxfId="86" priority="244" operator="equal">
      <formula>"Muy Alta"</formula>
    </cfRule>
    <cfRule type="cellIs" dxfId="85" priority="245" operator="equal">
      <formula>"Alta"</formula>
    </cfRule>
    <cfRule type="cellIs" dxfId="84" priority="246" operator="equal">
      <formula>"Media"</formula>
    </cfRule>
    <cfRule type="cellIs" dxfId="83" priority="247" operator="equal">
      <formula>"Baja"</formula>
    </cfRule>
    <cfRule type="cellIs" dxfId="82" priority="248" operator="equal">
      <formula>"Muy Baja"</formula>
    </cfRule>
  </conditionalFormatting>
  <conditionalFormatting sqref="M40:M82">
    <cfRule type="containsText" dxfId="81" priority="186" operator="containsText" text="❌">
      <formula>NOT(ISERROR(SEARCH("❌",M40)))</formula>
    </cfRule>
  </conditionalFormatting>
  <conditionalFormatting sqref="N9:N15">
    <cfRule type="containsText" dxfId="80" priority="330" operator="containsText" text="❌">
      <formula>NOT(ISERROR(SEARCH(("❌"),(N9))))</formula>
    </cfRule>
  </conditionalFormatting>
  <conditionalFormatting sqref="N23:N27">
    <cfRule type="containsText" dxfId="79" priority="234" operator="containsText" text="❌">
      <formula>NOT(ISERROR(SEARCH("❌",N23)))</formula>
    </cfRule>
  </conditionalFormatting>
  <conditionalFormatting sqref="O9 O13">
    <cfRule type="cellIs" dxfId="78" priority="331" operator="equal">
      <formula>"Catastrófico"</formula>
    </cfRule>
    <cfRule type="cellIs" dxfId="77" priority="333" operator="equal">
      <formula>"Moderado"</formula>
    </cfRule>
    <cfRule type="cellIs" dxfId="76" priority="334" operator="equal">
      <formula>"Menor"</formula>
    </cfRule>
    <cfRule type="cellIs" dxfId="75" priority="335" operator="equal">
      <formula>"Leve"</formula>
    </cfRule>
    <cfRule type="cellIs" dxfId="74" priority="332" operator="equal">
      <formula>"Mayor"</formula>
    </cfRule>
  </conditionalFormatting>
  <conditionalFormatting sqref="O23:O27">
    <cfRule type="cellIs" dxfId="73" priority="242" operator="equal">
      <formula>"Menor"</formula>
    </cfRule>
    <cfRule type="cellIs" dxfId="72" priority="241" operator="equal">
      <formula>"Moderado"</formula>
    </cfRule>
    <cfRule type="cellIs" dxfId="71" priority="240" operator="equal">
      <formula>"Mayor"</formula>
    </cfRule>
    <cfRule type="cellIs" dxfId="70" priority="239" operator="equal">
      <formula>"Catastrófico"</formula>
    </cfRule>
    <cfRule type="cellIs" dxfId="69" priority="243" operator="equal">
      <formula>"Leve"</formula>
    </cfRule>
  </conditionalFormatting>
  <conditionalFormatting sqref="Q9">
    <cfRule type="cellIs" dxfId="68" priority="336" operator="equal">
      <formula>"Extremo"</formula>
    </cfRule>
    <cfRule type="cellIs" dxfId="67" priority="337" operator="equal">
      <formula>"Alto"</formula>
    </cfRule>
    <cfRule type="cellIs" dxfId="66" priority="338" operator="equal">
      <formula>"Moderado"</formula>
    </cfRule>
    <cfRule type="cellIs" dxfId="65" priority="339" operator="equal">
      <formula>"Bajo"</formula>
    </cfRule>
  </conditionalFormatting>
  <conditionalFormatting sqref="Q15">
    <cfRule type="cellIs" dxfId="64" priority="340" operator="equal">
      <formula>"Extremo"</formula>
    </cfRule>
    <cfRule type="cellIs" dxfId="63" priority="341" operator="equal">
      <formula>"Alto"</formula>
    </cfRule>
    <cfRule type="cellIs" dxfId="62" priority="342" operator="equal">
      <formula>"Moderado"</formula>
    </cfRule>
    <cfRule type="cellIs" dxfId="61" priority="343" operator="equal">
      <formula>"Bajo"</formula>
    </cfRule>
  </conditionalFormatting>
  <conditionalFormatting sqref="Q23:Q27">
    <cfRule type="cellIs" dxfId="60" priority="235" operator="equal">
      <formula>"Extremo"</formula>
    </cfRule>
    <cfRule type="cellIs" dxfId="59" priority="236" operator="equal">
      <formula>"Alto"</formula>
    </cfRule>
    <cfRule type="cellIs" dxfId="58" priority="237" operator="equal">
      <formula>"Moderado"</formula>
    </cfRule>
    <cfRule type="cellIs" dxfId="57" priority="238" operator="equal">
      <formula>"Bajo"</formula>
    </cfRule>
  </conditionalFormatting>
  <conditionalFormatting sqref="AA40:AA82">
    <cfRule type="cellIs" dxfId="56" priority="408" operator="equal">
      <formula>"Muy Baja"</formula>
    </cfRule>
    <cfRule type="cellIs" dxfId="55" priority="409" operator="equal">
      <formula>"Baja"</formula>
    </cfRule>
    <cfRule type="cellIs" dxfId="54" priority="410" operator="equal">
      <formula>"Media"</formula>
    </cfRule>
    <cfRule type="cellIs" dxfId="53" priority="406" operator="equal">
      <formula>"Alta"</formula>
    </cfRule>
    <cfRule type="cellIs" dxfId="52" priority="407" operator="equal">
      <formula>"Muy Alta"</formula>
    </cfRule>
  </conditionalFormatting>
  <conditionalFormatting sqref="AB9 AB11:AB15">
    <cfRule type="cellIs" dxfId="51" priority="344" operator="equal">
      <formula>"Muy Alta"</formula>
    </cfRule>
    <cfRule type="cellIs" dxfId="50" priority="345" operator="equal">
      <formula>"Alta"</formula>
    </cfRule>
    <cfRule type="cellIs" dxfId="49" priority="346" operator="equal">
      <formula>"Media"</formula>
    </cfRule>
    <cfRule type="cellIs" dxfId="48" priority="347" operator="equal">
      <formula>"Baja"</formula>
    </cfRule>
    <cfRule type="cellIs" dxfId="47" priority="348" operator="equal">
      <formula>"Muy Baja"</formula>
    </cfRule>
  </conditionalFormatting>
  <conditionalFormatting sqref="AB23:AB27">
    <cfRule type="cellIs" dxfId="46" priority="249" operator="equal">
      <formula>"Muy Alta"</formula>
    </cfRule>
    <cfRule type="cellIs" dxfId="45" priority="250" operator="equal">
      <formula>"Alta"</formula>
    </cfRule>
    <cfRule type="cellIs" dxfId="44" priority="252" operator="equal">
      <formula>"Baja"</formula>
    </cfRule>
    <cfRule type="cellIs" dxfId="43" priority="251" operator="equal">
      <formula>"Media"</formula>
    </cfRule>
    <cfRule type="cellIs" dxfId="42" priority="253" operator="equal">
      <formula>"Muy Baja"</formula>
    </cfRule>
  </conditionalFormatting>
  <conditionalFormatting sqref="AC40:AC82">
    <cfRule type="cellIs" dxfId="41" priority="404" operator="equal">
      <formula>"Catastrófico"</formula>
    </cfRule>
    <cfRule type="cellIs" dxfId="40" priority="401" operator="equal">
      <formula>"Menor"</formula>
    </cfRule>
    <cfRule type="cellIs" dxfId="39" priority="402" operator="equal">
      <formula>"Moderado"</formula>
    </cfRule>
    <cfRule type="cellIs" dxfId="38" priority="403" operator="equal">
      <formula>"Mayor"</formula>
    </cfRule>
    <cfRule type="cellIs" dxfId="37" priority="405" operator="equal">
      <formula>"Leve"</formula>
    </cfRule>
  </conditionalFormatting>
  <conditionalFormatting sqref="AD9 AD11:AD15">
    <cfRule type="cellIs" dxfId="36" priority="349" operator="equal">
      <formula>"Catastrófico"</formula>
    </cfRule>
    <cfRule type="cellIs" dxfId="35" priority="350" operator="equal">
      <formula>"Mayor"</formula>
    </cfRule>
    <cfRule type="cellIs" dxfId="34" priority="352" operator="equal">
      <formula>"Menor"</formula>
    </cfRule>
    <cfRule type="cellIs" dxfId="33" priority="353" operator="equal">
      <formula>"Leve"</formula>
    </cfRule>
    <cfRule type="cellIs" dxfId="32" priority="351" operator="equal">
      <formula>"Moderado"</formula>
    </cfRule>
  </conditionalFormatting>
  <conditionalFormatting sqref="AD23 AD27">
    <cfRule type="cellIs" dxfId="31" priority="262" operator="equal">
      <formula>"Leve"</formula>
    </cfRule>
    <cfRule type="cellIs" dxfId="30" priority="259" operator="equal">
      <formula>"Mayor"</formula>
    </cfRule>
    <cfRule type="cellIs" dxfId="29" priority="258" operator="equal">
      <formula>"Catastrófico"</formula>
    </cfRule>
    <cfRule type="cellIs" dxfId="28" priority="260" operator="equal">
      <formula>"Moderado"</formula>
    </cfRule>
    <cfRule type="cellIs" dxfId="27" priority="261" operator="equal">
      <formula>"Menor"</formula>
    </cfRule>
  </conditionalFormatting>
  <conditionalFormatting sqref="AE40:AE82">
    <cfRule type="cellIs" dxfId="26" priority="397" operator="equal">
      <formula>"Bajo"</formula>
    </cfRule>
    <cfRule type="cellIs" dxfId="25" priority="398" operator="equal">
      <formula>"Moderado"</formula>
    </cfRule>
    <cfRule type="cellIs" dxfId="24" priority="399" operator="equal">
      <formula>"Alto"</formula>
    </cfRule>
    <cfRule type="cellIs" dxfId="23" priority="400" operator="equal">
      <formula>"Extremo"</formula>
    </cfRule>
  </conditionalFormatting>
  <conditionalFormatting sqref="AF9 AF11:AF15">
    <cfRule type="cellIs" dxfId="22" priority="354" operator="equal">
      <formula>"Extremo"</formula>
    </cfRule>
    <cfRule type="cellIs" dxfId="21" priority="357" operator="equal">
      <formula>"Bajo"</formula>
    </cfRule>
    <cfRule type="cellIs" dxfId="20" priority="356" operator="equal">
      <formula>"Moderado"</formula>
    </cfRule>
    <cfRule type="cellIs" dxfId="19" priority="355" operator="equal">
      <formula>"Alto"</formula>
    </cfRule>
  </conditionalFormatting>
  <conditionalFormatting sqref="AF23 AF27">
    <cfRule type="cellIs" dxfId="18" priority="257" operator="equal">
      <formula>"Bajo"</formula>
    </cfRule>
    <cfRule type="cellIs" dxfId="17" priority="256" operator="equal">
      <formula>"Moderado"</formula>
    </cfRule>
    <cfRule type="cellIs" dxfId="16" priority="255" operator="equal">
      <formula>"Alto"</formula>
    </cfRule>
    <cfRule type="cellIs" dxfId="15" priority="254" operator="equal">
      <formula>"Extremo"</formula>
    </cfRule>
  </conditionalFormatting>
  <conditionalFormatting sqref="K37 AB37:AB3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N37:N39">
    <cfRule type="containsText" dxfId="9" priority="1" operator="containsText" text="❌">
      <formula>NOT(ISERROR(SEARCH("❌",N37)))</formula>
    </cfRule>
  </conditionalFormatting>
  <conditionalFormatting sqref="O37 AD37:AD3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Q37 AF37:AF3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2">
    <dataValidation type="list" allowBlank="1" showErrorMessage="1" sqref="G9 G11 G13" xr:uid="{BCF05091-E801-4C92-B457-32D5D27BA5EA}">
      <formula1>"Gestión,FISCAL"</formula1>
    </dataValidation>
    <dataValidation type="list" allowBlank="1" showInputMessage="1" showErrorMessage="1" sqref="G23:G27 G37:G39" xr:uid="{D81127A1-9506-49A8-A539-52754A4C6929}">
      <formula1>"Gestión, FISCAL,"</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5"/>
  <sheetViews>
    <sheetView workbookViewId="0"/>
  </sheetViews>
  <sheetFormatPr baseColWidth="10" defaultColWidth="14.44140625" defaultRowHeight="15" customHeight="1" x14ac:dyDescent="0.3"/>
  <cols>
    <col min="1" max="1" width="19.109375" customWidth="1"/>
    <col min="2" max="26" width="10.6640625" customWidth="1"/>
  </cols>
  <sheetData>
    <row r="1" spans="1:1" ht="14.25" customHeight="1" x14ac:dyDescent="0.3">
      <c r="A1" s="33" t="s">
        <v>145</v>
      </c>
    </row>
    <row r="2" spans="1:1" ht="14.25" customHeight="1" x14ac:dyDescent="0.3">
      <c r="A2" s="33" t="s">
        <v>90</v>
      </c>
    </row>
    <row r="3" spans="1:1" ht="14.25" customHeight="1" x14ac:dyDescent="0.3">
      <c r="A3" s="33" t="s">
        <v>93</v>
      </c>
    </row>
    <row r="4" spans="1:1" ht="14.25" customHeight="1" x14ac:dyDescent="0.3">
      <c r="A4" s="33" t="s">
        <v>96</v>
      </c>
    </row>
    <row r="5" spans="1:1" ht="14.25" customHeight="1" x14ac:dyDescent="0.3">
      <c r="A5" s="33" t="s">
        <v>99</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baseColWidth="10" defaultColWidth="14.44140625" defaultRowHeight="15" customHeight="1" x14ac:dyDescent="0.3"/>
  <cols>
    <col min="1" max="1" width="27.33203125" customWidth="1"/>
    <col min="2" max="2" width="25.88671875" customWidth="1"/>
    <col min="3" max="3" width="41.44140625" customWidth="1"/>
    <col min="4" max="26" width="10.6640625" customWidth="1"/>
  </cols>
  <sheetData>
    <row r="1" spans="1:3" ht="14.25" customHeight="1" x14ac:dyDescent="0.3">
      <c r="A1" s="1" t="s">
        <v>7</v>
      </c>
      <c r="B1" s="1" t="s">
        <v>8</v>
      </c>
      <c r="C1" s="1" t="s">
        <v>9</v>
      </c>
    </row>
    <row r="2" spans="1:3" ht="14.25" customHeight="1" x14ac:dyDescent="0.3">
      <c r="A2" s="1" t="s">
        <v>10</v>
      </c>
      <c r="B2" s="1" t="s">
        <v>11</v>
      </c>
      <c r="C2" s="1" t="s">
        <v>12</v>
      </c>
    </row>
    <row r="3" spans="1:3" ht="14.25" customHeight="1" x14ac:dyDescent="0.3">
      <c r="A3" s="1" t="s">
        <v>13</v>
      </c>
      <c r="B3" s="1" t="s">
        <v>14</v>
      </c>
      <c r="C3" s="1" t="s">
        <v>15</v>
      </c>
    </row>
    <row r="4" spans="1:3" ht="14.25" customHeight="1" x14ac:dyDescent="0.3">
      <c r="A4" s="1" t="s">
        <v>16</v>
      </c>
      <c r="B4" s="1" t="s">
        <v>17</v>
      </c>
      <c r="C4" s="1" t="s">
        <v>18</v>
      </c>
    </row>
    <row r="5" spans="1:3" ht="14.25" customHeight="1" x14ac:dyDescent="0.3">
      <c r="A5" s="1" t="s">
        <v>19</v>
      </c>
      <c r="B5" s="1" t="s">
        <v>20</v>
      </c>
      <c r="C5" s="1" t="s">
        <v>21</v>
      </c>
    </row>
    <row r="6" spans="1:3" ht="14.25" customHeight="1" x14ac:dyDescent="0.3">
      <c r="A6" s="1" t="s">
        <v>22</v>
      </c>
      <c r="B6" s="1" t="s">
        <v>22</v>
      </c>
      <c r="C6" s="1" t="s">
        <v>22</v>
      </c>
    </row>
    <row r="7" spans="1:3" ht="14.25" customHeight="1" x14ac:dyDescent="0.3">
      <c r="A7" s="1" t="s">
        <v>23</v>
      </c>
      <c r="B7" s="1" t="s">
        <v>24</v>
      </c>
      <c r="C7" s="1" t="s">
        <v>25</v>
      </c>
    </row>
    <row r="8" spans="1:3" ht="14.25" customHeight="1" x14ac:dyDescent="0.3">
      <c r="B8" s="1" t="s">
        <v>26</v>
      </c>
      <c r="C8" s="1" t="s">
        <v>27</v>
      </c>
    </row>
    <row r="9" spans="1:3" ht="14.25" customHeight="1" x14ac:dyDescent="0.3">
      <c r="C9" s="1" t="s">
        <v>28</v>
      </c>
    </row>
    <row r="10" spans="1:3" ht="14.25" customHeight="1" x14ac:dyDescent="0.3">
      <c r="C10" s="1" t="s">
        <v>29</v>
      </c>
    </row>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
  <sheetViews>
    <sheetView workbookViewId="0"/>
  </sheetViews>
  <sheetFormatPr baseColWidth="10" defaultColWidth="14.44140625" defaultRowHeight="15" customHeight="1" x14ac:dyDescent="0.3"/>
  <cols>
    <col min="1" max="1" width="23.109375" customWidth="1"/>
    <col min="2" max="26" width="10.6640625" customWidth="1"/>
  </cols>
  <sheetData>
    <row r="1" spans="1:1" ht="14.25" customHeight="1" x14ac:dyDescent="0.3">
      <c r="A1" s="34" t="s">
        <v>146</v>
      </c>
    </row>
    <row r="2" spans="1:1" ht="14.25" customHeight="1" x14ac:dyDescent="0.3">
      <c r="A2" s="34" t="s">
        <v>143</v>
      </c>
    </row>
    <row r="3" spans="1:1" ht="14.25" customHeight="1" x14ac:dyDescent="0.3">
      <c r="A3" s="34" t="s">
        <v>144</v>
      </c>
    </row>
    <row r="4" spans="1:1" ht="14.25" customHeight="1" x14ac:dyDescent="0.3">
      <c r="A4" s="34" t="s">
        <v>147</v>
      </c>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workbookViewId="0"/>
  </sheetViews>
  <sheetFormatPr baseColWidth="10" defaultColWidth="14.44140625" defaultRowHeight="15" customHeight="1" x14ac:dyDescent="0.3"/>
  <cols>
    <col min="1" max="1" width="31" customWidth="1"/>
    <col min="2" max="2" width="24.109375" customWidth="1"/>
    <col min="3" max="3" width="22.88671875" customWidth="1"/>
    <col min="4" max="4" width="26.44140625" customWidth="1"/>
    <col min="5" max="5" width="21.44140625" customWidth="1"/>
    <col min="6" max="26" width="11.44140625" customWidth="1"/>
  </cols>
  <sheetData>
    <row r="1" spans="1:5" ht="15" customHeight="1" x14ac:dyDescent="0.3">
      <c r="A1" s="509"/>
      <c r="B1" s="512" t="s">
        <v>30</v>
      </c>
      <c r="C1" s="513"/>
      <c r="D1" s="2" t="s">
        <v>31</v>
      </c>
      <c r="E1" s="516"/>
    </row>
    <row r="2" spans="1:5" ht="15" customHeight="1" x14ac:dyDescent="0.3">
      <c r="A2" s="510"/>
      <c r="B2" s="514"/>
      <c r="C2" s="515"/>
      <c r="D2" s="2" t="s">
        <v>32</v>
      </c>
      <c r="E2" s="517"/>
    </row>
    <row r="3" spans="1:5" ht="30" customHeight="1" x14ac:dyDescent="0.3">
      <c r="A3" s="510"/>
      <c r="B3" s="512" t="s">
        <v>33</v>
      </c>
      <c r="C3" s="513"/>
      <c r="D3" s="2" t="s">
        <v>34</v>
      </c>
      <c r="E3" s="517"/>
    </row>
    <row r="4" spans="1:5" ht="15" customHeight="1" x14ac:dyDescent="0.3">
      <c r="A4" s="511"/>
      <c r="B4" s="514"/>
      <c r="C4" s="515"/>
      <c r="D4" s="2" t="s">
        <v>35</v>
      </c>
      <c r="E4" s="517"/>
    </row>
    <row r="5" spans="1:5" ht="14.25" customHeight="1" x14ac:dyDescent="0.3"/>
    <row r="6" spans="1:5" ht="14.25" customHeight="1" x14ac:dyDescent="0.3">
      <c r="A6" s="518" t="s">
        <v>36</v>
      </c>
      <c r="B6" s="519"/>
      <c r="C6" s="519"/>
      <c r="D6" s="519"/>
      <c r="E6" s="520"/>
    </row>
    <row r="7" spans="1:5" ht="14.25" customHeight="1" x14ac:dyDescent="0.3">
      <c r="A7" s="3" t="s">
        <v>37</v>
      </c>
      <c r="B7" s="4" t="s">
        <v>38</v>
      </c>
      <c r="C7" s="4" t="s">
        <v>39</v>
      </c>
      <c r="D7" s="5" t="s">
        <v>40</v>
      </c>
      <c r="E7" s="4" t="s">
        <v>41</v>
      </c>
    </row>
    <row r="8" spans="1:5" ht="14.25" customHeight="1" x14ac:dyDescent="0.3">
      <c r="A8" s="6" t="s">
        <v>42</v>
      </c>
      <c r="B8" s="7" t="s">
        <v>43</v>
      </c>
      <c r="C8" s="7" t="s">
        <v>43</v>
      </c>
      <c r="D8" s="7" t="s">
        <v>43</v>
      </c>
      <c r="E8" s="8" t="s">
        <v>43</v>
      </c>
    </row>
    <row r="9" spans="1:5" ht="14.25" customHeight="1" x14ac:dyDescent="0.3">
      <c r="A9" s="9" t="s">
        <v>44</v>
      </c>
      <c r="B9" s="10" t="s">
        <v>43</v>
      </c>
      <c r="C9" s="10" t="s">
        <v>43</v>
      </c>
      <c r="D9" s="10" t="s">
        <v>43</v>
      </c>
      <c r="E9" s="11" t="s">
        <v>43</v>
      </c>
    </row>
    <row r="10" spans="1:5" ht="14.25" customHeight="1" x14ac:dyDescent="0.3">
      <c r="A10" s="12" t="s">
        <v>45</v>
      </c>
      <c r="B10" s="10" t="s">
        <v>43</v>
      </c>
      <c r="C10" s="10" t="s">
        <v>43</v>
      </c>
      <c r="D10" s="10" t="s">
        <v>43</v>
      </c>
      <c r="E10" s="11" t="s">
        <v>43</v>
      </c>
    </row>
    <row r="11" spans="1:5" ht="14.25" customHeight="1" x14ac:dyDescent="0.3">
      <c r="A11" s="9" t="s">
        <v>46</v>
      </c>
      <c r="B11" s="10" t="s">
        <v>43</v>
      </c>
      <c r="C11" s="10" t="s">
        <v>43</v>
      </c>
      <c r="D11" s="10" t="s">
        <v>43</v>
      </c>
      <c r="E11" s="11" t="s">
        <v>43</v>
      </c>
    </row>
    <row r="12" spans="1:5" ht="14.25" customHeight="1" x14ac:dyDescent="0.3">
      <c r="A12" s="9" t="s">
        <v>47</v>
      </c>
      <c r="B12" s="13" t="s">
        <v>43</v>
      </c>
      <c r="C12" s="13" t="s">
        <v>43</v>
      </c>
      <c r="D12" s="13" t="s">
        <v>43</v>
      </c>
      <c r="E12" s="14" t="s">
        <v>43</v>
      </c>
    </row>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G18"/>
  <sheetViews>
    <sheetView workbookViewId="0"/>
  </sheetViews>
  <sheetFormatPr baseColWidth="10" defaultColWidth="14.44140625" defaultRowHeight="15" customHeight="1" x14ac:dyDescent="0.3"/>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7" ht="14.25" customHeight="1" x14ac:dyDescent="0.3">
      <c r="A1" s="524"/>
      <c r="B1" s="525" t="s">
        <v>48</v>
      </c>
      <c r="C1" s="526"/>
      <c r="D1" s="526"/>
      <c r="E1" s="526"/>
      <c r="F1" s="15" t="s">
        <v>49</v>
      </c>
      <c r="G1" s="528"/>
    </row>
    <row r="2" spans="1:7" ht="14.25" customHeight="1" x14ac:dyDescent="0.3">
      <c r="A2" s="522"/>
      <c r="B2" s="514"/>
      <c r="C2" s="527"/>
      <c r="D2" s="527"/>
      <c r="E2" s="527"/>
      <c r="F2" s="16" t="s">
        <v>50</v>
      </c>
      <c r="G2" s="529"/>
    </row>
    <row r="3" spans="1:7" ht="14.25" customHeight="1" x14ac:dyDescent="0.3">
      <c r="A3" s="522"/>
      <c r="B3" s="531" t="s">
        <v>51</v>
      </c>
      <c r="C3" s="532"/>
      <c r="D3" s="532"/>
      <c r="E3" s="532"/>
      <c r="F3" s="16" t="s">
        <v>52</v>
      </c>
      <c r="G3" s="529"/>
    </row>
    <row r="4" spans="1:7" ht="14.25" customHeight="1" x14ac:dyDescent="0.3">
      <c r="A4" s="523"/>
      <c r="B4" s="533"/>
      <c r="C4" s="534"/>
      <c r="D4" s="534"/>
      <c r="E4" s="534"/>
      <c r="F4" s="17" t="s">
        <v>35</v>
      </c>
      <c r="G4" s="530"/>
    </row>
    <row r="5" spans="1:7" ht="14.25" customHeight="1" x14ac:dyDescent="0.3"/>
    <row r="6" spans="1:7" ht="14.25" customHeight="1" x14ac:dyDescent="0.3">
      <c r="A6" s="535" t="s">
        <v>53</v>
      </c>
      <c r="B6" s="519"/>
      <c r="C6" s="519"/>
      <c r="D6" s="519"/>
      <c r="E6" s="519"/>
      <c r="F6" s="519"/>
      <c r="G6" s="536"/>
    </row>
    <row r="7" spans="1:7" ht="31.5" customHeight="1" x14ac:dyDescent="0.3">
      <c r="A7" s="18" t="s">
        <v>54</v>
      </c>
      <c r="B7" s="19" t="s">
        <v>55</v>
      </c>
      <c r="C7" s="20" t="s">
        <v>56</v>
      </c>
      <c r="D7" s="21" t="s">
        <v>57</v>
      </c>
      <c r="E7" s="19" t="s">
        <v>58</v>
      </c>
      <c r="F7" s="22" t="s">
        <v>59</v>
      </c>
      <c r="G7" s="22" t="s">
        <v>60</v>
      </c>
    </row>
    <row r="8" spans="1:7" ht="33" customHeight="1" x14ac:dyDescent="0.3">
      <c r="A8" s="521"/>
      <c r="B8" s="10"/>
      <c r="C8" s="10"/>
      <c r="D8" s="10"/>
      <c r="E8" s="10"/>
      <c r="F8" s="10"/>
      <c r="G8" s="11"/>
    </row>
    <row r="9" spans="1:7" ht="33" customHeight="1" x14ac:dyDescent="0.3">
      <c r="A9" s="522"/>
      <c r="B9" s="10"/>
      <c r="C9" s="10"/>
      <c r="D9" s="10"/>
      <c r="E9" s="10"/>
      <c r="F9" s="10"/>
      <c r="G9" s="11"/>
    </row>
    <row r="10" spans="1:7" ht="33" customHeight="1" x14ac:dyDescent="0.3">
      <c r="A10" s="522"/>
      <c r="B10" s="10"/>
      <c r="C10" s="10"/>
      <c r="D10" s="10"/>
      <c r="E10" s="10"/>
      <c r="F10" s="10"/>
      <c r="G10" s="11"/>
    </row>
    <row r="11" spans="1:7" ht="33" customHeight="1" x14ac:dyDescent="0.3">
      <c r="A11" s="522"/>
      <c r="B11" s="10"/>
      <c r="C11" s="10"/>
      <c r="D11" s="10"/>
      <c r="E11" s="10"/>
      <c r="F11" s="10"/>
      <c r="G11" s="11"/>
    </row>
    <row r="12" spans="1:7" ht="33" customHeight="1" x14ac:dyDescent="0.3">
      <c r="A12" s="522"/>
      <c r="B12" s="10"/>
      <c r="C12" s="10"/>
      <c r="D12" s="10"/>
      <c r="E12" s="10"/>
      <c r="F12" s="10"/>
      <c r="G12" s="11"/>
    </row>
    <row r="13" spans="1:7" ht="33" customHeight="1" x14ac:dyDescent="0.3">
      <c r="A13" s="522"/>
      <c r="B13" s="10"/>
      <c r="C13" s="10"/>
      <c r="D13" s="10"/>
      <c r="E13" s="10"/>
      <c r="F13" s="10"/>
      <c r="G13" s="11"/>
    </row>
    <row r="14" spans="1:7" ht="33" customHeight="1" x14ac:dyDescent="0.3">
      <c r="A14" s="522"/>
      <c r="B14" s="10"/>
      <c r="C14" s="10"/>
      <c r="D14" s="10"/>
      <c r="E14" s="10"/>
      <c r="F14" s="10"/>
      <c r="G14" s="11"/>
    </row>
    <row r="15" spans="1:7" ht="33" customHeight="1" x14ac:dyDescent="0.3">
      <c r="A15" s="522"/>
      <c r="B15" s="10"/>
      <c r="C15" s="10"/>
      <c r="D15" s="10"/>
      <c r="E15" s="10"/>
      <c r="F15" s="10"/>
      <c r="G15" s="11"/>
    </row>
    <row r="16" spans="1:7" ht="33" customHeight="1" x14ac:dyDescent="0.3">
      <c r="A16" s="522"/>
      <c r="B16" s="10"/>
      <c r="C16" s="10"/>
      <c r="D16" s="10"/>
      <c r="E16" s="10"/>
      <c r="F16" s="10"/>
      <c r="G16" s="11"/>
    </row>
    <row r="17" spans="1:1" ht="33" customHeight="1" x14ac:dyDescent="0.3">
      <c r="A17" s="522"/>
    </row>
    <row r="18" spans="1:1" ht="33" customHeight="1" x14ac:dyDescent="0.3">
      <c r="A18" s="523"/>
    </row>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4.44140625" defaultRowHeight="15" customHeight="1" x14ac:dyDescent="0.3"/>
  <cols>
    <col min="1" max="26" width="10.6640625" customWidth="1"/>
  </cols>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CONSOLIDADO GESTION 1 BIM</vt:lpstr>
      <vt:lpstr>CONSOLIDADO GESTION 2 BIM</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Eduardo Hernandez Huepa</cp:lastModifiedBy>
  <dcterms:created xsi:type="dcterms:W3CDTF">2014-12-30T19:27:19Z</dcterms:created>
  <dcterms:modified xsi:type="dcterms:W3CDTF">2025-05-09T05:02:59Z</dcterms:modified>
</cp:coreProperties>
</file>