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
    </mc:Choice>
  </mc:AlternateContent>
  <xr:revisionPtr revIDLastSave="0" documentId="13_ncr:1_{CDF0A84A-21D4-4636-A892-E3BE81A61318}" xr6:coauthVersionLast="47" xr6:coauthVersionMax="47" xr10:uidLastSave="{00000000-0000-0000-0000-000000000000}"/>
  <bookViews>
    <workbookView xWindow="-108" yWindow="-108" windowWidth="23256" windowHeight="12456" firstSheet="16" activeTab="16" xr2:uid="{00000000-000D-0000-FFFF-FFFF00000000}"/>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CONSOLIDADO GESTION FISCAL 6BI" sheetId="32" r:id="rId17"/>
    <sheet name="CONSOLIDADO GESTION 1 BIM" sheetId="30" r:id="rId18"/>
    <sheet name="CONSOLIDADO GESTION 2 BIM" sheetId="31" r:id="rId19"/>
    <sheet name="NOO" sheetId="18" state="hidden" r:id="rId20"/>
    <sheet name="NO" sheetId="19"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0" i="32" l="1"/>
  <c r="W319" i="32"/>
  <c r="T319" i="32"/>
  <c r="AE319" i="32" s="1"/>
  <c r="AD319" i="32" s="1"/>
  <c r="Q319" i="32"/>
  <c r="P319" i="32"/>
  <c r="N319" i="32"/>
  <c r="L319" i="32"/>
  <c r="K319" i="32"/>
  <c r="N318" i="32"/>
  <c r="W317" i="32"/>
  <c r="AA317" i="32" s="1"/>
  <c r="T317" i="32"/>
  <c r="AE317" i="32" s="1"/>
  <c r="AD317" i="32" s="1"/>
  <c r="Q317" i="32"/>
  <c r="P317" i="32"/>
  <c r="N317" i="32"/>
  <c r="L317" i="32"/>
  <c r="K317" i="32"/>
  <c r="W315" i="32"/>
  <c r="T315" i="32"/>
  <c r="AE315" i="32" s="1"/>
  <c r="AD315" i="32" s="1"/>
  <c r="Q315" i="32"/>
  <c r="P315" i="32"/>
  <c r="N315" i="32"/>
  <c r="K315" i="32"/>
  <c r="L315" i="32" s="1"/>
  <c r="AE308" i="32"/>
  <c r="AD308" i="32"/>
  <c r="AA308" i="32"/>
  <c r="AC308" i="32" s="1"/>
  <c r="W308" i="32"/>
  <c r="T308" i="32"/>
  <c r="N308" i="32"/>
  <c r="W307" i="32"/>
  <c r="T307" i="32"/>
  <c r="N307" i="32"/>
  <c r="W306" i="32"/>
  <c r="N306" i="32"/>
  <c r="W305" i="32"/>
  <c r="T305" i="32"/>
  <c r="N305" i="32"/>
  <c r="W304" i="32"/>
  <c r="T304" i="32"/>
  <c r="N304" i="32"/>
  <c r="O304" i="32" s="1"/>
  <c r="P304" i="32" s="1"/>
  <c r="K304" i="32"/>
  <c r="Q304" i="32" s="1"/>
  <c r="N293" i="32"/>
  <c r="N292" i="32"/>
  <c r="N291" i="32"/>
  <c r="N290" i="32"/>
  <c r="N289" i="32"/>
  <c r="AF288" i="32"/>
  <c r="AC288" i="32"/>
  <c r="AB288" i="32"/>
  <c r="W288" i="32"/>
  <c r="N288" i="32"/>
  <c r="O288" i="32" s="1"/>
  <c r="P288" i="32" s="1"/>
  <c r="K288" i="32"/>
  <c r="Q288" i="32" s="1"/>
  <c r="N287" i="32"/>
  <c r="AF286" i="32"/>
  <c r="AC286" i="32"/>
  <c r="AB286" i="32"/>
  <c r="W286" i="32"/>
  <c r="N286" i="32"/>
  <c r="N285" i="32"/>
  <c r="N284" i="32"/>
  <c r="N283" i="32"/>
  <c r="AC282" i="32"/>
  <c r="AB282" i="32"/>
  <c r="AF282" i="32" s="1"/>
  <c r="W282" i="32"/>
  <c r="Q282" i="32"/>
  <c r="P282" i="32"/>
  <c r="N282" i="32"/>
  <c r="O282" i="32" s="1"/>
  <c r="K282" i="32"/>
  <c r="L282" i="32" s="1"/>
  <c r="W270" i="32"/>
  <c r="T270" i="32"/>
  <c r="N270" i="32"/>
  <c r="O270" i="32" s="1"/>
  <c r="P270" i="32" s="1"/>
  <c r="K270" i="32"/>
  <c r="Q270" i="32" s="1"/>
  <c r="AE268" i="32"/>
  <c r="AD268" i="32" s="1"/>
  <c r="AF268" i="32" s="1"/>
  <c r="AC268" i="32"/>
  <c r="AB268" i="32"/>
  <c r="AA268" i="32"/>
  <c r="W268" i="32"/>
  <c r="T268" i="32"/>
  <c r="N268" i="32"/>
  <c r="W267" i="32"/>
  <c r="T267" i="32"/>
  <c r="AE267" i="32" s="1"/>
  <c r="AD267" i="32" s="1"/>
  <c r="Q267" i="32"/>
  <c r="O267" i="32"/>
  <c r="P267" i="32" s="1"/>
  <c r="N267" i="32"/>
  <c r="L267" i="32"/>
  <c r="K267" i="32"/>
  <c r="N266" i="32"/>
  <c r="N265" i="32"/>
  <c r="W264" i="32"/>
  <c r="T264" i="32"/>
  <c r="N264" i="32"/>
  <c r="W263" i="32"/>
  <c r="T263" i="32"/>
  <c r="N263" i="32"/>
  <c r="O263" i="32" s="1"/>
  <c r="P263" i="32" s="1"/>
  <c r="K263" i="32"/>
  <c r="Q263" i="32" s="1"/>
  <c r="W253" i="32"/>
  <c r="T253" i="32"/>
  <c r="N253" i="32"/>
  <c r="W252" i="32"/>
  <c r="T252" i="32"/>
  <c r="N252" i="32"/>
  <c r="W251" i="32"/>
  <c r="T251" i="32"/>
  <c r="N251" i="32"/>
  <c r="O251" i="32" s="1"/>
  <c r="K251" i="32"/>
  <c r="L251" i="32" s="1"/>
  <c r="W241" i="32"/>
  <c r="T241" i="32"/>
  <c r="N241" i="32"/>
  <c r="O241" i="32" s="1"/>
  <c r="P241" i="32" s="1"/>
  <c r="K241" i="32"/>
  <c r="L241" i="32" s="1"/>
  <c r="AD240" i="32"/>
  <c r="W240" i="32"/>
  <c r="T240" i="32"/>
  <c r="AE240" i="32" s="1"/>
  <c r="N240" i="32"/>
  <c r="O240" i="32" s="1"/>
  <c r="P240" i="32" s="1"/>
  <c r="K240" i="32"/>
  <c r="Q240" i="32" s="1"/>
  <c r="W239" i="32"/>
  <c r="T239" i="32"/>
  <c r="N239" i="32"/>
  <c r="W238" i="32"/>
  <c r="T238" i="32"/>
  <c r="Q238" i="32"/>
  <c r="O238" i="32"/>
  <c r="P238" i="32" s="1"/>
  <c r="N238" i="32"/>
  <c r="L238" i="32"/>
  <c r="K238" i="32"/>
  <c r="W237" i="32"/>
  <c r="T237" i="32"/>
  <c r="N237" i="32"/>
  <c r="AE236" i="32"/>
  <c r="AD236" i="32" s="1"/>
  <c r="W236" i="32"/>
  <c r="T236" i="32"/>
  <c r="AE237" i="32" s="1"/>
  <c r="AD237" i="32" s="1"/>
  <c r="N236" i="32"/>
  <c r="W235" i="32"/>
  <c r="T235" i="32"/>
  <c r="AA236" i="32" s="1"/>
  <c r="N235" i="32"/>
  <c r="W234" i="32"/>
  <c r="T234" i="32"/>
  <c r="S234" i="32"/>
  <c r="O234" i="32"/>
  <c r="P234" i="32" s="1"/>
  <c r="AE234" i="32" s="1"/>
  <c r="AD234" i="32" s="1"/>
  <c r="N234" i="32"/>
  <c r="K234" i="32"/>
  <c r="Q234" i="32" s="1"/>
  <c r="W223" i="32"/>
  <c r="T223" i="32"/>
  <c r="N223" i="32"/>
  <c r="O223" i="32" s="1"/>
  <c r="L223" i="32"/>
  <c r="K223" i="32"/>
  <c r="W222" i="32"/>
  <c r="T222" i="32"/>
  <c r="N222" i="32"/>
  <c r="L222" i="32"/>
  <c r="K222" i="32"/>
  <c r="W221" i="32"/>
  <c r="T221" i="32"/>
  <c r="N221" i="32"/>
  <c r="K221" i="32"/>
  <c r="L221" i="32" s="1"/>
  <c r="W220" i="32"/>
  <c r="T220" i="32"/>
  <c r="N220" i="32"/>
  <c r="L220" i="32"/>
  <c r="K220" i="32"/>
  <c r="W219" i="32"/>
  <c r="T219" i="32"/>
  <c r="AA219" i="32" s="1"/>
  <c r="AC219" i="32" s="1"/>
  <c r="Q219" i="32"/>
  <c r="O219" i="32"/>
  <c r="P219" i="32" s="1"/>
  <c r="AE219" i="32" s="1"/>
  <c r="N219" i="32"/>
  <c r="L219" i="32"/>
  <c r="K219" i="32"/>
  <c r="W209" i="32"/>
  <c r="T209" i="32"/>
  <c r="W208" i="32"/>
  <c r="T208" i="32"/>
  <c r="W207" i="32"/>
  <c r="T207" i="32"/>
  <c r="W206" i="32"/>
  <c r="T206" i="32"/>
  <c r="O206" i="32"/>
  <c r="P206" i="32" s="1"/>
  <c r="AE206" i="32" s="1"/>
  <c r="AD206" i="32" s="1"/>
  <c r="N206" i="32"/>
  <c r="J206" i="32"/>
  <c r="K206" i="32" s="1"/>
  <c r="W196" i="32"/>
  <c r="T196" i="32"/>
  <c r="AE196" i="32" s="1"/>
  <c r="AD196" i="32" s="1"/>
  <c r="W194" i="32"/>
  <c r="N194" i="32"/>
  <c r="O194" i="32" s="1"/>
  <c r="P194" i="32" s="1"/>
  <c r="K194" i="32"/>
  <c r="L194" i="32" s="1"/>
  <c r="Z193" i="32"/>
  <c r="W193" i="32"/>
  <c r="T193" i="32"/>
  <c r="W192" i="32"/>
  <c r="T192" i="32"/>
  <c r="W191" i="32"/>
  <c r="T191" i="32"/>
  <c r="N191" i="32"/>
  <c r="O191" i="32" s="1"/>
  <c r="P191" i="32" s="1"/>
  <c r="K191" i="32"/>
  <c r="L191" i="32" s="1"/>
  <c r="AA191" i="32" s="1"/>
  <c r="W190" i="32"/>
  <c r="T190" i="32"/>
  <c r="W189" i="32"/>
  <c r="T189" i="32"/>
  <c r="AE189" i="32" s="1"/>
  <c r="AD189" i="32" s="1"/>
  <c r="Q189" i="32"/>
  <c r="P189" i="32"/>
  <c r="O189" i="32"/>
  <c r="N189" i="32"/>
  <c r="K189" i="32"/>
  <c r="L189" i="32" s="1"/>
  <c r="W179" i="32"/>
  <c r="T179" i="32"/>
  <c r="N179" i="32"/>
  <c r="W178" i="32"/>
  <c r="T178" i="32"/>
  <c r="N178" i="32"/>
  <c r="W177" i="32"/>
  <c r="T177" i="32"/>
  <c r="O177" i="32"/>
  <c r="P177" i="32" s="1"/>
  <c r="N177" i="32"/>
  <c r="L177" i="32"/>
  <c r="K177" i="32"/>
  <c r="W166" i="32"/>
  <c r="T166" i="32"/>
  <c r="N166" i="32"/>
  <c r="W165" i="32"/>
  <c r="T165" i="32"/>
  <c r="N165" i="32"/>
  <c r="W164" i="32"/>
  <c r="T164" i="32"/>
  <c r="N164" i="32"/>
  <c r="W163" i="32"/>
  <c r="T163" i="32"/>
  <c r="O163" i="32"/>
  <c r="Q163" i="32" s="1"/>
  <c r="N163" i="32"/>
  <c r="L163" i="32"/>
  <c r="K163" i="32"/>
  <c r="AH152" i="32"/>
  <c r="W152" i="32"/>
  <c r="AH151" i="32"/>
  <c r="W151" i="32"/>
  <c r="T151" i="32"/>
  <c r="N151" i="32"/>
  <c r="W150" i="32"/>
  <c r="T150" i="32"/>
  <c r="N150" i="32"/>
  <c r="AH149" i="32"/>
  <c r="W149" i="32"/>
  <c r="T149" i="32"/>
  <c r="N149" i="32"/>
  <c r="O149" i="32" s="1"/>
  <c r="P149" i="32" s="1"/>
  <c r="AE149" i="32" s="1"/>
  <c r="L149" i="32"/>
  <c r="K149" i="32"/>
  <c r="W138" i="32"/>
  <c r="T138" i="32"/>
  <c r="N138" i="32"/>
  <c r="O138" i="32" s="1"/>
  <c r="P138" i="32" s="1"/>
  <c r="AE138" i="32" s="1"/>
  <c r="AD138" i="32" s="1"/>
  <c r="K138" i="32"/>
  <c r="W137" i="32"/>
  <c r="T137" i="32"/>
  <c r="Q137" i="32"/>
  <c r="P137" i="32"/>
  <c r="O137" i="32"/>
  <c r="N137" i="32"/>
  <c r="L137" i="32"/>
  <c r="K137" i="32"/>
  <c r="W136" i="32"/>
  <c r="T136" i="32"/>
  <c r="P136" i="32"/>
  <c r="O136" i="32"/>
  <c r="Q136" i="32" s="1"/>
  <c r="N136" i="32"/>
  <c r="L136" i="32"/>
  <c r="K136" i="32"/>
  <c r="W135" i="32"/>
  <c r="T135" i="32"/>
  <c r="Q135" i="32"/>
  <c r="O135" i="32"/>
  <c r="P135" i="32" s="1"/>
  <c r="N135" i="32"/>
  <c r="L135" i="32"/>
  <c r="K135" i="32"/>
  <c r="W134" i="32"/>
  <c r="AA134" i="32" s="1"/>
  <c r="T134" i="32"/>
  <c r="O134" i="32"/>
  <c r="P134" i="32" s="1"/>
  <c r="AE134" i="32" s="1"/>
  <c r="AD134" i="32" s="1"/>
  <c r="N134" i="32"/>
  <c r="L134" i="32"/>
  <c r="K134" i="32"/>
  <c r="W133" i="32"/>
  <c r="T133" i="32"/>
  <c r="AA133" i="32" s="1"/>
  <c r="AB133" i="32" s="1"/>
  <c r="O133" i="32"/>
  <c r="P133" i="32" s="1"/>
  <c r="AE133" i="32" s="1"/>
  <c r="AD133" i="32" s="1"/>
  <c r="N133" i="32"/>
  <c r="L133" i="32"/>
  <c r="K133" i="32"/>
  <c r="W132" i="32"/>
  <c r="T132" i="32"/>
  <c r="N132" i="32"/>
  <c r="O132" i="32" s="1"/>
  <c r="L132" i="32"/>
  <c r="AA132" i="32" s="1"/>
  <c r="K132" i="32"/>
  <c r="J132" i="32"/>
  <c r="W122" i="32"/>
  <c r="AA122" i="32" s="1"/>
  <c r="T122" i="32"/>
  <c r="AE122" i="32" s="1"/>
  <c r="AD122" i="32" s="1"/>
  <c r="AF121" i="32"/>
  <c r="AE121" i="32"/>
  <c r="AD121" i="32"/>
  <c r="AC121" i="32"/>
  <c r="W121" i="32"/>
  <c r="T121" i="32"/>
  <c r="AA121" i="32" s="1"/>
  <c r="AB121" i="32" s="1"/>
  <c r="W119" i="32"/>
  <c r="T119" i="32"/>
  <c r="N119" i="32"/>
  <c r="K119" i="32"/>
  <c r="L119" i="32" s="1"/>
  <c r="AA118" i="32"/>
  <c r="W118" i="32"/>
  <c r="T118" i="32"/>
  <c r="AA117" i="32"/>
  <c r="W117" i="32"/>
  <c r="T117" i="32"/>
  <c r="W116" i="32"/>
  <c r="T116" i="32"/>
  <c r="N116" i="32"/>
  <c r="K116" i="32"/>
  <c r="W106" i="32"/>
  <c r="T106" i="32"/>
  <c r="N106" i="32"/>
  <c r="W105" i="32"/>
  <c r="T105" i="32"/>
  <c r="N105" i="32"/>
  <c r="O105" i="32" s="1"/>
  <c r="L105" i="32"/>
  <c r="K105" i="32"/>
  <c r="W104" i="32"/>
  <c r="T104" i="32"/>
  <c r="N104" i="32"/>
  <c r="W103" i="32"/>
  <c r="T103" i="32"/>
  <c r="N103" i="32"/>
  <c r="N102" i="32"/>
  <c r="W101" i="32"/>
  <c r="T101" i="32"/>
  <c r="W100" i="32"/>
  <c r="T100" i="32"/>
  <c r="N100" i="32"/>
  <c r="O100" i="32" s="1"/>
  <c r="P100" i="32" s="1"/>
  <c r="K100" i="32"/>
  <c r="AE89" i="32"/>
  <c r="AD89" i="32" s="1"/>
  <c r="W89" i="32"/>
  <c r="T89" i="32"/>
  <c r="N89" i="32"/>
  <c r="AD88" i="32"/>
  <c r="AA88" i="32"/>
  <c r="W88" i="32"/>
  <c r="T88" i="32"/>
  <c r="AE88" i="32" s="1"/>
  <c r="Q88" i="32"/>
  <c r="O88" i="32"/>
  <c r="P88" i="32" s="1"/>
  <c r="N88" i="32"/>
  <c r="L88" i="32"/>
  <c r="K88" i="32"/>
  <c r="W87" i="32"/>
  <c r="T87" i="32"/>
  <c r="N87" i="32"/>
  <c r="W86" i="32"/>
  <c r="T86" i="32"/>
  <c r="Q86" i="32"/>
  <c r="P86" i="32"/>
  <c r="N86" i="32"/>
  <c r="O86" i="32" s="1"/>
  <c r="K86" i="32"/>
  <c r="L86" i="32" s="1"/>
  <c r="J86" i="32"/>
  <c r="W75" i="32"/>
  <c r="T75" i="32"/>
  <c r="N75" i="32"/>
  <c r="W74" i="32"/>
  <c r="T74" i="32"/>
  <c r="N74" i="32"/>
  <c r="W73" i="32"/>
  <c r="T73" i="32"/>
  <c r="N73" i="32"/>
  <c r="W72" i="32"/>
  <c r="T72" i="32"/>
  <c r="N72" i="32"/>
  <c r="W71" i="32"/>
  <c r="T71" i="32"/>
  <c r="Q71" i="32"/>
  <c r="N71" i="32"/>
  <c r="O71" i="32" s="1"/>
  <c r="P71" i="32" s="1"/>
  <c r="K71" i="32"/>
  <c r="L71" i="32" s="1"/>
  <c r="W61" i="32"/>
  <c r="T61" i="32"/>
  <c r="AA61" i="32" s="1"/>
  <c r="P61" i="32"/>
  <c r="AD60" i="32"/>
  <c r="W60" i="32"/>
  <c r="T60" i="32"/>
  <c r="AE60" i="32" s="1"/>
  <c r="AB59" i="32"/>
  <c r="AA59" i="32"/>
  <c r="AC59" i="32" s="1"/>
  <c r="W59" i="32"/>
  <c r="T59" i="32"/>
  <c r="L59" i="32"/>
  <c r="K59" i="32"/>
  <c r="W57" i="32"/>
  <c r="T57" i="32"/>
  <c r="L57" i="32"/>
  <c r="K57" i="32"/>
  <c r="W55" i="32"/>
  <c r="T55" i="32"/>
  <c r="N55" i="32"/>
  <c r="O55" i="32" s="1"/>
  <c r="L55" i="32"/>
  <c r="K55" i="32"/>
  <c r="W45" i="32"/>
  <c r="T45" i="32"/>
  <c r="W44" i="32"/>
  <c r="T44" i="32"/>
  <c r="AE43" i="32"/>
  <c r="W43" i="32"/>
  <c r="T43" i="32"/>
  <c r="N43" i="32"/>
  <c r="W42" i="32"/>
  <c r="AA42" i="32" s="1"/>
  <c r="T42" i="32"/>
  <c r="N42" i="32"/>
  <c r="O42" i="32" s="1"/>
  <c r="P42" i="32" s="1"/>
  <c r="AE42" i="32" s="1"/>
  <c r="AD42" i="32" s="1"/>
  <c r="K42" i="32"/>
  <c r="L42" i="32" s="1"/>
  <c r="W41" i="32"/>
  <c r="T41" i="32"/>
  <c r="N41" i="32"/>
  <c r="W40" i="32"/>
  <c r="T40" i="32"/>
  <c r="N40" i="32"/>
  <c r="W39" i="32"/>
  <c r="T39" i="32"/>
  <c r="N39" i="32"/>
  <c r="W38" i="32"/>
  <c r="T38" i="32"/>
  <c r="N38" i="32"/>
  <c r="W37" i="32"/>
  <c r="T37" i="32"/>
  <c r="N37" i="32"/>
  <c r="O37" i="32" s="1"/>
  <c r="P37" i="32" s="1"/>
  <c r="AE37" i="32" s="1"/>
  <c r="AD37" i="32" s="1"/>
  <c r="K37" i="32"/>
  <c r="AE27" i="32"/>
  <c r="W27" i="32"/>
  <c r="N27" i="32"/>
  <c r="W26" i="32"/>
  <c r="Q26" i="32"/>
  <c r="P26" i="32"/>
  <c r="AE26" i="32" s="1"/>
  <c r="N26" i="32"/>
  <c r="L26" i="32"/>
  <c r="AA26" i="32" s="1"/>
  <c r="K26" i="32"/>
  <c r="W25" i="32"/>
  <c r="T25" i="32"/>
  <c r="N25" i="32"/>
  <c r="W24" i="32"/>
  <c r="T24" i="32"/>
  <c r="N24" i="32"/>
  <c r="O24" i="32" s="1"/>
  <c r="P24" i="32" s="1"/>
  <c r="AE24" i="32" s="1"/>
  <c r="AD24" i="32" s="1"/>
  <c r="L24" i="32"/>
  <c r="K24" i="32"/>
  <c r="Q24" i="32" s="1"/>
  <c r="W23" i="32"/>
  <c r="T23" i="32"/>
  <c r="N23" i="32"/>
  <c r="W22" i="32"/>
  <c r="T22" i="32"/>
  <c r="AE22" i="32" s="1"/>
  <c r="AD22" i="32" s="1"/>
  <c r="N22" i="32"/>
  <c r="AE21" i="32"/>
  <c r="AD21" i="32"/>
  <c r="W21" i="32"/>
  <c r="T21" i="32"/>
  <c r="O21" i="32"/>
  <c r="P21" i="32" s="1"/>
  <c r="N21" i="32"/>
  <c r="K21" i="32"/>
  <c r="Q21" i="32" s="1"/>
  <c r="AE11" i="32"/>
  <c r="AD11" i="32" s="1"/>
  <c r="W11" i="32"/>
  <c r="T11" i="32"/>
  <c r="S11" i="32"/>
  <c r="W10" i="32"/>
  <c r="AA10" i="32" s="1"/>
  <c r="T10" i="32"/>
  <c r="AE10" i="32" s="1"/>
  <c r="AD10" i="32" s="1"/>
  <c r="S10" i="32"/>
  <c r="O10" i="32"/>
  <c r="P10" i="32" s="1"/>
  <c r="N10" i="32"/>
  <c r="L10" i="32"/>
  <c r="K10" i="32"/>
  <c r="Q10" i="32" s="1"/>
  <c r="AB10" i="32" l="1"/>
  <c r="AF10" i="32" s="1"/>
  <c r="AC10" i="32"/>
  <c r="AD43" i="32"/>
  <c r="AE44" i="32"/>
  <c r="AD44" i="32" s="1"/>
  <c r="AC236" i="32"/>
  <c r="AB236" i="32"/>
  <c r="AF236" i="32" s="1"/>
  <c r="AE150" i="32"/>
  <c r="AD150" i="32" s="1"/>
  <c r="AD149" i="32"/>
  <c r="AB26" i="32"/>
  <c r="AF26" i="32" s="1"/>
  <c r="AC26" i="32"/>
  <c r="AA27" i="32" s="1"/>
  <c r="AB88" i="32"/>
  <c r="AF88" i="32" s="1"/>
  <c r="AC88" i="32"/>
  <c r="AB122" i="32"/>
  <c r="AC122" i="32"/>
  <c r="AC191" i="32"/>
  <c r="AA192" i="32" s="1"/>
  <c r="AB191" i="32"/>
  <c r="Q223" i="32"/>
  <c r="P223" i="32"/>
  <c r="AE241" i="32"/>
  <c r="AD241" i="32" s="1"/>
  <c r="AC317" i="32"/>
  <c r="AB317" i="32"/>
  <c r="AF317" i="32" s="1"/>
  <c r="AB61" i="32"/>
  <c r="AC61" i="32"/>
  <c r="AE191" i="32"/>
  <c r="AD191" i="32" s="1"/>
  <c r="Q206" i="32"/>
  <c r="L206" i="32"/>
  <c r="AA206" i="32" s="1"/>
  <c r="P251" i="32"/>
  <c r="Q251" i="32"/>
  <c r="AF133" i="32"/>
  <c r="P132" i="32"/>
  <c r="AE132" i="32" s="1"/>
  <c r="AD132" i="32" s="1"/>
  <c r="Q132" i="32"/>
  <c r="AE220" i="32"/>
  <c r="AD220" i="32" s="1"/>
  <c r="AD219" i="32"/>
  <c r="AA58" i="32"/>
  <c r="AE57" i="32"/>
  <c r="AD57" i="32" s="1"/>
  <c r="AA57" i="32"/>
  <c r="AE58" i="32"/>
  <c r="AA71" i="32"/>
  <c r="AE71" i="32"/>
  <c r="AD71" i="32" s="1"/>
  <c r="P55" i="32"/>
  <c r="Q55" i="32"/>
  <c r="Q138" i="32"/>
  <c r="AA105" i="32"/>
  <c r="AC42" i="32"/>
  <c r="AB42" i="32"/>
  <c r="AF42" i="32" s="1"/>
  <c r="AC134" i="32"/>
  <c r="AB134" i="32"/>
  <c r="AF134" i="32" s="1"/>
  <c r="O119" i="32"/>
  <c r="P119" i="32" s="1"/>
  <c r="AE119" i="32" s="1"/>
  <c r="AD119" i="32" s="1"/>
  <c r="O116" i="32"/>
  <c r="AA43" i="32"/>
  <c r="AE25" i="32"/>
  <c r="AD25" i="32" s="1"/>
  <c r="Q105" i="32"/>
  <c r="P105" i="32"/>
  <c r="AE105" i="32" s="1"/>
  <c r="Q149" i="32"/>
  <c r="Q37" i="32"/>
  <c r="L37" i="32"/>
  <c r="AA37" i="32" s="1"/>
  <c r="AE87" i="32"/>
  <c r="AD87" i="32" s="1"/>
  <c r="AE136" i="32"/>
  <c r="AD136" i="32" s="1"/>
  <c r="AE178" i="32"/>
  <c r="AD178" i="32" s="1"/>
  <c r="AA177" i="32"/>
  <c r="AA267" i="32"/>
  <c r="AB219" i="32"/>
  <c r="AF219" i="32" s="1"/>
  <c r="AA315" i="32"/>
  <c r="AC133" i="32"/>
  <c r="AA136" i="32"/>
  <c r="P163" i="32"/>
  <c r="AE163" i="32" s="1"/>
  <c r="AD163" i="32" s="1"/>
  <c r="AE192" i="32"/>
  <c r="AD192" i="32" s="1"/>
  <c r="Q194" i="32"/>
  <c r="L234" i="32"/>
  <c r="AE251" i="32"/>
  <c r="AD251" i="32" s="1"/>
  <c r="AA251" i="32"/>
  <c r="AE270" i="32"/>
  <c r="AD270" i="32" s="1"/>
  <c r="L288" i="32"/>
  <c r="L21" i="32"/>
  <c r="AA21" i="32" s="1"/>
  <c r="AA86" i="32"/>
  <c r="AE238" i="32"/>
  <c r="AD238" i="32" s="1"/>
  <c r="AA24" i="32"/>
  <c r="AE55" i="32"/>
  <c r="AD55" i="32" s="1"/>
  <c r="AA55" i="32"/>
  <c r="AA119" i="32"/>
  <c r="AA237" i="32"/>
  <c r="AA238" i="32"/>
  <c r="Q241" i="32"/>
  <c r="AE304" i="32"/>
  <c r="AB308" i="32"/>
  <c r="AF308" i="32" s="1"/>
  <c r="Q100" i="32"/>
  <c r="L100" i="32"/>
  <c r="AA100" i="32" s="1"/>
  <c r="AE61" i="32"/>
  <c r="AD61" i="32" s="1"/>
  <c r="L138" i="32"/>
  <c r="AA138" i="32" s="1"/>
  <c r="AE177" i="32"/>
  <c r="AD177" i="32" s="1"/>
  <c r="AE151" i="32"/>
  <c r="AD151" i="32" s="1"/>
  <c r="AE135" i="32"/>
  <c r="AD135" i="32" s="1"/>
  <c r="AE207" i="32"/>
  <c r="AA89" i="32"/>
  <c r="AA135" i="32"/>
  <c r="AA189" i="32"/>
  <c r="AE38" i="32"/>
  <c r="AE45" i="32"/>
  <c r="AD45" i="32" s="1"/>
  <c r="AE86" i="32"/>
  <c r="AD86" i="32" s="1"/>
  <c r="AA60" i="32"/>
  <c r="Q134" i="32"/>
  <c r="AA163" i="32"/>
  <c r="AE194" i="32"/>
  <c r="AD194" i="32" s="1"/>
  <c r="AA241" i="32"/>
  <c r="AE23" i="32"/>
  <c r="AD23" i="32" s="1"/>
  <c r="Q191" i="32"/>
  <c r="AE263" i="32"/>
  <c r="AD263" i="32" s="1"/>
  <c r="Q42" i="32"/>
  <c r="AE100" i="32"/>
  <c r="AA149" i="32"/>
  <c r="Q177" i="32"/>
  <c r="AE235" i="32"/>
  <c r="AD235" i="32" s="1"/>
  <c r="AA234" i="32"/>
  <c r="AA235" i="32"/>
  <c r="Q133" i="32"/>
  <c r="AA11" i="32"/>
  <c r="AC132" i="32"/>
  <c r="AB132" i="32"/>
  <c r="AF132" i="32" s="1"/>
  <c r="AE152" i="32"/>
  <c r="AD152" i="32" s="1"/>
  <c r="AE193" i="32"/>
  <c r="AD193" i="32" s="1"/>
  <c r="AE190" i="32"/>
  <c r="AD190" i="32" s="1"/>
  <c r="AA220" i="32"/>
  <c r="AE223" i="32"/>
  <c r="AD223" i="32" s="1"/>
  <c r="AA223" i="32"/>
  <c r="AA319" i="32"/>
  <c r="L240" i="32"/>
  <c r="AA240" i="32" s="1"/>
  <c r="L263" i="32"/>
  <c r="AA263" i="32" s="1"/>
  <c r="L270" i="32"/>
  <c r="AA270" i="32" s="1"/>
  <c r="L304" i="32"/>
  <c r="AA304" i="32" s="1"/>
  <c r="L116" i="32"/>
  <c r="AA116" i="32" s="1"/>
  <c r="AC270" i="32" l="1"/>
  <c r="AB270" i="32"/>
  <c r="AF270" i="32" s="1"/>
  <c r="AD105" i="32"/>
  <c r="AE106" i="32"/>
  <c r="AD106" i="32" s="1"/>
  <c r="AB116" i="32"/>
  <c r="AC116" i="32"/>
  <c r="AC37" i="32"/>
  <c r="AA38" i="32" s="1"/>
  <c r="AB37" i="32"/>
  <c r="AF37" i="32" s="1"/>
  <c r="AC263" i="32"/>
  <c r="AA264" i="32" s="1"/>
  <c r="AB263" i="32"/>
  <c r="AF263" i="32" s="1"/>
  <c r="AC304" i="32"/>
  <c r="AA305" i="32" s="1"/>
  <c r="AB304" i="32"/>
  <c r="AF304" i="32" s="1"/>
  <c r="AB100" i="32"/>
  <c r="AC100" i="32"/>
  <c r="AA101" i="32" s="1"/>
  <c r="AC119" i="32"/>
  <c r="AB119" i="32"/>
  <c r="AF122" i="32" s="1"/>
  <c r="AB27" i="32"/>
  <c r="AF27" i="32" s="1"/>
  <c r="AC27" i="32"/>
  <c r="AD38" i="32"/>
  <c r="AE39" i="32"/>
  <c r="AC237" i="32"/>
  <c r="AB237" i="32"/>
  <c r="AF237" i="32" s="1"/>
  <c r="AF61" i="32"/>
  <c r="AC241" i="32"/>
  <c r="AB241" i="32"/>
  <c r="AF241" i="32" s="1"/>
  <c r="AB189" i="32"/>
  <c r="AF189" i="32" s="1"/>
  <c r="AC189" i="32"/>
  <c r="AA190" i="32" s="1"/>
  <c r="AC55" i="32"/>
  <c r="AB55" i="32"/>
  <c r="AF55" i="32" s="1"/>
  <c r="AE137" i="32"/>
  <c r="AD137" i="32" s="1"/>
  <c r="AC43" i="32"/>
  <c r="AA44" i="32" s="1"/>
  <c r="AB43" i="32"/>
  <c r="AF43" i="32" s="1"/>
  <c r="AB71" i="32"/>
  <c r="AF71" i="32" s="1"/>
  <c r="AC71" i="32"/>
  <c r="AA72" i="32" s="1"/>
  <c r="AD207" i="32"/>
  <c r="AE208" i="32"/>
  <c r="AB149" i="32"/>
  <c r="AF149" i="32" s="1"/>
  <c r="AC149" i="32"/>
  <c r="AA150" i="32" s="1"/>
  <c r="AB240" i="32"/>
  <c r="AF240" i="32" s="1"/>
  <c r="AC240" i="32"/>
  <c r="AE101" i="32"/>
  <c r="AD100" i="32"/>
  <c r="AC163" i="32"/>
  <c r="AA164" i="32" s="1"/>
  <c r="AB163" i="32"/>
  <c r="AF163" i="32" s="1"/>
  <c r="AC24" i="32"/>
  <c r="AA25" i="32" s="1"/>
  <c r="AB24" i="32"/>
  <c r="AF24" i="32" s="1"/>
  <c r="AC136" i="32"/>
  <c r="AA137" i="32" s="1"/>
  <c r="AB136" i="32"/>
  <c r="AF136" i="32" s="1"/>
  <c r="AE72" i="32"/>
  <c r="AE239" i="32"/>
  <c r="AD239" i="32" s="1"/>
  <c r="Q116" i="32"/>
  <c r="P116" i="32"/>
  <c r="AE116" i="32" s="1"/>
  <c r="AD116" i="32" s="1"/>
  <c r="Q119" i="32"/>
  <c r="AC86" i="32"/>
  <c r="AA87" i="32" s="1"/>
  <c r="AB86" i="32"/>
  <c r="AF86" i="32" s="1"/>
  <c r="AC315" i="32"/>
  <c r="AB315" i="32"/>
  <c r="AF315" i="32" s="1"/>
  <c r="AC105" i="32"/>
  <c r="AA106" i="32" s="1"/>
  <c r="AB105" i="32"/>
  <c r="AF105" i="32" s="1"/>
  <c r="AC319" i="32"/>
  <c r="AB319" i="32"/>
  <c r="AF319" i="32" s="1"/>
  <c r="AC11" i="32"/>
  <c r="AB11" i="32"/>
  <c r="AF11" i="32" s="1"/>
  <c r="AC223" i="32"/>
  <c r="AB223" i="32"/>
  <c r="AF223" i="32" s="1"/>
  <c r="AC60" i="32"/>
  <c r="AB60" i="32"/>
  <c r="AF60" i="32" s="1"/>
  <c r="AD304" i="32"/>
  <c r="AE305" i="32"/>
  <c r="AC21" i="32"/>
  <c r="AA22" i="32" s="1"/>
  <c r="AB21" i="32"/>
  <c r="AF21" i="32" s="1"/>
  <c r="AE179" i="32"/>
  <c r="AD179" i="32" s="1"/>
  <c r="AD58" i="32"/>
  <c r="AE59" i="32"/>
  <c r="AD59" i="32" s="1"/>
  <c r="AF59" i="32" s="1"/>
  <c r="AE264" i="32"/>
  <c r="AD264" i="32" s="1"/>
  <c r="AF191" i="32"/>
  <c r="AE164" i="32"/>
  <c r="AB267" i="32"/>
  <c r="AF267" i="32" s="1"/>
  <c r="AC267" i="32"/>
  <c r="AC57" i="32"/>
  <c r="AB57" i="32"/>
  <c r="AF57" i="32" s="1"/>
  <c r="AC206" i="32"/>
  <c r="AA207" i="32" s="1"/>
  <c r="AB206" i="32"/>
  <c r="AF206" i="32" s="1"/>
  <c r="AC192" i="32"/>
  <c r="AA193" i="32" s="1"/>
  <c r="AB192" i="32"/>
  <c r="AF192" i="32" s="1"/>
  <c r="AC135" i="32"/>
  <c r="AB135" i="32"/>
  <c r="AF135" i="32" s="1"/>
  <c r="AC89" i="32"/>
  <c r="AB89" i="32"/>
  <c r="AF89" i="32" s="1"/>
  <c r="AE221" i="32"/>
  <c r="AB220" i="32"/>
  <c r="AC220" i="32"/>
  <c r="AA221" i="32" s="1"/>
  <c r="AC235" i="32"/>
  <c r="AB235" i="32"/>
  <c r="AF235" i="32" s="1"/>
  <c r="AB234" i="32"/>
  <c r="AF234" i="32" s="1"/>
  <c r="AC234" i="32"/>
  <c r="AC138" i="32"/>
  <c r="AB138" i="32"/>
  <c r="AF138" i="32" s="1"/>
  <c r="AB251" i="32"/>
  <c r="AF251" i="32" s="1"/>
  <c r="AC251" i="32"/>
  <c r="AB177" i="32"/>
  <c r="AF177" i="32" s="1"/>
  <c r="AC177" i="32"/>
  <c r="AA178" i="32" s="1"/>
  <c r="AC58" i="32"/>
  <c r="AB58" i="32"/>
  <c r="AF58" i="32" s="1"/>
  <c r="AC238" i="32"/>
  <c r="AA239" i="32" s="1"/>
  <c r="AB238" i="32"/>
  <c r="AF238" i="32" s="1"/>
  <c r="AC137" i="32" l="1"/>
  <c r="AB137" i="32"/>
  <c r="AF137" i="32" s="1"/>
  <c r="AC305" i="32"/>
  <c r="AB305" i="32"/>
  <c r="AC193" i="32"/>
  <c r="AA194" i="32" s="1"/>
  <c r="AB193" i="32"/>
  <c r="AF193" i="32" s="1"/>
  <c r="AB22" i="32"/>
  <c r="AF22" i="32" s="1"/>
  <c r="AC22" i="32"/>
  <c r="AA23" i="32" s="1"/>
  <c r="AC106" i="32"/>
  <c r="AB106" i="32"/>
  <c r="AF106" i="32" s="1"/>
  <c r="AC72" i="32"/>
  <c r="AA73" i="32" s="1"/>
  <c r="AB72" i="32"/>
  <c r="AB239" i="32"/>
  <c r="AF239" i="32" s="1"/>
  <c r="AC239" i="32"/>
  <c r="AE306" i="32"/>
  <c r="AD305" i="32"/>
  <c r="AB25" i="32"/>
  <c r="AF25" i="32" s="1"/>
  <c r="AC25" i="32"/>
  <c r="AB264" i="32"/>
  <c r="AF264" i="32" s="1"/>
  <c r="AC264" i="32"/>
  <c r="AC207" i="32"/>
  <c r="AA208" i="32" s="1"/>
  <c r="AB207" i="32"/>
  <c r="AF207" i="32" s="1"/>
  <c r="AD39" i="32"/>
  <c r="AE40" i="32"/>
  <c r="AD208" i="32"/>
  <c r="AE209" i="32"/>
  <c r="AD209" i="32" s="1"/>
  <c r="AB164" i="32"/>
  <c r="AC164" i="32"/>
  <c r="AC44" i="32"/>
  <c r="AA45" i="32" s="1"/>
  <c r="AB44" i="32"/>
  <c r="AF44" i="32" s="1"/>
  <c r="AB38" i="32"/>
  <c r="AF38" i="32" s="1"/>
  <c r="AC38" i="32"/>
  <c r="AA39" i="32" s="1"/>
  <c r="AC221" i="32"/>
  <c r="AA222" i="32" s="1"/>
  <c r="AB221" i="32"/>
  <c r="AC178" i="32"/>
  <c r="AA179" i="32" s="1"/>
  <c r="AB178" i="32"/>
  <c r="AF178" i="32" s="1"/>
  <c r="AD221" i="32"/>
  <c r="AE222" i="32"/>
  <c r="AD222" i="32" s="1"/>
  <c r="AC87" i="32"/>
  <c r="AB87" i="32"/>
  <c r="AF87" i="32" s="1"/>
  <c r="AD101" i="32"/>
  <c r="AE103" i="32"/>
  <c r="AF116" i="32"/>
  <c r="AF119" i="32"/>
  <c r="AD164" i="32"/>
  <c r="AE165" i="32"/>
  <c r="AC190" i="32"/>
  <c r="AB190" i="32"/>
  <c r="AF190" i="32" s="1"/>
  <c r="AC150" i="32"/>
  <c r="AA151" i="32" s="1"/>
  <c r="AB150" i="32"/>
  <c r="AF150" i="32" s="1"/>
  <c r="AB101" i="32"/>
  <c r="AC101" i="32"/>
  <c r="AA103" i="32" s="1"/>
  <c r="AD72" i="32"/>
  <c r="AE73" i="32"/>
  <c r="AD73" i="32" s="1"/>
  <c r="AE74" i="32"/>
  <c r="AF100" i="32"/>
  <c r="AD40" i="32" l="1"/>
  <c r="AE41" i="32"/>
  <c r="AD41" i="32" s="1"/>
  <c r="AF72" i="32"/>
  <c r="AB222" i="32"/>
  <c r="AC222" i="32"/>
  <c r="AC208" i="32"/>
  <c r="AA209" i="32" s="1"/>
  <c r="AB208" i="32"/>
  <c r="AF208" i="32" s="1"/>
  <c r="AB39" i="32"/>
  <c r="AF39" i="32" s="1"/>
  <c r="AC39" i="32"/>
  <c r="AA40" i="32" s="1"/>
  <c r="AC23" i="32"/>
  <c r="AB23" i="32"/>
  <c r="AF23" i="32" s="1"/>
  <c r="AC179" i="32"/>
  <c r="AB179" i="32"/>
  <c r="AF179" i="32" s="1"/>
  <c r="AB194" i="32"/>
  <c r="AF194" i="32" s="1"/>
  <c r="AC194" i="32"/>
  <c r="AA196" i="32"/>
  <c r="AD165" i="32"/>
  <c r="AE166" i="32"/>
  <c r="AD166" i="32" s="1"/>
  <c r="AD74" i="32"/>
  <c r="AE75" i="32"/>
  <c r="AA166" i="32"/>
  <c r="AA165" i="32"/>
  <c r="AF305" i="32"/>
  <c r="AD103" i="32"/>
  <c r="AE104" i="32"/>
  <c r="AD104" i="32" s="1"/>
  <c r="AC103" i="32"/>
  <c r="AA104" i="32" s="1"/>
  <c r="AB103" i="32"/>
  <c r="AF101" i="32"/>
  <c r="AF164" i="32"/>
  <c r="AD306" i="32"/>
  <c r="AE307" i="32"/>
  <c r="AD307" i="32" s="1"/>
  <c r="AA307" i="32"/>
  <c r="AA306" i="32"/>
  <c r="AC45" i="32"/>
  <c r="AB45" i="32"/>
  <c r="AF45" i="32" s="1"/>
  <c r="AB73" i="32"/>
  <c r="AF73" i="32" s="1"/>
  <c r="AC73" i="32"/>
  <c r="AB151" i="32"/>
  <c r="AF151" i="32" s="1"/>
  <c r="AC151" i="32"/>
  <c r="AA152" i="32" s="1"/>
  <c r="AC165" i="32" l="1"/>
  <c r="AB165" i="32"/>
  <c r="AF165" i="32" s="1"/>
  <c r="AC306" i="32"/>
  <c r="AB306" i="32"/>
  <c r="AF306" i="32" s="1"/>
  <c r="AC166" i="32"/>
  <c r="AB166" i="32"/>
  <c r="AF166" i="32" s="1"/>
  <c r="AC40" i="32"/>
  <c r="AA41" i="32" s="1"/>
  <c r="AB40" i="32"/>
  <c r="AF40" i="32" s="1"/>
  <c r="AC307" i="32"/>
  <c r="AB307" i="32"/>
  <c r="AF307" i="32" s="1"/>
  <c r="AC209" i="32"/>
  <c r="AB209" i="32"/>
  <c r="AF209" i="32" s="1"/>
  <c r="AB196" i="32"/>
  <c r="AF196" i="32" s="1"/>
  <c r="AC196" i="32"/>
  <c r="AC152" i="32"/>
  <c r="AB152" i="32"/>
  <c r="AF152" i="32" s="1"/>
  <c r="AF103" i="32"/>
  <c r="AC104" i="32"/>
  <c r="AB104" i="32"/>
  <c r="AF104" i="32" s="1"/>
  <c r="AA75" i="32"/>
  <c r="AC75" i="32" s="1"/>
  <c r="AA74" i="32"/>
  <c r="AC74" i="32" l="1"/>
  <c r="AB74" i="32"/>
  <c r="AF74" i="32" s="1"/>
  <c r="AC41" i="32"/>
  <c r="AB41" i="32"/>
  <c r="AF41" i="32" s="1"/>
  <c r="W55" i="31" l="1"/>
  <c r="T55" i="31"/>
  <c r="N55" i="31"/>
  <c r="O55" i="31" s="1"/>
  <c r="P55" i="31" s="1"/>
  <c r="K55" i="31"/>
  <c r="W54" i="31"/>
  <c r="T54" i="31"/>
  <c r="N54" i="31"/>
  <c r="O54" i="31" s="1"/>
  <c r="P54" i="31" s="1"/>
  <c r="K54" i="31"/>
  <c r="L54" i="31" s="1"/>
  <c r="W53" i="31"/>
  <c r="T53" i="31"/>
  <c r="N53" i="31"/>
  <c r="O53" i="31" s="1"/>
  <c r="P53" i="31" s="1"/>
  <c r="K53" i="31"/>
  <c r="W52" i="31"/>
  <c r="T52" i="31"/>
  <c r="N52" i="31"/>
  <c r="O52" i="31" s="1"/>
  <c r="K52" i="31"/>
  <c r="L52" i="31" s="1"/>
  <c r="W51" i="31"/>
  <c r="T51" i="31"/>
  <c r="N51" i="31"/>
  <c r="O51" i="31" s="1"/>
  <c r="P51" i="31" s="1"/>
  <c r="K51" i="31"/>
  <c r="L51" i="31" s="1"/>
  <c r="W50" i="31"/>
  <c r="T50" i="31"/>
  <c r="N50" i="31"/>
  <c r="O50" i="31" s="1"/>
  <c r="K50" i="31"/>
  <c r="L50" i="31" s="1"/>
  <c r="W49" i="31"/>
  <c r="T49" i="31"/>
  <c r="N49" i="31"/>
  <c r="O49" i="31" s="1"/>
  <c r="J49" i="31"/>
  <c r="K49" i="31" s="1"/>
  <c r="L49" i="31" s="1"/>
  <c r="W39" i="31"/>
  <c r="T39" i="31"/>
  <c r="S39" i="31"/>
  <c r="N39" i="31"/>
  <c r="W38" i="31"/>
  <c r="T38" i="31"/>
  <c r="S38" i="31"/>
  <c r="N38" i="31"/>
  <c r="W37" i="31"/>
  <c r="T37" i="31"/>
  <c r="S37" i="31"/>
  <c r="N37" i="31"/>
  <c r="O37" i="31" s="1"/>
  <c r="P37" i="31" s="1"/>
  <c r="AE37" i="31" s="1"/>
  <c r="K37" i="31"/>
  <c r="L37" i="31" s="1"/>
  <c r="AA52" i="31" l="1"/>
  <c r="AB52" i="31" s="1"/>
  <c r="AE51" i="31"/>
  <c r="AD51" i="31" s="1"/>
  <c r="Q55" i="31"/>
  <c r="Q49" i="31"/>
  <c r="P49" i="31"/>
  <c r="AE49" i="31" s="1"/>
  <c r="AD49" i="31" s="1"/>
  <c r="Q52" i="31"/>
  <c r="P52" i="31"/>
  <c r="AE52" i="31" s="1"/>
  <c r="AD52" i="31" s="1"/>
  <c r="Q53" i="31"/>
  <c r="P50" i="31"/>
  <c r="AE50" i="31" s="1"/>
  <c r="AD50" i="31" s="1"/>
  <c r="Q50" i="31"/>
  <c r="Q51" i="31"/>
  <c r="Q54" i="31"/>
  <c r="L55" i="31"/>
  <c r="AA55" i="31" s="1"/>
  <c r="AE55" i="31"/>
  <c r="AD55" i="31" s="1"/>
  <c r="AA49" i="31"/>
  <c r="AA50" i="31"/>
  <c r="AA51" i="31"/>
  <c r="L53" i="31"/>
  <c r="AA53" i="31" s="1"/>
  <c r="AE53" i="31"/>
  <c r="AD53" i="31" s="1"/>
  <c r="AE38" i="31"/>
  <c r="AD38" i="31" s="1"/>
  <c r="AD37" i="31"/>
  <c r="Q37" i="31"/>
  <c r="AA37" i="31"/>
  <c r="AC52" i="31" l="1"/>
  <c r="AE54" i="31"/>
  <c r="AD54" i="31" s="1"/>
  <c r="AC51" i="31"/>
  <c r="AB51" i="31"/>
  <c r="AF51" i="31" s="1"/>
  <c r="AC53" i="31"/>
  <c r="AA54" i="31" s="1"/>
  <c r="AB53" i="31"/>
  <c r="AF53" i="31" s="1"/>
  <c r="AC55" i="31"/>
  <c r="AB55" i="31"/>
  <c r="AF55" i="31" s="1"/>
  <c r="AF52" i="31"/>
  <c r="AC49" i="31"/>
  <c r="AB49" i="31"/>
  <c r="AF49" i="31" s="1"/>
  <c r="AC50" i="31"/>
  <c r="AB50" i="31"/>
  <c r="AF50" i="31" s="1"/>
  <c r="AB37" i="31"/>
  <c r="AF37" i="31" s="1"/>
  <c r="AC37" i="31"/>
  <c r="AA38" i="31" s="1"/>
  <c r="AE39" i="31"/>
  <c r="AD39" i="31" s="1"/>
  <c r="AC54" i="31" l="1"/>
  <c r="AB54" i="31"/>
  <c r="AF54" i="31" s="1"/>
  <c r="AC38" i="31"/>
  <c r="AA39" i="31" s="1"/>
  <c r="AB38" i="31"/>
  <c r="AF38" i="31" s="1"/>
  <c r="AC39" i="31" l="1"/>
  <c r="AB39" i="31"/>
  <c r="AF39" i="31" s="1"/>
  <c r="W204" i="30" l="1"/>
  <c r="T204" i="30"/>
  <c r="W203" i="30"/>
  <c r="T203" i="30"/>
  <c r="W202" i="30"/>
  <c r="T202" i="30"/>
  <c r="N202" i="30"/>
  <c r="W201" i="30"/>
  <c r="T201" i="30"/>
  <c r="N201" i="30"/>
  <c r="O201" i="30" s="1"/>
  <c r="P201" i="30" s="1"/>
  <c r="K201" i="30"/>
  <c r="L201" i="30" s="1"/>
  <c r="W200" i="30"/>
  <c r="T200" i="30"/>
  <c r="N200" i="30"/>
  <c r="W199" i="30"/>
  <c r="T199" i="30"/>
  <c r="N199" i="30"/>
  <c r="W198" i="30"/>
  <c r="T198" i="30"/>
  <c r="N198" i="30"/>
  <c r="W197" i="30"/>
  <c r="T197" i="30"/>
  <c r="N197" i="30"/>
  <c r="W196" i="30"/>
  <c r="T196" i="30"/>
  <c r="N196" i="30"/>
  <c r="O196" i="30" s="1"/>
  <c r="K196" i="30"/>
  <c r="L196" i="30" s="1"/>
  <c r="AE201" i="30" l="1"/>
  <c r="AD201" i="30" s="1"/>
  <c r="P196" i="30"/>
  <c r="AE196" i="30" s="1"/>
  <c r="Q196" i="30"/>
  <c r="Q201" i="30"/>
  <c r="AA196" i="30"/>
  <c r="AA201" i="30"/>
  <c r="AE202" i="30"/>
  <c r="AD202" i="30" s="1"/>
  <c r="AE203" i="30" l="1"/>
  <c r="AD203" i="30" s="1"/>
  <c r="AD196" i="30"/>
  <c r="AE197" i="30"/>
  <c r="AC201" i="30"/>
  <c r="AA202" i="30" s="1"/>
  <c r="AB201" i="30"/>
  <c r="AF201" i="30" s="1"/>
  <c r="AE204" i="30"/>
  <c r="AD204" i="30" s="1"/>
  <c r="AC196" i="30"/>
  <c r="AA197" i="30" s="1"/>
  <c r="AB196" i="30"/>
  <c r="AF196" i="30" s="1"/>
  <c r="AB197" i="30" l="1"/>
  <c r="AC197" i="30"/>
  <c r="AA198" i="30" s="1"/>
  <c r="AD197" i="30"/>
  <c r="AE198" i="30"/>
  <c r="AC202" i="30"/>
  <c r="AA203" i="30" s="1"/>
  <c r="AB202" i="30"/>
  <c r="AF202" i="30" s="1"/>
  <c r="AB203" i="30" l="1"/>
  <c r="AF203" i="30" s="1"/>
  <c r="AC203" i="30"/>
  <c r="AA204" i="30" s="1"/>
  <c r="AC198" i="30"/>
  <c r="AA199" i="30" s="1"/>
  <c r="AB198" i="30"/>
  <c r="AD198" i="30"/>
  <c r="AE199" i="30"/>
  <c r="AF197" i="30"/>
  <c r="AF198" i="30" l="1"/>
  <c r="AC199" i="30"/>
  <c r="AA200" i="30" s="1"/>
  <c r="AB199" i="30"/>
  <c r="AD199" i="30"/>
  <c r="AE200" i="30"/>
  <c r="AD200" i="30" s="1"/>
  <c r="AC204" i="30"/>
  <c r="AB204" i="30"/>
  <c r="AF204" i="30" s="1"/>
  <c r="AF199" i="30" l="1"/>
  <c r="AC200" i="30"/>
  <c r="AB200" i="30"/>
  <c r="AF200" i="30" s="1"/>
  <c r="AH186" i="30" l="1"/>
  <c r="W186" i="30"/>
  <c r="T186" i="30"/>
  <c r="AE186" i="30" s="1"/>
  <c r="AD186" i="30" s="1"/>
  <c r="N186" i="30"/>
  <c r="AH185" i="30"/>
  <c r="N185" i="30"/>
  <c r="AH184" i="30"/>
  <c r="W184" i="30"/>
  <c r="N184" i="30"/>
  <c r="O184" i="30" s="1"/>
  <c r="K184" i="30"/>
  <c r="L184" i="30" s="1"/>
  <c r="AH183" i="30"/>
  <c r="Z183" i="30"/>
  <c r="W183" i="30"/>
  <c r="T183" i="30"/>
  <c r="N183" i="30"/>
  <c r="AH182" i="30"/>
  <c r="W182" i="30"/>
  <c r="T182" i="30"/>
  <c r="N182" i="30"/>
  <c r="AH181" i="30"/>
  <c r="W181" i="30"/>
  <c r="T181" i="30"/>
  <c r="N181" i="30"/>
  <c r="O181" i="30" s="1"/>
  <c r="K181" i="30"/>
  <c r="L181" i="30" s="1"/>
  <c r="AH180" i="30"/>
  <c r="W180" i="30"/>
  <c r="T180" i="30"/>
  <c r="N180" i="30"/>
  <c r="AH179" i="30"/>
  <c r="W179" i="30"/>
  <c r="T179" i="30"/>
  <c r="N179" i="30"/>
  <c r="O179" i="30" s="1"/>
  <c r="K179" i="30"/>
  <c r="L179" i="30" s="1"/>
  <c r="AA179" i="30" l="1"/>
  <c r="AB179" i="30" s="1"/>
  <c r="P184" i="30"/>
  <c r="Q184" i="30"/>
  <c r="P181" i="30"/>
  <c r="AE181" i="30" s="1"/>
  <c r="Q181" i="30"/>
  <c r="Q179" i="30"/>
  <c r="P179" i="30"/>
  <c r="AA181" i="30"/>
  <c r="AE179" i="30"/>
  <c r="AD179" i="30" s="1"/>
  <c r="AC179" i="30" l="1"/>
  <c r="AA180" i="30" s="1"/>
  <c r="AC180" i="30" s="1"/>
  <c r="AD181" i="30"/>
  <c r="AE182" i="30"/>
  <c r="AE180" i="30"/>
  <c r="AD180" i="30" s="1"/>
  <c r="AF179" i="30"/>
  <c r="AC181" i="30"/>
  <c r="AA182" i="30" s="1"/>
  <c r="AB181" i="30"/>
  <c r="AF181" i="30" s="1"/>
  <c r="AB180" i="30" l="1"/>
  <c r="AB182" i="30"/>
  <c r="AC182" i="30"/>
  <c r="AA183" i="30" s="1"/>
  <c r="AF180" i="30"/>
  <c r="AD182" i="30"/>
  <c r="AE183" i="30"/>
  <c r="AD183" i="30" l="1"/>
  <c r="AE184" i="30"/>
  <c r="AD184" i="30" s="1"/>
  <c r="AB183" i="30"/>
  <c r="AF183" i="30" s="1"/>
  <c r="AC183" i="30"/>
  <c r="AA184" i="30" s="1"/>
  <c r="AF182" i="30"/>
  <c r="AA186" i="30" l="1"/>
  <c r="AC184" i="30"/>
  <c r="AB184" i="30"/>
  <c r="AF184" i="30" s="1"/>
  <c r="AC186" i="30" l="1"/>
  <c r="AB186" i="30"/>
  <c r="AF186" i="30" s="1"/>
  <c r="W169" i="30" l="1"/>
  <c r="T169" i="30"/>
  <c r="N169" i="30"/>
  <c r="W168" i="30"/>
  <c r="T168" i="30"/>
  <c r="N168" i="30"/>
  <c r="O168" i="30" s="1"/>
  <c r="P168" i="30" s="1"/>
  <c r="AE168" i="30" s="1"/>
  <c r="AD168" i="30" s="1"/>
  <c r="K168" i="30"/>
  <c r="L168" i="30" s="1"/>
  <c r="W167" i="30"/>
  <c r="T167" i="30"/>
  <c r="N167" i="30"/>
  <c r="W166" i="30"/>
  <c r="T166" i="30"/>
  <c r="N166" i="30"/>
  <c r="O166" i="30" s="1"/>
  <c r="P166" i="30" s="1"/>
  <c r="AE166" i="30" s="1"/>
  <c r="J166" i="30"/>
  <c r="K166" i="30" s="1"/>
  <c r="AE169" i="30" l="1"/>
  <c r="AD169" i="30" s="1"/>
  <c r="L166" i="30"/>
  <c r="AA166" i="30" s="1"/>
  <c r="Q166" i="30"/>
  <c r="AE167" i="30"/>
  <c r="AD167" i="30" s="1"/>
  <c r="AD166" i="30"/>
  <c r="Q168" i="30"/>
  <c r="AA168" i="30"/>
  <c r="AC166" i="30" l="1"/>
  <c r="AA167" i="30" s="1"/>
  <c r="AB166" i="30"/>
  <c r="AF166" i="30" s="1"/>
  <c r="AC168" i="30"/>
  <c r="AA169" i="30" s="1"/>
  <c r="AB168" i="30"/>
  <c r="AF168" i="30" s="1"/>
  <c r="AC169" i="30" l="1"/>
  <c r="AB169" i="30"/>
  <c r="AF169" i="30" s="1"/>
  <c r="AC167" i="30"/>
  <c r="AB167" i="30"/>
  <c r="AF167" i="30" s="1"/>
  <c r="W156" i="30" l="1"/>
  <c r="N156" i="30"/>
  <c r="W155" i="30"/>
  <c r="T155" i="30"/>
  <c r="N155" i="30"/>
  <c r="W154" i="30"/>
  <c r="T154" i="30"/>
  <c r="N154" i="30"/>
  <c r="O154" i="30" s="1"/>
  <c r="K154" i="30"/>
  <c r="L154" i="30" s="1"/>
  <c r="Q154" i="30" l="1"/>
  <c r="P154" i="30"/>
  <c r="AE154" i="30" s="1"/>
  <c r="AA154" i="30"/>
  <c r="AD154" i="30" l="1"/>
  <c r="AE155" i="30"/>
  <c r="AC154" i="30"/>
  <c r="AA155" i="30" s="1"/>
  <c r="AB154" i="30"/>
  <c r="AF154" i="30" s="1"/>
  <c r="AC155" i="30" l="1"/>
  <c r="AB155" i="30"/>
  <c r="AD155" i="30"/>
  <c r="AE156" i="30"/>
  <c r="AD156" i="30" l="1"/>
  <c r="AF155" i="30"/>
  <c r="AA156" i="30"/>
  <c r="AC156" i="30" l="1"/>
  <c r="AB156" i="30"/>
  <c r="AF156" i="30" s="1"/>
  <c r="W144" i="30" l="1"/>
  <c r="N144" i="30"/>
  <c r="W143" i="30"/>
  <c r="P143" i="30"/>
  <c r="AE143" i="30" s="1"/>
  <c r="AE144" i="30" s="1"/>
  <c r="N143" i="30"/>
  <c r="K143" i="30"/>
  <c r="Q143" i="30" s="1"/>
  <c r="W142" i="30"/>
  <c r="T142" i="30"/>
  <c r="N142" i="30"/>
  <c r="W141" i="30"/>
  <c r="T141" i="30"/>
  <c r="N141" i="30"/>
  <c r="O141" i="30" s="1"/>
  <c r="K141" i="30"/>
  <c r="L141" i="30" s="1"/>
  <c r="W140" i="30"/>
  <c r="T140" i="30"/>
  <c r="N140" i="30"/>
  <c r="W139" i="30"/>
  <c r="T139" i="30"/>
  <c r="N139" i="30"/>
  <c r="W138" i="30"/>
  <c r="T138" i="30"/>
  <c r="N138" i="30"/>
  <c r="O138" i="30" s="1"/>
  <c r="P138" i="30" s="1"/>
  <c r="AE138" i="30" s="1"/>
  <c r="K138" i="30"/>
  <c r="P141" i="30" l="1"/>
  <c r="AE141" i="30" s="1"/>
  <c r="AD141" i="30" s="1"/>
  <c r="Q141" i="30"/>
  <c r="AD138" i="30"/>
  <c r="AE139" i="30"/>
  <c r="AD139" i="30" s="1"/>
  <c r="Q138" i="30"/>
  <c r="L138" i="30"/>
  <c r="AA138" i="30" s="1"/>
  <c r="AA141" i="30"/>
  <c r="L143" i="30"/>
  <c r="AA143" i="30" s="1"/>
  <c r="AC138" i="30" l="1"/>
  <c r="AA139" i="30" s="1"/>
  <c r="AB138" i="30"/>
  <c r="AF138" i="30" s="1"/>
  <c r="AC143" i="30"/>
  <c r="AA144" i="30" s="1"/>
  <c r="AB143" i="30"/>
  <c r="AF143" i="30" s="1"/>
  <c r="AE142" i="30"/>
  <c r="AD142" i="30" s="1"/>
  <c r="AC141" i="30"/>
  <c r="AA142" i="30" s="1"/>
  <c r="AB141" i="30"/>
  <c r="AF141" i="30" s="1"/>
  <c r="AE140" i="30"/>
  <c r="AD140" i="30" s="1"/>
  <c r="AB142" i="30" l="1"/>
  <c r="AF142" i="30" s="1"/>
  <c r="AC142" i="30"/>
  <c r="AC144" i="30"/>
  <c r="AB144" i="30"/>
  <c r="AF144" i="30" s="1"/>
  <c r="AC139" i="30"/>
  <c r="AA140" i="30" s="1"/>
  <c r="AB139" i="30"/>
  <c r="AF139" i="30" s="1"/>
  <c r="AC140" i="30" l="1"/>
  <c r="AB140" i="30"/>
  <c r="AF140" i="30" s="1"/>
  <c r="W128" i="30" l="1"/>
  <c r="T128" i="30"/>
  <c r="S128" i="30"/>
  <c r="N128" i="30"/>
  <c r="W127" i="30"/>
  <c r="T127" i="30"/>
  <c r="S127" i="30"/>
  <c r="N127" i="30"/>
  <c r="W126" i="30"/>
  <c r="T126" i="30"/>
  <c r="S126" i="30"/>
  <c r="N126" i="30"/>
  <c r="O126" i="30" s="1"/>
  <c r="K126" i="30"/>
  <c r="L126" i="30" s="1"/>
  <c r="Q126" i="30" l="1"/>
  <c r="P126" i="30"/>
  <c r="AE126" i="30" s="1"/>
  <c r="AA126" i="30"/>
  <c r="AD126" i="30" l="1"/>
  <c r="AE127" i="30"/>
  <c r="AD127" i="30" s="1"/>
  <c r="AC126" i="30"/>
  <c r="AA127" i="30" s="1"/>
  <c r="AB126" i="30"/>
  <c r="AF126" i="30" s="1"/>
  <c r="AE128" i="30" l="1"/>
  <c r="AD128" i="30" s="1"/>
  <c r="AC127" i="30"/>
  <c r="AA128" i="30" s="1"/>
  <c r="AB127" i="30"/>
  <c r="AF127" i="30" s="1"/>
  <c r="AC128" i="30" l="1"/>
  <c r="AB128" i="30"/>
  <c r="AF128" i="30" s="1"/>
  <c r="W116" i="30" l="1"/>
  <c r="T116" i="30"/>
  <c r="N116" i="30"/>
  <c r="O116" i="30" s="1"/>
  <c r="K116" i="30"/>
  <c r="L116" i="30" s="1"/>
  <c r="W115" i="30"/>
  <c r="T115" i="30"/>
  <c r="N115" i="30"/>
  <c r="O115" i="30" s="1"/>
  <c r="K115" i="30"/>
  <c r="L115" i="30" s="1"/>
  <c r="W114" i="30"/>
  <c r="T114" i="30"/>
  <c r="N114" i="30"/>
  <c r="O114" i="30" s="1"/>
  <c r="K114" i="30"/>
  <c r="L114" i="30" s="1"/>
  <c r="W113" i="30"/>
  <c r="T113" i="30"/>
  <c r="N113" i="30"/>
  <c r="O113" i="30" s="1"/>
  <c r="K113" i="30"/>
  <c r="L113" i="30" s="1"/>
  <c r="W112" i="30"/>
  <c r="T112" i="30"/>
  <c r="N112" i="30"/>
  <c r="O112" i="30" s="1"/>
  <c r="K112" i="30"/>
  <c r="L112" i="30" s="1"/>
  <c r="P112" i="30" l="1"/>
  <c r="AE112" i="30" s="1"/>
  <c r="AD112" i="30" s="1"/>
  <c r="Q112" i="30"/>
  <c r="Q113" i="30"/>
  <c r="P113" i="30"/>
  <c r="AE113" i="30" s="1"/>
  <c r="Q115" i="30"/>
  <c r="P115" i="30"/>
  <c r="AE115" i="30" s="1"/>
  <c r="Q116" i="30"/>
  <c r="P116" i="30"/>
  <c r="AE116" i="30" s="1"/>
  <c r="AD116" i="30" s="1"/>
  <c r="P114" i="30"/>
  <c r="AE114" i="30" s="1"/>
  <c r="Q114" i="30"/>
  <c r="AA112" i="30"/>
  <c r="AA116" i="30"/>
  <c r="AC116" i="30" l="1"/>
  <c r="AB116" i="30"/>
  <c r="AF116" i="30" s="1"/>
  <c r="AC112" i="30"/>
  <c r="AA113" i="30" s="1"/>
  <c r="AB112" i="30"/>
  <c r="AF112" i="30" s="1"/>
  <c r="AB113" i="30" l="1"/>
  <c r="AC113" i="30"/>
  <c r="AA114" i="30" s="1"/>
  <c r="AB114" i="30" l="1"/>
  <c r="AC114" i="30"/>
  <c r="AA115" i="30" s="1"/>
  <c r="AC115" i="30" l="1"/>
  <c r="AB115" i="30"/>
  <c r="AH102" i="30" l="1"/>
  <c r="W102" i="30"/>
  <c r="AH101" i="30"/>
  <c r="W101" i="30"/>
  <c r="T101" i="30"/>
  <c r="N101" i="30"/>
  <c r="W100" i="30"/>
  <c r="T100" i="30"/>
  <c r="N100" i="30"/>
  <c r="AH99" i="30"/>
  <c r="W99" i="30"/>
  <c r="T99" i="30"/>
  <c r="N99" i="30"/>
  <c r="O99" i="30" s="1"/>
  <c r="K99" i="30"/>
  <c r="L99" i="30" s="1"/>
  <c r="Q99" i="30" l="1"/>
  <c r="P99" i="30"/>
  <c r="AE99" i="30" s="1"/>
  <c r="AA99" i="30"/>
  <c r="AD99" i="30" l="1"/>
  <c r="AE100" i="30"/>
  <c r="AC99" i="30"/>
  <c r="AA100" i="30" s="1"/>
  <c r="AB99" i="30"/>
  <c r="AF99" i="30" l="1"/>
  <c r="AB100" i="30"/>
  <c r="AC100" i="30"/>
  <c r="AA101" i="30" s="1"/>
  <c r="AD100" i="30"/>
  <c r="AE101" i="30"/>
  <c r="AD101" i="30" l="1"/>
  <c r="AE102" i="30"/>
  <c r="AD102" i="30" s="1"/>
  <c r="AC101" i="30"/>
  <c r="AA102" i="30" s="1"/>
  <c r="AB101" i="30"/>
  <c r="AF101" i="30" s="1"/>
  <c r="AF100" i="30"/>
  <c r="AC102" i="30" l="1"/>
  <c r="AB102" i="30"/>
  <c r="AF102" i="30" s="1"/>
  <c r="W86" i="30" l="1"/>
  <c r="T86" i="30"/>
  <c r="N86" i="30"/>
  <c r="O86" i="30" s="1"/>
  <c r="K86" i="30"/>
  <c r="L86" i="30" s="1"/>
  <c r="W83" i="30"/>
  <c r="T83" i="30"/>
  <c r="N83" i="30"/>
  <c r="W82" i="30"/>
  <c r="T82" i="30"/>
  <c r="N82" i="30"/>
  <c r="O82" i="30" s="1"/>
  <c r="K82" i="30"/>
  <c r="L82" i="30" s="1"/>
  <c r="N81" i="30"/>
  <c r="N80" i="30"/>
  <c r="W79" i="30"/>
  <c r="T79" i="30"/>
  <c r="N79" i="30"/>
  <c r="W78" i="30"/>
  <c r="T78" i="30"/>
  <c r="N78" i="30"/>
  <c r="O78" i="30" s="1"/>
  <c r="K78" i="30"/>
  <c r="L78" i="30" s="1"/>
  <c r="AA83" i="30" l="1"/>
  <c r="AB83" i="30" s="1"/>
  <c r="P82" i="30"/>
  <c r="AE82" i="30" s="1"/>
  <c r="AD82" i="30" s="1"/>
  <c r="Q82" i="30"/>
  <c r="Q86" i="30"/>
  <c r="P86" i="30"/>
  <c r="AE86" i="30" s="1"/>
  <c r="AD86" i="30" s="1"/>
  <c r="Q78" i="30"/>
  <c r="P78" i="30"/>
  <c r="AE78" i="30" s="1"/>
  <c r="AA86" i="30"/>
  <c r="AA78" i="30"/>
  <c r="AA82" i="30"/>
  <c r="AE83" i="30"/>
  <c r="AD83" i="30" s="1"/>
  <c r="AC83" i="30" l="1"/>
  <c r="AD78" i="30"/>
  <c r="AE79" i="30"/>
  <c r="AD79" i="30" s="1"/>
  <c r="AF83" i="30"/>
  <c r="AC82" i="30"/>
  <c r="AB82" i="30"/>
  <c r="AF82" i="30" s="1"/>
  <c r="AC78" i="30"/>
  <c r="AA79" i="30" s="1"/>
  <c r="AB78" i="30"/>
  <c r="AC86" i="30"/>
  <c r="AB86" i="30"/>
  <c r="AF86" i="30" s="1"/>
  <c r="AF78" i="30" l="1"/>
  <c r="AB79" i="30"/>
  <c r="AF79" i="30" s="1"/>
  <c r="AC79" i="30"/>
  <c r="W68" i="30" l="1"/>
  <c r="T68" i="30"/>
  <c r="N68" i="30"/>
  <c r="O68" i="30" s="1"/>
  <c r="P68" i="30" s="1"/>
  <c r="K68" i="30"/>
  <c r="L68" i="30" s="1"/>
  <c r="W67" i="30"/>
  <c r="T67" i="30"/>
  <c r="N67" i="30"/>
  <c r="W66" i="30"/>
  <c r="T66" i="30"/>
  <c r="N66" i="30"/>
  <c r="W65" i="30"/>
  <c r="T65" i="30"/>
  <c r="N65" i="30"/>
  <c r="O65" i="30" s="1"/>
  <c r="P65" i="30" s="1"/>
  <c r="J65" i="30"/>
  <c r="K65" i="30" s="1"/>
  <c r="W64" i="30"/>
  <c r="T64" i="30"/>
  <c r="N64" i="30"/>
  <c r="W63" i="30"/>
  <c r="T63" i="30"/>
  <c r="N63" i="30"/>
  <c r="O63" i="30" s="1"/>
  <c r="P63" i="30" s="1"/>
  <c r="J63" i="30"/>
  <c r="K63" i="30" s="1"/>
  <c r="W62" i="30"/>
  <c r="T62" i="30"/>
  <c r="N62" i="30"/>
  <c r="W61" i="30"/>
  <c r="T61" i="30"/>
  <c r="N61" i="30"/>
  <c r="W60" i="30"/>
  <c r="T60" i="30"/>
  <c r="W59" i="30"/>
  <c r="T59" i="30"/>
  <c r="N59" i="30"/>
  <c r="O59" i="30" s="1"/>
  <c r="J59" i="30"/>
  <c r="K59" i="30" s="1"/>
  <c r="L59" i="30" s="1"/>
  <c r="AE65" i="30" l="1"/>
  <c r="AD65" i="30" s="1"/>
  <c r="AA60" i="30"/>
  <c r="AA59" i="30"/>
  <c r="Q63" i="30"/>
  <c r="L63" i="30"/>
  <c r="AA63" i="30" s="1"/>
  <c r="AA62" i="30"/>
  <c r="P59" i="30"/>
  <c r="AE59" i="30" s="1"/>
  <c r="Q59" i="30"/>
  <c r="Q65" i="30"/>
  <c r="L65" i="30"/>
  <c r="AA67" i="30" s="1"/>
  <c r="AA68" i="30"/>
  <c r="Q68" i="30"/>
  <c r="AA61" i="30"/>
  <c r="AE66" i="30" l="1"/>
  <c r="AD66" i="30" s="1"/>
  <c r="AA64" i="30"/>
  <c r="AC64" i="30" s="1"/>
  <c r="AA65" i="30"/>
  <c r="AB65" i="30" s="1"/>
  <c r="AF65" i="30" s="1"/>
  <c r="AA66" i="30"/>
  <c r="AB66" i="30" s="1"/>
  <c r="AB63" i="30"/>
  <c r="AC63" i="30"/>
  <c r="AC62" i="30"/>
  <c r="AB62" i="30"/>
  <c r="AB59" i="30"/>
  <c r="AC59" i="30"/>
  <c r="AD59" i="30"/>
  <c r="AE60" i="30"/>
  <c r="AB61" i="30"/>
  <c r="AC61" i="30"/>
  <c r="AC67" i="30"/>
  <c r="AB67" i="30"/>
  <c r="AC68" i="30"/>
  <c r="AB68" i="30"/>
  <c r="AB60" i="30"/>
  <c r="AC60" i="30"/>
  <c r="AE67" i="30"/>
  <c r="AC65" i="30" l="1"/>
  <c r="AF66" i="30"/>
  <c r="AB64" i="30"/>
  <c r="AC66" i="30"/>
  <c r="AF59" i="30"/>
  <c r="AD67" i="30"/>
  <c r="AE68" i="30"/>
  <c r="AD68" i="30" s="1"/>
  <c r="AF68" i="30" s="1"/>
  <c r="AD60" i="30"/>
  <c r="AF60" i="30" s="1"/>
  <c r="AE61" i="30"/>
  <c r="AF67" i="30"/>
  <c r="AD61" i="30" l="1"/>
  <c r="AF61" i="30" s="1"/>
  <c r="AE62" i="30"/>
  <c r="AD62" i="30" l="1"/>
  <c r="AF62" i="30" s="1"/>
  <c r="AE63" i="30"/>
  <c r="AD63" i="30" l="1"/>
  <c r="AF63" i="30" s="1"/>
  <c r="AE64" i="30"/>
  <c r="AD64" i="30" s="1"/>
  <c r="AF64" i="30" s="1"/>
  <c r="W49" i="30" l="1"/>
  <c r="T49" i="30"/>
  <c r="N49" i="30"/>
  <c r="O49" i="30" s="1"/>
  <c r="P49" i="30" s="1"/>
  <c r="K49" i="30"/>
  <c r="W48" i="30"/>
  <c r="T48" i="30"/>
  <c r="N48" i="30"/>
  <c r="O48" i="30" s="1"/>
  <c r="K48" i="30"/>
  <c r="L48" i="30" s="1"/>
  <c r="W47" i="30"/>
  <c r="T47" i="30"/>
  <c r="N47" i="30"/>
  <c r="W46" i="30"/>
  <c r="T46" i="30"/>
  <c r="N46" i="30"/>
  <c r="O46" i="30" s="1"/>
  <c r="P46" i="30" s="1"/>
  <c r="AE46" i="30" s="1"/>
  <c r="AD46" i="30" s="1"/>
  <c r="K46" i="30"/>
  <c r="W45" i="30"/>
  <c r="T45" i="30"/>
  <c r="N45" i="30"/>
  <c r="W44" i="30"/>
  <c r="T44" i="30"/>
  <c r="N44" i="30"/>
  <c r="W43" i="30"/>
  <c r="T43" i="30"/>
  <c r="N43" i="30"/>
  <c r="W42" i="30"/>
  <c r="T42" i="30"/>
  <c r="S42" i="30"/>
  <c r="N42" i="30"/>
  <c r="O42" i="30" s="1"/>
  <c r="K42" i="30"/>
  <c r="L42" i="30" s="1"/>
  <c r="AA42" i="30" l="1"/>
  <c r="AC42" i="30" s="1"/>
  <c r="AE45" i="30"/>
  <c r="AD45" i="30" s="1"/>
  <c r="AE43" i="30"/>
  <c r="AD43" i="30" s="1"/>
  <c r="AA45" i="30"/>
  <c r="AB45" i="30" s="1"/>
  <c r="P42" i="30"/>
  <c r="AE42" i="30" s="1"/>
  <c r="AD42" i="30" s="1"/>
  <c r="Q42" i="30"/>
  <c r="P48" i="30"/>
  <c r="AE48" i="30" s="1"/>
  <c r="AD48" i="30" s="1"/>
  <c r="Q48" i="30"/>
  <c r="Q49" i="30"/>
  <c r="Q46" i="30"/>
  <c r="AA44" i="30"/>
  <c r="AE47" i="30"/>
  <c r="AD47" i="30" s="1"/>
  <c r="AA43" i="30"/>
  <c r="AE44" i="30"/>
  <c r="AD44" i="30" s="1"/>
  <c r="L46" i="30"/>
  <c r="AA46" i="30" s="1"/>
  <c r="AA48" i="30"/>
  <c r="AE49" i="30"/>
  <c r="AD49" i="30" s="1"/>
  <c r="L49" i="30"/>
  <c r="AA49" i="30" s="1"/>
  <c r="AF45" i="30" l="1"/>
  <c r="AB42" i="30"/>
  <c r="AC45" i="30"/>
  <c r="AC43" i="30"/>
  <c r="AB43" i="30"/>
  <c r="AF43" i="30" s="1"/>
  <c r="AC49" i="30"/>
  <c r="AB49" i="30"/>
  <c r="AF49" i="30" s="1"/>
  <c r="AC44" i="30"/>
  <c r="AB44" i="30"/>
  <c r="AF44" i="30" s="1"/>
  <c r="AC46" i="30"/>
  <c r="AA47" i="30" s="1"/>
  <c r="AB46" i="30"/>
  <c r="AF46" i="30" s="1"/>
  <c r="AF42" i="30"/>
  <c r="AC48" i="30"/>
  <c r="AB48" i="30"/>
  <c r="AF48" i="30" s="1"/>
  <c r="AC47" i="30" l="1"/>
  <c r="AB47" i="30"/>
  <c r="AF47" i="30" s="1"/>
  <c r="W32" i="30" l="1"/>
  <c r="T32" i="30"/>
  <c r="W31" i="30"/>
  <c r="T31" i="30"/>
  <c r="W30" i="30"/>
  <c r="T30" i="30"/>
  <c r="K30" i="30"/>
  <c r="L30" i="30" s="1"/>
  <c r="W28" i="30"/>
  <c r="T28" i="30"/>
  <c r="AA29" i="30" s="1"/>
  <c r="K28" i="30"/>
  <c r="L28" i="30" s="1"/>
  <c r="W26" i="30"/>
  <c r="T26" i="30"/>
  <c r="K26" i="30"/>
  <c r="L26" i="30" s="1"/>
  <c r="AC29" i="30" l="1"/>
  <c r="AB29" i="30"/>
  <c r="AA32" i="30"/>
  <c r="AA26" i="30"/>
  <c r="AE32" i="30"/>
  <c r="AD32" i="30" s="1"/>
  <c r="AA28" i="30"/>
  <c r="AA31" i="30"/>
  <c r="AE28" i="30"/>
  <c r="AD28" i="30" s="1"/>
  <c r="AA30" i="30"/>
  <c r="AE31" i="30"/>
  <c r="AD31" i="30" s="1"/>
  <c r="AE29" i="30"/>
  <c r="AD29" i="30" s="1"/>
  <c r="AF29" i="30" l="1"/>
  <c r="AB28" i="30"/>
  <c r="AF28" i="30" s="1"/>
  <c r="AC28" i="30"/>
  <c r="AB32" i="30"/>
  <c r="AF32" i="30" s="1"/>
  <c r="AC32" i="30"/>
  <c r="AE30" i="30"/>
  <c r="AD30" i="30" s="1"/>
  <c r="AC31" i="30"/>
  <c r="AB31" i="30"/>
  <c r="AF31" i="30" s="1"/>
  <c r="AC30" i="30"/>
  <c r="AB30" i="30"/>
  <c r="AC26" i="30"/>
  <c r="AB26" i="30"/>
  <c r="AF30" i="30" l="1"/>
  <c r="N26" i="30" l="1"/>
  <c r="O26" i="30" s="1"/>
  <c r="N32" i="30"/>
  <c r="O30" i="30" s="1"/>
  <c r="Q32" i="30" l="1"/>
  <c r="P32" i="30"/>
  <c r="Q26" i="30"/>
  <c r="P26" i="30"/>
  <c r="AE26" i="30" s="1"/>
  <c r="AD26" i="30" s="1"/>
  <c r="AF26" i="30" s="1"/>
  <c r="W16" i="30" l="1"/>
  <c r="T16" i="30"/>
  <c r="S16" i="30"/>
  <c r="N16" i="30"/>
  <c r="O16" i="30" s="1"/>
  <c r="P16" i="30" s="1"/>
  <c r="K16" i="30"/>
  <c r="E16" i="30"/>
  <c r="W15" i="30"/>
  <c r="T15" i="30"/>
  <c r="S15" i="30"/>
  <c r="N15" i="30"/>
  <c r="O15" i="30" s="1"/>
  <c r="P15" i="30" s="1"/>
  <c r="K15" i="30"/>
  <c r="L15" i="30" s="1"/>
  <c r="E15" i="30"/>
  <c r="W14" i="30"/>
  <c r="T14" i="30"/>
  <c r="S14" i="30"/>
  <c r="N14" i="30"/>
  <c r="O14" i="30" s="1"/>
  <c r="K14" i="30"/>
  <c r="L14" i="30" s="1"/>
  <c r="E14" i="30"/>
  <c r="W13" i="30"/>
  <c r="T13" i="30"/>
  <c r="S13" i="30"/>
  <c r="N13" i="30"/>
  <c r="O13" i="30" s="1"/>
  <c r="P13" i="30" s="1"/>
  <c r="K13" i="30"/>
  <c r="L13" i="30" s="1"/>
  <c r="E13" i="30"/>
  <c r="W12" i="30"/>
  <c r="T12" i="30"/>
  <c r="S12" i="30"/>
  <c r="N12" i="30"/>
  <c r="O12" i="30" s="1"/>
  <c r="P12" i="30" s="1"/>
  <c r="AE12" i="30" s="1"/>
  <c r="AD12" i="30" s="1"/>
  <c r="K12" i="30"/>
  <c r="L12" i="30" s="1"/>
  <c r="E12" i="30"/>
  <c r="W11" i="30"/>
  <c r="T11" i="30"/>
  <c r="S11" i="30"/>
  <c r="N11" i="30"/>
  <c r="O11" i="30" s="1"/>
  <c r="P11" i="30" s="1"/>
  <c r="AE11" i="30" s="1"/>
  <c r="AD11" i="30" s="1"/>
  <c r="K11" i="30"/>
  <c r="L11" i="30" s="1"/>
  <c r="E11" i="30"/>
  <c r="W10" i="30"/>
  <c r="T10" i="30"/>
  <c r="S10" i="30"/>
  <c r="N10" i="30"/>
  <c r="O10" i="30" s="1"/>
  <c r="P10" i="30" s="1"/>
  <c r="AE10" i="30" s="1"/>
  <c r="AD10" i="30" s="1"/>
  <c r="J10" i="30"/>
  <c r="K10" i="30" s="1"/>
  <c r="E10" i="30"/>
  <c r="AA12" i="30" l="1"/>
  <c r="AC12" i="30" s="1"/>
  <c r="AA13" i="30"/>
  <c r="AC13" i="30" s="1"/>
  <c r="AE13" i="30"/>
  <c r="AD13" i="30" s="1"/>
  <c r="Q16" i="30"/>
  <c r="Q10" i="30"/>
  <c r="Q14" i="30"/>
  <c r="P14" i="30"/>
  <c r="AE14" i="30" s="1"/>
  <c r="L10" i="30"/>
  <c r="AA10" i="30" s="1"/>
  <c r="Q12" i="30"/>
  <c r="AA14" i="30"/>
  <c r="Q15" i="30"/>
  <c r="L16" i="30"/>
  <c r="AA16" i="30" s="1"/>
  <c r="AE16" i="30"/>
  <c r="AD16" i="30" s="1"/>
  <c r="Q11" i="30"/>
  <c r="Q13" i="30"/>
  <c r="AA11" i="30"/>
  <c r="AB12" i="30" l="1"/>
  <c r="AF12" i="30" s="1"/>
  <c r="AB13" i="30"/>
  <c r="AF13" i="30" s="1"/>
  <c r="AC16" i="30"/>
  <c r="AB16" i="30"/>
  <c r="AF16" i="30" s="1"/>
  <c r="AC10" i="30"/>
  <c r="AB10" i="30"/>
  <c r="AF10" i="30" s="1"/>
  <c r="AB14" i="30"/>
  <c r="AC14" i="30"/>
  <c r="AA15" i="30" s="1"/>
  <c r="AE15" i="30"/>
  <c r="AD15" i="30" s="1"/>
  <c r="AD14" i="30"/>
  <c r="AB11" i="30"/>
  <c r="AF11" i="30" s="1"/>
  <c r="AC11" i="30"/>
  <c r="AF14" i="30" l="1"/>
  <c r="AB15" i="30"/>
  <c r="AF15" i="30" s="1"/>
  <c r="AC15" i="30"/>
  <c r="W27" i="31" l="1"/>
  <c r="T27" i="31"/>
  <c r="N27" i="31"/>
  <c r="O27" i="31" s="1"/>
  <c r="P27" i="31" s="1"/>
  <c r="K27" i="31"/>
  <c r="W26" i="31"/>
  <c r="T26" i="31"/>
  <c r="N26" i="31"/>
  <c r="O26" i="31" s="1"/>
  <c r="P26" i="31" s="1"/>
  <c r="K26" i="31"/>
  <c r="W25" i="31"/>
  <c r="T25" i="31"/>
  <c r="N25" i="31"/>
  <c r="O25" i="31" s="1"/>
  <c r="P25" i="31" s="1"/>
  <c r="AE25" i="31" s="1"/>
  <c r="K25" i="31"/>
  <c r="L25" i="31" s="1"/>
  <c r="W24" i="31"/>
  <c r="T24" i="31"/>
  <c r="N24" i="31"/>
  <c r="O24" i="31" s="1"/>
  <c r="P24" i="31" s="1"/>
  <c r="K24" i="31"/>
  <c r="L24" i="31" s="1"/>
  <c r="W23" i="31"/>
  <c r="T23" i="31"/>
  <c r="N23" i="31"/>
  <c r="O23" i="31" s="1"/>
  <c r="K23" i="31"/>
  <c r="L23" i="31" s="1"/>
  <c r="W15" i="31"/>
  <c r="T15" i="31"/>
  <c r="AA15" i="31" s="1"/>
  <c r="AC15" i="31" s="1"/>
  <c r="N15" i="31"/>
  <c r="O13" i="31" s="1"/>
  <c r="W14" i="31"/>
  <c r="T14" i="31"/>
  <c r="W13" i="31"/>
  <c r="T13" i="31"/>
  <c r="K13" i="31"/>
  <c r="L13" i="31" s="1"/>
  <c r="W11" i="31"/>
  <c r="T11" i="31"/>
  <c r="AE12" i="31" s="1"/>
  <c r="AD12" i="31" s="1"/>
  <c r="K11" i="31"/>
  <c r="L11" i="31" s="1"/>
  <c r="W9" i="31"/>
  <c r="T9" i="31"/>
  <c r="N9" i="31"/>
  <c r="O9" i="31" s="1"/>
  <c r="K9" i="31"/>
  <c r="L9" i="31" s="1"/>
  <c r="Q9" i="31" l="1"/>
  <c r="Q26" i="31"/>
  <c r="AE27" i="31"/>
  <c r="AD27" i="31" s="1"/>
  <c r="AE24" i="31"/>
  <c r="Q27" i="31"/>
  <c r="AA11" i="31"/>
  <c r="AC11" i="31" s="1"/>
  <c r="AE26" i="31"/>
  <c r="AE11" i="31"/>
  <c r="AD11" i="31" s="1"/>
  <c r="AE15" i="31"/>
  <c r="AD15" i="31" s="1"/>
  <c r="AA12" i="31"/>
  <c r="AC12" i="31" s="1"/>
  <c r="AA9" i="31"/>
  <c r="AC9" i="31" s="1"/>
  <c r="Q23" i="31"/>
  <c r="P23" i="31"/>
  <c r="AE23" i="31" s="1"/>
  <c r="AD23" i="31" s="1"/>
  <c r="AB15" i="31"/>
  <c r="L27" i="31"/>
  <c r="AA27" i="31" s="1"/>
  <c r="AB27" i="31" s="1"/>
  <c r="L26" i="31"/>
  <c r="Q25" i="31"/>
  <c r="AE13" i="31"/>
  <c r="AD13" i="31" s="1"/>
  <c r="Q15" i="31"/>
  <c r="P15" i="31"/>
  <c r="Q24" i="31"/>
  <c r="AA14" i="31"/>
  <c r="AA13" i="31"/>
  <c r="AE14" i="31"/>
  <c r="AD14" i="31" s="1"/>
  <c r="AA23" i="31"/>
  <c r="P9" i="31"/>
  <c r="AE9" i="31" s="1"/>
  <c r="AD9" i="31" s="1"/>
  <c r="AB9" i="31" l="1"/>
  <c r="AF27" i="31"/>
  <c r="AB11" i="31"/>
  <c r="AF11" i="31" s="1"/>
  <c r="AF15" i="31"/>
  <c r="AC27" i="31"/>
  <c r="AB12" i="31"/>
  <c r="AF12" i="31" s="1"/>
  <c r="AF9" i="31"/>
  <c r="AB14" i="31"/>
  <c r="AF14" i="31" s="1"/>
  <c r="AC14" i="31"/>
  <c r="AC23" i="31"/>
  <c r="AA24" i="31" s="1"/>
  <c r="AB23" i="31"/>
  <c r="AF23" i="31" s="1"/>
  <c r="AB13" i="31"/>
  <c r="AF13" i="31" s="1"/>
  <c r="AC13" i="31"/>
  <c r="AC24" i="31" l="1"/>
  <c r="AA25" i="31" s="1"/>
  <c r="AB24" i="31"/>
  <c r="AC25" i="31" l="1"/>
  <c r="AA26" i="31" s="1"/>
  <c r="AB25" i="31"/>
  <c r="AC26" i="31" l="1"/>
  <c r="AB26" i="31"/>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IRMA</author>
    <author>ACER</author>
    <author>EDUARDO HERNANDEZ</author>
    <author>ATENCION CIUDADANO</author>
    <author/>
    <author>HACIENDA</author>
    <author>HACIENDA149</author>
  </authors>
  <commentList>
    <comment ref="AK22" authorId="0" shapeId="0" xr:uid="{CEBF32D9-6DAD-45D5-9D03-C0A626DF9A5E}">
      <text>
        <r>
          <rPr>
            <b/>
            <sz val="9"/>
            <color indexed="81"/>
            <rFont val="Tahoma"/>
            <family val="2"/>
          </rPr>
          <t>IRMA:</t>
        </r>
        <r>
          <rPr>
            <sz val="9"/>
            <color indexed="81"/>
            <rFont val="Tahoma"/>
            <family val="2"/>
          </rPr>
          <t xml:space="preserve">
 OJO CON EL MEMORANDO PONER EL NUMERO DE RADICADO A QUIEN Y EN QUE FECHA </t>
        </r>
      </text>
    </comment>
    <comment ref="AN22" authorId="0" shapeId="0" xr:uid="{095573C6-ADA5-404F-AD94-7D553E2F9C62}">
      <text>
        <r>
          <rPr>
            <b/>
            <sz val="9"/>
            <color indexed="81"/>
            <rFont val="Tahoma"/>
            <family val="2"/>
          </rPr>
          <t>IRMA:</t>
        </r>
        <r>
          <rPr>
            <sz val="9"/>
            <color indexed="81"/>
            <rFont val="Tahoma"/>
            <family val="2"/>
          </rPr>
          <t xml:space="preserve">
 OJO CON EL MEMORANDO PONER EL NUMERO DE RADICADO A QUIEN Y EN QUE FECHA </t>
        </r>
      </text>
    </comment>
    <comment ref="AQ22" authorId="0" shapeId="0" xr:uid="{1A0BF797-F0B2-4F26-A3C1-74702C060EB9}">
      <text>
        <r>
          <rPr>
            <b/>
            <sz val="9"/>
            <color indexed="81"/>
            <rFont val="Tahoma"/>
            <family val="2"/>
          </rPr>
          <t>IRMA:</t>
        </r>
        <r>
          <rPr>
            <sz val="9"/>
            <color indexed="81"/>
            <rFont val="Tahoma"/>
            <family val="2"/>
          </rPr>
          <t xml:space="preserve">
 OJO CON EL MEMORANDO PONER EL NUMERO DE RADICADO A QUIEN Y EN QUE FECHA </t>
        </r>
      </text>
    </comment>
    <comment ref="AT22" authorId="0" shapeId="0" xr:uid="{78BD970C-D74D-43D4-B227-62F7EDC47E71}">
      <text>
        <r>
          <rPr>
            <b/>
            <sz val="9"/>
            <color indexed="81"/>
            <rFont val="Tahoma"/>
            <family val="2"/>
          </rPr>
          <t>IRMA:</t>
        </r>
        <r>
          <rPr>
            <sz val="9"/>
            <color indexed="81"/>
            <rFont val="Tahoma"/>
            <family val="2"/>
          </rPr>
          <t xml:space="preserve">
 OJO CON EL MEMORANDO PONER EL NUMERO DE RADICADO A QUIEN Y EN QUE FECHA </t>
        </r>
      </text>
    </comment>
    <comment ref="AW22" authorId="0" shapeId="0" xr:uid="{0578EC77-89C3-4F6B-A552-54F503778E50}">
      <text>
        <r>
          <rPr>
            <b/>
            <sz val="9"/>
            <color indexed="81"/>
            <rFont val="Tahoma"/>
            <family val="2"/>
          </rPr>
          <t>IRMA:</t>
        </r>
        <r>
          <rPr>
            <sz val="9"/>
            <color indexed="81"/>
            <rFont val="Tahoma"/>
            <family val="2"/>
          </rPr>
          <t xml:space="preserve">
 OJO CON EL MEMORANDO PONER EL NUMERO DE RADICADO A QUIEN Y EN QUE FECHA </t>
        </r>
      </text>
    </comment>
    <comment ref="AZ22" authorId="0" shapeId="0" xr:uid="{A6E568DD-422B-4EFF-AA5F-52B56BD9008B}">
      <text>
        <r>
          <rPr>
            <b/>
            <sz val="9"/>
            <color indexed="81"/>
            <rFont val="Tahoma"/>
            <family val="2"/>
          </rPr>
          <t>IRMA:</t>
        </r>
        <r>
          <rPr>
            <sz val="9"/>
            <color indexed="81"/>
            <rFont val="Tahoma"/>
            <family val="2"/>
          </rPr>
          <t xml:space="preserve">
 OJO CON EL MEMORANDO PONER EL NUMERO DE RADICADO A QUIEN Y EN QUE FECHA </t>
        </r>
      </text>
    </comment>
    <comment ref="S37" authorId="1" shapeId="0" xr:uid="{28C2AB1B-5CF2-4635-9F80-ABCFD823022E}">
      <text>
        <r>
          <rPr>
            <b/>
            <sz val="9"/>
            <color indexed="81"/>
            <rFont val="Tahoma"/>
            <family val="2"/>
          </rPr>
          <t>ACER:</t>
        </r>
        <r>
          <rPr>
            <sz val="9"/>
            <color indexed="81"/>
            <rFont val="Tahoma"/>
            <family val="2"/>
          </rPr>
          <t xml:space="preserve">
Documentar
FORMULAR QUE PASA CON LA DESVIACION Y CUAL PUEDE SER LA EVIDENCIA, en donde tenbemos establecido ques e debe hacer el seguimiento - EN QUE DOCUMENTO DEL PROCESO
</t>
        </r>
      </text>
    </comment>
    <comment ref="S38" authorId="2" shapeId="0" xr:uid="{4B708C51-4B3B-4153-8D79-49B120DED317}">
      <text>
        <r>
          <rPr>
            <b/>
            <sz val="9"/>
            <color indexed="81"/>
            <rFont val="Tahoma"/>
            <family val="2"/>
          </rPr>
          <t>EDUARDO HERNANDEZ:</t>
        </r>
        <r>
          <rPr>
            <sz val="9"/>
            <color indexed="81"/>
            <rFont val="Tahoma"/>
            <family val="2"/>
          </rPr>
          <t xml:space="preserve">
FALTA REGISTRO</t>
        </r>
      </text>
    </comment>
    <comment ref="J100" authorId="3" shapeId="0" xr:uid="{533BE653-EC93-468B-97B9-FCC5C88E6B0A}">
      <text>
        <r>
          <rPr>
            <b/>
            <sz val="9"/>
            <color indexed="81"/>
            <rFont val="Tahoma"/>
            <family val="2"/>
          </rPr>
          <t>ATENCION CIUDADANO:</t>
        </r>
        <r>
          <rPr>
            <sz val="9"/>
            <color indexed="81"/>
            <rFont val="Tahoma"/>
            <family val="2"/>
          </rPr>
          <t xml:space="preserve">
Número de PQRSD respondidos por fuera del termino y sin respuesta vencidos (enero - agosto). </t>
        </r>
      </text>
    </comment>
    <comment ref="I116" authorId="4" shapeId="0" xr:uid="{7B35174E-71A6-4EC9-AF06-28290CE117B2}">
      <text>
        <r>
          <rPr>
            <sz val="11"/>
            <color theme="1"/>
            <rFont val="Calibri"/>
            <family val="2"/>
            <scheme val="minor"/>
          </rPr>
          <t>======
ID#AAABdCjVM3Q
JULIANC    (2024-05-03 13:30:13)
total de metal del plan de desarrollo por el numero de seguimientos al año</t>
        </r>
      </text>
    </comment>
    <comment ref="O116" authorId="4" shapeId="0" xr:uid="{910CCCE8-BFC6-47A3-A222-05B87BAD669D}">
      <text>
        <r>
          <rPr>
            <sz val="11"/>
            <color theme="1"/>
            <rFont val="Calibri"/>
            <family val="2"/>
            <scheme val="minor"/>
          </rPr>
          <t>======
ID#AAABdCjVM3U
JULIANC    (2024-05-03 13:30:13)
presupuesto asignado para ejecución de la vigencia dividido el el salario minimo</t>
        </r>
      </text>
    </comment>
    <comment ref="B130" authorId="5" shapeId="0" xr:uid="{7F95DD3E-01D7-4CF8-BFCD-F50FE807B865}">
      <text>
        <r>
          <rPr>
            <b/>
            <sz val="9"/>
            <color indexed="81"/>
            <rFont val="Tahoma"/>
            <family val="2"/>
          </rPr>
          <t>HACIENDA:</t>
        </r>
        <r>
          <rPr>
            <sz val="9"/>
            <color indexed="81"/>
            <rFont val="Tahoma"/>
            <family val="2"/>
          </rPr>
          <t xml:space="preserve">
V5:las consecuencias que puede ocasionar a la organización la materialización del riesgo
</t>
        </r>
      </text>
    </comment>
    <comment ref="C130" authorId="5" shapeId="0" xr:uid="{F52A428A-FC20-4134-A867-DF68BD680812}">
      <text>
        <r>
          <rPr>
            <b/>
            <sz val="9"/>
            <color indexed="81"/>
            <rFont val="Tahoma"/>
            <family val="2"/>
          </rPr>
          <t>HACIENDA:</t>
        </r>
        <r>
          <rPr>
            <sz val="9"/>
            <color indexed="81"/>
            <rFont val="Tahoma"/>
            <family val="2"/>
          </rPr>
          <t xml:space="preserve">
justificacion del por que, complemento del impacto
V5: circunstancias o situaciones más evidentes sobre las cuales se presenta el riesgo, las mismas no constituyen la causa principal o base para que se presente el riesgo
/////////****////////***
PARA RIESGO FISCAL
</t>
        </r>
        <r>
          <rPr>
            <b/>
            <sz val="9"/>
            <color indexed="81"/>
            <rFont val="Tahoma"/>
            <family val="2"/>
          </rPr>
          <t>Puntos de Riesgo Fiscal</t>
        </r>
        <r>
          <rPr>
            <sz val="9"/>
            <color indexed="81"/>
            <rFont val="Tahoma"/>
            <family val="2"/>
          </rPr>
          <t xml:space="preserve">
Actividad en la que potencialmente se origina el riesgo fiscal
</t>
        </r>
      </text>
    </comment>
    <comment ref="D130" authorId="5" shapeId="0" xr:uid="{811E142A-9EFE-40AD-972E-4B2CF1FA048D}">
      <text>
        <r>
          <rPr>
            <b/>
            <sz val="9"/>
            <color indexed="81"/>
            <rFont val="Tahoma"/>
            <family val="2"/>
          </rPr>
          <t>HACIENDA:</t>
        </r>
        <r>
          <rPr>
            <sz val="9"/>
            <color indexed="81"/>
            <rFont val="Tahoma"/>
            <family val="2"/>
          </rPr>
          <t xml:space="preserve">
Riesgo q detectamos del objetivo
V5:es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
RIESGO FISCAL
Circunstancia Inmediata
Situación por la que se presenta el riesgo
</t>
        </r>
      </text>
    </comment>
    <comment ref="E130" authorId="5" shapeId="0" xr:uid="{67E43093-ED88-46C1-99F2-E140ECDF87B8}">
      <text>
        <r>
          <rPr>
            <b/>
            <sz val="9"/>
            <color indexed="81"/>
            <rFont val="Tahoma"/>
            <family val="2"/>
          </rPr>
          <t>HACIENDA:</t>
        </r>
        <r>
          <rPr>
            <sz val="9"/>
            <color indexed="81"/>
            <rFont val="Tahoma"/>
            <family val="2"/>
          </rPr>
          <t xml:space="preserve">
causa base para el control….VER CONTEXTO  DELA OTRA VERSION. Es el ultimo por q de los 5 por que.</t>
        </r>
      </text>
    </comment>
    <comment ref="F130" authorId="5" shapeId="0" xr:uid="{D0239498-2873-4281-AF40-80D27A06CA27}">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t>
        </r>
        <r>
          <rPr>
            <sz val="9"/>
            <color indexed="81"/>
            <rFont val="Tahoma"/>
            <family val="2"/>
          </rPr>
          <t xml:space="preserve">
</t>
        </r>
        <r>
          <rPr>
            <b/>
            <sz val="9"/>
            <color indexed="81"/>
            <rFont val="Tahoma"/>
            <family val="2"/>
          </rPr>
          <t xml:space="preserve">QUE + COMO= LO Q PUEDE OCURRIR
 </t>
        </r>
        <r>
          <rPr>
            <sz val="9"/>
            <color indexed="81"/>
            <rFont val="Tahoma"/>
            <family val="2"/>
          </rPr>
          <t xml:space="preserve">
</t>
        </r>
        <r>
          <rPr>
            <b/>
            <sz val="9"/>
            <color indexed="81"/>
            <rFont val="Tahoma"/>
            <family val="2"/>
          </rPr>
          <t>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 xml:space="preserve">.NOOOOO: </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130" authorId="5" shapeId="0" xr:uid="{0CB438E3-E47D-4E6B-BC19-41255EFE7924}">
      <text>
        <r>
          <rPr>
            <b/>
            <sz val="9"/>
            <color indexed="81"/>
            <rFont val="Tahoma"/>
            <family val="2"/>
          </rPr>
          <t>HACIENDA:</t>
        </r>
        <r>
          <rPr>
            <sz val="9"/>
            <color indexed="81"/>
            <rFont val="Tahoma"/>
            <family val="2"/>
          </rPr>
          <t xml:space="preserve">
aplico el tipo de riesgo ver pag 38
</t>
        </r>
      </text>
    </comment>
    <comment ref="S130" authorId="5" shapeId="0" xr:uid="{B4CF4D85-C97C-49F3-A2D0-3BA379E4353C}">
      <text>
        <r>
          <rPr>
            <b/>
            <sz val="9"/>
            <color indexed="81"/>
            <rFont val="Tahoma"/>
            <family val="2"/>
          </rPr>
          <t>HACIENDA:</t>
        </r>
        <r>
          <rPr>
            <sz val="9"/>
            <color indexed="81"/>
            <rFont val="Tahoma"/>
            <family val="2"/>
          </rPr>
          <t xml:space="preserve">
</t>
        </r>
        <r>
          <rPr>
            <b/>
            <sz val="9"/>
            <color indexed="81"/>
            <rFont val="Tahoma"/>
            <family val="2"/>
          </rPr>
          <t>subcausa(sacada de la act del proceso-ojo revisar proceso), con los 6pasos para el control</t>
        </r>
        <r>
          <rPr>
            <sz val="9"/>
            <color indexed="81"/>
            <rFont val="Tahoma"/>
            <family val="2"/>
          </rPr>
          <t xml:space="preserve">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 xml:space="preserve">Responsable </t>
        </r>
        <r>
          <rPr>
            <sz val="9"/>
            <color indexed="81"/>
            <rFont val="Tahoma"/>
            <family val="2"/>
          </rPr>
          <t xml:space="preserve">de ejecutar el control: identifica el cargo del servidor que ejecuta el control, en caso de que sean controles automáticos se identificará el sistema que realiza la activ idad.
Acción: se determina mediante verbos que indican la acción que deben realizar como parte del control.
</t>
        </r>
        <r>
          <rPr>
            <b/>
            <sz val="9"/>
            <color indexed="81"/>
            <rFont val="Tahoma"/>
            <family val="2"/>
          </rPr>
          <t>Complemento: c</t>
        </r>
        <r>
          <rPr>
            <sz val="9"/>
            <color indexed="81"/>
            <rFont val="Tahoma"/>
            <family val="2"/>
          </rPr>
          <t xml:space="preserve">orresponde a los detalles que permiten identificar claramente el objeto del control.
EJ:
</t>
        </r>
        <r>
          <rPr>
            <b/>
            <sz val="9"/>
            <color indexed="81"/>
            <rFont val="Tahoma"/>
            <family val="2"/>
          </rPr>
          <t>(Responsable)E</t>
        </r>
        <r>
          <rPr>
            <sz val="9"/>
            <color indexed="81"/>
            <rFont val="Tahoma"/>
            <family val="2"/>
          </rPr>
          <t>l profesional de Contratación</t>
        </r>
        <r>
          <rPr>
            <b/>
            <sz val="9"/>
            <color indexed="81"/>
            <rFont val="Tahoma"/>
            <family val="2"/>
          </rPr>
          <t xml:space="preserve"> + ( Acción)</t>
        </r>
        <r>
          <rPr>
            <sz val="9"/>
            <color indexed="81"/>
            <rFont val="Tahoma"/>
            <family val="2"/>
          </rPr>
          <t xml:space="preserve"> verifica que la información suministrada por el proveedor corresponda con los requisitos establecidos acorde con el tipo de contratación,+</t>
        </r>
        <r>
          <rPr>
            <b/>
            <sz val="9"/>
            <color indexed="81"/>
            <rFont val="Tahoma"/>
            <family val="2"/>
          </rPr>
          <t xml:space="preserve"> (COMPLEMENTO)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130" authorId="5" shapeId="0" xr:uid="{0D854B01-D41F-47D2-9929-88C4A9188ABA}">
      <text>
        <r>
          <rPr>
            <b/>
            <sz val="9"/>
            <color indexed="81"/>
            <rFont val="Tahoma"/>
            <family val="2"/>
          </rPr>
          <t>HACIENDA:</t>
        </r>
        <r>
          <rPr>
            <sz val="9"/>
            <color indexed="81"/>
            <rFont val="Tahoma"/>
            <family val="2"/>
          </rPr>
          <t xml:space="preserve">
ver en el proceso en donde esta el riesgo: entreda(preventivo) proceso(detectivo) o salida(correctivo)</t>
        </r>
      </text>
    </comment>
    <comment ref="AH130" authorId="5" shapeId="0" xr:uid="{6D236186-592F-4AFB-97EE-EF33A04C76A5}">
      <text>
        <r>
          <rPr>
            <b/>
            <sz val="9"/>
            <color indexed="81"/>
            <rFont val="Tahoma"/>
            <family val="2"/>
          </rPr>
          <t>HACIENDA:</t>
        </r>
        <r>
          <rPr>
            <sz val="9"/>
            <color indexed="81"/>
            <rFont val="Tahoma"/>
            <family val="2"/>
          </rPr>
          <t xml:space="preserve">
COMPLEMENTA APOYA 
 LA ACCION CONTROL
Esta casilla dependerá del tratamiento establecido, si es</t>
        </r>
        <r>
          <rPr>
            <b/>
            <sz val="9"/>
            <color indexed="81"/>
            <rFont val="Tahoma"/>
            <family val="2"/>
          </rPr>
          <t xml:space="preserve"> Acepta</t>
        </r>
        <r>
          <rPr>
            <sz val="9"/>
            <color indexed="81"/>
            <rFont val="Tahoma"/>
            <family val="2"/>
          </rPr>
          <t xml:space="preserve">r no se requieren acciones adicionales, en caso de escoger </t>
        </r>
        <r>
          <rPr>
            <b/>
            <sz val="9"/>
            <color indexed="81"/>
            <rFont val="Tahoma"/>
            <family val="2"/>
          </rPr>
          <t xml:space="preserve">Reducir (mitigar) </t>
        </r>
        <r>
          <rPr>
            <sz val="9"/>
            <color indexed="81"/>
            <rFont val="Tahoma"/>
            <family val="2"/>
          </rPr>
          <t>se deben diligenciar las acciones que se adelantarán como complemento a los controles establecidos, no necesariamente son controles adicionales. Para</t>
        </r>
        <r>
          <rPr>
            <sz val="9"/>
            <color indexed="81"/>
            <rFont val="Tahoma"/>
            <family val="2"/>
          </rPr>
          <t xml:space="preserve">, es viable diligenciar la acción que deriva de esta (ejemplo póliza seguros, terceración), indicando información relevante. </t>
        </r>
      </text>
    </comment>
    <comment ref="H131" authorId="5" shapeId="0" xr:uid="{D21F947F-0064-4E14-A6FF-4887132CE335}">
      <text>
        <r>
          <rPr>
            <b/>
            <sz val="9"/>
            <color indexed="81"/>
            <rFont val="Tahoma"/>
            <family val="2"/>
          </rPr>
          <t>HACIENDA:</t>
        </r>
        <r>
          <rPr>
            <sz val="9"/>
            <color indexed="81"/>
            <rFont val="Tahoma"/>
            <family val="2"/>
          </rPr>
          <t xml:space="preserve">
GENERADORA DEL RIESGO. VER EL PROCESO Y TRAERLA. AGREGAR EL No del procedimiento.</t>
        </r>
      </text>
    </comment>
    <comment ref="J132" authorId="5" shapeId="0" xr:uid="{4F79F632-B0AB-4BD4-BAE8-F8B9847864FE}">
      <text>
        <r>
          <rPr>
            <b/>
            <sz val="9"/>
            <color indexed="81"/>
            <rFont val="Tahoma"/>
            <family val="2"/>
          </rPr>
          <t>HACIENDA:</t>
        </r>
        <r>
          <rPr>
            <sz val="9"/>
            <color indexed="81"/>
            <rFont val="Tahoma"/>
            <family val="2"/>
          </rPr>
          <t xml:space="preserve">
11 reportes de ejecución y 3 a la alata gerencia (trimestral)</t>
        </r>
      </text>
    </comment>
    <comment ref="J134" authorId="5" shapeId="0" xr:uid="{4CF8A7F7-CA48-478D-9EAF-5F2C78E5091B}">
      <text>
        <r>
          <rPr>
            <b/>
            <sz val="9"/>
            <color indexed="81"/>
            <rFont val="Tahoma"/>
            <family val="2"/>
          </rPr>
          <t>HACIENDA:</t>
        </r>
        <r>
          <rPr>
            <sz val="9"/>
            <color indexed="81"/>
            <rFont val="Tahoma"/>
            <family val="2"/>
          </rPr>
          <t xml:space="preserve">
Revisión de documentos 1 vez al año y normograma trimestral (4 veces en el año)</t>
        </r>
      </text>
    </comment>
    <comment ref="J136" authorId="5" shapeId="0" xr:uid="{1C6BA2A6-D479-4C82-A157-09D6922BC089}">
      <text>
        <r>
          <rPr>
            <b/>
            <sz val="9"/>
            <color indexed="81"/>
            <rFont val="Tahoma"/>
            <family val="2"/>
          </rPr>
          <t>HACIENDA:</t>
        </r>
        <r>
          <rPr>
            <sz val="9"/>
            <color indexed="81"/>
            <rFont val="Tahoma"/>
            <family val="2"/>
          </rPr>
          <t xml:space="preserve">
DATOS DIRESSION DE RENTAS...DE LOS 258,000 PREDIOS FACTURADOS DEL IPU LA PROBABILIDAD DE EMISION DE LOS CLDO POR AÑO ES DE 5,000 SEGÚN PROYECCION DE PLAN DE ACCION DE RENTAS
------
ID#AAABTLYZ7rk
PILAR CUEVAS    (2024-09-13 15:36:06)
la actividad que conlleva el riesgo se ejecuta aproximadamente 100 veces al año</t>
        </r>
      </text>
    </comment>
    <comment ref="J137" authorId="5" shapeId="0" xr:uid="{D56C2176-C363-4525-B28A-D828E052159E}">
      <text>
        <r>
          <rPr>
            <b/>
            <sz val="9"/>
            <color indexed="81"/>
            <rFont val="Tahoma"/>
            <family val="2"/>
          </rPr>
          <t>HACIENDA:</t>
        </r>
        <r>
          <rPr>
            <sz val="9"/>
            <color indexed="81"/>
            <rFont val="Tahoma"/>
            <family val="2"/>
          </rPr>
          <t xml:space="preserve">
promedio con riedgo de prescripcion anual cartera prescrita 2023-300,000,000
</t>
        </r>
      </text>
    </comment>
    <comment ref="J206" authorId="4" shapeId="0" xr:uid="{8B0CDDDA-D55E-4CC1-A33A-EF389A322CED}">
      <text>
        <r>
          <rPr>
            <sz val="11"/>
            <color theme="1"/>
            <rFont val="Calibri"/>
            <family val="2"/>
            <scheme val="minor"/>
          </rPr>
          <t>======
ID#AAABOWPvWhE
Natalia Bulla    (2024-07-09 16:09:32)
Natalia Bulla: número de series por el numero de dias habiles por vigencia</t>
        </r>
      </text>
    </comment>
    <comment ref="J219" authorId="6" shapeId="0" xr:uid="{FC50807E-8692-459F-A3B8-6F571B6175AB}">
      <text>
        <r>
          <rPr>
            <sz val="9"/>
            <color indexed="81"/>
            <rFont val="Tahoma"/>
            <family val="2"/>
          </rPr>
          <t xml:space="preserve">Informes de ley con cargue en plataformas: Rendición de la cuenta anual (2), Control Interno contable, Seguimiento PM CMI y CGR (4), Reporte furag (1), derechos de autor, Reporte Obras inconclusas (12), Reporte de delitos penales (2),  los planes de las auditoria anual que realiza CGR ( PAE; SGP).  Para un total de 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HACIENDA</author>
    <author>ATENCION CIUDADANO</author>
    <author>IRMA</author>
    <author>ACER</author>
    <author>EDUARDO HERNANDEZ</author>
  </authors>
  <commentList>
    <comment ref="B8" authorId="0" shapeId="0" xr:uid="{6BA399A4-4998-4B93-8257-B883D77B61CE}">
      <text>
        <r>
          <rPr>
            <b/>
            <sz val="9"/>
            <color indexed="81"/>
            <rFont val="Tahoma"/>
            <family val="2"/>
          </rPr>
          <t>HACIENDA:</t>
        </r>
        <r>
          <rPr>
            <sz val="9"/>
            <color indexed="81"/>
            <rFont val="Tahoma"/>
            <family val="2"/>
          </rPr>
          <t xml:space="preserve">
V5:las consecuencias que puede ocasionar a la organización la materialización del riesgo
</t>
        </r>
      </text>
    </comment>
    <comment ref="C8" authorId="0" shapeId="0" xr:uid="{F852916B-89F8-44D3-87A7-24BAF230334F}">
      <text>
        <r>
          <rPr>
            <b/>
            <sz val="9"/>
            <color indexed="81"/>
            <rFont val="Tahoma"/>
            <family val="2"/>
          </rPr>
          <t>HACIENDA:</t>
        </r>
        <r>
          <rPr>
            <sz val="9"/>
            <color indexed="81"/>
            <rFont val="Tahoma"/>
            <family val="2"/>
          </rPr>
          <t xml:space="preserve">
justificacion del por que, complemento del impacto
V5: circunstancias o situaciones más evidentes sobre las cuales se presenta el riesgo, las mismas no constituyen la causa principal o base para que se presente el riesgo
/////////****////////***
PARA RIESGO FISCAL
</t>
        </r>
        <r>
          <rPr>
            <b/>
            <sz val="9"/>
            <color indexed="81"/>
            <rFont val="Tahoma"/>
            <family val="2"/>
          </rPr>
          <t>Puntos de Riesgo Fiscal</t>
        </r>
        <r>
          <rPr>
            <sz val="9"/>
            <color indexed="81"/>
            <rFont val="Tahoma"/>
            <family val="2"/>
          </rPr>
          <t xml:space="preserve">
Actividad en la que potencialmente se origina el riesgo fiscal
</t>
        </r>
      </text>
    </comment>
    <comment ref="D8" authorId="0" shapeId="0" xr:uid="{B0CAA2F8-620E-4E1A-AC58-ACC04038AF1C}">
      <text>
        <r>
          <rPr>
            <b/>
            <sz val="9"/>
            <color indexed="81"/>
            <rFont val="Tahoma"/>
            <family val="2"/>
          </rPr>
          <t>HACIENDA:</t>
        </r>
        <r>
          <rPr>
            <sz val="9"/>
            <color indexed="81"/>
            <rFont val="Tahoma"/>
            <family val="2"/>
          </rPr>
          <t xml:space="preserve">
Riesgo q detectamos del objetivo
V5:es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
RIESGO FISCAL
Circunstancia Inmediata
Situación por la que se presenta el riesgo
</t>
        </r>
      </text>
    </comment>
    <comment ref="E8" authorId="0" shapeId="0" xr:uid="{2903A8B0-3B2A-4922-AC5E-F636A002391E}">
      <text>
        <r>
          <rPr>
            <b/>
            <sz val="9"/>
            <color indexed="81"/>
            <rFont val="Tahoma"/>
            <family val="2"/>
          </rPr>
          <t>HACIENDA:</t>
        </r>
        <r>
          <rPr>
            <sz val="9"/>
            <color indexed="81"/>
            <rFont val="Tahoma"/>
            <family val="2"/>
          </rPr>
          <t xml:space="preserve">
causa base para el control….VER CONTEXTO  DELA OTRA VERSION. Es el ultimo por q de los 5 por que.</t>
        </r>
      </text>
    </comment>
    <comment ref="F8" authorId="0" shapeId="0" xr:uid="{70848409-0A2E-4B3A-82ED-D78F74EBBBD5}">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t>
        </r>
        <r>
          <rPr>
            <sz val="9"/>
            <color indexed="81"/>
            <rFont val="Tahoma"/>
            <family val="2"/>
          </rPr>
          <t xml:space="preserve">
</t>
        </r>
        <r>
          <rPr>
            <b/>
            <sz val="9"/>
            <color indexed="81"/>
            <rFont val="Tahoma"/>
            <family val="2"/>
          </rPr>
          <t xml:space="preserve">QUE + COMO= LO Q PUEDE OCURRIR
 </t>
        </r>
        <r>
          <rPr>
            <sz val="9"/>
            <color indexed="81"/>
            <rFont val="Tahoma"/>
            <family val="2"/>
          </rPr>
          <t xml:space="preserve">
</t>
        </r>
        <r>
          <rPr>
            <b/>
            <sz val="9"/>
            <color indexed="81"/>
            <rFont val="Tahoma"/>
            <family val="2"/>
          </rPr>
          <t>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 xml:space="preserve">.NOOOOO: </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8" authorId="0" shapeId="0" xr:uid="{0F636ADC-5BDD-47BA-AC56-642C964F4659}">
      <text>
        <r>
          <rPr>
            <b/>
            <sz val="9"/>
            <color indexed="81"/>
            <rFont val="Tahoma"/>
            <family val="2"/>
          </rPr>
          <t>HACIENDA:</t>
        </r>
        <r>
          <rPr>
            <sz val="9"/>
            <color indexed="81"/>
            <rFont val="Tahoma"/>
            <family val="2"/>
          </rPr>
          <t xml:space="preserve">
aplico el tipo de riesgo ver pag 38
</t>
        </r>
      </text>
    </comment>
    <comment ref="S8" authorId="0" shapeId="0" xr:uid="{98281EFA-8092-4AB4-999A-6E053521B460}">
      <text>
        <r>
          <rPr>
            <b/>
            <sz val="9"/>
            <color indexed="81"/>
            <rFont val="Tahoma"/>
            <family val="2"/>
          </rPr>
          <t>HACIENDA:</t>
        </r>
        <r>
          <rPr>
            <sz val="9"/>
            <color indexed="81"/>
            <rFont val="Tahoma"/>
            <family val="2"/>
          </rPr>
          <t xml:space="preserve">
</t>
        </r>
        <r>
          <rPr>
            <b/>
            <sz val="9"/>
            <color indexed="81"/>
            <rFont val="Tahoma"/>
            <family val="2"/>
          </rPr>
          <t>subcausa(sacada de la act del proceso-ojo revisar proceso), con los 6pasos para el control</t>
        </r>
        <r>
          <rPr>
            <sz val="9"/>
            <color indexed="81"/>
            <rFont val="Tahoma"/>
            <family val="2"/>
          </rPr>
          <t xml:space="preserve">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 xml:space="preserve">Responsable </t>
        </r>
        <r>
          <rPr>
            <sz val="9"/>
            <color indexed="81"/>
            <rFont val="Tahoma"/>
            <family val="2"/>
          </rPr>
          <t xml:space="preserve">de ejecutar el control: identifica el cargo del servidor que ejecuta el control, en caso de que sean controles automáticos se identificará el sistema que realiza la activ idad.
Acción: se determina mediante verbos que indican la acción que deben realizar como parte del control.
</t>
        </r>
        <r>
          <rPr>
            <b/>
            <sz val="9"/>
            <color indexed="81"/>
            <rFont val="Tahoma"/>
            <family val="2"/>
          </rPr>
          <t>Complemento: c</t>
        </r>
        <r>
          <rPr>
            <sz val="9"/>
            <color indexed="81"/>
            <rFont val="Tahoma"/>
            <family val="2"/>
          </rPr>
          <t xml:space="preserve">orresponde a los detalles que permiten identificar claramente el objeto del control.
EJ:
</t>
        </r>
        <r>
          <rPr>
            <b/>
            <sz val="9"/>
            <color indexed="81"/>
            <rFont val="Tahoma"/>
            <family val="2"/>
          </rPr>
          <t>(Responsable)E</t>
        </r>
        <r>
          <rPr>
            <sz val="9"/>
            <color indexed="81"/>
            <rFont val="Tahoma"/>
            <family val="2"/>
          </rPr>
          <t>l profesional de Contratación</t>
        </r>
        <r>
          <rPr>
            <b/>
            <sz val="9"/>
            <color indexed="81"/>
            <rFont val="Tahoma"/>
            <family val="2"/>
          </rPr>
          <t xml:space="preserve"> + ( Acción)</t>
        </r>
        <r>
          <rPr>
            <sz val="9"/>
            <color indexed="81"/>
            <rFont val="Tahoma"/>
            <family val="2"/>
          </rPr>
          <t xml:space="preserve"> verifica que la información suministrada por el proveedor corresponda con los requisitos establecidos acorde con el tipo de contratación,+</t>
        </r>
        <r>
          <rPr>
            <b/>
            <sz val="9"/>
            <color indexed="81"/>
            <rFont val="Tahoma"/>
            <family val="2"/>
          </rPr>
          <t xml:space="preserve"> (COMPLEMENTO)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8" authorId="0" shapeId="0" xr:uid="{D048D563-F829-45E7-A7D5-FC81FD05999A}">
      <text>
        <r>
          <rPr>
            <b/>
            <sz val="9"/>
            <color indexed="81"/>
            <rFont val="Tahoma"/>
            <family val="2"/>
          </rPr>
          <t>HACIENDA:</t>
        </r>
        <r>
          <rPr>
            <sz val="9"/>
            <color indexed="81"/>
            <rFont val="Tahoma"/>
            <family val="2"/>
          </rPr>
          <t xml:space="preserve">
ver en el proceso en donde esta el riesgo: entreda(preventivo) proceso(detectivo) o salida(correctivo)</t>
        </r>
      </text>
    </comment>
    <comment ref="AH8" authorId="0" shapeId="0" xr:uid="{C0FDEE5E-D982-41B7-A3C1-3A005B572F98}">
      <text>
        <r>
          <rPr>
            <b/>
            <sz val="9"/>
            <color indexed="81"/>
            <rFont val="Tahoma"/>
            <family val="2"/>
          </rPr>
          <t>HACIENDA:</t>
        </r>
        <r>
          <rPr>
            <sz val="9"/>
            <color indexed="81"/>
            <rFont val="Tahoma"/>
            <family val="2"/>
          </rPr>
          <t xml:space="preserve">
COMPLEMENTA APOYA 
 LA ACCION CONTROL
Esta casilla dependerá del tratamiento establecido, si es</t>
        </r>
        <r>
          <rPr>
            <b/>
            <sz val="9"/>
            <color indexed="81"/>
            <rFont val="Tahoma"/>
            <family val="2"/>
          </rPr>
          <t xml:space="preserve"> Acepta</t>
        </r>
        <r>
          <rPr>
            <sz val="9"/>
            <color indexed="81"/>
            <rFont val="Tahoma"/>
            <family val="2"/>
          </rPr>
          <t xml:space="preserve">r no se requieren acciones adicionales, en caso de escoger </t>
        </r>
        <r>
          <rPr>
            <b/>
            <sz val="9"/>
            <color indexed="81"/>
            <rFont val="Tahoma"/>
            <family val="2"/>
          </rPr>
          <t xml:space="preserve">Reducir (mitigar) </t>
        </r>
        <r>
          <rPr>
            <sz val="9"/>
            <color indexed="81"/>
            <rFont val="Tahoma"/>
            <family val="2"/>
          </rPr>
          <t>se deben diligenciar las acciones que se adelantarán como complemento a los controles establecidos, no necesariamente son controles adicionales. Para</t>
        </r>
        <r>
          <rPr>
            <sz val="9"/>
            <color indexed="81"/>
            <rFont val="Tahoma"/>
            <family val="2"/>
          </rPr>
          <t xml:space="preserve">, es viable diligenciar la acción que deriva de esta (ejemplo póliza seguros, terceración), indicando información relevante. </t>
        </r>
      </text>
    </comment>
    <comment ref="H9" authorId="0" shapeId="0" xr:uid="{A735D469-2AAF-4B7F-8FC8-99C5AEB39AD3}">
      <text>
        <r>
          <rPr>
            <b/>
            <sz val="9"/>
            <color indexed="81"/>
            <rFont val="Tahoma"/>
            <family val="2"/>
          </rPr>
          <t>HACIENDA:</t>
        </r>
        <r>
          <rPr>
            <sz val="9"/>
            <color indexed="81"/>
            <rFont val="Tahoma"/>
            <family val="2"/>
          </rPr>
          <t xml:space="preserve">
GENERADORA DEL RIESGO. VER EL PROCESO Y TRAERLA. AGREGAR EL No del procedimiento.</t>
        </r>
      </text>
    </comment>
    <comment ref="J10" authorId="0" shapeId="0" xr:uid="{9BD32279-8626-4A59-B163-A19D7D235AC9}">
      <text>
        <r>
          <rPr>
            <b/>
            <sz val="9"/>
            <color indexed="81"/>
            <rFont val="Tahoma"/>
            <family val="2"/>
          </rPr>
          <t>HACIENDA:</t>
        </r>
        <r>
          <rPr>
            <sz val="9"/>
            <color indexed="81"/>
            <rFont val="Tahoma"/>
            <family val="2"/>
          </rPr>
          <t xml:space="preserve">
11 reportes de ejecución y 3 a la alata gerencia (trimestral)</t>
        </r>
      </text>
    </comment>
    <comment ref="J12" authorId="0" shapeId="0" xr:uid="{79FB587D-9B08-495D-AC0A-14E2FDCB4BA9}">
      <text>
        <r>
          <rPr>
            <b/>
            <sz val="9"/>
            <color indexed="81"/>
            <rFont val="Tahoma"/>
            <family val="2"/>
          </rPr>
          <t>HACIENDA:</t>
        </r>
        <r>
          <rPr>
            <sz val="9"/>
            <color indexed="81"/>
            <rFont val="Tahoma"/>
            <family val="2"/>
          </rPr>
          <t xml:space="preserve">
Revisión de documentos 1 vez al año y normograma trimestral (4 veces en el año)</t>
        </r>
      </text>
    </comment>
    <comment ref="J14" authorId="0" shapeId="0" xr:uid="{CDC002B3-4FD5-4E1D-A7F0-FC2EC810B251}">
      <text>
        <r>
          <rPr>
            <b/>
            <sz val="9"/>
            <color indexed="81"/>
            <rFont val="Tahoma"/>
            <family val="2"/>
          </rPr>
          <t>HACIENDA:</t>
        </r>
        <r>
          <rPr>
            <sz val="9"/>
            <color indexed="81"/>
            <rFont val="Tahoma"/>
            <family val="2"/>
          </rPr>
          <t xml:space="preserve">
DATOS DIRESSION DE RENTAS...DE LOS 258,000 PREDIOS FACTURADOS DEL IPU LA PROBABILIDAD DE EMISION DE LOS CLDO POR AÑO ES DE 5,000 SEGÚN PROYECCION DE PLAN DE ACCION DE RENTAS
------
ID#AAABTLYZ7rk
PILAR CUEVAS    (2024-09-13 15:36:06)
la actividad que conlleva el riesgo se ejecuta aproximadamente 100 veces al año</t>
        </r>
      </text>
    </comment>
    <comment ref="J15" authorId="0" shapeId="0" xr:uid="{7F89CC53-E176-4D8E-949F-3FB74C64E45D}">
      <text>
        <r>
          <rPr>
            <b/>
            <sz val="9"/>
            <color indexed="81"/>
            <rFont val="Tahoma"/>
            <family val="2"/>
          </rPr>
          <t>HACIENDA:</t>
        </r>
        <r>
          <rPr>
            <sz val="9"/>
            <color indexed="81"/>
            <rFont val="Tahoma"/>
            <family val="2"/>
          </rPr>
          <t xml:space="preserve">
promedio con riedgo de prescripcion anual cartera prescrita 2023-300,000,000
</t>
        </r>
      </text>
    </comment>
    <comment ref="J59" authorId="1" shapeId="0" xr:uid="{9FF647E1-B883-4C65-9EB9-891AE5D9F86E}">
      <text>
        <r>
          <rPr>
            <b/>
            <sz val="9"/>
            <color indexed="81"/>
            <rFont val="Tahoma"/>
            <family val="2"/>
          </rPr>
          <t>ATENCION CIUDADANO:</t>
        </r>
        <r>
          <rPr>
            <sz val="9"/>
            <color indexed="81"/>
            <rFont val="Tahoma"/>
            <family val="2"/>
          </rPr>
          <t xml:space="preserve">
Número de PQRSD respondidos por fuera del termino, sin respuesta y vencidos (enero - agosto). </t>
        </r>
      </text>
    </comment>
    <comment ref="J65" authorId="1" shapeId="0" xr:uid="{4E677BD8-3C88-49F9-9DF9-7B38277C91CE}">
      <text>
        <r>
          <rPr>
            <b/>
            <sz val="9"/>
            <color indexed="81"/>
            <rFont val="Tahoma"/>
            <family val="2"/>
          </rPr>
          <t>ATENCION CIUDADANO:</t>
        </r>
        <r>
          <rPr>
            <sz val="9"/>
            <color indexed="81"/>
            <rFont val="Tahoma"/>
            <family val="2"/>
          </rPr>
          <t xml:space="preserve">
Número de contratos de Secretaría General y Dirección de Atención al Ciudadano del año 2024</t>
        </r>
      </text>
    </comment>
    <comment ref="AK139" authorId="2" shapeId="0" xr:uid="{72E300F4-8363-4C0F-9DDF-D64ED3AF2D6E}">
      <text>
        <r>
          <rPr>
            <b/>
            <sz val="9"/>
            <color indexed="81"/>
            <rFont val="Tahoma"/>
            <family val="2"/>
          </rPr>
          <t>IRMA:</t>
        </r>
        <r>
          <rPr>
            <sz val="9"/>
            <color indexed="81"/>
            <rFont val="Tahoma"/>
            <family val="2"/>
          </rPr>
          <t xml:space="preserve">
 OJO CON EL MEMORANDO PONER EL NUMERO DE RADICADO A QUIEN Y EN QUE FECHA </t>
        </r>
      </text>
    </comment>
    <comment ref="S196" authorId="3" shapeId="0" xr:uid="{BF10575D-0A2E-47B3-A319-26B20E9BF8F0}">
      <text>
        <r>
          <rPr>
            <b/>
            <sz val="9"/>
            <color indexed="81"/>
            <rFont val="Tahoma"/>
            <family val="2"/>
          </rPr>
          <t>ACER:</t>
        </r>
        <r>
          <rPr>
            <sz val="9"/>
            <color indexed="81"/>
            <rFont val="Tahoma"/>
            <family val="2"/>
          </rPr>
          <t xml:space="preserve">
Documentar
FORMULAR QUE PASA CON LA DESVIACION Y CUAL PUEDE SER LA EVIDENCIA, en donde tenbemos establecido ques e debe hacer el seguimiento - EN QUE DOCUMENTO DEL PROCESO
</t>
        </r>
      </text>
    </comment>
    <comment ref="S197" authorId="4" shapeId="0" xr:uid="{35B48FC9-2916-49A9-9490-7110A67CD2C9}">
      <text>
        <r>
          <rPr>
            <b/>
            <sz val="9"/>
            <color indexed="81"/>
            <rFont val="Tahoma"/>
            <family val="2"/>
          </rPr>
          <t>EDUARDO HERNANDEZ:</t>
        </r>
        <r>
          <rPr>
            <sz val="9"/>
            <color indexed="81"/>
            <rFont val="Tahoma"/>
            <family val="2"/>
          </rPr>
          <t xml:space="preserve">
FALTA REGISTRO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B47" authorId="0" shapeId="0" xr:uid="{15428A84-749A-46BD-B9FA-1D1FF8DD4E47}">
      <text>
        <r>
          <rPr>
            <b/>
            <sz val="9"/>
            <color indexed="81"/>
            <rFont val="Tahoma"/>
            <family val="2"/>
          </rPr>
          <t>HACIENDA:</t>
        </r>
        <r>
          <rPr>
            <sz val="9"/>
            <color indexed="81"/>
            <rFont val="Tahoma"/>
            <family val="2"/>
          </rPr>
          <t xml:space="preserve">
V5:las consecuencias que puede ocasionar a la organización la materialización del riesgo
</t>
        </r>
      </text>
    </comment>
    <comment ref="C47" authorId="0" shapeId="0" xr:uid="{0196401D-0E48-475D-9A6F-D98A91788AD3}">
      <text>
        <r>
          <rPr>
            <b/>
            <sz val="9"/>
            <color indexed="81"/>
            <rFont val="Tahoma"/>
            <family val="2"/>
          </rPr>
          <t>HACIENDA:</t>
        </r>
        <r>
          <rPr>
            <sz val="9"/>
            <color indexed="81"/>
            <rFont val="Tahoma"/>
            <family val="2"/>
          </rPr>
          <t xml:space="preserve">
justificacion del por que, complemento del impacto
V5: circunstancias o situaciones más evidentes sobre las cuales se presenta el riesgo, las mismas no constituyen la causa principal o base para que se presente el riesgo
/////////****////////***
PARA RIESGO FISCAL
</t>
        </r>
        <r>
          <rPr>
            <b/>
            <sz val="9"/>
            <color indexed="81"/>
            <rFont val="Tahoma"/>
            <family val="2"/>
          </rPr>
          <t>Puntos de Riesgo Fiscal</t>
        </r>
        <r>
          <rPr>
            <sz val="9"/>
            <color indexed="81"/>
            <rFont val="Tahoma"/>
            <family val="2"/>
          </rPr>
          <t xml:space="preserve">
Actividad en la que potencialmente se origina el riesgo fiscal
</t>
        </r>
      </text>
    </comment>
    <comment ref="D47" authorId="0" shapeId="0" xr:uid="{39839071-B835-479C-B03F-7C53EA9070BA}">
      <text>
        <r>
          <rPr>
            <b/>
            <sz val="9"/>
            <color indexed="81"/>
            <rFont val="Tahoma"/>
            <family val="2"/>
          </rPr>
          <t>HACIENDA:</t>
        </r>
        <r>
          <rPr>
            <sz val="9"/>
            <color indexed="81"/>
            <rFont val="Tahoma"/>
            <family val="2"/>
          </rPr>
          <t xml:space="preserve">
Riesgo q detectamos del objetivo
V5:es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
RIESGO FISCAL
Circunstancia Inmediata
Situación por la que se presenta el riesgo
</t>
        </r>
      </text>
    </comment>
    <comment ref="E47" authorId="0" shapeId="0" xr:uid="{00CEDD68-6DAC-4541-8DF9-ABC82DE23BE0}">
      <text>
        <r>
          <rPr>
            <b/>
            <sz val="9"/>
            <color indexed="81"/>
            <rFont val="Tahoma"/>
            <family val="2"/>
          </rPr>
          <t>HACIENDA:</t>
        </r>
        <r>
          <rPr>
            <sz val="9"/>
            <color indexed="81"/>
            <rFont val="Tahoma"/>
            <family val="2"/>
          </rPr>
          <t xml:space="preserve">
causa base para el control….VER CONTEXTO  DELA OTRA VERSION. Es el ultimo por q de los 5 por que.</t>
        </r>
      </text>
    </comment>
    <comment ref="F47" authorId="0" shapeId="0" xr:uid="{7331BA64-A7C7-4B83-A356-0C14F7C96E36}">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t>
        </r>
        <r>
          <rPr>
            <sz val="9"/>
            <color indexed="81"/>
            <rFont val="Tahoma"/>
            <family val="2"/>
          </rPr>
          <t xml:space="preserve">
</t>
        </r>
        <r>
          <rPr>
            <b/>
            <sz val="9"/>
            <color indexed="81"/>
            <rFont val="Tahoma"/>
            <family val="2"/>
          </rPr>
          <t xml:space="preserve">QUE + COMO= LO Q PUEDE OCURRIR
 </t>
        </r>
        <r>
          <rPr>
            <sz val="9"/>
            <color indexed="81"/>
            <rFont val="Tahoma"/>
            <family val="2"/>
          </rPr>
          <t xml:space="preserve">
</t>
        </r>
        <r>
          <rPr>
            <b/>
            <sz val="9"/>
            <color indexed="81"/>
            <rFont val="Tahoma"/>
            <family val="2"/>
          </rPr>
          <t>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 xml:space="preserve">.NOOOOO: </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47" authorId="0" shapeId="0" xr:uid="{C76DF218-3810-4DBA-9D89-57F894F6187D}">
      <text>
        <r>
          <rPr>
            <b/>
            <sz val="9"/>
            <color indexed="81"/>
            <rFont val="Tahoma"/>
            <family val="2"/>
          </rPr>
          <t>HACIENDA:</t>
        </r>
        <r>
          <rPr>
            <sz val="9"/>
            <color indexed="81"/>
            <rFont val="Tahoma"/>
            <family val="2"/>
          </rPr>
          <t xml:space="preserve">
aplico el tipo de riesgo ver pag 38
</t>
        </r>
      </text>
    </comment>
    <comment ref="S47" authorId="0" shapeId="0" xr:uid="{03812AB5-5D55-4B77-B811-051DDCE39441}">
      <text>
        <r>
          <rPr>
            <b/>
            <sz val="9"/>
            <color indexed="81"/>
            <rFont val="Tahoma"/>
            <family val="2"/>
          </rPr>
          <t>HACIENDA:</t>
        </r>
        <r>
          <rPr>
            <sz val="9"/>
            <color indexed="81"/>
            <rFont val="Tahoma"/>
            <family val="2"/>
          </rPr>
          <t xml:space="preserve">
</t>
        </r>
        <r>
          <rPr>
            <b/>
            <sz val="9"/>
            <color indexed="81"/>
            <rFont val="Tahoma"/>
            <family val="2"/>
          </rPr>
          <t>subcausa(sacada de la act del proceso-ojo revisar proceso), con los 6pasos para el control</t>
        </r>
        <r>
          <rPr>
            <sz val="9"/>
            <color indexed="81"/>
            <rFont val="Tahoma"/>
            <family val="2"/>
          </rPr>
          <t xml:space="preserve">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 xml:space="preserve">Responsable </t>
        </r>
        <r>
          <rPr>
            <sz val="9"/>
            <color indexed="81"/>
            <rFont val="Tahoma"/>
            <family val="2"/>
          </rPr>
          <t xml:space="preserve">de ejecutar el control: identifica el cargo del servidor que ejecuta el control, en caso de que sean controles automáticos se identificará el sistema que realiza la activ idad.
Acción: se determina mediante verbos que indican la acción que deben realizar como parte del control.
</t>
        </r>
        <r>
          <rPr>
            <b/>
            <sz val="9"/>
            <color indexed="81"/>
            <rFont val="Tahoma"/>
            <family val="2"/>
          </rPr>
          <t>Complemento: c</t>
        </r>
        <r>
          <rPr>
            <sz val="9"/>
            <color indexed="81"/>
            <rFont val="Tahoma"/>
            <family val="2"/>
          </rPr>
          <t xml:space="preserve">orresponde a los detalles que permiten identificar claramente el objeto del control.
EJ:
</t>
        </r>
        <r>
          <rPr>
            <b/>
            <sz val="9"/>
            <color indexed="81"/>
            <rFont val="Tahoma"/>
            <family val="2"/>
          </rPr>
          <t>(Responsable)E</t>
        </r>
        <r>
          <rPr>
            <sz val="9"/>
            <color indexed="81"/>
            <rFont val="Tahoma"/>
            <family val="2"/>
          </rPr>
          <t>l profesional de Contratación</t>
        </r>
        <r>
          <rPr>
            <b/>
            <sz val="9"/>
            <color indexed="81"/>
            <rFont val="Tahoma"/>
            <family val="2"/>
          </rPr>
          <t xml:space="preserve"> + ( Acción)</t>
        </r>
        <r>
          <rPr>
            <sz val="9"/>
            <color indexed="81"/>
            <rFont val="Tahoma"/>
            <family val="2"/>
          </rPr>
          <t xml:space="preserve"> verifica que la información suministrada por el proveedor corresponda con los requisitos establecidos acorde con el tipo de contratación,+</t>
        </r>
        <r>
          <rPr>
            <b/>
            <sz val="9"/>
            <color indexed="81"/>
            <rFont val="Tahoma"/>
            <family val="2"/>
          </rPr>
          <t xml:space="preserve"> (COMPLEMENTO)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47" authorId="0" shapeId="0" xr:uid="{D88C7C10-D8D9-4236-BC31-41CE73FEAF1B}">
      <text>
        <r>
          <rPr>
            <b/>
            <sz val="9"/>
            <color indexed="81"/>
            <rFont val="Tahoma"/>
            <family val="2"/>
          </rPr>
          <t>HACIENDA:</t>
        </r>
        <r>
          <rPr>
            <sz val="9"/>
            <color indexed="81"/>
            <rFont val="Tahoma"/>
            <family val="2"/>
          </rPr>
          <t xml:space="preserve">
ver en el proceso en donde esta el riesgo: entreda(preventivo) proceso(detectivo) o salida(correctivo)</t>
        </r>
      </text>
    </comment>
    <comment ref="AH47" authorId="0" shapeId="0" xr:uid="{E4780274-BB36-43C9-87D1-580101BD13C3}">
      <text>
        <r>
          <rPr>
            <b/>
            <sz val="9"/>
            <color indexed="81"/>
            <rFont val="Tahoma"/>
            <family val="2"/>
          </rPr>
          <t>HACIENDA:</t>
        </r>
        <r>
          <rPr>
            <sz val="9"/>
            <color indexed="81"/>
            <rFont val="Tahoma"/>
            <family val="2"/>
          </rPr>
          <t xml:space="preserve">
COMPLEMENTA APOYA 
 LA ACCION CONTROL
Esta casilla dependerá del tratamiento establecido, si es</t>
        </r>
        <r>
          <rPr>
            <b/>
            <sz val="9"/>
            <color indexed="81"/>
            <rFont val="Tahoma"/>
            <family val="2"/>
          </rPr>
          <t xml:space="preserve"> Acepta</t>
        </r>
        <r>
          <rPr>
            <sz val="9"/>
            <color indexed="81"/>
            <rFont val="Tahoma"/>
            <family val="2"/>
          </rPr>
          <t xml:space="preserve">r no se requieren acciones adicionales, en caso de escoger </t>
        </r>
        <r>
          <rPr>
            <b/>
            <sz val="9"/>
            <color indexed="81"/>
            <rFont val="Tahoma"/>
            <family val="2"/>
          </rPr>
          <t xml:space="preserve">Reducir (mitigar) </t>
        </r>
        <r>
          <rPr>
            <sz val="9"/>
            <color indexed="81"/>
            <rFont val="Tahoma"/>
            <family val="2"/>
          </rPr>
          <t>se deben diligenciar las acciones que se adelantarán como complemento a los controles establecidos, no necesariamente son controles adicionales. Para</t>
        </r>
        <r>
          <rPr>
            <sz val="9"/>
            <color indexed="81"/>
            <rFont val="Tahoma"/>
            <family val="2"/>
          </rPr>
          <t xml:space="preserve">, es viable diligenciar la acción que deriva de esta (ejemplo póliza seguros, terceración), indicando información relevante. </t>
        </r>
      </text>
    </comment>
    <comment ref="H48" authorId="0" shapeId="0" xr:uid="{7184B656-46F5-4F85-9216-1FFAD8BD9A23}">
      <text>
        <r>
          <rPr>
            <b/>
            <sz val="9"/>
            <color indexed="81"/>
            <rFont val="Tahoma"/>
            <family val="2"/>
          </rPr>
          <t>HACIENDA:</t>
        </r>
        <r>
          <rPr>
            <sz val="9"/>
            <color indexed="81"/>
            <rFont val="Tahoma"/>
            <family val="2"/>
          </rPr>
          <t xml:space="preserve">
GENERADORA DEL RIESGO. VER EL PROCESO Y TRAERLA. AGREGAR EL No del procedimiento.</t>
        </r>
      </text>
    </comment>
    <comment ref="J49" authorId="0" shapeId="0" xr:uid="{6C152053-447E-4DCE-A93C-393DEBA8F3BC}">
      <text>
        <r>
          <rPr>
            <b/>
            <sz val="9"/>
            <color indexed="81"/>
            <rFont val="Tahoma"/>
            <family val="2"/>
          </rPr>
          <t>HACIENDA:</t>
        </r>
        <r>
          <rPr>
            <sz val="9"/>
            <color indexed="81"/>
            <rFont val="Tahoma"/>
            <family val="2"/>
          </rPr>
          <t xml:space="preserve">
11 reportes de ejecución y 3 a la alata gerencia (trimestral)</t>
        </r>
      </text>
    </comment>
    <comment ref="J51" authorId="0" shapeId="0" xr:uid="{C044D90E-DB07-4F03-8F35-8AE61B966E87}">
      <text>
        <r>
          <rPr>
            <b/>
            <sz val="9"/>
            <color indexed="81"/>
            <rFont val="Tahoma"/>
            <family val="2"/>
          </rPr>
          <t>HACIENDA:</t>
        </r>
        <r>
          <rPr>
            <sz val="9"/>
            <color indexed="81"/>
            <rFont val="Tahoma"/>
            <family val="2"/>
          </rPr>
          <t xml:space="preserve">
Revisión de documentos 1 vez al año y normograma trimestral (4 veces en el año)</t>
        </r>
      </text>
    </comment>
    <comment ref="J53" authorId="0" shapeId="0" xr:uid="{86338042-9E05-440E-8513-7215DC1E7F29}">
      <text>
        <r>
          <rPr>
            <b/>
            <sz val="9"/>
            <color indexed="81"/>
            <rFont val="Tahoma"/>
            <family val="2"/>
          </rPr>
          <t>HACIENDA:</t>
        </r>
        <r>
          <rPr>
            <sz val="9"/>
            <color indexed="81"/>
            <rFont val="Tahoma"/>
            <family val="2"/>
          </rPr>
          <t xml:space="preserve">
DATOS DIRESSION DE RENTAS...DE LOS 258,000 PREDIOS FACTURADOS DEL IPU LA PROBABILIDAD DE EMISION DE LOS CLDO POR AÑO ES DE 5,000 SEGÚN PROYECCION DE PLAN DE ACCION DE RENTAS
------
ID#AAABTLYZ7rk
PILAR CUEVAS    (2024-09-13 15:36:06)
la actividad que conlleva el riesgo se ejecuta aproximadamente 100 veces al año</t>
        </r>
      </text>
    </comment>
    <comment ref="J54" authorId="0" shapeId="0" xr:uid="{83D21FF5-6A5B-44E1-A27E-070960CE0FC8}">
      <text>
        <r>
          <rPr>
            <b/>
            <sz val="9"/>
            <color indexed="81"/>
            <rFont val="Tahoma"/>
            <family val="2"/>
          </rPr>
          <t>HACIENDA:</t>
        </r>
        <r>
          <rPr>
            <sz val="9"/>
            <color indexed="81"/>
            <rFont val="Tahoma"/>
            <family val="2"/>
          </rPr>
          <t xml:space="preserve">
promedio con riedgo de prescripcion anual cartera prescrita 2023-300,000,000
</t>
        </r>
      </text>
    </comment>
  </commentList>
</comments>
</file>

<file path=xl/sharedStrings.xml><?xml version="1.0" encoding="utf-8"?>
<sst xmlns="http://schemas.openxmlformats.org/spreadsheetml/2006/main" count="5193" uniqueCount="1094">
  <si>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</si>
  <si>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</si>
  <si>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</si>
  <si>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</si>
  <si>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</si>
  <si>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</si>
  <si>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</si>
  <si>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</si>
  <si>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</si>
  <si>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</si>
  <si>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</si>
  <si>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</si>
  <si>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</si>
  <si>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</si>
  <si>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</si>
  <si>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</si>
  <si>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</si>
  <si>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</si>
  <si>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</si>
  <si>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</si>
  <si>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</si>
  <si>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</si>
  <si>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</si>
  <si>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</si>
  <si>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</si>
  <si>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</si>
  <si>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</si>
  <si>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</si>
  <si>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</si>
  <si>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</si>
  <si>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</si>
  <si>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</si>
  <si>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</si>
  <si>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</si>
  <si>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</si>
  <si>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</si>
  <si>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</si>
  <si>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</si>
  <si>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</si>
  <si>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</si>
  <si>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</si>
  <si>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</si>
  <si>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</si>
  <si>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</si>
  <si>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</si>
  <si>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</si>
  <si>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</si>
  <si>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</si>
  <si>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</si>
  <si>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</si>
  <si>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</si>
  <si>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</si>
  <si>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</si>
  <si>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</si>
  <si>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</si>
  <si>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</si>
  <si>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</si>
  <si>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</si>
  <si>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</si>
  <si>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</si>
  <si>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</si>
  <si>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</si>
  <si>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</si>
  <si>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</si>
  <si>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</si>
  <si>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</si>
  <si>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</si>
  <si>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</si>
  <si>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</si>
  <si>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</si>
  <si>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</si>
  <si>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</si>
  <si>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</si>
  <si>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</si>
  <si>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</si>
  <si>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</si>
  <si>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</si>
  <si>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</si>
  <si>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</si>
  <si>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</si>
  <si>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</si>
  <si>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</si>
  <si>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</si>
  <si>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</si>
  <si>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</si>
  <si>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</si>
  <si>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</si>
  <si>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</si>
  <si>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</si>
  <si>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</si>
  <si>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</si>
  <si>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</si>
  <si>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</si>
  <si>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</si>
  <si>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</si>
  <si>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</si>
  <si>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</si>
  <si>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</si>
  <si>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</si>
  <si>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</si>
  <si>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</si>
  <si>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</si>
  <si>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</si>
  <si>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</si>
  <si>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</si>
  <si>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</si>
  <si>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</si>
  <si>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</si>
  <si>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</si>
  <si>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</si>
  <si>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</si>
  <si>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</si>
  <si>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</si>
  <si>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</si>
  <si>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</si>
  <si>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</si>
  <si>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</si>
  <si>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</si>
  <si>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</si>
  <si>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</si>
  <si>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</si>
  <si>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</si>
  <si>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</si>
  <si>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</si>
  <si>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</si>
  <si>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</si>
  <si>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</si>
  <si>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</si>
  <si>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</si>
  <si>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</si>
  <si>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</si>
  <si>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</si>
  <si>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</si>
  <si>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</si>
  <si>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</si>
  <si>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</si>
  <si>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</si>
  <si>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</si>
  <si>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</si>
  <si>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</si>
  <si>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</si>
  <si>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Impacto</t>
  </si>
  <si>
    <t>Responsable</t>
  </si>
  <si>
    <t>EVITAR EL RIESGO</t>
  </si>
  <si>
    <t>REDUCIR EL RIESGO</t>
  </si>
  <si>
    <t>CATASTRÓFICO</t>
  </si>
  <si>
    <t>ACEPTAR EL RIESGO</t>
  </si>
  <si>
    <t>COMPARTIR EL RIESGO</t>
  </si>
  <si>
    <t xml:space="preserve">Formato Mapa Riesgos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</si>
  <si>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</si>
  <si>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</si>
  <si>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</si>
  <si>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</si>
  <si>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</si>
  <si>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</si>
  <si>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</si>
  <si>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</si>
  <si>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</si>
  <si>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Causa Inmediata</t>
  </si>
  <si>
    <t>Causa Raíz</t>
  </si>
  <si>
    <t>Subcausas</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</si>
  <si>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</si>
  <si>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</si>
  <si>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</si>
  <si>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</si>
  <si>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</si>
  <si>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</si>
  <si>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</si>
  <si>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</si>
  <si>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</si>
  <si>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</si>
  <si>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</si>
  <si>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</si>
  <si>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</si>
  <si>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</si>
  <si>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</si>
  <si>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</si>
  <si>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</si>
  <si>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Fecha Implementación</t>
  </si>
  <si>
    <t>Fecha Seguimiento</t>
  </si>
  <si>
    <t>Seguimiento</t>
  </si>
  <si>
    <t>Estado</t>
  </si>
  <si>
    <t>Actividades de Riesgo</t>
  </si>
  <si>
    <t>Tipo</t>
  </si>
  <si>
    <t>Implementación</t>
  </si>
  <si>
    <t>Calificación</t>
  </si>
  <si>
    <t>Documentación</t>
  </si>
  <si>
    <t>Frecuencia</t>
  </si>
  <si>
    <t>Evidencia</t>
  </si>
  <si>
    <t>Reputacional</t>
  </si>
  <si>
    <t>Ejecucion y Administracion de procesos</t>
  </si>
  <si>
    <t>Manual</t>
  </si>
  <si>
    <t>Sin Documentar</t>
  </si>
  <si>
    <t>Continua</t>
  </si>
  <si>
    <t>Con Registro</t>
  </si>
  <si>
    <t>Reducir (mitigar)</t>
  </si>
  <si>
    <t>En curso</t>
  </si>
  <si>
    <t>Preventivo</t>
  </si>
  <si>
    <t>Documentado</t>
  </si>
  <si>
    <t>Económico y Reputacional</t>
  </si>
  <si>
    <t xml:space="preserve">     El riesgo afecta la imagen de la entidad con algunos usuarios de relevancia frente al logro de los objetivos</t>
  </si>
  <si>
    <t>Tipo de Riesgos</t>
  </si>
  <si>
    <t>Gestión</t>
  </si>
  <si>
    <t>FISCAL</t>
  </si>
  <si>
    <t>GESTION DE SALUD</t>
  </si>
  <si>
    <t>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t>
  </si>
  <si>
    <t>INICIA CON LA CONTRUCCION DEL PLAN TERRITORIAL DE SALUD – PTS MEDIANTE EL DESARROLLO DE LA METODOLOGIA PASE A LA EQUIDAD EN SALUD Y LA APROBACION DEL MISMO Y TERMINA CON EL DESARROLLO DE ACCIONES CORRECTIVAS CUANDO NO SE CUMPLEN LAS METAS Y OBJETIVOS DEL PLAN</t>
  </si>
  <si>
    <t>EVIDENCIAS</t>
  </si>
  <si>
    <t>SEGUIMIENTO</t>
  </si>
  <si>
    <t xml:space="preserve">Sanciones y disminución de recursos  </t>
  </si>
  <si>
    <t>Incumplimiento a las politicas publicas y a las metas del plan territorial de salud</t>
  </si>
  <si>
    <t xml:space="preserve">Planificación inadecuada de las acciones y estrategias de la entidad en cumplimiento al proceso gestión de salud.
</t>
  </si>
  <si>
    <t>Posiblilidad de perdida reputacional y económica  por sanciones y/o disminución de recursos debido al imcumplimiento de las políticas publicas y a las metas del Plan Territorial de Salud  "PTS".</t>
  </si>
  <si>
    <t xml:space="preserve">Realizar la formulación, aprobación  y armonización del Plan Territorial de Salud con el plan de desarrollo . 
Realizar fomulación,  Aprobación y ejecución del plan de acción en salud  (PAS) y el componente operativo anual de inversión  ( COAI)
</t>
  </si>
  <si>
    <t xml:space="preserve">     El riesgo afecta la imagen de de la entidad con efecto publicitario sostenido a nivel de sector administrativo, nivel departamental o municipal</t>
  </si>
  <si>
    <t xml:space="preserve"> La  Asesora del Despacho cada mes realiza seguimiento a la ejecución de los planes de acción y del plan indicativo, comparando la información suministrada por las direcciones en los comités técnicos, con respecto a las metas establecidas en la hoja de vida de los indicadores a la fecha de corte. 
Si se determina que la meta esta resagada, se establece un plan de contingencia o estrategia para nivelar el cumplimiento, se evidencia en las actas de comité técnico
</t>
  </si>
  <si>
    <t xml:space="preserve">Realizar  seguimientos  bimensuales a los procesos contractuales de la secretaria mediante la  "Matriz de seguimiento gestión contractual. </t>
  </si>
  <si>
    <t>Asesora del Despacho</t>
  </si>
  <si>
    <t>Mensual</t>
  </si>
  <si>
    <t>Matriz Proceso Contractual</t>
  </si>
  <si>
    <t>Se lleva a cabo el seguimiento a los contratos mediante la herramienta interna "Matriz Contractual de Enero - febrero de 2025"</t>
  </si>
  <si>
    <t>Desarticulación entre las direcciónes de la secretraría para formular e implementar acciones y estrategias.</t>
  </si>
  <si>
    <t xml:space="preserve">Actas Comité Técnico </t>
  </si>
  <si>
    <t>Acta No. 3 del 31 de enero de 2024, Acta del 15 de febrero de 2024, Acta No, 15 del 18 de marzo de 2024, Acta No. 17 del 1 de abril de 2024, Acta No.26 del 27 de mayo de 2024, Acta No. 28 del 4 de junio de 2024, Acta Comité Técnico No,043 del 30 de septiembre de 2024, Acta Comité Técnico No.044 del 7 de octubre de 2024, Acta Comité Técnico No.045 del 15 de octubre de 2024, Acta Comité Técnico No. 046 del 21 de octubre de 2024,  Acta Comté Técnico No056 del 5 de diciembre de 2024, Acta Comité Técnico No.0057 del 9 de diciembre de 2024, Acta Comité Técnico No. 0058 del 18 de diciembre de 2024.</t>
  </si>
  <si>
    <t>Pérdida de información y/o demora para la toma de decisiones</t>
  </si>
  <si>
    <t>Falta de interoperabilidad de las bases de datos y diferentes fuentes de información en salud</t>
  </si>
  <si>
    <t>Posibilidad de pérdida económica y reputacional por sanciones y disminución de recursos, debido a la pérdida de  información y/o demora para la toma de decisiones.</t>
  </si>
  <si>
    <t xml:space="preserve">Implementación en el desarrollo de modulos en  el sistema AMISALUD como:
1. Auditorías a las EPS
2. Listados Censales.               
3. Maestra de Afiliaciones y novedades.                             
4.- Auditoría de IPS.                      
5. Peticiones Quejas y Reclamos.    
6.Resultado y análisis de indicadores en salud. </t>
  </si>
  <si>
    <t>El ingeniero de sistemas con su equipo de trabajo de la secretaría de salud municipal, continuamente realiza la programación y el mantenimiento del sistema para el intercambio de datos, e implementación de  módulos de acuerdo al cronograma de actividades según la necesidad y herramientas tecnológicas con las que se cuenta. De lo anterior se aporta informe mensual de avances y actas de reuniones.</t>
  </si>
  <si>
    <t>Desarrollar en el sistema de información AMISALUD la implementación de  módulos que apoyen los procedimientos del proceso Gestión Salud para la obtención de datos y la toma de decisiones.</t>
  </si>
  <si>
    <t>Profesional universitario (Ingeniero de sistemas dirección de aseguramiento), directores y contratista de apoyo</t>
  </si>
  <si>
    <t>Bimensual</t>
  </si>
  <si>
    <t>Informes avance AMISALUD
Mayo, Junio, Julio, Agosto de 2024</t>
  </si>
  <si>
    <t xml:space="preserve">Informes AMISALUD: a 29 de febrero de 2024,  31 de marzo de 2024, 30 de abril de 2024, 30 de junio de 2024, 31 de julio de 2024, 31 de agosto de 2024, Informe AMISALUD del 1 de septiembre al 15 de octubre de 2024, Informe AMISALUD de Octubre de 2024, Informe AMISALUD Noviembre - Diciembre 2024. </t>
  </si>
  <si>
    <t xml:space="preserve">No se cuenta con la integración de la  información necesaria para la toma de decisiones  que hacen parte del proceso Gestión Salud. </t>
  </si>
  <si>
    <t>Los directores con su equipo de trabajo de manera trimestral, en sus comités técnicos, revisan, evalúan y analizan los indicadores y demas información requerida, con el fin de verifiar el cumplimiento de las metas trazadas, si se observa desviación se debe corregir de inmediato dejando  evidencia en las respectivas actas de seguimiento.</t>
  </si>
  <si>
    <t>Multa / Sanción Organismos de control</t>
  </si>
  <si>
    <t>Incumplimiento requisitos de ley para el otorgamiento de subsidios y/o beneficios</t>
  </si>
  <si>
    <t xml:space="preserve">La dificultad de consecusión de la información de las bases de datos provenientes de la dirección del SISBEN, en periodos trimestrales .
</t>
  </si>
  <si>
    <t>La posibilidad de afectación ecónomica y reputacional por multa o sanción de los organismos de control, debido al otorgamiento de subsidios o beneficios a personas que no cumplen con los requisitos de ley, y/o población fallecida.</t>
  </si>
  <si>
    <t>revisar caracterización del proceso para identificar en que actividad se realizaría el otorgamiento de los beneficios o subsidios para identificar la actividad generadora del riesgo, donde se podría materializar el riesgo</t>
  </si>
  <si>
    <t xml:space="preserve">     Afectación menor a 200 SMLMV</t>
  </si>
  <si>
    <t>El ingeniero de sistemas de aseguramiento trimestralmente solicita por medio de correo electrónico y/o memorando la base de datos del SISBEN cuatro, con el fin de actualizar el sistema de información de amisalud y determinar usuarios con afiliación de oficio sin SISBEN y Usuarios subsiado por encima de clasificación C18, dejando como evidencia las solicitudes y reporte de cartgue de la información y en caso de que la dependencia (SISBEN) no envíe la información se reitera la solicitud.</t>
  </si>
  <si>
    <t>Detectivo</t>
  </si>
  <si>
    <t>Realizar una mesa de trabajo al año, con las dependencias invocradas en el proceso, para socializar la normatividad que enmarca el el procedimiento de afiliación al régimen subsidiado, y la importancia de la oportundiad en la adquisición de la información para cumplir con lo establecido en Ley</t>
  </si>
  <si>
    <t>Profesional Universitario Ingeniero de Sistemas Aseguramiento</t>
  </si>
  <si>
    <t>ABRIL 30 DE 2024</t>
  </si>
  <si>
    <t>Documentos Solicitud Base de datos SISBEN.
Requerimiento información Secretaría de Hacienda</t>
  </si>
  <si>
    <t>Memomorando No.1610-2024-018076  del 3 de mayo del 2024, Solicitud de Información SISBEN, Memorando No. 1610-02078 del 16 de mayo de 2024, Solicitud Base de datos al SISBEN, Memorando No.1610-033283 del 1 de agosto de 2024 solicitud Base de Datos SISBEN, Memorando No. 1610-033278 del 1 de agosto de 2024 Solicitud Base de Datos Predial e Industria y Comercio, Memorando 1610-2024-054609 del 15 de noviembre de 2024 solicitud base de datos SISBEN.</t>
  </si>
  <si>
    <t>La dificultad en el acceso a la información de predial e industria y comercio debido a que la secretaría de Hacienda no la suministra, para determinar evasión y elusión</t>
  </si>
  <si>
    <t>El ingeniero de sistemas de aseguramiento, semestralmente solicita por medio de correo electrónico y/o memorando la base de datos de predial e industria y comercio, con el fin de  actualizar el sistema de información de amisalud y determinar usuarios con capacidad de pago, para realizar el debido proceso, dejando como evidencia las solicitudes y reporte de cargue de la información  a AMISALUD,  en caso de que la dependencia (HACIENDA) no envíe la información se reitera la solicitud.</t>
  </si>
  <si>
    <t>La no notificación a tiempo de las novedades de retiro del Sistema General de Seguridad Social en Salud</t>
  </si>
  <si>
    <t>El ingeniero de sistemas de aseguramiento, mensualmente revisa la información antes del cargue de la información en la plataforma del ADRES, con el fin de validar el reporte total de los registros, dejando como evidenciael informe del cargue de la información.</t>
  </si>
  <si>
    <t xml:space="preserve">GESTION DE EVALUACION Y SEGUIMIENTO </t>
  </si>
  <si>
    <t xml:space="preserve">AGREGAR VALOR A LA GESTION Y MEJORAR LAS OPERACIONES DE LA ENTIDAD, ENTREGANDO A LIDERES DE PROCESOS Y AL COMITÉ  DE COOORDINACIÓN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</si>
  <si>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 xml:space="preserve">INICIA CON LA ELABORACIÓN DEL PLAN ANUAL DE AUDITORÍA, INCLUYE LAS ACTIVIDADES REQUERIDAS PARA LA IMPLEMENTACIÓN DE LOS  5 ROLES ASIGNADOS A LAS OFICINAS DE CONTROL INTERNO, Y FINALIZA CON LA EVALUACIÓN DEL CUMPLIMIENTO DEL PLAN ANUAL DE AUDITORIA. </t>
  </si>
  <si>
    <t xml:space="preserve">Multa o sanción del ente de control </t>
  </si>
  <si>
    <t>Inoportunidad en el cargue de informes de ley a través de aplicativos dispuestos por entes de control.</t>
  </si>
  <si>
    <r>
      <rPr>
        <sz val="10"/>
        <color rgb="FFFF0000"/>
        <rFont val="Arial"/>
        <family val="2"/>
      </rPr>
      <t>Posibilidad de</t>
    </r>
    <r>
      <rPr>
        <sz val="10"/>
        <rFont val="Arial"/>
        <family val="2"/>
      </rPr>
      <t xml:space="preserve"> afectacion reputacional </t>
    </r>
    <r>
      <rPr>
        <sz val="10"/>
        <color rgb="FFFF0000"/>
        <rFont val="Arial"/>
        <family val="2"/>
      </rPr>
      <t>por</t>
    </r>
    <r>
      <rPr>
        <sz val="10"/>
        <rFont val="Arial"/>
        <family val="2"/>
      </rPr>
      <t xml:space="preserve"> Multa o sanción del ente de control </t>
    </r>
    <r>
      <rPr>
        <sz val="10"/>
        <color rgb="FFFF0000"/>
        <rFont val="Arial"/>
        <family val="2"/>
      </rPr>
      <t>debido a</t>
    </r>
    <r>
      <rPr>
        <sz val="10"/>
        <rFont val="Arial"/>
        <family val="2"/>
      </rPr>
      <t xml:space="preserve"> la Inoportunidad en el cargue de informes de ley a través de aplicativos dispuestos por entes de control </t>
    </r>
  </si>
  <si>
    <t xml:space="preserve">La actividad generadora del riesgo se presenta en la realizacion del cargue de informes ley en los aplicativo establecidos por el ente de control, actividad que se documentada en: Guia rendicición de la cuenta anual a la contraloria Municipal, guía rendición de la cuenta a la contraloria general, guía informe de control interno contable, guia informe de derechos de autor y procedimiento evaluación del sistema de control interno con énfasis del reporte Furag). </t>
  </si>
  <si>
    <t>El auditor asignado en el plan anual de auditoria para realizar el informe de ley o coordinar el cargue en los aplicativos del ente del control, cada vez que realiza un informe o lo coordina;  verifica que los líderes de procesos responsables del reporte de información, designen en personal de planta, diligenciamiento de la información solicitada en formatos y sus respectivos anexos,  con el fin de asegurar que realicen adecuadamente la validación de la información  dentro de los plazos establecidos  en los aplicativos dispuestos por el ente de control; para ello cada auditor proyecta  una circular solicitando a los líderes de proceso que asignen la responsabilidad del reporte de la información solicitada, en personal de planta, con el fin de garantizar la calidad y  oportunidad del reporte del informe al ente de control. Fijando como fecha límite para el reporte 7 días previos al vencimiento del término. En el caso de detectar que el reporte no esté a cargo de personal de planta, se reitera el cumplimiento de esta directriz. Como evidencia de ejecución de control queda la circular proyectada, la respuesta emitida por la unidad administrativa citando el nombre y cargo del funcionario asignado y el memorando del reiterado si fue necesario.</t>
  </si>
  <si>
    <t>A4,7,11F8 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reportes a entes de control solicitados por la Oficina de Control Interno, atención a las recomendaciones de la Oficina de Control Interno y la oportunidad en la entrega de la información sobre los requerimientos generados por la Oficina.</t>
  </si>
  <si>
    <t>Jefe de Coordinación de Control Interno</t>
  </si>
  <si>
    <t>01/01/2025 al 31/12/2025</t>
  </si>
  <si>
    <t>07/03/2025
09/05/2025
04/07/2025
05/09/2025
07/11/2025</t>
  </si>
  <si>
    <t>Enero - Febrero: En el periodo de seguimiento no se realizo comité de coordinacion de control interno, estos se encuentran programados a realizarse con periodicidad trimestral vencida.</t>
  </si>
  <si>
    <t>El profesional especializado asignado para diligenciar y actualizar la matriz del normograma del proceso:  Gestión de evaluación y seguimiento, deberá informar al jefe de la oficina,   cada vez que se presenten cambios normativos que requieran  la generación de nuevos  informes, con el fin de  ajustar o actualizar   el plan de Anual de Auditoria   confrontando  la fecha de emisión del informe con la disponibilidad del personal en el cronograma del plan anual de auditoria, para  asignar  el responsable de elaborar el nuevo  informe; garantizando la emisión  oportuna del mismo al ente de control;   en caso de no contar con personal disponible o el perfil indicado  la  jefe   solicita a la Dirección de Talento Humano la asignación de personal idóneo para  elaborar  el informe o gestionar  la  contratación de personal.  Como evidencia queda el Plan  Anual de auditoria ajustado y  publicado en la web, el acta de Comité de Coordinación de Control Interno que registre la aprobación de la actualización  del Plan, el  informe generado publicado en la web y el  memorando de solicitud de personal idóneo para elaborar el informe.</t>
  </si>
  <si>
    <t xml:space="preserve">D8,12,O19 Consultar los cambios normativos que aplican a control interno socializados en el grupo WhatsApp Mi Tolima y darlos a conocer al equipo de control interno y en caso que la jefe de la Oficina lo considere necesario solicitar a talento humano capacitación y multiplicarla a los compañeros de trabajo. </t>
  </si>
  <si>
    <t>Enero - Febrero: El dia 8 de enero se envio al correo Electronico de la Direccion de Fortalecimiento - SIGAMI, el normograma actualizado con el registro del Decreto No. 1122 de 2024.</t>
  </si>
  <si>
    <t>Los auditores responsables de la elaboración de los informes de ley, al momento de generar el informe, emitir una circular a las áreas correspondientes, relacionando el reporte que debe presentarse y estableciendo la fecha límite para la emisión de la respuesta al requerimiento. Esta fecha debe fijarse con al menos 7 días hábiles previos al vencimiento del plazo establecido por la normativa, con el objetivo de asegurar que el informe o reporte se cargue oportunamente al ente de control. Para determinar la fecha de entrega de la información por parte de las unidades administrativas, se debe confrontar la fecha límite para la emisión del reporte con la fecha establecida por el ente de control, de modo que se disponga del tiempo necesario para solicitar una prórroga, en caso de ser necesario.
Vencido el plazo establecido, el auditor debe consultar el aplicativo de correspondencia PISAMI y, al mismo tiempo, coordinar con el auxiliar administrativo para verificar si la información solicitada ha sido recibida. Si la respuesta es afirmativa, se procederá a realizar las actividades necesarias para generar el informe. En caso contrario, se deberá comunicar a jefe el estado del requerimiento para que gestione la entrega inmediata de la información.
Como evidencia de la ejecución del control, se deberá dejar constancia de lo siguiente: el memorando o circular que respalda el requerimiento oportuno de la información y la información recibida, la cual debe ser incluida en los expedientes de la serie documental asociada a los respectivos informes. En caso de desviación, se generará evidencia de la reiteración del requerimiento mediante el correo institucional de la Oficina y/o el aplicativo de correspondencia PISAMI, si se ha reiterado mediante memorando.</t>
  </si>
  <si>
    <t xml:space="preserve">A12,F8 Recomendar a la alta dirección en el Comité de Coordinación de Control Interno, asignar en personal de planta el responsable de la consulta diaria de la correspondencia y los correos institucionales; con el fin de emitir respuesta oportuna a los requerimientos de la oficina y evitar sanciones por respuesta inoportuna a los entes de control.  </t>
  </si>
  <si>
    <t xml:space="preserve">El auditor responsable de elaborar el informe, conforme al plazo establecido por el ente de control 3) previene la  emisión  inoportuna  del informe, por fallas en los aplicativos,  confrontando  la fecha limite para el cargue del informe en los aplicativos dispuestos por los entes de control  VERSUS la fecha establecida el organismo de control para  la solicitud de prórroga;  con el fin de asegurar que la falla presentada no afecte la oportunidad del cargue del informe, dejando como registro los pantallazos de las fallas en el aplicativo.  Si las fallas se presentan dentro del rango de los 7 días previos a la fecha establecida por el ente control para el reporte, se solicita prórroga para el reporte,  adjuntando el registro de los pantallazos;  con el fin de justificar y obtener  la disponibilidad del aplicativo para realizar el cargue 6) como evidencia queda el oficio de solicitud de prórroga, la respuesta emitida por el ente de control y el log de cargue del informe o reporte.  </t>
  </si>
  <si>
    <t>A3, A10, 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 su vez, las resoluciones vigentes para rendir el informe.</t>
  </si>
  <si>
    <t>Enero - Febrero: Durante este periodo se cargó en plataforma tecnológica el informe SIREC, rendición de la cuenta anual vig 2024, Control Interno Contable, Reporte de obras inconclusas y no se presentó fallas en los aplicativos.</t>
  </si>
  <si>
    <t xml:space="preserve">Incumplimiento del  rol de liderazgo estratégico </t>
  </si>
  <si>
    <t>Socialización inoportuna de los informes emitidos por la Oficina  en  el  Comité de Coordinación de Control Interno.</t>
  </si>
  <si>
    <r>
      <rPr>
        <sz val="11"/>
        <color rgb="FFFF0000"/>
        <rFont val="Arial Narrow"/>
        <family val="2"/>
      </rPr>
      <t>Posibilidad de</t>
    </r>
    <r>
      <rPr>
        <sz val="11"/>
        <rFont val="Arial Narrow"/>
        <family val="2"/>
      </rPr>
      <t xml:space="preserve"> afectación reputacional  </t>
    </r>
    <r>
      <rPr>
        <sz val="11"/>
        <color rgb="FFFF0000"/>
        <rFont val="Arial Narrow"/>
        <family val="2"/>
      </rPr>
      <t>por</t>
    </r>
    <r>
      <rPr>
        <sz val="11"/>
        <rFont val="Arial Narrow"/>
        <family val="2"/>
      </rPr>
      <t xml:space="preserve"> incumplimiento del rol  de liderazgo estratégico, </t>
    </r>
    <r>
      <rPr>
        <sz val="11"/>
        <color rgb="FFFF0000"/>
        <rFont val="Arial Narrow"/>
        <family val="2"/>
      </rPr>
      <t xml:space="preserve">debido a </t>
    </r>
    <r>
      <rPr>
        <sz val="11"/>
        <rFont val="Arial Narrow"/>
        <family val="2"/>
      </rPr>
      <t xml:space="preserve"> la  socialización  inoportuna de los informes emitidos por la Oficina   en el Comité  de  Coordinación de Control Interno. </t>
    </r>
  </si>
  <si>
    <t xml:space="preserve">Procedimiento liderazgo estratégico </t>
  </si>
  <si>
    <t>Ejecución y Administración de procesos</t>
  </si>
  <si>
    <t>El Profesional especializado y el jefe de control interno 2. Para elaborar el orden del día a tratar en el comité de coordinación de control interno 3. verifica que los informes programados   a realizar en el plan Anual de Auditoria en el trimestre previo a la realización del comité, se encuentren elaborados 4. Para ello consulta en el Plan Anual de Auditoria qué informes se encuentran programados a realizar entre la fecha del último comité y la definida para el siguiente comité y los confronta con los que se encuentran elaborados, durante el mismo periodo usando como fuente de información el aplicativo PISAMI, el Link de transparencia y los expedientes Físicos, con el fin de asegurar la disponibilidad de los informes para la socialización a la Alta dirección en el Comité.   Acto seguido genera el orden del día con los informes a socializar y convoca al Comité de Coordinación de Control Interno5. No obstante, si se presenta diferencia entre los informes programados a realizar en el PAA   VS los informes realizados; procede a realizar comité extraordinario en fecha posterior al Comité ordinario, o se incluyen junto a los que se deben socializar en el próximo comité.  6.  Como evidencia de ejecución quedan las actas de comité técnico de la oficina de control interno, la hoja de vida del indicador descrito: Índice de informes socializados y las actas del comité de coordinación de control interno.</t>
  </si>
  <si>
    <t xml:space="preserve">D11,O14,F6,10  Establecer el orden del día del Comité de Coordinación de Control Interno previa consulta de la aplicación trimestral del indicador  índice de informes socializados en el Comité y el acta anterior del comité. </t>
  </si>
  <si>
    <t>Líderes de proceso asignando   en personal vinculado mediante contrato de prestación de servicios la responsabilidad de reportes de ley a los entes de control, y a su vez, la emisión de respuestas a los requerimientos de dichos entes.</t>
  </si>
  <si>
    <t xml:space="preserve">Desconocimiento del personal adscrito a la Oficina de control interno de los  cambios normativos que impliquen  nuevos informes a cargo de la Oficina  o modificaciones a la periodicidad del reporte de los informes de ley. </t>
  </si>
  <si>
    <t>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</si>
  <si>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t>Entidades públicas realizando cargue  de informes de ley  a través de aplicativos de entes de control,  de forma simultanea. (Control interno contable, derechos de autor y furag)</t>
  </si>
  <si>
    <t xml:space="preserve">Olvido de los informes  generados  por la Oficina de control interno  y  pendientes de socialización  a la Alta Dirección  en el Comité de Coordinación de Control Interno, en el momento previo a la  convocatoria  para la  elaboración del orden del dia. </t>
  </si>
  <si>
    <t>Se lleva a cabo el seguimiento a los contratos mediante la herramienta interna "Matriz Contractual de Enero a Abril de 2025"</t>
  </si>
  <si>
    <t>Acta No.010 del 4 de marzo de 2025 Comité Técnico
Acta No. 012 del 17 de Marzo de 2025 Comité Técnico
Acta No. 015 del 7 de abril de 2025 Comité Técnico
Acta No. 016 del  21 de Abril de 2025 Comité Técnico</t>
  </si>
  <si>
    <t xml:space="preserve">Informes avance AMISALUD
</t>
  </si>
  <si>
    <t>SECRETARIA DE HACIENDA PUBLICA MUNICIPAL</t>
  </si>
  <si>
    <t xml:space="preserve">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</si>
  <si>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t>INICIA CON LA PLANEACIÓN DEL PROCESO PARA EL CUATRENIO, TENIENDO EN CUENTA EL MARCO FISCAL A MEDIANO PLAZO (MFMP) Y EL PLAN DE DESARROLLO MUNICIPAL, HASTA EL SEGUIMIENTO Y EVALUACIÓN DEL PROCESO. POSTERIORMENTE REALIZA EL TRÁMITE DE RECURSOS EN LA APROPIACIÓN Y ARMONIZACIÓN DE LA EJECUCIÓN DEL PRESUPUESTO MUNICIPAL, PASANDO POR LA RECEPCIÓN, CAUSACION Y REALIZACIÓN DE PAGOS DE COMPROMISOS ADQUIRIDOS POR EL MUNICIPIO, LLEVANDO LOS REGISTROS DE INGRESOS, COORDINANDO EL SEGUIMIENTO, CONTROL Y COBRO DE LA CARTERA MUNICIPAL. A SU VEZ REALIZA EL RECAUDO Y FISCALIZACIÓN DE LAS RENTAS, FINALIZANDO CON EL ANÁLISIS Y REALIZACIÓN DE LOS ESTADOS DE ACTIVIDAD FINANCIERA, ECONÓMICA Y SOCIAL DEL MUNICIPIO DE IBAGUÉ.</t>
  </si>
  <si>
    <t>Baja calificación en los indicadores de desempeño fiscal, pérdida de confianza de los ciudadanos hacia la administración y posible reducción en las asignaciones de recursos del Sistema General de Participacion - SGP</t>
  </si>
  <si>
    <t>Baja ejecución presupuestal de gastos de inversión del Municipio de parte de las Secretarias Ejecutor</t>
  </si>
  <si>
    <r>
      <rPr>
        <b/>
        <sz val="10"/>
        <color rgb="FFFF0000"/>
        <rFont val="Arial Narrow"/>
        <family val="2"/>
      </rPr>
      <t>1. Posibilidad de pérdida reputacional y económia</t>
    </r>
    <r>
      <rPr>
        <b/>
        <sz val="10"/>
        <rFont val="Arial Narrow"/>
        <family val="2"/>
      </rPr>
      <t xml:space="preserve"> </t>
    </r>
    <r>
      <rPr>
        <b/>
        <sz val="10"/>
        <color rgb="FFFF9900"/>
        <rFont val="Arial Narrow"/>
        <family val="2"/>
      </rPr>
      <t>por</t>
    </r>
    <r>
      <rPr>
        <b/>
        <sz val="10"/>
        <rFont val="Arial Narrow"/>
        <family val="2"/>
      </rPr>
      <t xml:space="preserve">  </t>
    </r>
    <r>
      <rPr>
        <b/>
        <sz val="10"/>
        <color rgb="FF0070C0"/>
        <rFont val="Arial Narrow"/>
        <family val="2"/>
      </rPr>
      <t>baja calificación en los indicadores de desempeño fiscal, pérdida de confianza de los ciudadanos hacia la administración y posible reducción en las asignaciones de recursos del Sistema General de Participacion - SGP,</t>
    </r>
    <r>
      <rPr>
        <b/>
        <sz val="10"/>
        <rFont val="Arial Narrow"/>
        <family val="2"/>
      </rPr>
      <t xml:space="preserve">  </t>
    </r>
    <r>
      <rPr>
        <b/>
        <sz val="10"/>
        <color rgb="FFFF9900"/>
        <rFont val="Arial Narrow"/>
        <family val="2"/>
      </rPr>
      <t xml:space="preserve"> debido a </t>
    </r>
    <r>
      <rPr>
        <b/>
        <sz val="10"/>
        <color rgb="FF00B050"/>
        <rFont val="Arial Narrow"/>
        <family val="2"/>
      </rPr>
      <t>baja ejecución presupuestal de gastos de inversión del Municipio de parte de las Secretarias Ejecutora</t>
    </r>
  </si>
  <si>
    <t>Ejecución y administración del presupuesto de las Secretarías Ejecutoras</t>
  </si>
  <si>
    <t xml:space="preserve">     Mayor a 10000 SMLMV</t>
  </si>
  <si>
    <r>
      <t>Se enviará</t>
    </r>
    <r>
      <rPr>
        <b/>
        <sz val="10"/>
        <color rgb="FF00B050"/>
        <rFont val="Arial Narrow"/>
        <family val="2"/>
      </rPr>
      <t xml:space="preserve"> circular mensualmente</t>
    </r>
    <r>
      <rPr>
        <sz val="10"/>
        <color theme="1"/>
        <rFont val="Arial Narrow"/>
        <family val="2"/>
      </rPr>
      <t xml:space="preserve"> a las Secretaría Ejecutoras que tengan saldos pendientes por ejecutar para que liberen los saldos o los ejecuten y se remitirá  trimestralmente el INFORME EJECUTIVO  DE LA EJECUCIÓN PRESUPUESTAL DE GASTOS  al Secretario de Hacienda, para presentarlo ante la Alta Dirección en el  Comite de Coordinación de Control Interno.</t>
    </r>
  </si>
  <si>
    <t>DIRECTOR DE PRESUPUESTO</t>
  </si>
  <si>
    <t>Pérdida de memoria institucional y sanciones disciplinarias, fiscales y administrativa</t>
  </si>
  <si>
    <r>
      <t xml:space="preserve">
</t>
    </r>
    <r>
      <rPr>
        <b/>
        <sz val="10"/>
        <color rgb="FF00B050"/>
        <rFont val="Arial Narrow"/>
        <family val="2"/>
      </rPr>
      <t xml:space="preserve"> Pérdida de información en los expedientes de los procesos de Gestión de Hacienda pública</t>
    </r>
  </si>
  <si>
    <r>
      <rPr>
        <b/>
        <sz val="10"/>
        <color rgb="FFFF0000"/>
        <rFont val="Arial Narrow"/>
        <family val="2"/>
      </rPr>
      <t>2. Posibilidad de pérdida económica y reputacional</t>
    </r>
    <r>
      <rPr>
        <b/>
        <sz val="10"/>
        <rFont val="Arial Narrow"/>
        <family val="2"/>
      </rPr>
      <t xml:space="preserve"> </t>
    </r>
    <r>
      <rPr>
        <b/>
        <sz val="10"/>
        <color rgb="FFFF9900"/>
        <rFont val="Arial Narrow"/>
        <family val="2"/>
      </rPr>
      <t xml:space="preserve">por  </t>
    </r>
    <r>
      <rPr>
        <b/>
        <sz val="10"/>
        <color rgb="FF0070C0"/>
        <rFont val="Arial Narrow"/>
        <family val="2"/>
      </rPr>
      <t xml:space="preserve">pérdida de memoria institucional y sanciones disciplinarias, fiscales y administrativas </t>
    </r>
    <r>
      <rPr>
        <b/>
        <sz val="10"/>
        <color rgb="FFFF9900"/>
        <rFont val="Arial Narrow"/>
        <family val="2"/>
      </rPr>
      <t>debido a</t>
    </r>
    <r>
      <rPr>
        <b/>
        <sz val="10"/>
        <color rgb="FF00B050"/>
        <rFont val="Arial Narrow"/>
        <family val="2"/>
      </rPr>
      <t xml:space="preserve"> la  Pérdida de información en los expedientes de los procesos de Gestión de Hacienda pública</t>
    </r>
  </si>
  <si>
    <t>Custodia del archivo físico y digital de los expedientes de Gestión de Hacienda Pública</t>
  </si>
  <si>
    <r>
      <t xml:space="preserve">El Profesional Universitado y/o técnico Operativo responsable de los archivos de Gestión Documental: Carteras de Transito, Predial, ICA y Otras Multas, deberan presentar </t>
    </r>
    <r>
      <rPr>
        <b/>
        <sz val="10"/>
        <color theme="1"/>
        <rFont val="Arial Narrow"/>
        <family val="2"/>
      </rPr>
      <t xml:space="preserve">mensualmente </t>
    </r>
    <r>
      <rPr>
        <sz val="10"/>
        <color theme="1"/>
        <rFont val="Arial Narrow"/>
        <family val="2"/>
      </rPr>
      <t xml:space="preserve">al Director de Tesorería un informe de, control de prestamo y devolución de Expedientes. 
Este Informe debe contener la trazabilidad del control realizado a los expedientes que superen el plazo máximo de Devolución. </t>
    </r>
  </si>
  <si>
    <t>DIRECTOR DE TESORERIA</t>
  </si>
  <si>
    <t>sanciones disciplinarias  y administrativas</t>
  </si>
  <si>
    <t>Deficiencia en la aplicación de los cambios normativos para entidades del gobiern</t>
  </si>
  <si>
    <r>
      <rPr>
        <b/>
        <sz val="10"/>
        <color rgb="FFFF0000"/>
        <rFont val="Arial Narrow"/>
        <family val="2"/>
      </rPr>
      <t>3. Posibilidad de pérdida reputacional</t>
    </r>
    <r>
      <rPr>
        <b/>
        <sz val="10"/>
        <rFont val="Arial Narrow"/>
        <family val="2"/>
      </rPr>
      <t xml:space="preserve"> </t>
    </r>
    <r>
      <rPr>
        <b/>
        <sz val="10"/>
        <color rgb="FFFF9900"/>
        <rFont val="Arial Narrow"/>
        <family val="2"/>
      </rPr>
      <t>por</t>
    </r>
    <r>
      <rPr>
        <b/>
        <sz val="10"/>
        <rFont val="Arial Narrow"/>
        <family val="2"/>
      </rPr>
      <t xml:space="preserve"> </t>
    </r>
    <r>
      <rPr>
        <b/>
        <sz val="10"/>
        <color rgb="FF002060"/>
        <rFont val="Arial Narrow"/>
        <family val="2"/>
      </rPr>
      <t>sanciones disciplinarias  y administrativas</t>
    </r>
    <r>
      <rPr>
        <b/>
        <sz val="10"/>
        <rFont val="Arial Narrow"/>
        <family val="2"/>
      </rPr>
      <t xml:space="preserve">  </t>
    </r>
    <r>
      <rPr>
        <b/>
        <sz val="10"/>
        <color rgb="FFFF9900"/>
        <rFont val="Arial Narrow"/>
        <family val="2"/>
      </rPr>
      <t xml:space="preserve">debido a </t>
    </r>
    <r>
      <rPr>
        <b/>
        <sz val="10"/>
        <rFont val="Arial Narrow"/>
        <family val="2"/>
      </rPr>
      <t xml:space="preserve"> </t>
    </r>
    <r>
      <rPr>
        <b/>
        <sz val="10"/>
        <color rgb="FF00B050"/>
        <rFont val="Arial Narrow"/>
        <family val="2"/>
      </rPr>
      <t>deficiencia en la aplicación de los cambios normativos para entidades del gobierno</t>
    </r>
  </si>
  <si>
    <t>actualización de los documentos y normograma</t>
  </si>
  <si>
    <r>
      <t>Cada Director o de maneja conjunta,  socializarán a su equipo de trabajo</t>
    </r>
    <r>
      <rPr>
        <b/>
        <sz val="10"/>
        <color theme="1"/>
        <rFont val="Arial Narrow"/>
        <family val="2"/>
      </rPr>
      <t xml:space="preserve"> los documentos actualizados </t>
    </r>
    <r>
      <rPr>
        <sz val="10"/>
        <color theme="1"/>
        <rFont val="Arial Narrow"/>
        <family val="2"/>
      </rPr>
      <t xml:space="preserve">que hacen parte de su actividad diaria para promover el mejoramiento continuo de su proceso, dejando como evidencias </t>
    </r>
    <r>
      <rPr>
        <b/>
        <sz val="10"/>
        <color theme="1"/>
        <rFont val="Arial Narrow"/>
        <family val="2"/>
      </rPr>
      <t>actas o circulares.</t>
    </r>
  </si>
  <si>
    <t xml:space="preserve">SECRETARIO DE HACIENDA 
Y/O 
DIRECTORES </t>
  </si>
  <si>
    <t>sanciones disciplinarias  y/o administrativas</t>
  </si>
  <si>
    <r>
      <rPr>
        <b/>
        <sz val="10"/>
        <color rgb="FF00B050"/>
        <rFont val="Arial Narrow"/>
        <family val="2"/>
      </rPr>
      <t>falta de incorporación de recursos que no pudiesen ser incorporados como supe</t>
    </r>
    <r>
      <rPr>
        <sz val="10"/>
        <color theme="1"/>
        <rFont val="Arial Narrow"/>
        <family val="2"/>
      </rPr>
      <t>ravit.</t>
    </r>
  </si>
  <si>
    <r>
      <rPr>
        <b/>
        <sz val="10"/>
        <color rgb="FFFF0000"/>
        <rFont val="Arial Narrow"/>
        <family val="2"/>
      </rPr>
      <t>4. Posibilidad de perdida reputacional</t>
    </r>
    <r>
      <rPr>
        <b/>
        <sz val="10"/>
        <rFont val="Arial Narrow"/>
        <family val="2"/>
      </rPr>
      <t xml:space="preserve"> </t>
    </r>
    <r>
      <rPr>
        <b/>
        <sz val="10"/>
        <color rgb="FFFF9900"/>
        <rFont val="Arial Narrow"/>
        <family val="2"/>
      </rPr>
      <t>por</t>
    </r>
    <r>
      <rPr>
        <b/>
        <sz val="10"/>
        <rFont val="Arial Narrow"/>
        <family val="2"/>
      </rPr>
      <t xml:space="preserve"> s</t>
    </r>
    <r>
      <rPr>
        <b/>
        <sz val="10"/>
        <color rgb="FF0070C0"/>
        <rFont val="Arial Narrow"/>
        <family val="2"/>
      </rPr>
      <t>anciones disciplinarias y administrativas</t>
    </r>
    <r>
      <rPr>
        <b/>
        <sz val="10"/>
        <rFont val="Arial Narrow"/>
        <family val="2"/>
      </rPr>
      <t xml:space="preserve"> </t>
    </r>
    <r>
      <rPr>
        <b/>
        <sz val="10"/>
        <color rgb="FFFF9900"/>
        <rFont val="Arial Narrow"/>
        <family val="2"/>
      </rPr>
      <t>debido a</t>
    </r>
    <r>
      <rPr>
        <b/>
        <sz val="10"/>
        <color rgb="FF00B050"/>
        <rFont val="Arial Narrow"/>
        <family val="2"/>
      </rPr>
      <t xml:space="preserve"> la falta de incorporación de recursos que no pudiesen ser incorporados como superavit</t>
    </r>
  </si>
  <si>
    <t>Certificaciones superavit y de cuentas bancarias</t>
  </si>
  <si>
    <t xml:space="preserve">     El riesgo afecta la imagen de alguna área de la organización</t>
  </si>
  <si>
    <r>
      <t xml:space="preserve">El Director de tesoreria citará a mesa de trabajo en el </t>
    </r>
    <r>
      <rPr>
        <b/>
        <sz val="10"/>
        <color theme="1"/>
        <rFont val="Arial Narrow"/>
        <family val="2"/>
      </rPr>
      <t xml:space="preserve">mes de Febrero de la vigencia inmediatamente siguiente al cierre fiscal, </t>
    </r>
    <r>
      <rPr>
        <sz val="10"/>
        <color theme="1"/>
        <rFont val="Arial Narrow"/>
        <family val="2"/>
      </rPr>
      <t>a las Direcciones de Presupuesto y  Contabilidad, con el fin de revisar  y programar el cierre fiscal de la vigencia, dejando como evidencia una</t>
    </r>
    <r>
      <rPr>
        <b/>
        <sz val="10"/>
        <color theme="1"/>
        <rFont val="Arial Narrow"/>
        <family val="2"/>
      </rPr>
      <t xml:space="preserve"> (1) acta anual.</t>
    </r>
  </si>
  <si>
    <t xml:space="preserve">Deudas a favor de la entidad </t>
  </si>
  <si>
    <t xml:space="preserve">Vencimiento de plazos para la labor de cobro directo (persuasivo o coactivo) o judicial </t>
  </si>
  <si>
    <r>
      <rPr>
        <b/>
        <sz val="10"/>
        <color rgb="FFFF0000"/>
        <rFont val="Arial Narrow"/>
        <family val="2"/>
      </rPr>
      <t>5, Posibilidad de perdida reputacional y economica</t>
    </r>
    <r>
      <rPr>
        <b/>
        <sz val="10"/>
        <color rgb="FF0070C0"/>
        <rFont val="Arial Narrow"/>
        <family val="2"/>
      </rPr>
      <t xml:space="preserve"> </t>
    </r>
    <r>
      <rPr>
        <b/>
        <sz val="10"/>
        <color theme="9" tint="-0.249977111117893"/>
        <rFont val="Arial Narrow"/>
        <family val="2"/>
      </rPr>
      <t>por</t>
    </r>
    <r>
      <rPr>
        <b/>
        <sz val="10"/>
        <color rgb="FF0070C0"/>
        <rFont val="Arial Narrow"/>
        <family val="2"/>
      </rPr>
      <t xml:space="preserve"> Deudas a favor de la entidad </t>
    </r>
    <r>
      <rPr>
        <b/>
        <sz val="10"/>
        <rFont val="Arial Narrow"/>
        <family val="2"/>
      </rPr>
      <t xml:space="preserve"> </t>
    </r>
    <r>
      <rPr>
        <b/>
        <sz val="10"/>
        <color rgb="FFFF9900"/>
        <rFont val="Arial Narrow"/>
        <family val="2"/>
      </rPr>
      <t>de</t>
    </r>
    <r>
      <rPr>
        <b/>
        <sz val="10"/>
        <color rgb="FFFFC000"/>
        <rFont val="Arial Narrow"/>
        <family val="2"/>
      </rPr>
      <t>bido a</t>
    </r>
    <r>
      <rPr>
        <b/>
        <sz val="10"/>
        <rFont val="Arial Narrow"/>
        <family val="2"/>
      </rPr>
      <t xml:space="preserve"> </t>
    </r>
    <r>
      <rPr>
        <b/>
        <sz val="10"/>
        <color rgb="FF00B050"/>
        <rFont val="Arial Narrow"/>
        <family val="2"/>
      </rPr>
      <t>Vencimiento de plazos para la labor de cobro directo (persuasivo o coactivo) o judicial</t>
    </r>
  </si>
  <si>
    <t>Aplicación del procedimiento PRO-GHP-05 FACTURACION  Impuesto Predial Unificado.</t>
  </si>
  <si>
    <t xml:space="preserve">     Entre 200 y 1000 SMLMV</t>
  </si>
  <si>
    <t>Constitución y trámite Tributario establecido para los TÍTULOS EJECUTIVOS a Cobro Coactivo – Cartera. Concepto: Impuesto Predial Unificado evidenciado en la matriz del plan de accion de gestion de la vigencia y los memorandos de remision de expedientes de la cartera a cobro coactivo.</t>
  </si>
  <si>
    <t>DIRECTOR DE RENTAS</t>
  </si>
  <si>
    <t>Al inicio de los procesos coactivos de la cartera del municipio</t>
  </si>
  <si>
    <t xml:space="preserve">     Entre 5000 y 10000 SMLMV</t>
  </si>
  <si>
    <t>El Profesional Especializado, profesional Universitario y/o técnico Operativo responsable de las áreas de impulso Transito, Predial e ICA, y otras multas, deberán presentar trimestralmente al Director de Tesorería un informe donde se determinen los mandamientos de pago efectuados y el trámite de las notificaciones de los mismos y de igual forma los embargos efectuados y el valor de los mismos.</t>
  </si>
  <si>
    <t xml:space="preserve">Pagos efectuados a contratistas </t>
  </si>
  <si>
    <t xml:space="preserve">Inadecuada deducción de impuestos, tasas o contribuciones al contratista </t>
  </si>
  <si>
    <r>
      <t xml:space="preserve">6, </t>
    </r>
    <r>
      <rPr>
        <sz val="11"/>
        <color rgb="FFFF0000"/>
        <rFont val="Arial Narrow"/>
        <family val="2"/>
      </rPr>
      <t xml:space="preserve">Posibilidad de perdida reputacional y economica </t>
    </r>
    <r>
      <rPr>
        <b/>
        <sz val="11"/>
        <color theme="9" tint="-0.249977111117893"/>
        <rFont val="Arial Narrow"/>
        <family val="2"/>
      </rPr>
      <t xml:space="preserve">por </t>
    </r>
    <r>
      <rPr>
        <b/>
        <sz val="11"/>
        <color rgb="FF0070C0"/>
        <rFont val="Arial Narrow"/>
        <family val="2"/>
      </rPr>
      <t xml:space="preserve">Pagos efectuados a contratistas </t>
    </r>
    <r>
      <rPr>
        <sz val="11"/>
        <color theme="9" tint="-0.249977111117893"/>
        <rFont val="Arial Narrow"/>
        <family val="2"/>
      </rPr>
      <t xml:space="preserve">debido a </t>
    </r>
    <r>
      <rPr>
        <b/>
        <sz val="11"/>
        <color rgb="FF00B050"/>
        <rFont val="Arial Narrow"/>
        <family val="2"/>
      </rPr>
      <t xml:space="preserve">Inadecuada deducción de impuestos, tasas o contribuciones al contratista </t>
    </r>
  </si>
  <si>
    <r>
      <t xml:space="preserve">Revisar documentos soportes y deducciones de Ordenes de Prestación de Servicios Profesionales y de Apoyo a la Gestión y Órdenes de Pago de otras tipologías contractuales. </t>
    </r>
    <r>
      <rPr>
        <b/>
        <sz val="10"/>
        <rFont val="Arial Narrow"/>
        <family val="2"/>
      </rPr>
      <t>PRO-GHP-008</t>
    </r>
    <r>
      <rPr>
        <sz val="10"/>
        <rFont val="Arial Narrow"/>
        <family val="2"/>
      </rPr>
      <t xml:space="preserve">
</t>
    </r>
  </si>
  <si>
    <t>El director de presupuesto solicitará trimestralmente a los profesionales del Grupo Central de Cuentas un informe de las causales de devolución reportadas por las areas que intervienen posteriormente en el procedimiento de revisión de documentos y ordenes de pago, identificando el tipo de causal, el numero de veces y el nombre de quien generó la devolución.  De este trabajo decidirá si es necesario reforzar el conocimiento del grupo de apoyo identificando los temas necesarios a fortalecer.</t>
  </si>
  <si>
    <t>GESTION JURIDICA Y MEJORA NORMATIVA</t>
  </si>
  <si>
    <t>ASUMIR Y EJERCER LA TOTALIDAD DE LA DEFENSA JURÍDICA DEL MUNICIPIO DE IBAGUÉ, A PARTIR DE LA REPRESENTACIÓN JUDICIAL, EXTRAJUDICIAL O ADMINISTRATIVA Y LA ASESORÍA SISTEMÁTICA Y PERMANENTE DE LAS ACTUACIONES DE LA ADMINISTRACIÓN CENTRAL, EN ARAS DE LA PROTECCIÓN DEL PATRIMONIO PÚBLICO Y SALVAGUARDA DEL ORDENAMIENTO JURÍDICO.</t>
  </si>
  <si>
    <t>INICIA CON LA PLANEACIÓN DEL PROCESO, CONTINUA CON EL ACOMPAÑAMIENTO Y EL SOPORTE LEGAL EN TODAS LAS ACTUACIONES Y DECISIONES QUE SE TOMEN A NIVEL DE LA ADMINISTRACIÓN CENTRAL MUNICIPAL, LA REPRESENTACIÓN JUDICIAL, EXTRAJUDICIAL O ADMINISTRATIVA, LA NOTIFICACIÓN DE ACCIONES JUDICIALES QUE INVOLUCREN A LA ENTIDAD O LA INTERPOSICION DE ACCIONES JUDICIALES EN DEFENSA DE LOS INTERESES DE LA ENTIDAD, Y LA SENTENCIA DEBIDAMENTE EJECUTORIADA HASTA LA ADOPCIÓN DE LA DECISIÓN PROFERIDA POR LA AUTORIDAD COMPETENTE, EL SEGUIMIENTO A SU CUMPLIMIENTO Y EL PAGO DE LAS SUMAS DE DINERO PRODUCTO DE CONDENAS. FINALIZA CON EL SEGUIMIENTO Y EVALUACIÓN DEL PROCESO.</t>
  </si>
  <si>
    <t xml:space="preserve">SEGUIMIENTO ENERO - FEBRRO </t>
  </si>
  <si>
    <t>Sanciones Disciplinarias, penales y administrativas -  incidentes de desacato</t>
  </si>
  <si>
    <t>No cumplimiento de las decisiones impartidas por los  despachos judiciales</t>
  </si>
  <si>
    <t>Gestión inoportuna para dar cumplimiento a las providencias  por parte de los Secretarios de Despacho</t>
  </si>
  <si>
    <t xml:space="preserve">posibilidad de perdida economica y reputacional, por sanciones disciplinarias e incidente de desacato, debido a la Gestión inoportuna para dar cumplimiento a las providencias  por parte de los Secretarios de Despacho </t>
  </si>
  <si>
    <t xml:space="preserve">EFECTUAR SEGUIMIENTO AL CUMPLIMIENTO DEL FALLO CONDENATORIO  PRO-GJ-001 
EJERCER LA REPRESENTACIÓN DEL MUNICIPIO EN EL PROCESO JUDICIAL  PRO-GJ-001 
REALIZAR ASESORÍA Y ACOMPAÑAMIENTO JURÍDICO PRO-GJ-003
                          </t>
  </si>
  <si>
    <r>
      <t xml:space="preserve">Frente a la presente Actividad, y De acuerdo a lo previsto durante el monitoreo y revisión del Mapa de riesgos de gestion  de la Oficina Jurídica, se realizo la  siguiente AUTOEVALUCION: para esta actividad de control, y durante el mes de </t>
    </r>
    <r>
      <rPr>
        <b/>
        <sz val="10"/>
        <color theme="1"/>
        <rFont val="Arial"/>
        <family val="2"/>
      </rPr>
      <t>ENERO:</t>
    </r>
    <r>
      <rPr>
        <sz val="10"/>
        <color theme="1"/>
        <rFont val="Arial"/>
        <family val="2"/>
      </rPr>
      <t xml:space="preserve"> la Oficina Juridica emitio 2 memorandos, solicitando el cumplimiento  a sentencias judiciales:
- MEMORANDO  No. 2025-003111 del 24/01/2025 Solicitando de manera urgente informe sobre el cumplimiento a fallo judicial dentro de la acción popular promovida por GUILLERMO PARRA OSORIO RAD 00257-2015, el cual fue contestado por parte de la secretaria de agricultura mediante el memorando No. 2200-003842
</t>
    </r>
    <r>
      <rPr>
        <b/>
        <sz val="10"/>
        <color theme="1"/>
        <rFont val="Arial"/>
        <family val="2"/>
      </rPr>
      <t xml:space="preserve">
</t>
    </r>
    <r>
      <rPr>
        <sz val="10"/>
        <color theme="1"/>
        <rFont val="Arial"/>
        <family val="2"/>
      </rPr>
      <t xml:space="preserve">- MEMORANDO  No. 2025-003073 del 23/01/2025 - Solicitud de manera urgente informe de actividades en cumplimiento a fallo judicial dentro de la acción popular promovida por GLORIA PATRICIA PIMIENTO GUZMAN Y OTROS RAD 00064-2011, .el cual fue contstado por la secretaria de infraestructura meiante el memorando No. 2300 - 03642 del 28 de enero de 2025. 
- MEMORANDO No. 2025-001994 del 17/01/2024- Solicitud de manera urgente informe de actividades en cumplimiento al fallo judicial dentro de la acción popular promovida por la DEFENSORIA DEL PUEBLO RAD 00015-2018..
- MEMOERANDO No. 2025-001278 del 15/01/2025 -Solicitud informe de gestiones adelantadas en cumplimiento del fallo judicial dentro de la acción popular promovida por WILSON LEAL ECHEVERRY RAD 02180-2004 Estación De Bomberos., memorando que fue contestado por la secretria de eudycacion, secretaria de ambiente y gestion e riesgo y la direccion de recurso fisicos. 
</t>
    </r>
    <r>
      <rPr>
        <b/>
        <sz val="10"/>
        <color theme="1"/>
        <rFont val="Arial"/>
        <family val="2"/>
      </rPr>
      <t>FEBRERO:</t>
    </r>
    <r>
      <rPr>
        <sz val="10"/>
        <color theme="1"/>
        <rFont val="Arial"/>
        <family val="2"/>
      </rPr>
      <t xml:space="preserve">   la oficina juridica  emitio 
- MEMORANDO No. 2025-007289 del 17/02/2025 - Solicitud de informacion requerida por el despacho judicial dentro de la accion popular promovida por GUILLERMO PARRA OSORIO RAD 00257-2015..
- MEMORANDO No. 2025-008631 del 24/02/2025 - solicitud avances de cumplimiento a fallo judicial dentro de la acción popular promovida por HERIBERTO BARRERA MENDOZA RAD 00181-2017, el cual fue contestado por la dirección y aplicación de la norma urbanística, mediante el memorando No. 11041 del 07/03/2025.. </t>
    </r>
  </si>
  <si>
    <t>Insuficiencia o inoportunidad en la entrega de informes y/o elementos materiales probatorios que se deban presentar en la actuaciones procesales por parte de las dependencias ejecutoras</t>
  </si>
  <si>
    <t xml:space="preserve">fallos desfavorables en los procesos judiciales </t>
  </si>
  <si>
    <t xml:space="preserve">inadecuada defensa juridica </t>
  </si>
  <si>
    <t xml:space="preserve">Ausencia de propuestas de defensa  al interor de cada caso en concreto </t>
  </si>
  <si>
    <t>Posibilidad de perdida econocmica y reputacional, por los fallos desfavorables en los procesos judiciales debido a la Ausencia de propuestas de defensa  al interor de cada caso en concreto y/o por falta de actualizacion de las normas y jurisprudencia aplicable a cada caso concreto.</t>
  </si>
  <si>
    <t xml:space="preserve">EFECTUAR SEGUIMIENTO AL CUMPLIMIENTO DEL FALLO CONDENATORIO  PRO-GJ-001 
</t>
  </si>
  <si>
    <t>la jefe de oficina junto con los asesores y contratistas que ejercen Representacion Judicial, verifican la aplicacion de la adecuada normatividad en el caso concreto, en un comite juridico cada dos meses, en el que se estudien los procesos mas relavantes y la normatividad aplicable a los procesos que cursen en la dependencia, dejando acta de lo socializado en el comite.</t>
  </si>
  <si>
    <t>De acuerdo a lo previsto durante el monitoreo y revisión del Mapa de riesgos de gestión de la Oficina Jurídica, durante el periodo de ENERO Y FEBRERO, se evidencia Comité Jurídico, realzado el 18 de febrero de 2025, convocado mediante memorando No. 1030-07094 del 17/02/2025, a todo el personal adscrito a la oficina, para llevar a cabo la socialización de los lineamientos del funcionamiento de la oficina.</t>
  </si>
  <si>
    <t>falta de actualizacion de las normas y jurisprudencia aplicable a cada caso concreto.</t>
  </si>
  <si>
    <t xml:space="preserve">
EJERCER LA REPRESENTACIÓN DEL MUNICIPIO EN EL PROCESO JUDICIAL  PRO-GJ-001 </t>
  </si>
  <si>
    <t>La Jefe de oficina juridica, junto con su equipo de tecnicos operativos  verifica en el sistema de control de procesos judiciales, disciplinarios y contratos de la alcaldia de Ibauge SOFTCON  si los apoderados judiciales  han realizado la valoracion de probabilidad de condena de los procesos que tienen a cargo., dejando como evidencia la actuacion registrada en SOFTCON.</t>
  </si>
  <si>
    <t xml:space="preserve">Frente a la presente Actividad y De acuerdo a lo previsto durante el monitoreo y revisión del Mapa de riesgos de gestion  de la Oficina Jurídica, el jefe de oficina mediante   MEMORANDO No. 2025-005588 del 06/02/2024 - solicito a los asesores de la oficina jurídica realizar la valoración de probabilidad de perdida de los procesos que tienen cada uno a su cargo y actualizacion a la plataforma softcon. </t>
  </si>
  <si>
    <t>Económico</t>
  </si>
  <si>
    <t>multas y/o sanciones de despachos judiciales y/o de entes de control</t>
  </si>
  <si>
    <t>Intereses moratorios por pago tardío de sentencias y conciliaciones</t>
  </si>
  <si>
    <t xml:space="preserve">que el apoderado judicial, no informe a tiempo sobre el pago de las condenas y/o acuerdos conciliatorios </t>
  </si>
  <si>
    <t>posibilidad de riesgo economico debido a las multas y/o sanciones de despachos judiciales y/o de entes de control, por Intereses moratorios por pago tardío de sentencias y conciliaciones</t>
  </si>
  <si>
    <t xml:space="preserve">EFECTUAR SEGUIMIENTO AL CUMPLIMIENTO DEL FALLO CONDENATORIO  PRO-GJ-001 </t>
  </si>
  <si>
    <t>La jefe de oficina jurídica mediante  un técnico operativo, validara en la plataforma PISAMI, una vez al mes, las solicitudes de pago por concepto de condenas y/o acuerdos conciliatorios, verificando que la documentación radicada por parte del demandante o apoderado, cumpla con lo establecido en el Decreto 607 de 2013, de igual manera se verificara en la plataforma PISAMI,  la radicación de sentencias ejecutoriadas, en la que se ordene el pago por condenas o acuerdos conciliatorios, por parte del juzgado de conocimiento.</t>
  </si>
  <si>
    <r>
      <t xml:space="preserve">De acuerdo a lo previsto durante el monitoreo y revisión del Mapa de riesgos de gestion  de la Oficina Jurídica:
- </t>
    </r>
    <r>
      <rPr>
        <b/>
        <u/>
        <sz val="10"/>
        <color theme="1"/>
        <rFont val="Arial"/>
        <family val="2"/>
      </rPr>
      <t xml:space="preserve">ENERO
</t>
    </r>
    <r>
      <rPr>
        <b/>
        <sz val="10"/>
        <color theme="1"/>
        <rFont val="Arial"/>
        <family val="2"/>
      </rPr>
      <t xml:space="preserve">1. </t>
    </r>
    <r>
      <rPr>
        <sz val="10"/>
        <color theme="1"/>
        <rFont val="Arial"/>
        <family val="2"/>
      </rPr>
      <t xml:space="preserve">se evidencia petición bajo el radicado No.  2025-002506 del 13/01/2025, en la que se solicito el pago y cumplimiento de providencia judicial. dentro del medio de control nulidad y restablecimiento del derecho. radicacion  73001333300420180027700 demandante CORPORACIÓN COLOMBIA demandado MUNICIPIO DE IBAGUÉ, a el cual se le dio respuesta mediante el oficio No. 15421 del 28 de febrero de 2025. 
2. Peticion bajo el radicado No. 2025-005492 del 17/01/2025, la señora LUZ ANGELA ROMERO, solicito el pago y desembolso de costas, dentro del proceso ordinario laboral de COASINTOL demandante: JUAN CARLOS DUARTE APONTE radicacion: 73001310500520040055000, se da respuesta mediante el oficio No. 17873 del 08/03/2025.
</t>
    </r>
    <r>
      <rPr>
        <b/>
        <u/>
        <sz val="10"/>
        <color theme="1"/>
        <rFont val="Arial"/>
        <family val="2"/>
      </rPr>
      <t>- FEBRERO</t>
    </r>
    <r>
      <rPr>
        <sz val="10"/>
        <color theme="1"/>
        <rFont val="Arial"/>
        <family val="2"/>
      </rPr>
      <t xml:space="preserve">
1. Mediantte el radicado Pisami 2025-022520 del 27/02/2025, se da respuesta al Oficio No. 1030-14473 del 16 de febrero de 2025, radicacion de documentos para el pago de la sentencia judicial, dentro del medio de control de nulidad y restablecimiento del derecho adelantado por el señor CAMPO ELIAS OLARTE SACHICA 73001333301120210005000. </t>
    </r>
  </si>
  <si>
    <t xml:space="preserve">perdida de recursos financieros </t>
  </si>
  <si>
    <t>Caducidad de la acción de repetición o falencias en el ejercicio de esta acción, generando la imposibilidad de recuperar los recursos pagados por el Estado</t>
  </si>
  <si>
    <t xml:space="preserve">que el apoderado judicial, no inice frente al comité de conciliacion el estudio pertinente para determinar la procedencia de iniciar acción de repetición </t>
  </si>
  <si>
    <t xml:space="preserve">Posibilidad de riesgo económico por perdida de recursos financieros debido  a la Caducidad de la acción de repetición o falencias en el ejercicio de esta acción, generando la imposibilidad de recuperar los recursos pagados por la Administración Municipal. </t>
  </si>
  <si>
    <t>El jefe de oficina juridica mediante  el secretario del comite de conciliacion validara  que una vez, se hayan realizado   pagos por concepto de sentencias judiciales y/o conciliaciones judiciales o extrajudiciales y que sean consecuencia de conductas dolososas o culposas,  mediante memorando, requerira a los abogados que deberan inciar el estudio pertinente para determinar la procedencia de accion de repeticion, cada vez que  la admisnistracion realice un pago total por concepto de condena y/o acuerdo conciliatorio.</t>
  </si>
  <si>
    <t xml:space="preserve">De acuerdo a lo previsto durante el monitoreo y revisión del Mapa de riesgos de gestion  de la Oficina Jurídica,: para esta actividad de control, durante los meses de ENERO - FEBRERO, no se evidencia memorando, en el que se requiera a los abogados determinar la procedencia de acción de repetición. </t>
  </si>
  <si>
    <t>GESTIÓN DEL SERVICIO Y ATENCIÓN AL CIUDADANO</t>
  </si>
  <si>
    <t>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t>
  </si>
  <si>
    <t>INICIA CON LA PRESENTACIÓN DE LAS NECESIDADES DE LOS CIUDADANOS EN CUANTO A LA PRESTACIÓN DE LOS SERVICIOS, PLANEACIÓN DE LAS ESTRATEGIAS Y ACTIVIDADES A REALIZAR PARA MEJORAR LA ATENCIÓN TENIENDO EN CUENTA LA ORIENTACIÓN QUE SE DEBE BRINDAR, PARA LA RECEPCIÓN DE SOLICITUDES, PQRS, Y FACILITAR LAS RESPUESTAS OPORTUNAS, EFECTUANDO EVALUACIONES PARA EL ANÁLISIS Y LA RETROALIMENTACIÓN DE LA INFORMACIÓN A LOS REQUERIMIENTOS, EJERCIENDO CONTROLES EN CUANTO A LA PERCEPCIÓN DEL CIUDADANO Y FINALIZA CON EL SEGUIMIENTO E IMPLEMENTACIÓN DE ACCIONES PREVENTIVAS, CORRECTIVAS Y DE MEJORA.</t>
  </si>
  <si>
    <t>Tipo de Riesgo</t>
  </si>
  <si>
    <t>Seguimiento enero - febrero</t>
  </si>
  <si>
    <t xml:space="preserve">Acciones legales (sanciones disciplinarias, demandas y demás acciones jurídicas) y/o hallazgos de los entes de control </t>
  </si>
  <si>
    <t xml:space="preserve">Incumplimiento a la oportunidad de respuesta de los PQRSD clasificados como Derechos de Petición a la Entidad. </t>
  </si>
  <si>
    <t>Falta de seguimiento a los tiempos de respuestas de las PQRSD - Derechos de Petición formuladas a la entidad</t>
  </si>
  <si>
    <t xml:space="preserve">Posibilidad de perdida económica y reputacional por acciones legales (sanciones disciplinarias, demandas y demás acciones jurídicas) y/o hallazgos de los entes de control debido al incumplimiento a la oportunidad de respuesta de los PQRSD clasificados como Derechos de Petición a la Entidad. </t>
  </si>
  <si>
    <t>Seguimiento a la gestión de mejoramiento de la reducción de las PQRSD al interior de los Procesos</t>
  </si>
  <si>
    <t>El Profesional Universitario(a) de la Dirección de Atención al Ciudadano quincenalmente  verifica que las respuestas emitidas por las diferentes unidades administrativas de las PQRSD sean respondidas dentro delos términos establecidos por la ley y se genera un informe que se exporta de la plataforma PISAMI, donde se puede visualizar el estado de las respuestas de las PQRSD de cada unidad administrativa. En caso de encontrar PQRSD a las cuales no se les dio respuesta dentro de los términos establecidos por la ley, se remite un informe de lo ocurrido a la oficina de control disciplinario y se proyectan informes de seguimiento con los respectivos memorandos.</t>
  </si>
  <si>
    <t>Correctivo</t>
  </si>
  <si>
    <t>D14,15O3,6,7; Realizar visitas mensuales a las 
Dependencias con mayor cantidad de número de PQRSD vencidos evidenciando el término de respuesta dada a las peticiones, quejas y reclamos radicadas por los ciudadanos para cumplir con los parámetros establecidos en la ley .</t>
  </si>
  <si>
    <t>Directora de Atención al Ciudadano</t>
  </si>
  <si>
    <r>
      <rPr>
        <b/>
        <sz val="11"/>
        <rFont val="Arial Narrow"/>
        <family val="2"/>
      </rPr>
      <t>Memorando visita enero</t>
    </r>
    <r>
      <rPr>
        <sz val="11"/>
        <rFont val="Arial Narrow"/>
        <family val="2"/>
      </rPr>
      <t xml:space="preserve"> 2025-003453 del 27 de enero de 2025.                                                                                                                   Acta No. 01 del 28 de enero de 2025, acta No. 02 del 29 de enero de 2025, acta No. 03 del 29 de enero de 2025, acta No. 04 del 29 de enero de 2025, acta No. 05 del 28 de enero de 2025, acta No. 06 del 28 de enero de 2025.                    </t>
    </r>
    <r>
      <rPr>
        <b/>
        <sz val="11"/>
        <rFont val="Arial Narrow"/>
        <family val="2"/>
      </rPr>
      <t>Memorando visitas febrero</t>
    </r>
    <r>
      <rPr>
        <sz val="11"/>
        <rFont val="Arial Narrow"/>
        <family val="2"/>
      </rPr>
      <t xml:space="preserve"> 2025-008255 del 21 de febrero de 2025.                                                                                                                               Acta No. 07 del 26 de febrero de 2025, acta No. 08 del 25 de febrero de 2025, acta No. 09 del 25 de febrero de 2025, Acta No. 10 del 25 de enero de 2025, Acta No. 11 del 26 de febrero del 2025, Acta No. 12 del 25 de febrero de 2025. </t>
    </r>
  </si>
  <si>
    <t>Errores en la clasificación del tipo de petición - Derechos de Petición</t>
  </si>
  <si>
    <t>EL Profesional Universitaro(a) de la Dirección de Atención al Ciudadano y lider de cada unidad administrativa diariamente verifica y revisa que la clasificación y el direccionamiento del tipo de petición sea el correcto a través del seguimiento en PISAMI  
 mediante tres filtros; el primero son las ventanillas, el segundo es la Dirección de Atención al Ciudadano – Secretaría General y el tercero son las Unidades Administrativas que dan respuesta a las diferentes solicitudes de los ciudadanos según sea la competencia. Si las unidades administrativas detectan algún error lo pueden comunicar a la Dirección de Atención al Ciudadano para el respectivo cambio. Las unidades administrativas cuentan con un (2) días hábiles contados a partir del momento de la recepción de la correspondencia por parte de la Unidad Administrativa para realizar este proceso. En caso de encontrar tipos de peticiones mal clasificadas o direccionadas, se procede a realizar el cambio en la plataforma PISAMI.</t>
  </si>
  <si>
    <t>D16,17O6; Realizar informes consolidados mensuales de seguimiento a las ventanillas</t>
  </si>
  <si>
    <r>
      <t>I</t>
    </r>
    <r>
      <rPr>
        <b/>
        <sz val="11"/>
        <color theme="1"/>
        <rFont val="Arial Narrow"/>
        <family val="2"/>
      </rPr>
      <t>NFORMES CONSOLIDADOS DE VENTANILLA</t>
    </r>
    <r>
      <rPr>
        <sz val="11"/>
        <color theme="1"/>
        <rFont val="Arial Narrow"/>
        <family val="2"/>
      </rPr>
      <t>: informe del 07 al 10 de enero de 2025, enviado el 23 de enero de 2025. Informe del 13 al 17 de enero de 2025, enviado el 23 de enero de 2025. Informe del 20 al 24 de enero de 2025, enviado el  04 defebrero de 2025. Informe del 27 al 31 de enero de 2025, enviado el 05 de febrero de 2025. Informe del 03 al 07 de febrero de 2025, enviado el 19 de febrero de 2025. Informe del 10 al 14 de febrero del 2025, enviado el 22 de febrero de 2025, Informe del 17 al 22 de febrero del 2025, enviado el 04 de marzo de 2025. Informe del 24 al 28 de febrero del 2025, enviado el 04 de marzo de 2025.</t>
    </r>
  </si>
  <si>
    <t>D16,17O3; Realizar seguimiento  mensualmente a las diferentes Dependencias de la entidad por medio de informes de oportunidad de respuesta de los traslados por competencia</t>
  </si>
  <si>
    <r>
      <rPr>
        <b/>
        <sz val="11"/>
        <color theme="1"/>
        <rFont val="Arial Narrow"/>
        <family val="2"/>
      </rPr>
      <t xml:space="preserve">INFORME TRASLADO POR COMPETENCIA: </t>
    </r>
    <r>
      <rPr>
        <sz val="11"/>
        <color theme="1"/>
        <rFont val="Arial Narrow"/>
        <family val="2"/>
      </rPr>
      <t xml:space="preserve">                                      Informe mes de enero del 2025, enviado el 04 de febrero de 2025. Informe mes de febrero del 2025, enviado el 03 de marzo de 2025,</t>
    </r>
  </si>
  <si>
    <t>Falta de seguimiento a los tiempos de respuestas de los Reclamos - Derechos de Petición formulados a la entidad</t>
  </si>
  <si>
    <t>El Director de Atención al Ciudadano trimestralmente verifica que las respuestas emitidas por las diferentes unidades administrativas de los Reclamos sean respondidas dentro de los términos establecidos por la ley y genera un informe que se exporta de la plataforma PISAMI, donde se puede visualizar el estado de las respuestas a los Reclamos de cada unidad administrativa perteneciente a los procesos misionales.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se procede a realizar informes de seguimiento con el respectivo seguimiento al indicador.</t>
  </si>
  <si>
    <t>D16,17O7; Reportar trimestralmente en el Comité de Coordinación de Control Interno mediante informe el estado de respuestas de los Reclamos con el fin de que cada Dependencia implemente las acciones de mejora correspondientes.</t>
  </si>
  <si>
    <t xml:space="preserve">En este periodo no se tiene estipulado realizar esta actividad; ya que, el comité de Coordinación de Control Interno y el informe de Reclamos se  realiza de manera trimestral. </t>
  </si>
  <si>
    <t xml:space="preserve"> Insatisfacción de los  ciudadanos frente a los servicios, trámites que presta la Entidad y PQRSD. </t>
  </si>
  <si>
    <t>Orientación inadecuada en la prestación de los servicios, trámites que presta la Entidad y PQRSD</t>
  </si>
  <si>
    <t>Falta de socialización de los mecanismos de comunicación para con los ciudadanos</t>
  </si>
  <si>
    <t>Posibilidad de perdida reputacional por insatisfacción de los ciudadanos frente a los servicios y trámites que presta la Entidad debido a la orientación inadecuada en la prestación de los servicios, trámites de la Entidad y PQRSD.</t>
  </si>
  <si>
    <t>Seguimiento a la orientación en la prestación de los servicios, trámites que presta la Entidad y PQRSD.</t>
  </si>
  <si>
    <t>Usuarios, productos y practicas , organizacionales</t>
  </si>
  <si>
    <t>El Director (a) de Atención al Ciudadano y su equipo de trabajo mensualmente verifica y revisa las actividades de la estrategia de Atención al Ciudadano, plan de mejoramiento con la Oficina de Control Interno e informes gerenciales de chats y encuestas relacionados con los mecanismos de comunicación para con los ciudadanos y de la instatisfacción de los mismos frente a las respuesta de los PQRSD interpuestos a la Entidad. En caso de no encontrar implementados los mecanismos de comunicación entre la Entidad y los Ciudadanos, se procede a socializar en Comité Institucional de Gestión y Desempeño para que el Secretario comunique a la Alta Dirección las acciones de mejora a realizar, según sea el caso. Esta actividad se reporta mediante una presentación enviada al correo institucional de Fortalecimiento Institucional.</t>
  </si>
  <si>
    <t>D18O3; Socializar y difundir mensualmente información de los canales de atención, trámites, servicios y correos electrónicos de las Dependencias a los ciudadanos.</t>
  </si>
  <si>
    <t>Durante el periodo de enero y febrero se realizaron las siguientes piezas gráficas: 1.Banner de trámites y servicios en línea 2. banner de la cartilla de lenguaje claro,jueves 30 de enero de 2025 (se público en la página de la Alcaldía el 30 de enero de 2025); 3. Banner de trámites y servicios en línea 
4. Pieza gráfica y banner del horario de atención especial el sábado 
5. Piezas gráficas de los 5 pasos para la recepción y trámite de PQRSD</t>
  </si>
  <si>
    <t xml:space="preserve">Baja competencia del personal frente al manejo de las PQRSD, orientación y atención al ciudadano </t>
  </si>
  <si>
    <t xml:space="preserve"> </t>
  </si>
  <si>
    <t>D3O8; Adelantar bimestralmente jornadas de
capacitación o asesorías al personal de ventanilla.</t>
  </si>
  <si>
    <r>
      <rPr>
        <b/>
        <sz val="11"/>
        <color theme="1"/>
        <rFont val="Arial Narrow"/>
        <family val="2"/>
      </rPr>
      <t>Memorando</t>
    </r>
    <r>
      <rPr>
        <sz val="11"/>
        <color theme="1"/>
        <rFont val="Arial Narrow"/>
        <family val="2"/>
      </rPr>
      <t xml:space="preserve"> visita de ventanilla en el mes de enero, 2025-003456 del 27 de enero de 2025, </t>
    </r>
    <r>
      <rPr>
        <b/>
        <sz val="11"/>
        <color theme="1"/>
        <rFont val="Arial Narrow"/>
        <family val="2"/>
      </rPr>
      <t xml:space="preserve">Actas </t>
    </r>
    <r>
      <rPr>
        <sz val="11"/>
        <color theme="1"/>
        <rFont val="Arial Narrow"/>
        <family val="2"/>
      </rPr>
      <t xml:space="preserve">de la 01 a la 04 .                                                                                                                                  </t>
    </r>
    <r>
      <rPr>
        <b/>
        <sz val="11"/>
        <color theme="1"/>
        <rFont val="Arial Narrow"/>
        <family val="2"/>
      </rPr>
      <t>Memorando</t>
    </r>
    <r>
      <rPr>
        <sz val="11"/>
        <color theme="1"/>
        <rFont val="Arial Narrow"/>
        <family val="2"/>
      </rPr>
      <t xml:space="preserve"> visitas de ventanillas en el mes de febrero, 2025-008496 del 24 de febrero de 2025, </t>
    </r>
    <r>
      <rPr>
        <b/>
        <sz val="11"/>
        <color theme="1"/>
        <rFont val="Arial Narrow"/>
        <family val="2"/>
      </rPr>
      <t>Actas</t>
    </r>
    <r>
      <rPr>
        <sz val="11"/>
        <color theme="1"/>
        <rFont val="Arial Narrow"/>
        <family val="2"/>
      </rPr>
      <t xml:space="preserve"> de la 05 a la 08.</t>
    </r>
  </si>
  <si>
    <t>Acciones legales, civiles, fiscales, penales y disciplinarias (sanciones, demandasy/o hallazgos) de los entes de control</t>
  </si>
  <si>
    <t>Incumplimiento en la supervisión, vigilancia, control y ejecución de las actividades de los contratos</t>
  </si>
  <si>
    <t>Falta de seguimiento por parte de los supervisores a las actividades que desarrollan los contratistas</t>
  </si>
  <si>
    <t>Posibilidad de perdida económica y reputacional por acciones legales , civiles, fiscales, penales y disciplinarias (sanciones, demandas y/o hallazgos) de los entes de control debido al incumplimiento en la supervisión, vigilancia, control y ejecución de las actividades de los contratos.</t>
  </si>
  <si>
    <t>Fiscal</t>
  </si>
  <si>
    <t>Supervisión a la ejecución de los contratos</t>
  </si>
  <si>
    <t xml:space="preserve">     El riesgo afecta la imagen de la entidad internamente, de conocimiento general, nivel interno, de junta dircetiva y accionistas y/o de provedores</t>
  </si>
  <si>
    <t xml:space="preserve">Los supervisores de la Secretaría General y Dirección de Atención al Ciudadano mensualmente verifican el cargue en la plataforma del SECOP, que los informes de ejecución o actividades, informes de supervisión y todo documento soporte que haya sido generada para el trámite de pago por los contratistas se haya implementado. En caso de encontrar falta de ejecución en los contratosse debe requerir por escrito al contratista, llevar a cabo reuniones, integrar comités y desarrollar otras herramientas encaminadas a verificar la adecuada ejecución de los contratos </t>
  </si>
  <si>
    <t>D21,22O9,10,11; Realizar bimestralmente seguimiento mediante comité técnico a la ejecución de las actividades contractuales</t>
  </si>
  <si>
    <t xml:space="preserve">Acta 01 de comité Tecnico de la Secretaria General, del dia 07 de febrero de 2025. </t>
  </si>
  <si>
    <t>Incumplimiento de los supervisores del manual de contratación, manual de supervisión, documentación y normatividad aplicable del Proceso de Gestión Contractual</t>
  </si>
  <si>
    <t>Los supervisores de la Secretaría General y Dirección de Atención al Ciudadano mensualmente deben verificar la correcta ejecución técnica, administrativa, finánciera, contable y jurídica de los mismos y su observancia es de obligatorio cumplimiento para los servidores públicos del Municipio de Ibagué, para los interventores, supervisores, funcionarios y contratistas; cumpliendo con lo establecido en el manual de contratación, manual de supervisión e interventoria en los cuales se establecen los procedimientos y responsabilidades en el ejercicio del debido control y vigilancia.  En caso de encontrar desviaciones se debe informar a la Entidad Estatal cuando se presente incumplimiento contractual; así como entregar los soportes necesarios para que la Entidad Estatal desarrolle las actividades correspondientes</t>
  </si>
  <si>
    <t>D19,21,23O9,10,11; Realizar cuatrimestralmente capacitación a supervisores, funcionarios y contratistas en cuanto al manual de contratación y manual de supervisión</t>
  </si>
  <si>
    <t xml:space="preserve">En este periodo no se tiene estipulado realizar esta actividad; ya que,  la capacitacion a supervisores y contratistas  se  realiza de manera  cuatrimestral. </t>
  </si>
  <si>
    <t>Acción u omisión por amiguismo a la ejecución de algunas actividades de los contratos</t>
  </si>
  <si>
    <t>Los supervisores de la Secretaría General y Dirección de Atención al Ciudadano mensualmente verifican y validan en el informe mensual el cumplimiento de las actividades y el cargue de información de los informes y documentos relacionados con la ejecución de las actividades en la plataforma de contratación - PISAMI, para garantizar la alimentación de dicho sistema. En caso de encontrar falta de documentación, suscribir actas de la ejecución del contrato para dejar documentadas diversas situaciones (actas parciales, actas parciales de recibo y actas de recibo final)</t>
  </si>
  <si>
    <t>D23,24;A1,2,4,6; Realizar bimestralmente circular o memorando con las obligaciones contractuales a los supervisores y contratistas</t>
  </si>
  <si>
    <t>Se realizo memorando 2025-08176 del 21 de febrero del 2025, donde se socializó las funciones y obligaciones de los supervisores.</t>
  </si>
  <si>
    <t>Inadecuada aplicación del principio de Planeación e Insuficiencia de estudios previos</t>
  </si>
  <si>
    <t xml:space="preserve">Falta de articulación y desconocimiento de Secretaría General y Dirección de Atención al Ciudadano por parte de los supervisores al definir las actividades de los contratistas </t>
  </si>
  <si>
    <t>Posibilidad de perdida económica y reputacional por acciones legales, fiscales, penales y disciplinarias (sanciones, demandas y/o hallazgos) de los entes de control debido a la inadecuada aplicación del principio de Planeación e Insuficiencia de estudios previos</t>
  </si>
  <si>
    <t>En la elaboración de los estudios previos a la planeación de las actividades de los contratos , según las necesidades de la Dependencia</t>
  </si>
  <si>
    <t>La Secretaria General y/o Director(a) de Atencion al Ciudadano, cada vez que se elabora los estudios previos, verifican y cotejan que las obligaciones mencionadas contribuyan al ejecución de las actividades de los proyectos para el cumplimiento del plan de acción y/o plan de desarrollo, dejando como evidencia la firma de documentos previos; si se encuentra una desviación se devuelve al abogado formulador para que se corrija.</t>
  </si>
  <si>
    <t xml:space="preserve">D20O9,10,11; Realizar cuatrimestralmente mesa de trabajo con el fin de identificar las necesidades de la Dependencia y las posibles actividades en las que pueden apoyar los contratistas </t>
  </si>
  <si>
    <t xml:space="preserve">En este periodo no se tiene estipulado realizar esta actividad; ya que,  la mesa de trabajo para identificar las necesidades de la dependencia  se  realiza de manera  cuatrimestral. </t>
  </si>
  <si>
    <t xml:space="preserve">GESTION CONTRACTUAL </t>
  </si>
  <si>
    <t>CONTRIBUIR ANUALMENTE EN LA GESTION DE ADQUISICION DE BIENES Y SERVICIOS REQUERIDOS EN LA OPERACIÓN DE LOS PROCESOS DE LA ENTIDAD CUMPLIENDO LA NORMATIVIDAD CONTRACTUAL VIGENTE</t>
  </si>
  <si>
    <t>INICIA CON LA IDENTIFICACION DE LA NECESIDAD DEL BIEN O SERVICIO A CONTRATAR Y FINALIZA CON LA LIQUIDACION DEL PROCESO</t>
  </si>
  <si>
    <t>Plan de Accion</t>
  </si>
  <si>
    <t>Fecha de Implementacion</t>
  </si>
  <si>
    <t>Fecha de Seguimiento</t>
  </si>
  <si>
    <t>Sanción del ente de control</t>
  </si>
  <si>
    <t>Incumplmiento de la normatividad vigente Ley 594/2000</t>
  </si>
  <si>
    <t>No allegar de manera oportuna la documentacón de la etapa contractual de los contratos y/o convenios por parte de los supervisores ( informes de ejecución)</t>
  </si>
  <si>
    <t>Posibilidad de perdida economica y reputacional por afectación administrativa de los entes de control debido al Incumplimiento de la ley 594 de 2000</t>
  </si>
  <si>
    <t>Custodia de los expedientes contractuales</t>
  </si>
  <si>
    <t xml:space="preserve">     Entre 50 y 100 SMLMV </t>
  </si>
  <si>
    <t>Circular trimestral para los supervisores reiterando la  responsabilidad que rige la contratación estatal</t>
  </si>
  <si>
    <t>Aceptar</t>
  </si>
  <si>
    <t>Revisión semestral  mediante el método de muestreo del universo de la contratación suscrita del primer semestre de cada vigencia, identificando el cumplimiento de la ley de archivo en los expedientes contractuales, una vez identificada la documentación faltante, se comunicará mediante memorando a los supervisores, para que alleguen la documentación y esta repose en el expediente contractual. Los supervisores que persistan en el incumplimiento de no allegar de manera oportuna la documentación de los expedientes, serán remitidos ante la oficina de Control Disciplinario</t>
  </si>
  <si>
    <t>Desorganización de los archivos de gestión</t>
  </si>
  <si>
    <t>Desconocimiento de los lineamientos del Manual de Contratacón y Supervisión de la Alcaldia Municipal de Ibagué y  la normatividad legal vigente</t>
  </si>
  <si>
    <t xml:space="preserve">Dificultad en la unificación de criterios para la realización de los procesos contractuales </t>
  </si>
  <si>
    <t xml:space="preserve">Posibilidad  de perdida economica por demora en los procesos contractuales  para la  adquisición de los bienes y servicios, debido al  desconocimiento  de la
normatividad  en la elaboracion de la etapa precontractual  </t>
  </si>
  <si>
    <t xml:space="preserve">Adquisición de Bienes y Servicios </t>
  </si>
  <si>
    <t xml:space="preserve">     Entre 10 y 50 SMLMV </t>
  </si>
  <si>
    <t xml:space="preserve">Realizar una capacitación semestral con el equipo de trabajo de la oficina de contratación con el fin de  unificar criterios en los procesos contractuales ,fortalecer el trabajo en equipo, y los valores institucionales </t>
  </si>
  <si>
    <t>Falta de conocimiento en la elaboración de la etapa precontractual por parte de los estructurados de procesos en las secretarias ejecutoras</t>
  </si>
  <si>
    <t xml:space="preserve">Realizar circular trimestral para los ordenadores del gasto, supervisores e instructuradores, con los lineamientos para la estructuracion de los estudios previos  </t>
  </si>
  <si>
    <t xml:space="preserve">Realizar una capacitación semestral  con los lideres de los procesos, para el fortalecimiento y la toma de conciencia del proceso gestión contractual, especificamente de como elaborar la etapa precontractual de cada proceso </t>
  </si>
  <si>
    <t>Incumplimiento en el  envio de la información y documentación  en razón de tiempo y calidad</t>
  </si>
  <si>
    <t>Fallas Tecnologicas</t>
  </si>
  <si>
    <t xml:space="preserve">Posibilidad de Incumplimiento en el envio oportuno ante los entes de control de los  contratos suscritos por urgencia manifiesta, u otro tipo de contratacion derivado de otros riesgos naturales que puedan surgir    </t>
  </si>
  <si>
    <t xml:space="preserve">     Afectación menor a 10 SMLMV .</t>
  </si>
  <si>
    <t xml:space="preserve"> Remitir por correo electrónico semanalmente al ente de control,los contratos que se suscriban por urgencia manifiesta, u otros desastres naturales que puedan surgir en su eventualidad </t>
  </si>
  <si>
    <t>GESTION DE INFRAESTRUCTURA TECNOLÓGICA</t>
  </si>
  <si>
    <t xml:space="preserve">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</si>
  <si>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Inicia con la planeación del proceso e incluye las actividades relacionadas con la gestión de la infraestructura tecnológica (software y hardware), gestión de la seguridad de la información y culmina con el seguimiento y evaluación del proceso.</t>
  </si>
  <si>
    <t>Seguimiento 28/02/2025</t>
  </si>
  <si>
    <t xml:space="preserve"> Indisponibilidad  de  recurso tecnológico para el funcionamiento de los procesos</t>
  </si>
  <si>
    <t>perdida, daño o desaprovechamiento de  recurso tecnológico</t>
  </si>
  <si>
    <t>Personal de planta es insuficiente o sin la capacitación o actualización  necesaria para el proceso</t>
  </si>
  <si>
    <t>Posible perdida reputacional y económica por Indisponibilidad  de  recurso tecnológico para el funcionamiento de los procesos, debido a que el personal de planta es insuficiente o sin la capacitación o actualización  necesaria para el proceso,  Insuficiente Presupuesto para cumplir con el correcto funcionamiento de los procesos de la entidad,Sistema de información de desarrollo propio sin estabilizar, Infraestructura Tecnológica Deficiente  para garantizar el rendimiento de la plataforma PISAMI</t>
  </si>
  <si>
    <t xml:space="preserve">Uso de recurso Tecnológico </t>
  </si>
  <si>
    <t>La Secretaria de TIC, anualmente cuando se realice la evaluación al PIC, con el propósito de garantizar el mejoramiento de las competencias de los servidores públicos del proceso, verifica que en el Plan Institucional de Capacitación se incluyan los proyectos de aprendizaje relacionados con las temáticas que garanticen el adecuado uso y apropiación de las plataforma tecnológicas.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</si>
  <si>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Aleatoria</t>
  </si>
  <si>
    <t>Secretaría de las TIC</t>
  </si>
  <si>
    <t>del 01/03/2025 al 31/12/2025</t>
  </si>
  <si>
    <t>Solicitud de capacitaciones para incluir en el PIC</t>
  </si>
  <si>
    <t>Insuficiente Presupuesto para cumplir con el correcto funcionamiento de los procesos de la entidad</t>
  </si>
  <si>
    <t>La Secretaria de TIC, cuando formule el PETI, verifica que se hayan incluido las necesidades tecnológicas identificadas mediante la aplicación de la metodología establecida por el DAFP, y formularel  proyecto de inversión que garantice los recursos necesarios para el normal funcionamiento de las plataforma tecnológica. Si en las evaluaciones al plan de acción del PETI identifica baja ejecución por falta de recursos presupuestales, solicita  al Secretario de Hacienda la asignación de recursos. Las evidencias de estas acciones deben reposar en PISAMI Gestión Documental y en el módulo de presupuesto</t>
  </si>
  <si>
    <t>F6,7 A4  Difundir y aplicar las políticas de seguridad de la información de equipos</t>
  </si>
  <si>
    <t>del 01/02/2025 al 31/12/2025</t>
  </si>
  <si>
    <t>Sistema de información de desarrollo propio sin estabilizar</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</si>
  <si>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</si>
  <si>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Secretaria de las TIC</t>
  </si>
  <si>
    <t>Infraestructura Tecnológica Deficiente  para garantizar el rendimiento de la plataforma PISAMI</t>
  </si>
  <si>
    <t>La Secretaría de las TIC cuando formule el anteproyecto del presupuesto, verifica que en el plan de compras se encuentre incluido los servicios tecnológicos necesarios para el el normal funcionamiento de la plataforma PISAMI, tales como  el internet, el almacenamiento en la nube para las copias de seguridad, los certificados de seguridad, el firewall y demás servicios de seguridad. En caso de no encontrarse contemplado alguno de estos servicios, incluirlos en el plan de compras para que se le asignen recursos y de manera oportuna iniciar los procesos contractuales. Las evidencias son el plan de compras y los documentos de la etapa precontractual.</t>
  </si>
  <si>
    <t>Probabilidad</t>
  </si>
  <si>
    <t>Sin Registro</t>
  </si>
  <si>
    <t>GESTIÓN ESTRATÉGICA DE LAS COMUNICACIONES</t>
  </si>
  <si>
    <t>DIFUNDIR DE MANERA PERMANENTE LA GESTIÓN INSTITUCIONAL Y EL DESARROLLO ORGANIZACIONAL A TRAVÉS DE LAS VOCERÍAS OFICIALES EN EL PORTAL WEB, REDES SOCIALES Y MEDIOS DE COMUNICACIÓN, IMPLEMENTANDO ESTRATEGIAS DE COMUNICACIÓN TRANSMEDIA Y MULTIPLATAFORMAS QUE HAGAN USO ADECUADO DE LA IDENTIDAD VISUAL, PARA PROVEER INFORMACIÓN EN UN LENGUAJE CLARO, ACCESIBLE, CONFIABLE, OPORTUNO, EFICIENTE Y
TRANSPARENTE COMO HERRAMIENTA DE INNOVACIÓN PÚBLICA, MECANISMO DE PARTICIPACIÓN CIUDADANA Y RENDICIÓN DE CUENTAS</t>
  </si>
  <si>
    <t>INICIA CON LA PLANEACIÓN DE LAS ESTRATEGIAS DE COMUNICACIÓN TRANSMEDIA Y MULTIPLATAFORMAS, CONTINÚA CON LA EJECUCIÓN DEL PLAN ESTRATÉGICO INSTITUCIONAL DE COMUNICACIONES (PEICO), LA PRODUCCIÓN DE INFORMACIÓN PERIODÍSTICA PARA DIFUSIÓN EN LAS VOCERÍAS OFICIALES DE LA ENTIDAD EN EL PORTAL WEB, REDES SOCIALES Y DISTINTOS MEDIOS DE COMUNICACIÓN, LA ADMINISTRACIÓN DE LA IDENTIDAD VISUAL, EL MANTENIMIENTO Y ACTUALIZACIÓN DE LAS BASES DE DATOS DE GRUPOS DE INTERÉS, LA RENDICIÓN DE CUENTAS Y FINALIZA CON EL SEGUIMIENTO Y EVALUACIÓN DEL PROCESO.</t>
  </si>
  <si>
    <t>Incumplimiento en las metas del plan de desarrollo municipall</t>
  </si>
  <si>
    <t>Deficiencia en la planeación, ejecución y seguimiento de las metas</t>
  </si>
  <si>
    <t xml:space="preserve">Desconocimiento de los instrumentos de planeación para un adecuado seguimiento a la ejecución a las metas del plan de desarrollo municipal. </t>
  </si>
  <si>
    <t>Posibilidad de perdida economica y reputacional por el incumplimiento en las metas del plan de desarrollo municipal, debio a la deficiencia en la planeación, ejecución y seguimiento de las metas</t>
  </si>
  <si>
    <t>EN LA PLANEACIÓN, EJECUCIÓN Y SEGUIMIENTO A LOS DIFERENTES INSTRUMENTOS DE PLANEACIÓN DE LA ALCALDÍA DE IBAGUÉ Y SEGUIMIENTO A LAS PLATAFORMAS QUE SE IMPLEMENTEN PARA TAL FIN</t>
  </si>
  <si>
    <t>Realizar la documentación para fortalecer los controles establecidos, según quede en la caracterización de acuerdo a las necesidades del proceso, incluyendo: 1. cronograma y responsables para el cumplimiento de los instrumentos y articulación con el proyecto de inversión. 2. Seguimiento mensual a la ejecución fisíca y financiera del proyecto de inversión dejando evidenciado en el informe mensual que será cargado en el PIIP.</t>
  </si>
  <si>
    <t>Jefe Oficina Comunicaciones</t>
  </si>
  <si>
    <t xml:space="preserve">Falta de apliación  de la política de gestión del conocimiento cuándo se dan cambios de directivos y funcionarios </t>
  </si>
  <si>
    <t xml:space="preserve">Deficiencia en la ejecución presupuestal </t>
  </si>
  <si>
    <t>Control unico Disciplinario</t>
  </si>
  <si>
    <t>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</si>
  <si>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INICIA DE OFICIO ANTE UNA QUEJA O INFORME DE SERVIDOR PÚBLICO, LA EVALUACIÓN DE LA QUEJA, QUE PUEDE DAR LUGAR A UN AUTO INHIBITORIO, AUTO DE INDAGACIÓN PRELIMINAR, AUTO DE INVESTIGACIÓN DISCIPLINARIO, AUTO POR REMISIÓN DE COMPETENCIA, PARA TERMINAR Y/O ARCHIVAR, DE ACUERDO AL FALLO SANCIONATORIO O ABSOLUTORIO</t>
  </si>
  <si>
    <t>Reconstrucción de expedientes o sanciones por parte del ente regulardor</t>
  </si>
  <si>
    <t>Perdida de la informacion y/o expedientes disciplinarios</t>
  </si>
  <si>
    <t xml:space="preserve">Falta de continuidad del personal con las competencias administrativas idoneas </t>
  </si>
  <si>
    <t>Posibilidad de perdida reputacional debido a la Reconstrucción de expedientes o sanciones por parte del ente regulardor por perdida de la informacion y/o expedientes disciplinarios.</t>
  </si>
  <si>
    <t>Manejo y/o manipulacion de los archivos físicos y/o base de datos</t>
  </si>
  <si>
    <t>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t>
  </si>
  <si>
    <t>Reducir (compartir)</t>
  </si>
  <si>
    <t>El jefe de la oficina realizara memorando exponiendo la necesidad del personal a contratar</t>
  </si>
  <si>
    <t>Jefe de Oficina</t>
  </si>
  <si>
    <t>Febrero</t>
  </si>
  <si>
    <t>Se envio correo dirigido a la secretaria administrativa solicitando actualizacion del PAA para la contratacion de personal con fecha del 10 de enero de 2024</t>
  </si>
  <si>
    <t>Ausencia de archivadores y gondolas para el resguardo de los expedientes</t>
  </si>
  <si>
    <t>El jefe de Oficina de control unico disciplinario revisa  la necesidad de bienes muebles de seguridad , archivadores existentes y capacidad de la oficina para poder salvaguardar los procesos disciplinarios meidante un memorando que sera enviado a la secretaria  administrativa y direccion de recursos fisicos</t>
  </si>
  <si>
    <t>El jefe de la oficina solicitará, mediante un memorando a la secretaria administrativa, una vez identificada las necesidades, las herramientas, muebles y enseres, que son indispensables para el ejercicio y cumplimineto de las obligaciones y funciones de la oficina  para resguardar los expedientes.</t>
  </si>
  <si>
    <t xml:space="preserve"> Se envio un memorandos N° 003558 DEL 01/02/2024 y 003556 DEL 01/02/2024  con base en dar cumplimiento a las necesidades requeridas.</t>
  </si>
  <si>
    <t xml:space="preserve"> falta de una herramienta o sistema de información que permita registrar las etapas del proceso,  genere alertas y salvaguarde la información.</t>
  </si>
  <si>
    <t>La Asesora de la oficina controla a traves de una matriz en excel el cumplimiento  de las diferentes etapas del proceso y estado en que se encuentra, si se presenta información erronea se deja la anotación.</t>
  </si>
  <si>
    <t>El Tecnico operativo, diariamente realizara control y seguimiento a la base de datos dejando como registro el ingreso al DRIVE con la que tendra acceso el Jefe y Asesora.</t>
  </si>
  <si>
    <t>Tecnico Operativo</t>
  </si>
  <si>
    <t>febrero</t>
  </si>
  <si>
    <t>Reporte aplicativo DRIVE, en dias habiles cuantos actualizaciones se realizan. Por motivos de reserva legal no se puede compartir dicha informacion - soporte pantallazo de ingreso al DRIVE</t>
  </si>
  <si>
    <t xml:space="preserve">Desatención al procedimiento que busca los fines del derecho disciplinario. </t>
  </si>
  <si>
    <t xml:space="preserve">Desacato de los  terminos de Ley. </t>
  </si>
  <si>
    <t>Desconocimiento por parte de los servidores publicos de la oficina de control unico disciplinario respecto al procedimiento Unico Disciplinario</t>
  </si>
  <si>
    <t xml:space="preserve"> Posibilidad de perdida reputacional debido a Desatención al procedimiento que busca los fines del derecho disciplinario. Por Desacato de los términos de Ley. </t>
  </si>
  <si>
    <t xml:space="preserve">en Comité Juridico, se realiza la revisión del estado de los procesos Activos, para efectuar un impulso procesal, donde queda como videnacia el Acta de Comité Juridico.
</t>
  </si>
  <si>
    <t xml:space="preserve">El jefe de la Oficina de Control Unico Disciplinario cada vez que se va a contratar personal, verifica el perfíl de la persona y lo compara frente a las necesidades reales del personal en la oficina. Dejando como evidencia la aprobación para la contratación. </t>
  </si>
  <si>
    <t xml:space="preserve">El jefe de la Oficina de Control Unico Disciplinario realiza capacitaciones a los funcionarios nuevos dentro de los tiempos establecidos dejando como evidencia un acta de reunión. </t>
  </si>
  <si>
    <t>Se dió cumplimiento con la actividad capacitando a los nuevos funcionarios adscritos a la Oficina de Control Único Disciplinario dando así cumplimiento a este control.</t>
  </si>
  <si>
    <t xml:space="preserve">Ausencia de material probatorio. </t>
  </si>
  <si>
    <t>El jefe de la Oficina de Control Unico Disciplinario  junto con el técnico operativo cada  vez que  solicité una prueba verifican la recepción de las mismas, con el fin de identificar cuales no se han recibido para reiterar el envío.  Dejando como evidencia las comunicaciones enviadas y/o cuadro  de control de solicitudes.</t>
  </si>
  <si>
    <t>Mediante la Plataforma PISAMI se verificara la respuesta oportuna por parte de la Secretaria</t>
  </si>
  <si>
    <t>Se realiza monitoreo por la plataforma PISAMI, dejando evidencia consolidado Excel de las peticiones que se han contestado o no.</t>
  </si>
  <si>
    <t>Falta de control en la recepción de quejas y desorganización en reparto.</t>
  </si>
  <si>
    <t>desconocimietno por parte del personal responsable de efectuar el reparto de las PQR´s</t>
  </si>
  <si>
    <t>Ausencia de controles en el traslado o designación de las quejas a la oficina de control unico disciplinario por parte de la oficina de radicación.</t>
  </si>
  <si>
    <t>Posibilidad de perdida reputacional debido a la Falta de control en la recepción de quejas y desorganización en reparto, por desconocimiento por parte del personal responsable de efectuar el reparto de las PQR´s</t>
  </si>
  <si>
    <t>Verificar en plataforma PISAMI, mediante el numero radicado las PQR´s recibidas en la entidad y revisar el traslado a la Oficina de Control Unico Disciplinario. Diligenciando matriz en archivo Excel el reparto.</t>
  </si>
  <si>
    <t>Pérdida Reputacional</t>
  </si>
  <si>
    <t xml:space="preserve">El tecnico Operativo , realizará, un archivo en excel donde incluira las quejas allegadas  con la información completa, con el fin de tener un control de las quejas allegadas, de manera mensual, dejando como evidencias la actualizacion de la basa de datos.
</t>
  </si>
  <si>
    <t xml:space="preserve"> El técnico operativo se encargará de la elaboración de un cuadro en archivo excel y una base de datos en drive donde se consigne la información completa de las quejas recibidas y la entrega de las mismas.</t>
  </si>
  <si>
    <t>se realizó el seguimiento a la base de datos la cual reposa en el drive, donde se alimenta la información de los expedientes ya existentes y los nuevos que se incorporan.</t>
  </si>
  <si>
    <t>Las quejas son radicadas en diferentes entes de control, quienes remiten por competencia a la O.C.U.D las quejas a destiempo.</t>
  </si>
  <si>
    <t>El Asesor de la Oficina de Control Unico Disciplinario, revisará  el reparto a los abogados sustanciadores el cual se debe consultar en la base de datos cada 15 dias para corroborar si la queja anticipadamente fue asignada.</t>
  </si>
  <si>
    <t>GESTIÓN CATASTRAL</t>
  </si>
  <si>
    <t>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</si>
  <si>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INICIA DESDE LA PLANEACIÓN DE LAS ACTIVIDADES DE FORMACIÓN, ACTUALIZACIÓN, CONSERVACIÓN Y
DIFUSIÓN DE LA INFORMACIÓN CATASTRAL HASTA LA REALIZACIÓN DE LAS VERIFICACIONES DEL PROCESO</t>
  </si>
  <si>
    <r>
      <rPr>
        <sz val="12"/>
        <color theme="6" tint="-0.249977111117893"/>
        <rFont val="Arial Narrow"/>
        <family val="2"/>
      </rPr>
      <t xml:space="preserve">*Sanciones por parte de los entes rectores (IGAC-SNR)   </t>
    </r>
    <r>
      <rPr>
        <sz val="12"/>
        <color theme="1"/>
        <rFont val="Arial Narrow"/>
        <family val="2"/>
      </rPr>
      <t xml:space="preserve">                      </t>
    </r>
  </si>
  <si>
    <t>*Inoportunidad en los tiempos de  respuesta a los usuarios</t>
  </si>
  <si>
    <t>Insuficiencia del personal de planta o contratistas para el adecuado cumplimiento de los tiempos de respuesta de los tramites</t>
  </si>
  <si>
    <t xml:space="preserve">Posibilidad de Impacto Economico y Reputacional, por sanciones por parte de los entes rectores (IGAC-SNR, ect) debido a la Inoportunidad de respuesta a las solicitudes de tramites y productos catastrales, lo que conllevaria a constantes quejas de usuarios                                                                                          </t>
  </si>
  <si>
    <t xml:space="preserve">Desde la Radicación, cuando el usuario realiza la radicación o solicitud del tramite en oficinas diferentes a las de catastro y/o por Pisami como PQR; y cuando estos son remitidos a catastro, llegan fuera de los tiempos de respuesta. En el seguimiento y  la ejecución, debido que cuando llegan los tramites a los ejecutores estos al realizar el analisis o verificación de docuementos se pueden detectar falta de documentación, para lo cual se debe requerir al usuario para que entregue dicha documentación dentro del tiempo establecido. </t>
  </si>
  <si>
    <t xml:space="preserve">La Directora verifica el personal que se requiere en la Dirección con el fin de solicitar su contratación, para desarrollar las actividades propias del proceso. Esta actividad deberá realizarce dos veces al año. En caso de no contar con el personal requerido, La Directora de Planeación Multipropósito, verifica los planes de choque  delegados de los rezagos de tramites, esto con el fin de ir evacuando los que están fuera de tiempos de respuesta, delegando por metas a cada uno de los contratistas con los que cuenta en el momento la dirección, todos los tramites deben realizarce siguiendo los controles y el flujo documental y los tiempos de respuesta que se implemente para cada mutación catastral conforme se describe dentro de las hojas de vida de los tramites; los seguimientosse realizaran mediante reunión por lo menos una vez al mes. </t>
  </si>
  <si>
    <t>El Grupo tecnico, administrativo y de radicación siguen los pasos aprobados para la radicación y realización de un tramite o producto catastral.  Realizar  seguimiento al  por pare de la directora donde se consignan las respuestas brindadas a las solicitudes de los usuarios de PQR (Pisamis) y/o solicitudes radicadas en el Cam</t>
  </si>
  <si>
    <t>Directora de Planeación Multipropósito y su equipo de trabajo</t>
  </si>
  <si>
    <t>24/feb/2025 al 30/Dic/2025</t>
  </si>
  <si>
    <t>Plan de adquisiciones y actas de reuniones de segumiento realizadas a la fecha</t>
  </si>
  <si>
    <t xml:space="preserve">Falta del sistema de información catastral adecuado y robusto que permita dar respuesta oportuna y llevar trazabilidad de los tramites </t>
  </si>
  <si>
    <t>Se analiza la contratación de un sistema catastral que cumpla con la normatividad actual, el cual debe contar con un sistema de alertas que indique el estado del tramite, este proceso es realizado por la Secretaria de planeación junto a la Dirección de Planeación Multipropósito. Asi mismo cada vez que se requiera validar el funcionamiento del sistema de información catastral, según los requerimientos de los ejecutores y/o usuarios, se solicitara a los administradores de la plataforma la necesidad de revisar y validar el cumplimiento del servicio y fortalecer el software o los módulos de este si es necesario, dejando como evidencia, actas de reunión y/o solicitudes escritas y/o informes presentados por la empresa contratada, esta acción será realizada por la Directora de Planeación Multiproposito o a quien ella Delegue para esta actividad.</t>
  </si>
  <si>
    <t>Cuando se presenten fallas o  haya dudas en el manejo de la plataforma o se requiera actualización de algun modulo de la misma se realizara solicitud mediante solicitudes expresas y/o mesas técnicas e informes de ejecución del contrato</t>
  </si>
  <si>
    <t>Directora de Planeación Multipropósito y/o su equipo de trabajo</t>
  </si>
  <si>
    <t>Asistencia a mesas tecnicas y/o solicitud realizada y/o informes</t>
  </si>
  <si>
    <t>Falta de Ventanilla Unica para la Gestión Catastral, debido al desconocimiento de las demás ventanillas de la administración para poder orientar de forma acertada a los usuarios en cuanto a tramites catastrales</t>
  </si>
  <si>
    <t>La Dirección de Planeación Multipropósito, requiere la creación de ventanilla unica de gestión catastral, con el fin de brindar la asesoria y la recepción de los tramites catastrales en un solo lugar. Teniendo en cuenta que la gestión catastral es un servicio público único especial, que requiere del conocimiento de los requisitos de cada tramite y asi evitar errores en la solicitud, esto deberá realizarce dentro de los siguientes 2 meses. Dado el caso que la respuesta sea negativa, se solicitará la capacitación al personal de las demás ventanillas (Planeación, ventanilla alcaldia, pqr y pisami) para que puedan guiar a los usuarios y/o puedan remitirlo a las oficinas de catastro para que realicen su solicitud personalmente en el cam de la pola o por medio del enlace de la plataforma catastral que existirá para los usuarios, ademas se solicitará la inclusión de los tramites y el boton de la pagina de la plataforma dentro del sitio web de la alcaldía, esto se deberá realizar en los proximos 3 meses</t>
  </si>
  <si>
    <t>Solicitar información y/o respuesta al memorando o correo electronico enviado al grupo de gestión documental para la creación de la ventanilla unica de la gestión catastral. De no poderse crear la ventanilla única,  La Directora Solicitará una capacitación para orientar a las demas ventanillas y requerira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</si>
  <si>
    <t>Correo electronico o memorando o actas de mesas tecnicas o asistencias a estas</t>
  </si>
  <si>
    <t>GESTIÓN DEL TRANSITO Y LA MOVILIDAD</t>
  </si>
  <si>
    <t>REGULAR, ORGANIZAR Y CONTROLAR EL EJERCICIO DEL TRÁNSITO Y EL TRANSPORTE MEJORANDO LAS CONDICIONES DE LA MOVILIDAD, APLICANDO EL CÓDIGO NACIONAL DE TRANSITO Y ADMINISTRANDO EL REGISTRO AUTOMOTOR Y DEL CONDUCTOR, PRESTANDO UN SERVICIO EFICIENTE, OPORTUNO Y DE CALIDAD A LA CIUDADANÍA TANTO EN LA GESTIÓN DE LOS TRÁMITES COMO A LOS USUARIOS DE LAS VÍAS EN EL MUNICIPIO DE IBAGUÉ.</t>
  </si>
  <si>
    <t>INICIA CON LA PLANEACIÓN DEL PROCESO, CONTINUA CON EL SEGUIMIENTO A LA EJECUCIÓN DEL PLAN MAESTRO DE  MOVILIDAD Y ESPACIO PÚBLICO Y PLAN LOCAL DE SEGURIDAD VIAL, LA GESTIÓN DE LA IMPLEMENTACIÓN DEL SISTEMAINTEGRADO DE TRANSPORTE PÚBLICO, LAS ACTIVIDADES DE LIQUIDACIÓN, RADICACIÓN, APROBACIÓN Y EXPEDICIÓN DE LOS DOCUMENTOS RELACIONADOS CON LOS TRÁMITES PREVISTOS EN MATERIA DE TRÁNSITO Y TRANSPORTE Y FINALIZA CON EL SEGUIMIENTO Y EVALUACIÓN DEL PROCESO.</t>
  </si>
  <si>
    <t xml:space="preserve">Sanciones e investigaciones de los entes de control </t>
  </si>
  <si>
    <t xml:space="preserve">Respuesta  fuera  de los términos de tiempo   establecidos por la ley </t>
  </si>
  <si>
    <t>La entrega no oportuna y reparto a las respectivas áreas de las solicitudes radicadas</t>
  </si>
  <si>
    <t>Posibilidad de perdida económica y reputacional debido a sanciones e investigaciones de los entes de control por respuesta fuera de los términos de tiempo establecidos por la Ley</t>
  </si>
  <si>
    <t>Gestiòn</t>
  </si>
  <si>
    <t>Recepción de solicitudes, trámites y PQRS</t>
  </si>
  <si>
    <t>Los directores validan el reporte remitido por la Dirección, atención al ciudadano y los PQRS que están fuera de término, los cuales son remitidos via memorando a los responsables para su revisión y finalización, dejando como evidencia el memorando y la terminación del PQRS</t>
  </si>
  <si>
    <t xml:space="preserve">Generar una matriz de PQRS  y direccionar por cada direcciòn a los contratistas encargados. Realizar controles por medio de comitès periodicos </t>
  </si>
  <si>
    <t>Secretario y Directores</t>
  </si>
  <si>
    <t>Enero de 2025</t>
  </si>
  <si>
    <t>Falta de seguimiento a la información que se proporciona en la plataforma web PISAMI</t>
  </si>
  <si>
    <t>Los directores realizan reunión bimestral con los responsables de cada proceso o encargados de área , para la verificación de solicitudes pendientes, dejando como evidencia el acta y la asistencia</t>
  </si>
  <si>
    <t>Reduccción de presupuesto y deterioro de la imagen hacía la ciudadanía</t>
  </si>
  <si>
    <t>Falta de planeación,   seguimiento y control a la ejecución de los planes, programas y proyectos</t>
  </si>
  <si>
    <t>Insuficiencia presupuestal para dar cumplimiento a los planes, programas y proyectos establecidos</t>
  </si>
  <si>
    <t>Posibilidad de perdida económica y reputacional, debido a la reducción del presupuesto y deterioro de la imagen hacía a la ciudadanía por falta de planeación, seguimiento y control de los planes, programas y proyectos</t>
  </si>
  <si>
    <t>Elaboración y seguimiento del plan de desarrollo y los instrumentos de seguimiento</t>
  </si>
  <si>
    <t>Los directores realizan monitoreo, seguimiento y control  trimestral en la ejecución de los planes, programas y proyectos, dejando como evidencias informes de ejecución</t>
  </si>
  <si>
    <t>Automático</t>
  </si>
  <si>
    <t>Realizar comités técnicos periodicos, donde se evalua el cumplimiento de las metas que tiene la dependencia con sus respectivos compromisos de cumplimiento</t>
  </si>
  <si>
    <t xml:space="preserve">Secretario y Directores </t>
  </si>
  <si>
    <t xml:space="preserve">Falta de viabilización y actualización de los proyectos ante la Secretaria de Planeación </t>
  </si>
  <si>
    <t xml:space="preserve">El responsable delegado por la dirección , realiza anualmente  la verificación ante Planeación Municipal  de la viabilidad y actualización del proyecto , dejando como evidencia el certificado de viabilidad del proyecto </t>
  </si>
  <si>
    <t>Actualización de proyectos. Durante este año se estàn ejecutando 6 proyectos, 4 de la direcciòn operativa y 2 de la direcciòn de tramites. Mensualmente se reporta el avance en la plataforma PIIP.</t>
  </si>
  <si>
    <t>FORMATO MAPA DE RIESGOS</t>
  </si>
  <si>
    <t>GESTION DE RECURSOS FISICOS</t>
  </si>
  <si>
    <t>GESTIONAR OPORTUNAMENTE EL FUNCIONAMIENTO DE LA ADMINISTRACION CENTRAL MEDIANTE LA ADQUISICIÓN Y MANTENIMIENTO DE BIENES Y SERVICIOS, EJECUTANDO EL 80% DEL PRESUPUESTO ASIGNADO CONTRIBUYENDO A LA GESTIÓN DE LOS PROCESOS Y AL LOGRO DE LOS OBJETIVOS INSTITUCIONALES,</t>
  </si>
  <si>
    <t>INICIA CON LA PLANEACIÓN DEL PROCESO, GESTIONANDO LOS BIENES Y SERVICIOS REQUERIDOS PARA GARANTIZAR EL FUNCIONAMIENTO DE LA ADMINISTRACIÓN, DESARROLLANDO LAS ACTIVIDADES DE MANEJO Y CONTROL DEL INVENTARIO DE LOS BIENES MUEBLES DEL MUNICIPIO, IDENTIFICAR, LEGALIZAR Y TITULAR LOS BIENES FISCALES Y DE USO PUBLICO Y EL MANTENIMIENTO PREVENTIVO Y CORRECTIVO DE VEHICULOS Y BIENES DEL MUNICIPIO, CULMINANDO CON EL SEGUIMIENTO Y EVALUACIÓN DEL PROCESO.</t>
  </si>
  <si>
    <t>Seguimiento  y evaluacion a 31  de marzo de 2025</t>
  </si>
  <si>
    <t>Sancion del ente regulador</t>
  </si>
  <si>
    <t>Deficiente gestion de la Programacion Contractual Para el Funcionamiento de la Administracion Central</t>
  </si>
  <si>
    <r>
      <rPr>
        <b/>
        <sz val="12"/>
        <rFont val="Arial Narrow"/>
        <family val="2"/>
      </rPr>
      <t xml:space="preserve">Posibildad de afectacion economica y reputacional por </t>
    </r>
    <r>
      <rPr>
        <sz val="12"/>
        <color theme="3" tint="-0.499984740745262"/>
        <rFont val="Arial Narrow"/>
        <family val="2"/>
      </rPr>
      <t>las sanciones del ente regulador</t>
    </r>
    <r>
      <rPr>
        <b/>
        <sz val="12"/>
        <rFont val="Arial Narrow"/>
        <family val="2"/>
      </rPr>
      <t xml:space="preserve"> debido</t>
    </r>
    <r>
      <rPr>
        <b/>
        <sz val="12"/>
        <color rgb="FFFF0000"/>
        <rFont val="Arial Narrow"/>
        <family val="2"/>
      </rPr>
      <t xml:space="preserve"> a</t>
    </r>
    <r>
      <rPr>
        <sz val="12"/>
        <color rgb="FFFF0000"/>
        <rFont val="Arial Narrow"/>
        <family val="2"/>
      </rPr>
      <t xml:space="preserve"> la deficiente gestion de la programacion contractual para el funcionamiento de le Administracion Central</t>
    </r>
  </si>
  <si>
    <t>Plan anual de adquisiciones ejecuciones de las actividades propias del proceso.</t>
  </si>
  <si>
    <t>El Director (a) de Recursos Fisicos junto con su equipo de trabajo - Abogados  contratistas y el profesional Universitario,se reune trimestralmente  o cuando sea necesario, con el fin de revisar y hacer seguimiento y control al Plan de Accion presentado; actividades vs su ejecucion para tomar acciones en caso de desviacion.</t>
  </si>
  <si>
    <t>Director (a) Recursos Fisicos</t>
  </si>
  <si>
    <t xml:space="preserve">1.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a esta actividad la Directora de Recursos Fisicos, hace seguimiento y control de los bienes serviicios , segun la programacion que se realizo en el plan de accion vigencia 2025, segun Acta N° 00004  del 25 de febrero de 2025, de acuerdo a lo programado y ejecutado en el plan de accion 2024.                                                                                                                                                                                                                5. Dando cumplimiento al seguimiento y control, la Directora de Recursos Fisicos, realiza convocatoria y se reunion con los abogados contratistas para revisar los avances a los procesos contractuales, segun Acta N° 00013 del 27 de marzo de 2025, segun lo programada y ejecutado en el plan de accion 2025.                                                                                                                                                                                                                                                                                                                                                                                                         </t>
  </si>
  <si>
    <t>El Director (a) de Recursos Fisicos elabora anualmente la programacion  presupuestal  de la actividades realizadas y se plasma la ejecucion en el Plan de Accion.</t>
  </si>
  <si>
    <t>Multas y/o sanciones</t>
  </si>
  <si>
    <t>Posible perdida, extravio, hurto,daños, robo o declaratoria irregular de bienes faltantes pertenecientes a la entidad.</t>
  </si>
  <si>
    <r>
      <rPr>
        <b/>
        <sz val="11"/>
        <rFont val="Arial Narrow"/>
        <family val="2"/>
      </rPr>
      <t>Posibildad de afectacion economica</t>
    </r>
    <r>
      <rPr>
        <sz val="11"/>
        <rFont val="Arial Narrow"/>
        <family val="2"/>
      </rPr>
      <t xml:space="preserve"> </t>
    </r>
    <r>
      <rPr>
        <b/>
        <sz val="11"/>
        <rFont val="Arial Narrow"/>
        <family val="2"/>
      </rPr>
      <t>por</t>
    </r>
    <r>
      <rPr>
        <sz val="11"/>
        <rFont val="Arial Narrow"/>
        <family val="2"/>
      </rPr>
      <t xml:space="preserve"> </t>
    </r>
    <r>
      <rPr>
        <sz val="11"/>
        <color theme="3"/>
        <rFont val="Arial Narrow"/>
        <family val="2"/>
      </rPr>
      <t>multas y/sanciones</t>
    </r>
    <r>
      <rPr>
        <sz val="11"/>
        <rFont val="Arial Narrow"/>
        <family val="2"/>
      </rPr>
      <t xml:space="preserve"> </t>
    </r>
    <r>
      <rPr>
        <b/>
        <sz val="11"/>
        <rFont val="Arial Narrow"/>
        <family val="2"/>
      </rPr>
      <t xml:space="preserve">debido a </t>
    </r>
    <r>
      <rPr>
        <sz val="11"/>
        <color rgb="FFFF0000"/>
        <rFont val="Arial Narrow"/>
        <family val="2"/>
      </rPr>
      <t>perdida, extravio, hurto, daños, robo o declaratoria irregular de bienes faltantes pertenecientes a la entidad.</t>
    </r>
  </si>
  <si>
    <t>Ejecuciones y Actividades Propias del Proceso.</t>
  </si>
  <si>
    <t>El Director (a) de Recursos Fisicos emite circulares semestralmente para socializar la Correcta apliacion al MANUAL PARA EL MANEJO Y CONTROL DE LOS BIENES DEL  MUNICIPIO.</t>
  </si>
  <si>
    <t>Almacenista General</t>
  </si>
  <si>
    <t xml:space="preserve">1. Cumpliendo con la Actividad de Control, desde la Oficina de Almacen se realizo socializacion de la Politica de Uso Adecuado de los Bienes, Esta politica fue Socializada por medio de la Circular N° 0005 del 10 de enero del 2025.            
2. Por medio de la Circular N° 00006 del 10 de enero de 2025 el Almacen General, socializo la correcta verificacion de muebles y enseres a cargo de cada funcionario publico. 3. Por medio del Circular N° 00008 del 14 de enero de 2025 el Almacen General socializo las responsabilidades de los funcionarios en caso de traslado o desvinculacion de la administracion central. 4. Por medio de PELHUSA se  socializo video   y se divulgo por el Facebook el dia 29/03/2025  el USO ADECUADO DE LOS BIENES DEL MPIO.                  </t>
  </si>
  <si>
    <t>El Director (a)  Recursos Fisicos junto con el Almacenista, realizan programacion del cronograma para el seguimiento a las tomas fisicas, con el fin de validar si existe perdida o no perdida, extravio, hurto, daños, robo o declaratoria irregular de bienes faltantes pertenecientes a la entidad.</t>
  </si>
  <si>
    <t>El Almacenista General cada vez que se presente un traslado o retiro de un funcionario, asigna un responsable para verificar la informaicon contenida en el acta de entrega y traspaso de bienes muebles, coincida con la informacion que reposa en la BDD del aplicativo de inventarios a no coincidir la informacion se remite correo electronico al responsable y sean ubicados los bienes muebles. Siguiendo los procedimientos establecidos.</t>
  </si>
  <si>
    <t xml:space="preserve">1.  El Almacen General  por medio del FORMATO: ACTA DE ENTREGA Y  TRASPASO DE BIENES MUEBLES Y ENSERES (VERSION 03, 31/07/2024) y la generacion de los PAZ Y SALVO  de  Almacen General, que reposan en los archivos y registos del CGI de la actualizacion, realizan las actividades de control y seguimiento a los movimientos de los inventarios de los bienes muebles a cargo de los funcionarios y   ex funcionarios que son de propiedad de la Administracion Central.    2. Por medio del memorando 1423-2024-055636 el Almacen Gral convoco una mesa de trabajo a las dependecias de talento humano, Control disciplinario e Interno, para tratar el tema para del seguimiento de aquellos funcionarios que se retiran de la Administracion Central y no hace la debida entrega al almacen de aquellos elementos que tenian a cargo, con la evidencia de esta activdad el Acta de reunion N° 0014 del 02/12/2024.                                                                                                                                                                                                                                    3. Por medio del memorando 1423-2024-058041 del 09/12/2024, el Almacen Gral realiza convocatoria de segunda mesa de trabajo a las dependecias de Talento Humano, Control Interno y Disciplinarios y se fortalezcan las actividades de controles del Almacen Gral para emitor paz y salvos a aquellos funcionarios que se desvinculan de la Alcaldia de ibague, como evidencia el Acta de Reunion N° 0015 del 16/12/2024. 4. Por medio del correo electronico institucional del Almacen Gral en el mes de diciembre/2024 les  remite  a los funcionarios Maria Margarita Abraham, Sary Ibeth Santos Moreno, Shirley Lorena, Angela Ximena Charcas y a otros, que se acerquen al almacen y hagan el proceso de entrega la Almacen Gral y revisan su respectivo PAZ Y SALVO.                                                                                                                                                                                                         5. Por medio de comunicacion externa el almacen gral el dia 19/12/2024, remite por 472 oficio a la Señora Maria Margarita Rueda Abraham, solicitandole que haga entrega de los bienes muebles que aun tiene bajo su responsabilidad en el sistema de informacion de esta oficina ( se anbexa formato de correspondencia- Oficina de Atencion al Ciudadano).                                                                                                                                                                                                                                                                                                 </t>
  </si>
  <si>
    <t>Perdida o deficiencias en las identificacion de los bienes inmuebles o cedidos de propiedad del Municipio de Ibague</t>
  </si>
  <si>
    <r>
      <rPr>
        <b/>
        <sz val="11"/>
        <rFont val="Arial Narrow"/>
        <family val="2"/>
      </rPr>
      <t>Posibilidad de perdida economica por</t>
    </r>
    <r>
      <rPr>
        <sz val="11"/>
        <rFont val="Arial Narrow"/>
        <family val="2"/>
      </rPr>
      <t xml:space="preserve"> </t>
    </r>
    <r>
      <rPr>
        <sz val="11"/>
        <color theme="3"/>
        <rFont val="Arial Narrow"/>
        <family val="2"/>
      </rPr>
      <t>multas y/o sanciones</t>
    </r>
    <r>
      <rPr>
        <sz val="11"/>
        <rFont val="Arial Narrow"/>
        <family val="2"/>
      </rPr>
      <t xml:space="preserve"> </t>
    </r>
    <r>
      <rPr>
        <b/>
        <sz val="11"/>
        <rFont val="Arial Narrow"/>
        <family val="2"/>
      </rPr>
      <t>debido a</t>
    </r>
    <r>
      <rPr>
        <sz val="11"/>
        <rFont val="Arial Narrow"/>
        <family val="2"/>
      </rPr>
      <t xml:space="preserve">  </t>
    </r>
    <r>
      <rPr>
        <sz val="11"/>
        <color rgb="FFFF0000"/>
        <rFont val="Arial Narrow"/>
        <family val="2"/>
      </rPr>
      <t>deficiencias en las identificacion de los bienes inmuebles o cedidos de propiedad del Municipio de Ibague</t>
    </r>
  </si>
  <si>
    <t>Ejecuciones  y Acitividades Propias del Proceso.</t>
  </si>
  <si>
    <t>El profesional Universitario Especializado, realiza mensualmentes seguimieto aleatorios a la BDD a los expedientes que reposan en el archivo gestion de la Direccion de Recursos Fisicos, para identificar posibles fallos en el registro de la informacion  que reposa en las BBD de los Bienes fiscales y de uso publicos del Municipio de Ibague, como tambien se programan mesas de trabajo para el seguimiento de este control.</t>
  </si>
  <si>
    <t xml:space="preserve">1. Dando cumplimiento a la socializacion del manual de bienes fiscales y de uso publico y pactar confidencialidad y responsabilidad de la manejo e informacion de las BBD, se realizo una capacitacion a los contratistas que ingresaron en el primer trimestre de 2025 al grupo de predios. Evidencias Actas N° 0005 del 28/02/2025 y N° 0014 del 31/03/2025.  1. Por medio de correo electronico institucional el dia 12/02/2025, el grupo de Bienes Fiscales remite a la Directora de Recursos Fisicos reporte del muestreo aleatorio del mes de enero de 2025 de la revision de los expedientes que reposan en el archivo gestion, donde realizan la verificacion y corraborar la infiornacion de la BDD  de  grupo de Bienes Fiscales y Uso Publico conforme a  los expedientes fisicos.                                                                                                                                                                                        2..   Por medio de correo electronico institucional el dia 26/02/2025, el grupo de Bienes Fiscales remite a la Directora de Recursos Fisicos reporte del muestreo aleatorio del mes de febrero de 2025 de la revision de los expedientes que reposan en el archivo gestion, donde realizan la verificacion y corraborar la infiornacion de la BDD  de  grupo de Bienes Fiscales y Uso Publico conforme a  los expedientes fisicos. 3. Por medio de correo electronico institucional el dia 31/03/2025, el grupo de Bienes Fiscales remite a la Directora de Recursos Fisicos reporte del muestreo aleatorio del mes de marzo de 2025 de la revision de los expedientes que reposan en el archivo gestion, donde realizan la verificacion y corraborar la infiornacion de la BDD  de  grupo de Bienes Fiscales y Uso Publico conforme a  los expedientes fisicos                                                                                  </t>
  </si>
  <si>
    <t>Cuando ingresen personal de apoyo al proceso de gestion de Recursos Fisicos al Grupo de Bienes Fiscales y de Uso Publico, se les realiza una socializacion del MANUAL ADMINISTRACION DE BIENES FISCALES Y DE USO PUBLICO,</t>
  </si>
  <si>
    <t xml:space="preserve">1.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0008 del 22/03/2024. 2.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3.Dando cumplimiento a esta actividad el dia 03/12/2024, por medio de correo electronico institucional se realizo convocatoria al personal de apoyo que ingresaron en los meses de septiembre, octubre,  noviembre y diciembre  de 2024 al grupo de titulaciones, para realizar el proceso de sociliazion del manual de ADMINSITRACION AL GRUPO DE BIENES FISCALES Y DE USO PUBLICO Y PACTAR COMPROMISO DE CONFIDENCIALIDAD DE LAS BDD que reposan en la Direccion de Recursos Fisicos.                                                                                                                                                                                                                                                                                             </t>
  </si>
  <si>
    <t>Deficiencia  en la planeacion y control de los contratos</t>
  </si>
  <si>
    <t>Falta de Presupuesto para cumplir con el correcto funcionamiento de los procesos de la entidad y metas del plan de desarrollo</t>
  </si>
  <si>
    <t>Deficiencia de la aplicación correcta al MANUAL PARA EL MANEJO Y CONTROL DE LOS BIENES DEL MUNICIPIO</t>
  </si>
  <si>
    <t>Deficiencia en el control de los inventarios periodicos.</t>
  </si>
  <si>
    <t>Deficiente control al momentos de la desvinculacion o traslado de los Funcionarios</t>
  </si>
  <si>
    <t>Inadecuado manejo de la informacion en la base de datos asociada al proceso de identificacion de los Bienes Fiscales y de uso Publico</t>
  </si>
  <si>
    <t>Presiones externas o de un superior jerárquico, para manipular informacion de los Bienes Fiscales y de uso Publico del Municipio de Ibague.</t>
  </si>
  <si>
    <t>Deficiente articulacion de la informacion entre procesos para la identificación de los predios de propiedad del Municipio.</t>
  </si>
  <si>
    <t>SISTEMA INTEGRADO DE GESTIÓN Y MIPG</t>
  </si>
  <si>
    <t>DESARROLLAR ACCIONES PARA LA IMPLEMENTACIÓN, SOSTENIBILIDAD Y MEJORA CONTINUA DEL SISTEMA INTEGRADO DE GESTIÓN DE LA ADMINISTRACIÓN MUNICIPAL DE IBAGUÉ “SIGAMI”, COMO HERRAMIENTA PARA LA TOMA DE DECISIONES Y EL CUMPLIMIENTO DE LA MISIÓN Y OBJETIVOS INSTITUCIONALES.</t>
  </si>
  <si>
    <t>INICIA DESDE LA PLANEACION DEL PROCESO, EL AFIANZAMIENTO DE LA CULTURA Y COMPROMISO ORGANIZACIONAL CON EL SIGAMI, HASTA LA CONSOLIDACIÓN DE LOS RESULTADOS DE LA MEDICIÓN Y SEGUIMIENTO DEL SISTEMA.</t>
  </si>
  <si>
    <t>Causa Raíz (EVENTO)</t>
  </si>
  <si>
    <t>Subcausas (CAUSAS) - FACTORES</t>
  </si>
  <si>
    <t xml:space="preserve">Tipo de Riesgos </t>
  </si>
  <si>
    <t>MONITOREO ENERO -FEBRERO</t>
  </si>
  <si>
    <t>MONITOREO MARZO  - ABRIL</t>
  </si>
  <si>
    <t xml:space="preserve">MONITOREO MAYO - JUNIO </t>
  </si>
  <si>
    <t xml:space="preserve">MONITOREO JULIO - AGOSTO </t>
  </si>
  <si>
    <t>MONITOREO SEPTIEMBRE - OCTUBRE</t>
  </si>
  <si>
    <t>MONITOREO NOVIEMBRE - DICIEMBRE</t>
  </si>
  <si>
    <t xml:space="preserve">cancelación o retiro de las certificaciones obtenidas </t>
  </si>
  <si>
    <t>Incumplimiento de los requisitos de las normas HSEQ</t>
  </si>
  <si>
    <t>Incumplimiento de los indicadores de Gestión</t>
  </si>
  <si>
    <r>
      <t>Posibilidad de perdida</t>
    </r>
    <r>
      <rPr>
        <sz val="10"/>
        <color theme="4"/>
        <rFont val="Arial Narrow"/>
        <family val="2"/>
      </rPr>
      <t xml:space="preserve"> </t>
    </r>
    <r>
      <rPr>
        <sz val="10"/>
        <color rgb="FF00B050"/>
        <rFont val="Arial Narrow"/>
        <family val="2"/>
      </rPr>
      <t xml:space="preserve">reputacional </t>
    </r>
    <r>
      <rPr>
        <sz val="10"/>
        <rFont val="Arial Narrow"/>
        <family val="2"/>
      </rPr>
      <t xml:space="preserve">por la </t>
    </r>
    <r>
      <rPr>
        <sz val="10"/>
        <color rgb="FFFF0000"/>
        <rFont val="Arial Narrow"/>
        <family val="2"/>
      </rPr>
      <t>cancelación o retiro de las certificaciones obtenidas</t>
    </r>
    <r>
      <rPr>
        <sz val="10"/>
        <rFont val="Arial Narrow"/>
        <family val="2"/>
      </rPr>
      <t xml:space="preserve"> debido al </t>
    </r>
    <r>
      <rPr>
        <sz val="10"/>
        <color rgb="FF002060"/>
        <rFont val="Arial Narrow"/>
        <family val="2"/>
      </rPr>
      <t>incumplimiento de los requisitos de las normas HSEQ.</t>
    </r>
  </si>
  <si>
    <t>Gestion</t>
  </si>
  <si>
    <t xml:space="preserve">Consolidación de Indicadores del Sistema Integrado de Gestión SIGAMI
Auditorías Internas - Seguimiento al cumplimiento de los requisitos de las Normas HSEQ
Consolidación y monitoreo a mapas de riesgos
Consolidación y seguimiento a normogramas </t>
  </si>
  <si>
    <t>El (la) directora (a) de Fortalecimiento Institucional  junto con su equipo de trabajo trimestralmente consolida el reporte de indicadores y revisa el cumplimiento de las metas. Dejando como evidencia el tablero de indicadores de SIGAMI.</t>
  </si>
  <si>
    <t xml:space="preserve">La director(a) de Fortalecimiento Institucional presentará el reporte o semaforización de las entregas con el fin de los procesos que no hayan cumplido a cabalidad con las directrices impartidas realizcen las acciones correctivas necesarias. </t>
  </si>
  <si>
    <t>La director(a) de Fortalecimiento Institucional</t>
  </si>
  <si>
    <t>1 de enero de 2025</t>
  </si>
  <si>
    <t>30 de Agosto de 2025</t>
  </si>
  <si>
    <t>Semaforización presentada en comité SIGAMI</t>
  </si>
  <si>
    <t>En Curso</t>
  </si>
  <si>
    <t xml:space="preserve">Durante este periodo no se entrega semaforizacion ya que las entregas del seguimiento a  indicadores, normograma, salidas no conformes y acciones correctivas se hacen de manera trimestral. </t>
  </si>
  <si>
    <t>Inadecuada Gestión del Conocimiento</t>
  </si>
  <si>
    <r>
      <t xml:space="preserve">Los Líderes de los Sistemas de Gestión y sus equipos de trabajo, (anualmente) verifican la apropaición del conocimiento sobre las normas, cada vez que haya vinculacion del personal, dejando como evidencia el informe del </t>
    </r>
    <r>
      <rPr>
        <b/>
        <sz val="10"/>
        <rFont val="Arial Narrow"/>
        <family val="2"/>
      </rPr>
      <t>PLAN DE ACCION DEBILIDADES GESTIÓN DEL CONOCIMIENTO</t>
    </r>
    <r>
      <rPr>
        <sz val="10"/>
        <rFont val="Arial Narrow"/>
        <family val="2"/>
      </rPr>
      <t xml:space="preserve">.  Asi mismo en los  Sistema Integrado de Gestión a través de las evaluación de impacto de los procesos de Inducción y reinducción a fin de identificar las fortalezas y debilidades del personal.  Dejando como evidencia el informe  de resultados. </t>
    </r>
  </si>
  <si>
    <t>Incumplimiento de la estructura documental del instrutivo de Elaboración de Documentos del SIGAMI</t>
  </si>
  <si>
    <t xml:space="preserve">El (la) directora (a) de Fortalecimiento Institucional junto con su equipo de trabajo de manera permanente  antes de eliminar, actualizar o crear un documento SIGAMI, verifica que dichos documentos cumplna con la estructura documental determinada en el  procedimiento de control de documentos e instrutivo de Elaboración de Documentos del SIGAMI, con el proposito de Verificar el cumplimiento de los requisitos establecidos para tal fin, Dejando como evidencia correos electrónicos o el listado maestro de documentos. Si un documento no cumple con los criterios establecidos, es devuelto para realizar las correcciones pertinentes </t>
  </si>
  <si>
    <t>Auditorías  NO PLANEADAS DENTRO DEL PAA. (internas fuera de los parametros estabelcidos)</t>
  </si>
  <si>
    <t xml:space="preserve">El (la) directora (a) de Fortalecimiento Institucional cada vez que se requiera, revisa que la Oficina de Control Interno dentro de su Programa Anual de Auditoría determinando las fechas previstas de las auditorias, con el fin de realizar adecuadamente la planeación de las mismas. </t>
  </si>
  <si>
    <t xml:space="preserve">Constantes cambios en la normatividad </t>
  </si>
  <si>
    <t>El (la) directora (a) de Fortalecimiento Institucional  junto con su equipo de trabajo trimestralmente consolida el reporte de normograma y realiza el seguimiento del cumplimiento de la normatividad externa. Dejando como evidencia actas de reunión y correos eléctronicos de retrolimentación del mismo para posteriores correcciones de los hallazgos.</t>
  </si>
  <si>
    <t>multa o sanción de los entes reguladores</t>
  </si>
  <si>
    <t>debido al incumplimiento de la normatividad vigente en Seguridad y Salud en el Trabajo y ambiente.</t>
  </si>
  <si>
    <t>Incumplimiento del plan de trabajo</t>
  </si>
  <si>
    <r>
      <t xml:space="preserve">
Posibilidad de perdida reputacional y afectación económica por </t>
    </r>
    <r>
      <rPr>
        <sz val="10"/>
        <color rgb="FFFF0000"/>
        <rFont val="Arial Narrow"/>
        <family val="2"/>
      </rPr>
      <t xml:space="preserve">multa o sanción de los entes reguladores </t>
    </r>
    <r>
      <rPr>
        <sz val="10"/>
        <color rgb="FF002060"/>
        <rFont val="Arial Narrow"/>
        <family val="2"/>
      </rPr>
      <t>debido al incumplimiento de la normatividad vigente en Seguridad y Salud en el Trabajo y ambiente.</t>
    </r>
  </si>
  <si>
    <t>Desarrollo, implementación y seguimiento al plan de trabajo del Sistema de Salud y Seguridad en el Trabajo y Sistema de Gestión Ambiental.</t>
  </si>
  <si>
    <t>Los líderes de los Sistemas de Seguridad y Salud en el Trabajo y el Sistema de Gestión Ambiental  mensualmente verifican el cumplimiento al plan de trabajo  respectivo, con el proposito de controlar las actividades definidas, dejando como evidencia las actas de reunión y el Plan de Trabjo   y los indicadores de Gestión del Sistema de Gestión de SST y Gestión Ambiental. Si se determinan actividades que ha pasado su fecha de ejecución, se realiza plan de choque para cumplir lo establecido.</t>
  </si>
  <si>
    <t>Semestralmente el grupo de SST y/o el equipo líder del Sistema de Gestión Ambiental junto con la Dirección de Fortalecimiento Institucional realizarán seguimiento al plan anual de trabajo y a las acciones correctivas de las auditorías al Sistema Sistema de Seguridad y Salud en el Trabajo y del Sistema de gestión Ambiental para Verificar la eficacia de las mismas.</t>
  </si>
  <si>
    <t>Lider del Sistema de Seguridad y Salud en el trabajo y Líder del Sistema de Gestión Ambiental</t>
  </si>
  <si>
    <t>1 enero de 2025</t>
  </si>
  <si>
    <t>30 de Diciembre de 2025</t>
  </si>
  <si>
    <t>Actas de reunion, Matriz de seguimiento a no conformidades de la auditoria Externa.</t>
  </si>
  <si>
    <t>29/03/2025 se realizo mesa de trabajo con el equipo HSEQ, para realizar Monitoreo y seguimiento al mapa de riesgos y acciones correctivas resultantes de la auditoria externa</t>
  </si>
  <si>
    <t xml:space="preserve">Insuficiencia en el talento humano </t>
  </si>
  <si>
    <t xml:space="preserve">Los líderes de los Sistemas de Seguridad y Salud en el Trabajo y el Sistema de Gestión Ambiental con los Profesionales designados, anualmente verifican la necesidad del talento humano en misión con el proposito de determinar los perfiles  requeridos para el buen funcionamiento de los Sistemas de SST y Gestión Ambiental y se incluye en el plan anual de adquisiciones de las dependencias, dejando como evidencia el plan anual de adquisiones. Si se presentan desviaciones, se solicitará actualización del plan de adquisiciones. </t>
  </si>
  <si>
    <t>deficiente priorización en la gestión para el cumplimiento de los requisitos o necesidades en SST y Sistema de Gestión Ambiental</t>
  </si>
  <si>
    <t>Los líderes de los Sistemas de Seguridad y Salud en el Trabajo y el Sistema de Gestión Ambiental con los Profesionales designados, trimestralmente mensualmente realizan seguimiento al cumplimiento del Plan de Acción, con el propósito de validar el cumplimiento de las actividades definidas, dejando como evidencia  el Plan de Trabajo actas de reunión. Si se determinan actividades que ha pasado su fecha de ejecución, se debe actualizar el  Plan de Trabajo con la respectiva fecha programada para ejecutar las actividades pendientes se realiza plan de choque para cumplir lo establecido. SE EVIODENCIA EN EL FORMATO DE ACCIONES CORRECTIVAS Y DE MEJORA</t>
  </si>
  <si>
    <t>Falta de compromiso, gestión y liderazgo en los diferentes sistemas que componen SIGAMI</t>
  </si>
  <si>
    <t>El comité Institucional de Gestión y Desempeño, semestralmente verifica el cumplimiento de los planes de trabajo y revisan el cumplimiento de los indicadores de los objetivos, dejando como evidencia las actas de comité, con el propósito de validar el avance y mejora contínua del Sistema de Gestión HSEQ. Si se presentan desviaciones se generará un plan de acción con el fin de dar cumplimiento a lo establecido.</t>
  </si>
  <si>
    <t>1. Se realizó el cronograma en donde se delega las responsabilidades de cada uno de los instrumentos de planeación. 2. Se le hizo seguimiento a la ejecución con los informes mensuales cargados.</t>
  </si>
  <si>
    <t>Finalizado</t>
  </si>
  <si>
    <t>OBSERVACIONES
(MAPA ACTUALIZADO B6)
BIMESTRE01  ENERO-FEBRERO  -2025</t>
  </si>
  <si>
    <t>OBSERVACIONES
(MAPA marzo 3 2025)
BIMESTRE02  MARZO - ABRIL  -2025</t>
  </si>
  <si>
    <r>
      <rPr>
        <b/>
        <sz val="9"/>
        <color theme="1"/>
        <rFont val="Arial Narrow"/>
        <family val="2"/>
      </rPr>
      <t>DIRECCION DE PRESUPUESTO:</t>
    </r>
    <r>
      <rPr>
        <sz val="9"/>
        <color theme="1"/>
        <rFont val="Arial Narrow"/>
        <family val="2"/>
      </rPr>
      <t xml:space="preserve">
Informes de seguimiento y ejecutivos de Ejecución Presupuestal:  Ejecución Gastos diciembre 2024
 -Correo.  Informe Ejecutivo de la Ejecución Presupuestal de Gastos Reserva y Pasivos Exigibles 31 de diciembre_2024 
- correo.  Ejecución Gastos enero 2025 
- correo.  Informe Ejecutivo de la Ejecución Presupuestal de Gastos 31 de enero 2025 
- correo.  Circular 0001 febrero 17 2025 Seguimiento Ejecución Presupuestal.
</t>
    </r>
  </si>
  <si>
    <r>
      <rPr>
        <b/>
        <sz val="9"/>
        <color theme="1"/>
        <rFont val="Arial Narrow"/>
        <family val="2"/>
      </rPr>
      <t>DIRECCION DE PRESUPUESTO:</t>
    </r>
    <r>
      <rPr>
        <sz val="9"/>
        <color theme="1"/>
        <rFont val="Arial Narrow"/>
        <family val="2"/>
      </rPr>
      <t xml:space="preserve">
Informes de seguimiento y ejecutivos de Ejecución Presupuestal:  
 </t>
    </r>
    <r>
      <rPr>
        <b/>
        <sz val="9"/>
        <color theme="1"/>
        <rFont val="Arial Narrow"/>
        <family val="2"/>
      </rPr>
      <t xml:space="preserve">-Circular 00003 10/03/2025 </t>
    </r>
    <r>
      <rPr>
        <sz val="9"/>
        <color theme="1"/>
        <rFont val="Arial Narrow"/>
        <family val="2"/>
      </rPr>
      <t xml:space="preserve">Seguimiento Ejecución Presupuestal corte 28/02/2025.  
</t>
    </r>
    <r>
      <rPr>
        <b/>
        <sz val="9"/>
        <color theme="1"/>
        <rFont val="Arial Narrow"/>
        <family val="2"/>
      </rPr>
      <t xml:space="preserve">-Circular 00004 03/04/2025 </t>
    </r>
    <r>
      <rPr>
        <sz val="9"/>
        <color theme="1"/>
        <rFont val="Arial Narrow"/>
        <family val="2"/>
      </rPr>
      <t xml:space="preserve">Seguimiento Ejecución Presupuestal corte 31/02/2025. 
</t>
    </r>
    <r>
      <rPr>
        <b/>
        <sz val="9"/>
        <color theme="1"/>
        <rFont val="Arial Narrow"/>
        <family val="2"/>
      </rPr>
      <t xml:space="preserve"> -Circular 00005 02/04/2025</t>
    </r>
    <r>
      <rPr>
        <sz val="9"/>
        <color theme="1"/>
        <rFont val="Arial Narrow"/>
        <family val="2"/>
      </rPr>
      <t xml:space="preserve"> Seguimiento Ejecución Presupuestal corte 31/03/2025.  
</t>
    </r>
    <r>
      <rPr>
        <b/>
        <sz val="9"/>
        <color theme="1"/>
        <rFont val="Arial Narrow"/>
        <family val="2"/>
      </rPr>
      <t>-Memorando N.17704 11/04/2025</t>
    </r>
    <r>
      <rPr>
        <sz val="9"/>
        <color theme="1"/>
        <rFont val="Arial Narrow"/>
        <family val="2"/>
      </rPr>
      <t xml:space="preserve"> Despacho de Hacienda Informe Ejecutivo tercer trimestre.
</t>
    </r>
    <r>
      <rPr>
        <b/>
        <sz val="9"/>
        <color theme="1"/>
        <rFont val="Arial Narrow"/>
        <family val="2"/>
      </rPr>
      <t xml:space="preserve"> -Correo 07/03/2025 </t>
    </r>
    <r>
      <rPr>
        <sz val="9"/>
        <color theme="1"/>
        <rFont val="Arial Narrow"/>
        <family val="2"/>
      </rPr>
      <t xml:space="preserve">Ejecución de Gastos febrero 2025. 
</t>
    </r>
    <r>
      <rPr>
        <b/>
        <sz val="9"/>
        <color theme="1"/>
        <rFont val="Arial Narrow"/>
        <family val="2"/>
      </rPr>
      <t xml:space="preserve"> -Correo 03/04/2025 </t>
    </r>
    <r>
      <rPr>
        <sz val="9"/>
        <color theme="1"/>
        <rFont val="Arial Narrow"/>
        <family val="2"/>
      </rPr>
      <t xml:space="preserve">Ejecución de Gastos marzo 2025. 
</t>
    </r>
    <r>
      <rPr>
        <b/>
        <sz val="9"/>
        <color theme="1"/>
        <rFont val="Arial Narrow"/>
        <family val="2"/>
      </rPr>
      <t xml:space="preserve"> -Correo 11/03/2025</t>
    </r>
    <r>
      <rPr>
        <sz val="9"/>
        <color theme="1"/>
        <rFont val="Arial Narrow"/>
        <family val="2"/>
      </rPr>
      <t xml:space="preserve"> Informe Ejecutivo de la Ejecución Presupuestal de Gastos 28/02/2025. 
</t>
    </r>
    <r>
      <rPr>
        <b/>
        <sz val="9"/>
        <color theme="1"/>
        <rFont val="Arial Narrow"/>
        <family val="2"/>
      </rPr>
      <t>-Correo 11/04/2025</t>
    </r>
    <r>
      <rPr>
        <sz val="9"/>
        <color theme="1"/>
        <rFont val="Arial Narrow"/>
        <family val="2"/>
      </rPr>
      <t xml:space="preserve"> Informe Ejecutivo de la Ejecución Presupuestal de Gastos 31/03/2025.  </t>
    </r>
  </si>
  <si>
    <t xml:space="preserve">DIRECCION TESORERIA: Para el primer bimestre se adjuntan tres informes de prestamo y devolución de los expedientes el primero de (predial e ica), el segundo de (transito) y el tercero de Secretaria predial. con sus respectivas planillas. Lo anterior correspondiente a los meses de enero y febrero de 2025. </t>
  </si>
  <si>
    <r>
      <t xml:space="preserve">DIRECCION DE TESORERIA: </t>
    </r>
    <r>
      <rPr>
        <sz val="9"/>
        <color theme="1"/>
        <rFont val="Arial Narrow"/>
        <family val="2"/>
      </rPr>
      <t xml:space="preserve">
Para el segundo bimestre se adjuntan</t>
    </r>
    <r>
      <rPr>
        <b/>
        <sz val="9"/>
        <color theme="1"/>
        <rFont val="Arial Narrow"/>
        <family val="2"/>
      </rPr>
      <t xml:space="preserve"> tres informes de prestamo y devolución de los expedientes el primero de</t>
    </r>
    <r>
      <rPr>
        <sz val="9"/>
        <color theme="1"/>
        <rFont val="Arial Narrow"/>
        <family val="2"/>
      </rPr>
      <t xml:space="preserve"> </t>
    </r>
    <r>
      <rPr>
        <b/>
        <sz val="9"/>
        <color theme="1"/>
        <rFont val="Arial Narrow"/>
        <family val="2"/>
      </rPr>
      <t>(predial e ica</t>
    </r>
    <r>
      <rPr>
        <sz val="9"/>
        <color theme="1"/>
        <rFont val="Arial Narrow"/>
        <family val="2"/>
      </rPr>
      <t>), el segundo de (</t>
    </r>
    <r>
      <rPr>
        <b/>
        <sz val="9"/>
        <color theme="1"/>
        <rFont val="Arial Narrow"/>
        <family val="2"/>
      </rPr>
      <t xml:space="preserve">transito) </t>
    </r>
    <r>
      <rPr>
        <sz val="9"/>
        <color theme="1"/>
        <rFont val="Arial Narrow"/>
        <family val="2"/>
      </rPr>
      <t>y el tercero de Secretaria predial. con sus respectivas planillas. Lo anterior correspondiente a los meses de marzo y abril de 2</t>
    </r>
    <r>
      <rPr>
        <b/>
        <sz val="9"/>
        <color theme="1"/>
        <rFont val="Arial Narrow"/>
        <family val="2"/>
      </rPr>
      <t xml:space="preserve">025. </t>
    </r>
  </si>
  <si>
    <t xml:space="preserve">DIRECCION DE PRESUPUESTO:
En el Acta N.0002 26/02/2024 Reunión operativa, en el punto trea (3) Proposiciones y varios,  el Director de Presupuesto informa que se está efectuando el desarrollo de Modulo de Reserva Presupuestal junto con las TIC que se convoco a reunión virtual el 28/02/2025 para continuar con este proceso.  
El Grupo Central de Cuentas informa que ya se finiquitó la actualización del procedimiento de "Ordenes de Pago" con los recursos existentes; este fue aprobado por el nivel directivo y fue enviado para su inclusión en el SIGAMI y su prespectiva publicación.  
También se informa que llegó una citación de las TIC donde se convoca a reunión para continuar con el proceso de desarrollo del módulo de pre-registro. 
 Evidencias:  Memorando de convocatoria virtual desarrollo módulo de reserva presupuestal. 
Memorando de envio procedimiento definitivo de ordenes de pago a Planeación.  
Convocatoria presencial desarrollo módulo de Pre-registro.     
DIRECCION DE CONTABILIDAD:
Se actualiza procedimiento PRO-GHP-015 PROGR, EJECUCIÓN Y CIERRE DE LOS REC DEL SISTEMA GENERAL DE PART (SGP), publicado en pagina web de la Alcaldía, Igualmente, se remitio a oficina de fortalecimiento para los fines pertinentes la actualización en formato Word el procedimiento de
Órdenes dePago que hace parte del PROCESO: GESTIÓN DE HACIENDA PÚBLICA de la Secretaría deHacienda.(en desarrollo)
DIRECCION TESORERIA: 
-Mediante memorando No 04275 del 30 de enero de 2025,  se envia a la Dirección de fortalecimiento institucional el procedimiento PRESCRIPCIONES para la debida actualizacion en la pagina de la Alcaldia de Ibagué. 
--Mediante memorando No 04460 del 31 de enero de 2025, se envia a la Dirección de fortalecimiento institucional el procedimiento SGP (Sistema General de Participaciones) para la debida actualizacion en la pagina de la Alcaldia de Ibagué. 
-Mediante circular No 05308 del 05 de febrero de 2025, se realiza la socialización a todas las Secretarias de la Alcaldia sobre del procedimiento SGP (Sistema General de Participaciones). </t>
  </si>
  <si>
    <r>
      <t xml:space="preserve">DIRECCION DE RENTAS:
</t>
    </r>
    <r>
      <rPr>
        <sz val="9"/>
        <color theme="1"/>
        <rFont val="Arial Narrow"/>
        <family val="2"/>
      </rPr>
      <t>• Mediante</t>
    </r>
    <r>
      <rPr>
        <b/>
        <sz val="9"/>
        <color theme="1"/>
        <rFont val="Arial Narrow"/>
        <family val="2"/>
      </rPr>
      <t xml:space="preserve"> ACTA N. 001 d</t>
    </r>
    <r>
      <rPr>
        <sz val="9"/>
        <color theme="1"/>
        <rFont val="Arial Narrow"/>
        <family val="2"/>
      </rPr>
      <t xml:space="preserve">e fecha 03 de marzo de 2025, Se realizó reunión ordinaria como MESA DE TRABAJO DOCUMENTOS DIRECCION DE RENTAS con la dirección de fortalecimiento, donde se tocaron dos Ítem; uno, fue sobre los documentos de la dirección de rentas como procedimientos y/o instructivos que se requería ser actualizado al tiempo real del proceso, y poder subirlo a la página de SIGAMI. Así mismo, se brindó apoyo en la revisión de los tramites de la dirección de rentas para poder avanzar en la revisión de cada ficha y tramite colgado en la página de la alcaldía municipal de Ibagué “Tramites”, en aras de ser actualizados. 
• Mediante memorando </t>
    </r>
    <r>
      <rPr>
        <b/>
        <sz val="9"/>
        <color theme="1"/>
        <rFont val="Arial Narrow"/>
        <family val="2"/>
      </rPr>
      <t xml:space="preserve">No 011079 </t>
    </r>
    <r>
      <rPr>
        <sz val="9"/>
        <color theme="1"/>
        <rFont val="Arial Narrow"/>
        <family val="2"/>
      </rPr>
      <t>del 07 de marzo de 2025, se envía a la Dirección de fortalecimiento institucional el instructivo INS-GHP-23 DEVOLUCIÓN Y/O COMPENSACION DE IMPUESTOS, TASAS, MULTAS, SANCIONES Y CONTRIBUCIONES, para la debida revisión, aprobación y actualización en la página de la Alcaldía de Ibagué; donde esta a su vez remite respuesta mediante memorando 1250-013344 del 19 de marzo de 2025.
• Mediante circular N</t>
    </r>
    <r>
      <rPr>
        <b/>
        <sz val="9"/>
        <color theme="1"/>
        <rFont val="Arial Narrow"/>
        <family val="2"/>
      </rPr>
      <t>o 1340-000002 del 12 de marzo de 2025</t>
    </r>
    <r>
      <rPr>
        <sz val="9"/>
        <color theme="1"/>
        <rFont val="Arial Narrow"/>
        <family val="2"/>
      </rPr>
      <t xml:space="preserve">, se realiza la socialización a todas las secretarias de la Alcaldía sobre el instructivo INS-GHP-23 DEVOLUCIÓN Y/O COMPENSACION DE IMPUESTOS, TASAS, MULTAS, SANCIONES Y CONTRIBUCIONES actualizado por la dirección de rentas, y colgado y publicado por la dirección de fortalecimiento.
• En el </t>
    </r>
    <r>
      <rPr>
        <b/>
        <sz val="9"/>
        <color theme="1"/>
        <rFont val="Arial Narrow"/>
        <family val="2"/>
      </rPr>
      <t>Acta N 03 del 26 de marzo de 2025</t>
    </r>
    <r>
      <rPr>
        <sz val="9"/>
        <color theme="1"/>
        <rFont val="Arial Narrow"/>
        <family val="2"/>
      </rPr>
      <t xml:space="preserve"> del comité mensual operativo de la dirección de rentas, en el punto 4, socialización y actualización de instructivos y procedimientos de la dirección de rentas; la directora informa la actualización realizada del Instructivo INS-GHP-23 DEVOLUCIÓN Y/O COMPENSACION DE IMPUESTOS, TASAS, MULTAS, SANCIONES Y CONTRIBUCIONES donde  fue  socializado a todos los funcionarios de rentas y de la alcaldía municipal para su debida revisión y aplicabilidad según circular 1340-000002 del pasado 12 de marzo de 2025.
</t>
    </r>
    <r>
      <rPr>
        <b/>
        <sz val="9"/>
        <color theme="1"/>
        <rFont val="Arial Narrow"/>
        <family val="2"/>
      </rPr>
      <t>DIRECCION DE TESORERIA:</t>
    </r>
    <r>
      <rPr>
        <sz val="9"/>
        <color theme="1"/>
        <rFont val="Arial Narrow"/>
        <family val="2"/>
      </rPr>
      <t xml:space="preserve"> Se envia mediante memorando</t>
    </r>
    <r>
      <rPr>
        <b/>
        <sz val="9"/>
        <color theme="1"/>
        <rFont val="Arial Narrow"/>
        <family val="2"/>
      </rPr>
      <t xml:space="preserve"> No 20109 del 30 de abril de 2025, </t>
    </r>
    <r>
      <rPr>
        <sz val="9"/>
        <color theme="1"/>
        <rFont val="Arial Narrow"/>
        <family val="2"/>
      </rPr>
      <t xml:space="preserve">a todos los funcionarios de la Direccion de TESORERIA - COBRO COACTIVO, la solicitud de revisión de los manaules, procedimientos e instructivos para actualizacion en la presente vigencia (si ha de ser el caso
</t>
    </r>
    <r>
      <rPr>
        <b/>
        <sz val="10"/>
        <color theme="1"/>
        <rFont val="Arial Narrow"/>
        <family val="2"/>
      </rPr>
      <t xml:space="preserve"> DIRECCION DE CO</t>
    </r>
    <r>
      <rPr>
        <b/>
        <sz val="9"/>
        <color theme="1"/>
        <rFont val="Arial Narrow"/>
        <family val="2"/>
      </rPr>
      <t xml:space="preserve">NTABILIDAD
</t>
    </r>
    <r>
      <rPr>
        <sz val="9"/>
        <color theme="1"/>
        <rFont val="Arial Narrow"/>
        <family val="2"/>
      </rPr>
      <t xml:space="preserve">: Para el Bimestre II no se  realizaron actualizaciones de los documentos del proceso de gestion de hacienda publica de la Direccion de Contabilidad.  </t>
    </r>
  </si>
  <si>
    <r>
      <rPr>
        <b/>
        <sz val="9"/>
        <color theme="1"/>
        <rFont val="Arial Narrow"/>
        <family val="2"/>
      </rPr>
      <t xml:space="preserve">TESORERIA: </t>
    </r>
    <r>
      <rPr>
        <sz val="9"/>
        <color theme="1"/>
        <rFont val="Arial Narrow"/>
        <family val="2"/>
      </rPr>
      <t xml:space="preserve">Se tiene programada la mesa de trabajo para el mes de marzo de 2025, con el certificado de cierre fiscal definitivo del año 2024. 
</t>
    </r>
    <r>
      <rPr>
        <b/>
        <sz val="9"/>
        <color theme="1"/>
        <rFont val="Arial Narrow"/>
        <family val="2"/>
      </rPr>
      <t xml:space="preserve">AVANCE: </t>
    </r>
    <r>
      <rPr>
        <sz val="9"/>
        <color theme="1"/>
        <rFont val="Arial Narrow"/>
        <family val="2"/>
      </rPr>
      <t xml:space="preserve">
</t>
    </r>
    <r>
      <rPr>
        <b/>
        <sz val="9"/>
        <color theme="1"/>
        <rFont val="Arial Narrow"/>
        <family val="2"/>
      </rPr>
      <t xml:space="preserve">MEMORANDO 1330 - 2025- 9683//FEB 28 2025//  </t>
    </r>
    <r>
      <rPr>
        <sz val="9"/>
        <color theme="1"/>
        <rFont val="Arial Narrow"/>
        <family val="2"/>
      </rPr>
      <t xml:space="preserve">" CERTIFICA A CONTABILIDAD PARA TRAMITES PRESUPUESTALES : "SUPERAVIT 2024 DESTINACIONES ESPECIFICAS 2024"
</t>
    </r>
    <r>
      <rPr>
        <b/>
        <sz val="9"/>
        <color theme="1"/>
        <rFont val="Arial Narrow"/>
        <family val="2"/>
      </rPr>
      <t xml:space="preserve">MEMORANDO 1330 - 2025- 7846 //FEB 19- 2025// </t>
    </r>
    <r>
      <rPr>
        <sz val="9"/>
        <color theme="1"/>
        <rFont val="Arial Narrow"/>
        <family val="2"/>
      </rPr>
      <t xml:space="preserve"> " CERTIFICA A CONTABILIDAD  PARA TRAMITES PRESUPUESTALES: "SUPERAVIT 2024 DESTINACIONES ESPECIFICAS 2024"
</t>
    </r>
  </si>
  <si>
    <r>
      <rPr>
        <b/>
        <sz val="9"/>
        <color theme="1"/>
        <rFont val="Arial Narrow"/>
        <family val="2"/>
      </rPr>
      <t>DIRECCION DE TESORERIA:</t>
    </r>
    <r>
      <rPr>
        <sz val="9"/>
        <color theme="1"/>
        <rFont val="Arial Narrow"/>
        <family val="2"/>
      </rPr>
      <t xml:space="preserve"> 
Se anexa el acta de reunión del</t>
    </r>
    <r>
      <rPr>
        <b/>
        <sz val="9"/>
        <color theme="1"/>
        <rFont val="Arial Narrow"/>
        <family val="2"/>
      </rPr>
      <t xml:space="preserve"> </t>
    </r>
    <r>
      <rPr>
        <b/>
        <sz val="9"/>
        <color rgb="FFFF0000"/>
        <rFont val="Arial Narrow"/>
        <family val="2"/>
      </rPr>
      <t>dia 08 de abril de 2025</t>
    </r>
    <r>
      <rPr>
        <sz val="9"/>
        <color rgb="FFFF0000"/>
        <rFont val="Arial Narrow"/>
        <family val="2"/>
      </rPr>
      <t xml:space="preserve">, </t>
    </r>
    <r>
      <rPr>
        <sz val="9"/>
        <color theme="1"/>
        <rFont val="Arial Narrow"/>
        <family val="2"/>
      </rPr>
      <t xml:space="preserve">del cierre fiscal de la vigencia 2024 en atención al procedimiento </t>
    </r>
    <r>
      <rPr>
        <b/>
        <sz val="9"/>
        <color theme="1"/>
        <rFont val="Arial Narrow"/>
        <family val="2"/>
      </rPr>
      <t xml:space="preserve">PRO-GHP-010 ''CIERRE DEL EJERCICIO FISCAL''. </t>
    </r>
    <r>
      <rPr>
        <sz val="9"/>
        <color theme="1"/>
        <rFont val="Arial Narrow"/>
        <family val="2"/>
      </rPr>
      <t xml:space="preserve"> 
</t>
    </r>
    <r>
      <rPr>
        <b/>
        <sz val="9"/>
        <color theme="1"/>
        <rFont val="Arial Narrow"/>
        <family val="2"/>
      </rPr>
      <t xml:space="preserve">DIRECCION DE PRESUPUESTO: 
</t>
    </r>
    <r>
      <rPr>
        <sz val="9"/>
        <color theme="1"/>
        <rFont val="Arial Narrow"/>
        <family val="2"/>
      </rPr>
      <t xml:space="preserve"> Producto de capacitación recibida por dos funcionarias de la Dirección de Presupuesto y situaciones observadas en procedimiento de Gestión Contractual de la entidad; se exhortó a una mesa de trabajo informal con la Oficina de Contratación el </t>
    </r>
    <r>
      <rPr>
        <b/>
        <sz val="9"/>
        <color theme="1"/>
        <rFont val="Arial Narrow"/>
        <family val="2"/>
      </rPr>
      <t xml:space="preserve">09/04/2025 </t>
    </r>
    <r>
      <rPr>
        <sz val="9"/>
        <color theme="1"/>
        <rFont val="Arial Narrow"/>
        <family val="2"/>
      </rPr>
      <t xml:space="preserve">en horas de la mañana, como un esfuerzo de cooperación institucional en la armonización y mejora de los procesos y procedimientos de la entidad.  
</t>
    </r>
    <r>
      <rPr>
        <b/>
        <sz val="9"/>
        <color theme="1"/>
        <rFont val="Arial Narrow"/>
        <family val="2"/>
      </rPr>
      <t xml:space="preserve">Evidencia: </t>
    </r>
    <r>
      <rPr>
        <sz val="9"/>
        <color theme="1"/>
        <rFont val="Arial Narrow"/>
        <family val="2"/>
      </rPr>
      <t xml:space="preserve"> Temario tratado en la mesa de trabajo, fotografia del personal presente, puntos y compromisos pendientes y tratados y listado de asistencia. 
</t>
    </r>
  </si>
  <si>
    <r>
      <rPr>
        <b/>
        <sz val="9"/>
        <color theme="1"/>
        <rFont val="Arial Narrow"/>
        <family val="2"/>
      </rPr>
      <t>DIRECCION DE RENTAS</t>
    </r>
    <r>
      <rPr>
        <sz val="9"/>
        <color theme="1"/>
        <rFont val="Arial Narrow"/>
        <family val="2"/>
      </rPr>
      <t xml:space="preserve">
• ACTA 03 DEL 26 DE MARZO DE 2025, seguimiento a planes y programas año 2025, seguimiento a la meta de la cartera CLDO.
• Memorando 015997 del 03 de abril de 2024 presentación avance plan de acción de gestión de la dirección de rentas con corte a marzo de 2025.  
• ACTA 04 DEL 24 DE ABRIL DE 2025, Seguimiento a planes y programas año 2025, seguimiento a la meta de la cartera CLDO. 
• Memorando 1340-2025-012215 del 13 de marzo de 2025, solicitud a la dirección de recursos físicos los elementos necesarios para el cumplimiento de las actividades de la dirección de rentas a los diferentes programas y planes de la misma.
• Memorando 1340-2025-014929 del 28 de marzo de 2025 a las TIC notificación por aviso de la página web de la liquidación de determinación oficial proferidos por la dirección de rentas en contra contribuyentes por impuesto predial unificado de las vigencias 2020 a 2023. 
• Memorando 1340-2025-019041 del 24 de abril  de 2025 a las TIC, del cual se tiene pendiente la respuesta, a la solicitud de registro de fecha y memorando de traslado CDLO generados en PISAMI V2 a la dirección de tesorería-Cobro coactivo en la plataforma PISAMI CLOUD, registros de los CLDO creados en el año 2023-2024 los cuales se realizaron de manera manual sin quedar impactados en la plataforma REALSIT; donde se hace necesario para poder remitir los  expediente de la cartera a cobro coactivo de la vigencia 2023-2024; adicionalmente a los reportado al cierre del plan de acción de gestión cierre de a vigencia 2024 y gestiones adelantadas con el fin de mitigar el riesgo reportados en el I bimestre. 
• Por lo anterior, y según respuesta de la dirección de recursos físicos mediante memorando 1423-2025-013524 del 20 de marzo de 2025, no se ha podido expedir certificación del cumplimiento de la actividad “Constitución y tramite tributario establecido para los títulos ejecutivos cobro coactivo. Cartera”, específicamente bajo el concepto de impuesto predial unificado para las dos últimas vigencias a la actual; en lo corrido del II bimestre de 2025.</t>
    </r>
  </si>
  <si>
    <r>
      <rPr>
        <b/>
        <sz val="9"/>
        <color theme="1"/>
        <rFont val="Arial Narrow"/>
        <family val="2"/>
      </rPr>
      <t xml:space="preserve">DIRECTOR DETESORERIA
</t>
    </r>
    <r>
      <rPr>
        <sz val="9"/>
        <color theme="1"/>
        <rFont val="Arial Narrow"/>
        <family val="2"/>
      </rPr>
      <t>Se presenta</t>
    </r>
    <r>
      <rPr>
        <b/>
        <sz val="9"/>
        <color theme="1"/>
        <rFont val="Arial Narrow"/>
        <family val="2"/>
      </rPr>
      <t xml:space="preserve"> el informe No 1 correspondiente al primer trimestre de año 2025 d</t>
    </r>
    <r>
      <rPr>
        <sz val="9"/>
        <color theme="1"/>
        <rFont val="Arial Narrow"/>
        <family val="2"/>
      </rPr>
      <t xml:space="preserve">onde se determinan los </t>
    </r>
    <r>
      <rPr>
        <b/>
        <sz val="9"/>
        <color theme="1"/>
        <rFont val="Arial Narrow"/>
        <family val="2"/>
      </rPr>
      <t xml:space="preserve">mandamientos </t>
    </r>
    <r>
      <rPr>
        <sz val="9"/>
        <color theme="1"/>
        <rFont val="Arial Narrow"/>
        <family val="2"/>
      </rPr>
      <t>de pago efectuados y el trámite de las notificaciones de los mismos y de</t>
    </r>
    <r>
      <rPr>
        <b/>
        <sz val="9"/>
        <color theme="1"/>
        <rFont val="Arial Narrow"/>
        <family val="2"/>
      </rPr>
      <t xml:space="preserve"> igual forma los embargos efectuados y el valor de los mismos.</t>
    </r>
  </si>
  <si>
    <t>DIRECCION DE PRESUPUESTO:
En el inició de vigencia 2025 se informó que en el ultimo trimestre 2024 se identificaron las siguientes causales de devolución:  
Correos enviados no conforme al procedimiento, Iniciales de revisores que no permitían de manera inmediata identificar quien tramito la cuenta y cuenta tramitada por menor valor.  
Con lo anterior, una vez se inició la vinculación de personal de apoyo, el líder del proceso emite instrucciones de trabajo y ordena dar inducciones y reinducciones operativas al personal que ingrese.  
En el contexto de la estructura de este riesgo para este periodo como evidencia se cuenta con:   
1.Instrucción general de trabajo dada por el Director de Presupuesto a través de Wathsaap el día 28/02/2025.  
2.Planilla de Induccióny Reinducción personal de apoyo.</t>
  </si>
  <si>
    <r>
      <rPr>
        <b/>
        <sz val="9"/>
        <color theme="1"/>
        <rFont val="Arial Narrow"/>
        <family val="2"/>
      </rPr>
      <t xml:space="preserve">DIRECCION DE PRESUPUESTO: 
</t>
    </r>
    <r>
      <rPr>
        <sz val="9"/>
        <color theme="1"/>
        <rFont val="Arial Narrow"/>
        <family val="2"/>
      </rPr>
      <t xml:space="preserve"> Una vez se identificaron las causales de devolución y las fallas presentadas en la operatividad del procedimiento conforme a las competencias del grupo durante el primer trimestre de la vigencia, se adelanto acompañamiento personalizado en los temas que requerían refuerzo y apoyo para así culminar con una nueva evaluación al personal llevada a cabo el 31/03/2025 y cuya evidencia se soporta con el </t>
    </r>
    <r>
      <rPr>
        <b/>
        <sz val="9"/>
        <color theme="1"/>
        <rFont val="Arial Narrow"/>
        <family val="2"/>
      </rPr>
      <t>acta interna n. 001 del 31/03/2025 q</t>
    </r>
    <r>
      <rPr>
        <sz val="9"/>
        <color theme="1"/>
        <rFont val="Arial Narrow"/>
        <family val="2"/>
      </rPr>
      <t>ue a su vez esta acompañada de</t>
    </r>
    <r>
      <rPr>
        <b/>
        <sz val="9"/>
        <color theme="1"/>
        <rFont val="Arial Narrow"/>
        <family val="2"/>
      </rPr>
      <t xml:space="preserve"> registro fotográfico y su correspondiente listado de asistencia.</t>
    </r>
  </si>
  <si>
    <t>Deficiente seguimiento por parte de los ordenadores del gasto  en la ejecución presupuestal</t>
  </si>
  <si>
    <t>Falta de aplicación de las políticas del proceso de gestión docuemntal en el control y préstamo de la documentación.</t>
  </si>
  <si>
    <t xml:space="preserve"> falta de actualización de los documentos de los procesos de gestión de la Secretaría de Hacienda.</t>
  </si>
  <si>
    <t>Inconsistencia en los cruces entre bancos y las certificaciones</t>
  </si>
  <si>
    <t>1, Retraso en la entrega de información relacionada con actualización y/o conservación catastral por parte del Gestor catastral.  Notificación indebida y/o extemporanea</t>
  </si>
  <si>
    <t xml:space="preserve">Debilidad de la Dirección de Tesorería-grupo Cobro Coactivo para efectuar el control de  los impulsos procesales de la cartera de cobro.  </t>
  </si>
  <si>
    <t>Inadecuada deducción de impuestos, tasas o contribuciones al contratista</t>
  </si>
  <si>
    <t>D3, O4-El director (a) de Presupuesto por medio de su equipo de trabajo, realizará seguimiento a la ejecución presupuestal elaborando y presentando de manera mensual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
Dejando como evidencia los correos electrónicos institucionales. (MANUAL  PRESUPUESTO: MAN-GHP-01- ELABORACIÓN DEL INFORME EJECUTIVO DE EJECUCIÓN PRESUPUESTAL DE GASTOS //CARACTERIZACION DEL PROCESO: CAR-GHP-001 )</t>
  </si>
  <si>
    <t>D1, D3, D12, O4, O7, F7 El Profesional Universitado y/o técnico Operativo cada vez que se requiera controla el prestamo y devolución de expedientes   deacuerdo a los lineamientos establecidos por Gestión Documental, dejando como Evidencia Planillas de control.
(GESTION DOCUMENTAL: FORMATO CONTROL PRESTAMO: PRO-GD-03)</t>
  </si>
  <si>
    <t>D2, D6,  F2, O5 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
(GESTION DOCUMENTAL: POLITICA GESTION DOCUMENTAL: POL-GD-001-PRO-SIG-001 CONTROL DE DOCUMENTOS DEL SIGAMI)</t>
  </si>
  <si>
    <t>D 13, D14. O10, F11 , A4. El Director de Tesoreria , anualmente, emitirá Certificado de superávit o déficit fiscal, dejando como evidencia dicha certificación. 
(PRO-GHP-010: PROCEDIMIENTO: CIERRE DEL EJERCICIO FISCAL)</t>
  </si>
  <si>
    <t>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PRO-GHP-05 FACTURACION  Impuesto Predial Unificado.</t>
  </si>
  <si>
    <t>F10, A4, D5, O10 , El director de Tesorería trimestralmente,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dejando como evidencia los informes trimestrales presentados al Director de Tesoreria
MANUAL ESPECÍFICO DE FUNCIONES Y COMPETENCIAS
LABORALES (MAN-GHS-003) ( DESCRIPCION DE FUNCIONES ESENCIALES y Página: 491 de 731)</t>
  </si>
  <si>
    <t>El técnico, los profesionales y el Grupo de Apoyo cada vez que llegue al correo documentos y órdenes de pago para tramite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PROCEDIMIENTO: ÓRDENES DE PAGO Código: PRO-GHP-008</t>
  </si>
  <si>
    <t>GESTIÓN DE LA INFORMACIÓN Y LA COMUNICACIÓN</t>
  </si>
  <si>
    <t>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</si>
  <si>
    <t>INICIA CON LA PLANEACIÓN DE LAS ESTRATEGIAS DE COMUNICACIÓN ORGANIZACIONAL, CONTINUA CON LA EJECUCIÓN DEL PLAN ESTRATEGICO DE COMUNICACIONES, LA ESTRATEGIA DE RENDICIÓN DE CUENTAS, LA ADMINISTRACIÓN DE LA IMAGEN CORPORATIVA Y EL MANTENIMIENTO Y ACTUALIZACIÓN DE LAS BASES DE DATOS DE GRUPOS DE INTERÉS, LA PRODUCCIÓN DE INFORMACIÓN PERIODÍSTICA PARA DIFUSIÓN EN DISTINTOS MEDIOS Y FINALIZA CON EL SEGUIMIENTO Y EVALUACIÓN DEL PROCESO.</t>
  </si>
  <si>
    <t>Inadecuada difusión de la gestion institucional y organizacional</t>
  </si>
  <si>
    <t>Falta de planeación y articulacion en el desarrollo de los eventos y actividades adelantadas por las unidades administrativas de la Alcadía de Ibagué</t>
  </si>
  <si>
    <t>Inadecuada comunicación entre las dependencias y los periodistas asiganados a cada una de ellas</t>
  </si>
  <si>
    <t>Posibilidad de perdida reputacional por la inadecuada difusión de las gestión institucional y organizacional debido a la falta de planeación y articulación en el desarrollo de los eventos y actividades adelantadas por las unidades administrativas de la Alcaldía de Ibagué</t>
  </si>
  <si>
    <t xml:space="preserve">PRODUCIR Y DIVULGAR
INFORMACIÓN PERIODÍSTICA
DE LOS PROGRAMAS,
PROYECTOS Y ACCIONES DE
LA ALCALDÍA Y SUS
ENTIDADES </t>
  </si>
  <si>
    <t>Realizar la documentación para fortalecer los controles establecidos, según quede en la caracterización de acuerdo a las necesidades del proceso</t>
  </si>
  <si>
    <t xml:space="preserve">1.Para el segumiento del control 1, en cada consejo de redacción se hace el segumiento adecuado a las actividades y responsabilidades de cada uno de los periodistas asignados a cada dependencia, de enero a agosto se han realizado 43 actas de dichos consejos de redacción.                                                                                                                                                                                                                                                                                                                                 2. Como seguimiento de la actividad de control del riesgo 2, cada publicación o material que sale de la Oficina cuenta con revisión del editor, de enero a agosto se han realizado 961 comunicados de prensa, al igual un seguimiento por las actividades realizadas de cada equipo de trabajo.                                                                                                                                                                                                                                                                                3.  Se envio a la Direccion de Fortalecimiento Institucional la caracterización del proceso donde queda documentado el control a seguir dando así cumplimiento al plan de acción </t>
  </si>
  <si>
    <t>Inadecuada divulgación de las acciones adelantadas por la Administración Municipal.</t>
  </si>
  <si>
    <t>Abril</t>
  </si>
  <si>
    <t>Junio</t>
  </si>
  <si>
    <t>Agosto</t>
  </si>
  <si>
    <t>Octubre</t>
  </si>
  <si>
    <t>Se envio correo dirigido a la secretaria administrativa solicitando actualizacion del PAA para la contratacion de personal con fecha del 2 de septiembre de 2024</t>
  </si>
  <si>
    <t>diciembre</t>
  </si>
  <si>
    <t xml:space="preserve">se reitero el dia 19 de junio a la direccion de recursos fisicos solicitandole enseres para la prevencion de perdida de los expedientes </t>
  </si>
  <si>
    <t>Reporte aplicativo DRIVE, en dias habiles cuantos actualizaciones se realizan. Por motivos de reserva legal no se puede compartir dicha informacion</t>
  </si>
  <si>
    <t>junio</t>
  </si>
  <si>
    <t>agosto</t>
  </si>
  <si>
    <t>31/06/2024</t>
  </si>
  <si>
    <t>se realizó el seguimiento a la base de datos la cual reposa en el drive, donde se alimenta la información de los expedientes ya existentes y los nuevos que se incorporan</t>
  </si>
  <si>
    <t>1 de enero de 2024</t>
  </si>
  <si>
    <t>30 de Agosto de 2024</t>
  </si>
  <si>
    <t xml:space="preserve">En el comité SIGAMI realizado el 23 de marzo de 2024 se presento una matriz semaforo con los diferentes procesos y su estado de reporte actual frente a indicadores, monitoreo de mapas de riesgo, normograma, acciones correctivas y salidas no conformes. </t>
  </si>
  <si>
    <t xml:space="preserve">En el comité SIGAMI realizado el 14 de Agosto de 2024 se presento una matriz semaforo con los diferentes procesos y su estado de reporte actual frente a indicadores, monitoreo de mapas de riesgo, normograma, acciones correctivas y salidas no conformes. </t>
  </si>
  <si>
    <t xml:space="preserve">En el comité SIGAMI realizado el 16 de Diciembre de 2024 se presento una matriz semaforo con los diferentes procesos y su estado de reporte actual frente a indicadores, monitoreo de mapas de riesgo, normograma, acciones correctivas y salidas no conformes. </t>
  </si>
  <si>
    <t>1 enero de 2024</t>
  </si>
  <si>
    <t>30 de Diciembre de 2024</t>
  </si>
  <si>
    <t>29/03/2024 se realizo mesa de trabajo con el equipo HSEQ, para realizar Monitoreo y seguimiento al mapa de riesgos y acciones correctivas resultantes de la auditoria externa</t>
  </si>
  <si>
    <t>24/05/2024 se realizo mesa de trabajo con el equipo HSEQ, para realizar Monitoreo y seguimiento al mapa de riesgos y acciones correctivas resultantes de la auditoria externa</t>
  </si>
  <si>
    <t xml:space="preserve">29/07/2024 se realizo mesa de trabajo con el equipo HSEQ, para realizar seguimiento a las acciones correctivas resultantes de la auditoria externa </t>
  </si>
  <si>
    <t>El 30 de Agosto del 2024, se realizo mesa de trabajo con el equipo HSEQ, para realizar seguimiento a las acciones correctivas resultantes de la auditoria externa</t>
  </si>
  <si>
    <t>El 30 de Noviembre del 2024, se realizo mesa de trabajo con el equipo HSEQ, para realizar seguimiento a las acciones correctivas resultantes de la auditoria externa</t>
  </si>
  <si>
    <t>GESTIÓN ARTÍSTICA Y CULTURAL</t>
  </si>
  <si>
    <t xml:space="preserve">FORTALECER E IMPLEMENTAR DE MANERA EFICAZ, EFECTIVA Y EFICIENTE EN LOS DIFERENTES BIENES, SERVICIOS Y
MANIFESTACIONES ARTISTICAS Y CULTURALES DE INTERES COMUN A TRAVÉS DE PROCESOS, PROYECTOS, PROGRAMAS Y
POLÍTICAS QUE CONTRIBUYAN DE MANERA INTEGRAL A TRAVES DEL ACCESO DE TODA LA COMUNIDAD DE IBAGUE A LAS
DIFERENTES ACTIVIDADES ARTISTICAS CULTURALES Y DEL PATRIMONIO </t>
  </si>
  <si>
    <t>INICIA CON LA PLANEACIÓN DEL PROCESO A TRAVÉS DE LAS NECESIDADES DE LA COMUNIDAD CONTINUA CON LA
FORMULACIÓN Y EJECUCIÓN DE LOS PROGRAMAS, PROYECTOS ARTÍSTICOS CULTURALES Y FINALIZA CON SEGUIMIENTO DE
POLÍTICAS PLANES PROGRAMAS Y PROYECTOS.</t>
  </si>
  <si>
    <t>Investigaciones y sanciones del ente regulador y descontento de la comunidad artistica</t>
  </si>
  <si>
    <t xml:space="preserve"> Deficiente prestación de los bienes, servicios y manifestaciones artisticas y culturales</t>
  </si>
  <si>
    <t>Incumplimiento de las metas y deficiente ejecución en los planes, programas y proyectos del proceso</t>
  </si>
  <si>
    <t>Posiblidad de afectación economica y reputacional por Investigaciones y sanciones de los entes de control y descontento de la comunidad artistica debido a Deficiente prestación de los bienes, servicios y manifestaciones artisticas y culturales</t>
  </si>
  <si>
    <t>FORMULAR EJECUTAR Y
REALIZAR SEGUIMIENTO
DE POLÍTICAS, PLANES
PROGRAMAS Y
PROYECTOS</t>
  </si>
  <si>
    <t xml:space="preserve">     El riesgo afecta la imagen de la entidad a nivel nacional, con efecto publicitarios sostenible a nivel país</t>
  </si>
  <si>
    <t>Apoyar la coordinación de los programas trimestralmente evaluar, hacer seguimiento y reportar los avances de las metas de la Secretaria de Cultura,  a la secretaría de planeación dejando como evidencia el correo e informe de cumplimiento.</t>
  </si>
  <si>
    <t>Mensualmente se realizará comité técnico donde se socialicen las metas estrategicas del Proceso, las ejecuciones de metas y ejecuciones presupuestales</t>
  </si>
  <si>
    <t>Secretaria y Directora</t>
  </si>
  <si>
    <t xml:space="preserve">Acta de reunión </t>
  </si>
  <si>
    <t>Acta de Comité de Noviembre de 2024</t>
  </si>
  <si>
    <t>Revisar los reportes de cumplimiento de metas de los diferentes programas y valida la información para ser reportada a la Secretaría de Plaenacion, dejando como evidencia el correo y/o memorando de envío</t>
  </si>
  <si>
    <t>Reporte correo electrónico a planeación reporte de metas con corte a 30 de Diciembe de 2024</t>
  </si>
  <si>
    <t>Falta de apropiación y destinación de los recursos necesarios en cada uno de los programas</t>
  </si>
  <si>
    <t>Elaborar el plan anual de adquisiciones y plan de acción validando que se destinen los recursos para las actividades planeadas durante ese año. Dejando como evidencia el PAA y Plan de Acción elaborados</t>
  </si>
  <si>
    <t>Desconocimiento de los temas estratégicos del proceso</t>
  </si>
  <si>
    <t xml:space="preserve">Socializar  los temas estratégicos de la secretaria de cultura en el marco del plan de desarrollo. </t>
  </si>
  <si>
    <t xml:space="preserve">Capacitación a los funcionarios y contratistas sobre temas estratégicos del Proceso </t>
  </si>
  <si>
    <t xml:space="preserve">Capacitación para los funcionarios 27 de Diciembe de 2024. Cultura de Paz Organizacional </t>
  </si>
  <si>
    <t>Memorandos</t>
  </si>
  <si>
    <t xml:space="preserve">Falta de planeación  en la contratacióin del OPS con perfil idóneo para el desarrollo de actividades y el cumplimiento de las metas </t>
  </si>
  <si>
    <t xml:space="preserve">Revisión del perfil idóneo  de los requerimientos de OPS de la secretaria de cultura de los diferentes grupos y áreas para el desarrollo de las actividades. </t>
  </si>
  <si>
    <t>Muy Baja</t>
  </si>
  <si>
    <t>moderado</t>
  </si>
  <si>
    <t>Alto</t>
  </si>
  <si>
    <t xml:space="preserve">Reunión con la Alta Dirección para revisión de las OPS requeridas </t>
  </si>
  <si>
    <t>secretaria y Directora</t>
  </si>
  <si>
    <t>Correo electronico de 30 de Enero de 2024 a secretario de cultura sobre perfiles</t>
  </si>
  <si>
    <t xml:space="preserve">Remisión perffiles correo electrónico </t>
  </si>
  <si>
    <t>Realizar visitas a las seis
Dependencias de las
Secretarías de la
Administración Municipal
evidenciando el término
de respuesta dada a las
peticiones, quejas y
reclamos radicadas por los
ciudadanos para cumplir
con los parámetros
establecidos en la ley que
tengan PQRSD vencidos.</t>
  </si>
  <si>
    <t>EL Profesional Universitaro(a) de la Dirección de Atención al Ciudadano y lider de cada unidad administrativa diariamente verifica y revisa aleatoreamente que la clasificación del tipo de petición sea la correcta a través de la consulta en la página web (modulo de radicación de peticiones, quejas y reclamos - clasificación de PQRSD y descripción de los mismos), el procedimiento del proceso y trámite interno del Derecho de petición de la Alcaldía. En caso de encontrar tipos de peticiones mal clasificadas, se procede a realizar el cambio en la plataforma PISAMI y se envia correo electrónico informativo.</t>
  </si>
  <si>
    <t>Realizar informes consolidados de seguimiento a las ventanillas</t>
  </si>
  <si>
    <t>Realizar seguimiento a las
diferentes Dependencias
de la entidad por medio
de informes de
oportunidad de respuesta
de los traslados por
competencia.</t>
  </si>
  <si>
    <t>Errores en el direccionamiento del tipo de petición - Derechos de Petición</t>
  </si>
  <si>
    <t>El Profesional Universitaro(a) de la Dirección de Atención al Ciudadano y lider de cada unidad administrativa diariamente verifica y revisa aleatoreamente que la correspondencia haya sido remitida a la unidad administrativa competente a través de la plataforma PISAMI, donde se realiza la exportación de las peticiones radicadas y se verifica el grado de clasificación, de acuerdo a lo establecido en la resolución del trámite interno del Derecho de Petición de la Alcaldía y normatividad vigente. En caso de encontrar peticiones mal direccionadas, se procede a realizar el cambio en la Plataforma PISAMI y se envia correo electrónico informativo.</t>
  </si>
  <si>
    <t xml:space="preserve"> Reportar en el Comité de Coordinación de Control Interno mediante informe el estado de respuestas de los Reclamos con el fin de que cada Dependencia implemente las acciones de mejora correspondientes.</t>
  </si>
  <si>
    <t>El Director (a) de Atención al Ciudadano y su equipo de trabajo mensualmente verifica y revisa las actividades del componente Atención al Ciudadano del Plan Anticorrupción y Atención al Ciudadano y plan de mejoramiento con la Oficina de Control Interno relacionadas con los mecanismos de comunicación para con los ciudadanos y de la instatisfacción de los mismos frente a las respuesta de los PQRSD interpuestos a la Entidad. En caso de no encontrar implementados los mecanismos de comunicación entre la Entidad y los Ciudadanos, se procede a socializar en Comité Institucional de Gestión y Desempeño para que el Secretario comunique a la Alta Dirección las acciones de mejora a realizar, según sea el caso. Esta actividad se reporta mediante una presentación enviada al correo institucional de Fortalecimiento Institucional.</t>
  </si>
  <si>
    <t>Socializar y difundir información de los canales de atención, trámites, servicios y correos electrónicos de las Dependencias a los ciudadanos.</t>
  </si>
  <si>
    <t>El Director (a) de Atención al Ciudadano y Director(a) de Talento Humano cuatrimestralmente verifica y revisa las actividades del componente Atención al Ciudadano del Plan Anticorrupción y Atención al Ciudadano relacionadas con la capacitación al personal que atiende en ventanillas y da respuesta a las PQRSD - Derechos de Petición a través de capacitaciones programadas dentro del Programa de Transparencia y ética pública. En caso de no darsen las capacitaciones se procede a gestionar con otras entidades. Esta actividad se reporta en el avance del Informe del Plan Anticorrupción y de Atención al Ciudadano.</t>
  </si>
  <si>
    <t>Adelantar jornadas de
capacitación en el manejo de correspondencia</t>
  </si>
  <si>
    <t>PLANEACIÓN ESTRATÉGICA Y TERRITORIAL</t>
  </si>
  <si>
    <t>Planear el desarrollo territorial sostenible a través de la formulación, implementación y seguimiento a políticas, planes, programas del Municipio de Ibagué, que permitan cumplir con los objetivos establecidos por parte de la alta dirección y satisfacer las necesidades de la comunidad.</t>
  </si>
  <si>
    <t>Inicia desde la elaboración del plan de ordenamiento territorial, plan de desarrollo municipal, plan plurianual de inversiones, plan indicativo, administración de las bases de datos de los potenciales beneficiarios a programas sociales; hasta el seguimiento a la implementación de políticas, planes, programas y proyectos.</t>
  </si>
  <si>
    <t>Seguimiento
Monitoreo al 18/12/2024</t>
  </si>
  <si>
    <t xml:space="preserve">Multa y sanción del ente regulador </t>
  </si>
  <si>
    <t>Incumplimiento de metas del plan del desarrollo</t>
  </si>
  <si>
    <t>Inconsistencias en la formulación de metas del plan de desarrollo, al no poder ser cuantificadas ni medibles lo que dificulta su correcto seguimiento sometiendo a la entidad a posibles sanciones presupuestales y sociales
Falta de idoneidad y/o desconocimiento de las metodólogas de formulación de proyectos de inversión por parte del personal de las secretarias ejecutoras, generado incumplimiento de requisitos para su viabilidad BPIM 
Deficiencias y demoras en la detección de factores que ralentizan la ejecución de metas; insuficiente seguimiento.</t>
  </si>
  <si>
    <t>Posibilidad de perdida económica y reputacional por multa o sanción del ente regulador debido incumplimiento al plan de desarrollo en las metas de producto y bienestar.</t>
  </si>
  <si>
    <t xml:space="preserve">procedimiento para la formulación del plan de desarrollo 
procedimiento para el seguimiento al plan de desarrollo
</t>
  </si>
  <si>
    <t xml:space="preserve">El líder del grupo del Banco de Proyectos de Inversión BPIM recibe las solicitudes de registro y viabilidad de los proyectos radicados por las secretarías y entes descentralizados, a continuación hace la revisión y utilizando  el formato de evaluación técnica de proyectos (lista de chequeo) verifica el cumplimiento de requisitos de los mismos.  De ser satisfactoria la inspección se procede a emitir documento de viabilidad, de lo contario se responde mediante memorando ante el solicitante los motivos de la negación y se anexan las observaciones a superar.  evidencia memorandos de respuesta con viabilidad y/o lista de chequeo con observaciones </t>
  </si>
  <si>
    <t xml:space="preserve">Anualmente  a inicio de año se emite circular con los parámetros de actualización y/o registro de proyectos ante el BPIM y el SUIFP, y el cronograma de reporte de avance mensual de los mismos (estas circulares puede emitirse en ocasiones extraordinarias en caso de ser necesario) Evidencia circulares, memorandos reiterativos. </t>
  </si>
  <si>
    <t>Director de Planeación del Desarrollo</t>
  </si>
  <si>
    <t>Bimestral</t>
  </si>
  <si>
    <t>Se emitieron las circulares y memorandos respectivos, se estableció el cronograma de  reporte y las reiteraciones en el caso de los que han incumplido para la actualización y registro de los proyectos del BPIM.</t>
  </si>
  <si>
    <t xml:space="preserve">Falta de idoneidad y/o suficiencia  técnica por parte del personal enlace de las secretarías y entes descentralizados encargados de realizar el seguimiento al cumplimiento de sus respectivas y debido reporte de instrumentos de planeación cumpliendo con los estándares exigidos por la dirección de planeación del desarrollo. </t>
  </si>
  <si>
    <t>Los profesionales de la Dirección de Planeación del Desarrollo trimestralmente verifican y validan la información suministradas por las secretarías para efectos de ser publicado en las plataformas respectivas. Dejando como evidencia la publicación de la información en las diferentes plataformas o en su defecto correo electrónico con observaciones y solicitud de información completa o mejorada,  Semestralmente, se presentará al Consejo de Gobierno un informe sobre el cumplimiento físico y financiero del plan indicativo, que incluirá una evaluación del avance de las metas asignadas a cada unidad administrativa. En los casos de rezago, se activarán planes de mejora, y se verificará el cumplimiento de las actividades programadas en el PA. Además, se solicitará un certificado de la realización del Consejo de Gobierno, el cual, junto con el informe técnico de avance del PI, será presentado en el Comité de Coordinación Institucional</t>
  </si>
  <si>
    <t>Defectivo</t>
  </si>
  <si>
    <t xml:space="preserve">Al inicio de cada gobierno se hará la solicitud de acompañamiento metodológico para la formulación de plan de desarrollo y en especial en lo relacionado con la programación de metas para garantizar que sean medibles, cuantificables y posibles de cumplir. dejando como evidencia actas de capacitación.   Al principio de año se elaborará el cronograma de presentación de los instrumentos  igualmente se capacitará a los enlaces de cada secretaría en la formulación y reporte de ejecución de los instrumentos de planeación; dejando actas de reunión como evidencia y Trimestralmente se expedirá una circular en la cuál se recuerda el reporte de ejecución de instrumentos y fechas de entrega. En caso de incumplimiento en términos de calidad y/o puntualidad en entrega de la información relacionada con los instrumentos de seguimiento, se enviarán memorando reiterando la solicitud de la misma con el detalle de la inconformidad. se continua con la estrategia de acompañamiento permanente con sectorialistas a secretarias ejecutoras e institutos descentralizados, dejando como evidencia acta de mesa de trabajo mínimo una por trimestre o mas según sea necesario </t>
  </si>
  <si>
    <t>Se emitieron las circulares trimestrales para el reporte de los instrumentos de planeación, se realizo el acompañamiento con los sectorialistas a las secretarias e institutos descentralizados, se tienen las actas de reunión y las comunicaciones respectivas como evidencia en el seguimiento al cumplimiento de las metas del plan de desarrollo.</t>
  </si>
  <si>
    <t>El director de planeación del desarrollo bimestralmente verifica en los  comités técnicos la calidad de la información reportada por los sectorialistas con el fin de determinar acciones de mejora a las que haya lugar. Dejando como evidencia acta de reunión</t>
  </si>
  <si>
    <t xml:space="preserve">En el comité institucional de gestión y desempeño y/o el consejo directivo el secretario de Planeación y el director de Planeación del Desarrollo podrán exponer los casos de mayor rezago en términos de avances de meta, y de esta manera plantear planes de acción para acelerar el cumplimiento. Evidencia acta </t>
  </si>
  <si>
    <t>Se cuenta con las asistencias, registro fotográfico y la presentación de los Consejos Directivos y Comité institucional de desempeño donde se socializo el seguimiento a los avances en el cumplimiento de las metas del plan de desarrollo.</t>
  </si>
  <si>
    <t>Inconsistencia y/o indebida formulación de los instrumentos de planeación</t>
  </si>
  <si>
    <t>Desarticulación entre el POT y la construcción del Plan de Desarrollo y los demás instrumentos de planeación</t>
  </si>
  <si>
    <t>Posibilidad de perdida económica y reputacional por implementación de un modelo de desarrollo territorial por fuera de las realidades del municipio.</t>
  </si>
  <si>
    <t xml:space="preserve">1. Elaboración del plan de ordenamiento territorial </t>
  </si>
  <si>
    <t xml:space="preserve">     El riesgo afecta la imagen de  la entidad con efecto publicitario sostenido a nivel de sector administrativo, nivel departamental o municipal</t>
  </si>
  <si>
    <t xml:space="preserve">La directora de OTS junto con su equipo de trabajo anualmente  realiza la evaluación y seguimiento (Expediente Municipal) cotejando los artículos  frente a la ejecución e implementación del POT. Dejando como evidencia el documento de seguimiento y evaluación (Expediente Municipal). </t>
  </si>
  <si>
    <t>Realizar comunicaciones mediante canales internos en relación al cumplimiento a los compromisos de cada secretaría establecidos en el POT.</t>
  </si>
  <si>
    <t>Directora de ordenamiento territorial</t>
  </si>
  <si>
    <t>Semestral</t>
  </si>
  <si>
    <t>No se enviarnos ni oficios y ni memorandos solicitando la relación del cumplimiento en lo establecido en el POT a las secretarias y entes descentralizados ya que en enviaron en el reporte anterior los de este semestre</t>
  </si>
  <si>
    <t>Desconocimiento procedimental y operativo del POT por parte de las demás secretarios de despacho y  gerentes</t>
  </si>
  <si>
    <t>Socializar a la alta dirección los lineamientos del POT con el fin de actualizar expediente municipal según competencia de cada despacho.</t>
  </si>
  <si>
    <t>Anual</t>
  </si>
  <si>
    <t>En el primer consejo de gobierno del año 2024 se logro realizar la socialización con la alta dirección sobre el estado del expediente municipal, y que se debía tener como ruta de navegación los lineamientos del POT para la elaboración del Plan de Desarrollo,  se tiene actualizado el expediente municipal</t>
  </si>
  <si>
    <t>pago de obras con cumplimiento parcial de lo pactado</t>
  </si>
  <si>
    <t xml:space="preserve">
3. fallas en el seguimiento y/o supervisión por parte de la unidad administrativa ejecutora del proyecto priorizado y viabilizado  con recursos del SMPPP</t>
  </si>
  <si>
    <t>cambio de especificaciones técnicas de construcción sin contar con acto administrativo oficial que contenga la justificacón técnica de modificaciones específicas de lo contratado ,  el procedimiento de operación del sistema municipal de presupuestos participativos vigente no establece el responsable de la ejecución del proyecto priorizado y viabilizado.</t>
  </si>
  <si>
    <t>posibilidad de efecto dañoso sobre bienes públicos por pago de obras con cumplimiento parcial de lo pactado debido a cambio de especificaciones técnicas de construcción sin contar con acto administrativo oficial que contenga la justificacón técnica de modificaciones específicas de lo contratado y a su vez el procedimiento de operación del sistema municipal de presupuestos participativos vigente no establece el responsable de la ejecución del proyecto priorizado y viabilizado.</t>
  </si>
  <si>
    <t xml:space="preserve">Contratos de obra civil y/o compras enmarcadas en proyectos priorizados para ejecutar recursos del SMPPP sin una eficiente supervisión y seguimiento de su avance y cumplimiento a satisfacción con el ejercicio participativo </t>
  </si>
  <si>
    <t>Baja</t>
  </si>
  <si>
    <t>El Director de Planeación del Desarrollo  mediante acto administrativo informará a las unidades administrativas ejecutoras y a la Secretaría de hacienda /Dirección de presupuesto; cuales son los proyectos priorizados en encuentros ciudadanos acordes con las metas del plan de desarrollo municipal y los proyectos con  registro y viabilidad BPIN  para ser ejecutados con recursos del fondo del SMPPP,  adicionalmente se citará a mesa de coordinación para informar los detalles  y expectativas y acordar cronogramas forma y prioridad de seguimiento hasta su entrega final.  se deja como evidencia actas de las mesas de cordinación</t>
  </si>
  <si>
    <t>Socialización de eventualidades adversas a la ejecución de los proyectos  en espacios de coordinación con secretarías ejecutoras y la alta gerencia como el comité de coordinación institucional y el consejo de gobierno</t>
  </si>
  <si>
    <t>La asesora encargada de liderar la secretaría técnica del SMPPP por parte de la Secretaría de Planeación se encargará de socializar el procedimiento actualizado de la operación del SMPPP haciendo énfasis en la etapa de ejecución y seguimiento a los proyectos priorizados  acordando así con el supervisor designado por la unidad administrativa ejecutora  acordando cronogramas, visitas de campo, forma y prioridad de seguimiento hasta su entrega final.  se deja como evidencias actas de mesas de trabajo e informes de supervisión acordes con el cronograma</t>
  </si>
  <si>
    <t>OBSERVACIONES
(MAPA ACTUALIZADO B6)
BIMESTRE06   NOVIEMBRE- DICIEMBRE -CIERRE 2024</t>
  </si>
  <si>
    <t>PRESUPUESTO: 
 Informe Seguimiento Ejecucion Presupuestal.  Circulares:   000050 noviembr 14 2024, 000052 noviembre 19 2024, 000054 diciembre 02 2024, 000056 diciembre 18 2024.                                                                                   
 Informe ejecución vigencia reserva presupuestal. Circulares: 000051 noviembre 14 2024, 000055 diciembre 02 2024, 000057 diciembre 18 2024.                                                                           
                                                                                                                                                                                                                                                                                                                                                         Ejecución Gastos y reserva  mes octubre 2024 - correo del 7 noviembre 2024, Ejecución Gastos y reserva mes de noviembre 2024 - correo del 27 diciembre 2024. 
Informe ejecutivo de la Ejecución Presupuestal de Gastos, Reserva y Pasivos Exigibles: mes octubre - correo del 13 noviembre 2024.   Informe ejecutivo de la Ejecución Presupuestal de Gastos, Reserva y Pasivos Exigibles: mes noviembre - correo del 27 diciembre 202</t>
  </si>
  <si>
    <t>SEGUIMIENTO DESPACHO SECRETARIA DE HACIENDA BIMESTRE 06 2024
Resolución 0152 de 12 de Abril de 2019 con Resolución modificatoria No. 0389 de 26 octubre de 2021.
ACTA 07 DE 18 DE DICIEMBRE DE 2024 ,  DE REUNION DE COMITÉ DE EVALUACION, SEGUIMIENTO, MANEJO DE RIESGOS EN LOS PROCESOS DE LA SECRETARIA DE HACIENDA:
TEMAS:
ORDEN DEL DIA
1.	SALUDO INICIAL
2.	VERIFICACIÓN DEL CUÓRUM
3.	PLANEACIÓN ENVÍO BIMESTRE 06 VIGENCIA 2024, EVIDENCIAS E INDICADORES A LA SECRETARÍA DE PLANEACIÓN MUNICIPAL.  “For-13-Pro-Sig-05 Mapa De Riesgo de Corrupción” “For-029-Pro-Sig-01 Mapa De Riesgos De Gestión Y fiscales”
a.	Programación de monitoreo por Dirección.
b.	Reporte de la matriz de gestión de eventos
c.	Planeación envío sexto bimestre vigencia 2024, evidencias e indicadores a la Secretaría de Planeación Municipal. Mapas de Riesgos de Gestión, fiscalización y Corrupción
d.	Planeación envío tercer cuatrimestre vigencia 2024, evidencias e indicadores a la Oficina de Control Interno. Mapas de Riesgos de Gestión, fiscalización y Corrupción
4.	PLANEACIÓN CIERRE PLANES DE MEJORAMIENTO CMI-CGR-CI
a.	Elaboración y aprobación plan de mejoramiento Auditoría Desempeño Contraloría Municipal Consolida Control Interno Hoy antes de mediodía.
b.	Auditoría De Cumplimiento 2022 SGP- Agua Potable Y Saneamiento Básico Municipio De Ibagué Vig 2022
c.	Auditoría Financiera Y De Gestión, Administración Central Del Municipio De Ibagué, Vigencia, 2023.
d.	Actuación Especial De Fiscalización Administración Central Municipal De Ibagué – Secretaría De Hacienda 
e.	Auditoría De Cumplimiento-Dirección De Tesorería Grupo Cobro oactivo/Dirección De Rentas (Procedimiento Prescripciones Pro-Ghp-009 Versión 03-Man-GHP-003 Versión 03)
5.	SOLICITUD Y APROBACIÓN DE LA ACTUALIZACIÓN - PROCESO SGP 2024-DIRECCION DE PRESUPUESTO, TESORERIA Y CONTABILIDAD
6.	SOLICITUD Y APROBACIÓN DE LA ACTUALIZACIÓN PROCESO, PROCEDIMIENTOS, INSTRUCTIVOS Y FORMATOS Y DEMÁS DOCUMENTOS DE LA GESTIÓN SECRETARÍA DE HACIENDA
7.	CUMPLIMIENTO COMPROMISOS DEL ACTA ANTERIOR.
8.	COMPROMISOS Y TAREAS
MONITOREOS PROGRAMADOS  SEGUN COMITE DE RIESGOS:
PLANILLAS DE ASISTENCIA MONITOREO 
20/12/2024 DIRECCION DE CONTABILIDAD
23/12/2024 DIRECCION DE PRESUPUESTO 
23/12/2024 DIRECCION DE TESORERIA
27/12/2024 DIRECCION DE RENTAS
REPORTE CONSOLIDADO  MATRIZ GESTION DE EVENTOS A DICIEMBRE 31 2024
MESAS DE TRABAJO O REUNIONES  DE ACOMPAÑAMIENTO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06 BIMESTRE 2024 A SECRETARIA DE PLANEACION:   
correo electronico sigami@ibague.gov.co ENERO 03  de 2025</t>
  </si>
  <si>
    <t>Falta de apliacación de las políticas del proceso de gestión docuemntal en el control y préstamo de la documentación.</t>
  </si>
  <si>
    <t xml:space="preserve">TESORERIA: Para el sexto bimestre se adjuntan tres informes de prestamo y devolución de los expedientes el primero de (predial e ica), el segundo de (transito) y el tercero de Secretaria predial. con sus respectivas planillas. Lo anterior correspondiente a los meses de noviembre y diciembre de 2024. </t>
  </si>
  <si>
    <t xml:space="preserve"> falta de actualización de los documentos de los procesos de gestión de la Secretaría de Haciend</t>
  </si>
  <si>
    <t xml:space="preserve">DIRECCION DE RENTAS
ACTA 11 del 26 novembre de 2024, revisión y seguimiento a planes y programas año 2024. Socializacion de los documentos actualizados de la direccion de rentas.
TESORERIA: 
-Mediante memorando No 057088 del 2 de diciembre de 2024, se envia la lista de manuales, procedimientos e instructivos de la direccion de Tesoreria y se solicita a los funcionarios de la misma, la revisión de cada uno para determinar si es necesario actualizar. 
-Mediante memorando 58804 del dia 13 de diciembre de 2024, se envia a la dirección de Presupuesto el procedimiento de ordenes de pago con las actualizaciones requeridas por parte de la dirección de tesoreria, para lo pertinente. 
-Mediante memorando 58998 de dia 16 de diciembre de 2024, se envia a la Dirección de fortalecimiento institucional (cuatro) instructivos para la debida actualizacion en la pagina de la Alcaldia de Ibagué. 
PRESUPUESTO:
A través del memorando 1330 058804 13/12/2024 se recibieron los ultimos aportes de Tesorería para la actualización del procedimiento PRO-GHP-008 Ordenes de Pago.  Estos se incluirán en el mismo y se proyecta reunión definitiva con el nivel directivo y representantes Sigami para finiquitar el mismo en enero 17 de 2025.  Se reitera a las TIC a través de memorando 1310 57412 04/12/2024 la solicitud del cronograma para el modulo del pre-registro.  Como evidencia se anexan memorandos 1310 57412 04/12/2024 y Memorando 1330 058804 13/12/2024.    
DIRECCION DE CONTABILIDAD: 
Se adjunta memorando No. 1320-2024-060856 y correo electronico con el envio de los documentos a actualizar a la Direccion de Fortalecimiento Institucional (SIGAMI), de fecha 27 de diciembre de 2024, para su respectiva aprobacion,actualizacion y publicacion del instructivo INS-GHP-036 DEPURACION Y SANEAMIENTO CONTABLE PERMANENTE Y SOSTENIBLE
                        </t>
  </si>
  <si>
    <t xml:space="preserve"> Inconsistencia en los cruces entre bancos y las certificaciones</t>
  </si>
  <si>
    <t xml:space="preserve">TESORERIA: Acción cumplida. </t>
  </si>
  <si>
    <t>Retraso en la entrega de información relacionada con actualización y/o conservación catastral por parte del Gestor catastral.  Notificación indebida y/o extemporanea</t>
  </si>
  <si>
    <t>DIRECCION DE RENTAS
Memorando No 054794 del 20 de noviembre de 2024, confirmación de receptcion de 2,143 expedientes -cartera predial entregados a Cobro coactivo de la Direccion de Tesosreria.</t>
  </si>
  <si>
    <r>
      <t xml:space="preserve">Debilidad de la Dirección de Tesorería-grupo Cobro Coactivo para efectuar el </t>
    </r>
    <r>
      <rPr>
        <b/>
        <sz val="10"/>
        <color theme="1"/>
        <rFont val="Arial Narrow"/>
        <family val="2"/>
      </rPr>
      <t>control</t>
    </r>
    <r>
      <rPr>
        <sz val="10"/>
        <color theme="1"/>
        <rFont val="Arial Narrow"/>
        <family val="2"/>
      </rPr>
      <t xml:space="preserve"> de  los impulsos procesales de la cartera de cobro.  </t>
    </r>
  </si>
  <si>
    <t>TESORERIA: Para el sexto bimestre se adjunta el informe No 1 de diciembre de 2024, en donde se determinan los mandamientos de pago efectuados y el trámite de las notificaciones de los mismos y de igual forma los embargos efectuados y el valor de los mismos.</t>
  </si>
  <si>
    <t xml:space="preserve">PRESUPUESTO:  Acta interna Grupo Central de Cuentas N.001 03/12/2024 Monitoreo Riesgo Fiscal. Evidencia:  Registro fotográfico y listado </t>
  </si>
  <si>
    <t>Seguimiento 31/12/2024</t>
  </si>
  <si>
    <t>del 01/03/2024 al 31/12/2024</t>
  </si>
  <si>
    <t>Correo del 12/01/2024 se remitieron las temáticas para el Plan Institucional de Capacitación.
Circular 2024-000046 de 9/10/2024 Convocatoria reunión evaluación nivel de apropiación políticas de seguridad de la información</t>
  </si>
  <si>
    <t>del 01/02/2024 al 31/12/2024</t>
  </si>
  <si>
    <t>Circular 22 del 29/04/2024 
Circular 24 del 29/04/2024
Circular 32 del 10/07/2024</t>
  </si>
  <si>
    <t>del 02/01/2024 al 31/12/2024</t>
  </si>
  <si>
    <t xml:space="preserve">Circular para conformación del equipo PETI 2024-000010 del  6/02/2024 y 2024-000011 del 9/02/2024
Circular 2024-000028 del 17/06/2024 para mesa técnica, asistencias a las mesas técnicas
Documento PETI
Convocatoria a comité de Gestión y Desempeño Institucional </t>
  </si>
  <si>
    <t>del 01/01/2024 al 31/12/2024</t>
  </si>
  <si>
    <t>Asignación de recursos para la migración a la nube de predial, actualización versión Oracle , Actualización versión Laravel, Afinamiento Base de Datos, Experto Seguridad y Servicio de Migración.
cTO. 126422 Almacenamiento nube copias de seguridad
Cto 1319 Servicio de seguridad perimetral
Cto de Adquisición Anivirus 2027/2024</t>
  </si>
  <si>
    <t>GESTIÓN DE INNOVACION Y TIC</t>
  </si>
  <si>
    <t>CONTRIBUIR AL USO Y APROPIACIÓN DE LAS TECNOLOGÍAS DE INFORMACIÓN Y COMUNICACIONES TIC POR PARTE DE LOS HABITANTES DEL MUNICIPIO DE IBAGUÉ, MEDIANTE LA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</si>
  <si>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INICIA CON LA FORMULACIÓN DE LA POLÍTICA PÚBLICA DE INNOVACIÓN Y PLANES OPERATIVOS, CONTINÚA CON SU EJECUCIÓN Y SEGUIMIENTO, LA GESTIÓN DE PROYECTOS DE INNOVACIÓN Y TIC, LA GESTIÓN DE GOBIERNO DIGITAL EN EL COMPONENTE DE TIC PARA LA SOCIEDAD, FINALIZANDO CON EL SEGUIMIENTO Y EVALUACIÓN DEL PROCESO.</t>
  </si>
  <si>
    <t>Seguimiento Noviembre - Diciembre</t>
  </si>
  <si>
    <t>No cumplir anualmente con las metas o acciones de la política pública o plan de desarrollo establecidos ocasionando disminución de la credibilidad ante la ciudadanía y disminución del presupuesto  asignado</t>
  </si>
  <si>
    <t>Ausencia de acciones estratégicas para el cumplimiento de la Política Pública de Ciencia, Tecnología e Innovación y con visión a una Transformación Digital</t>
  </si>
  <si>
    <t>Insuficiente  Presupuesto para cumplir con el correcto funcionamiento del proceso de la entidad y metas del plan de desarrollo</t>
  </si>
  <si>
    <t>Posible pérdida reputacional y económica por Disminución de la credibilidad ante la ciudadanía y disminución del presupuesto  asignado debido a estrategias para el cumplimiento del objetivo de la Política Pública de Ciencia, Tecnología e Innovación y con visión a una transformación digital</t>
  </si>
  <si>
    <t>Desde la etapa de planeación, durante la ejecución y el seguimiento de las actividades para el cumplimiento de la Política Pública de CTeI y plan de Transformación Digital</t>
  </si>
  <si>
    <t xml:space="preserve"> La Secretario de las TIC en conjutno con Asesor y Profesional Especializado del Grupo de Innovación y TIC ) ,trimestralmente verifica el cumplimiento de los siguientes instrumentos (Plan de Acción Política Pública, plan de anual de adquisiciones, plan operativo anual de inversión, plan anual de caja y plan de acción de metas del plan de desarrollo) donde se encuentra progrmadas las líneas estratégicas con sus actividades, así mismo las metas de producto planteadas en el plan de desarrollo; la evidencia reposará en la serie documental de Informe de Gestión de la Secretaría de las TIC, también en el correo institucional innovaciontic@ibague.gov.co y Plataforma PISAMI. En caso de que no se asigne presupuesto, se debe contemplar alianzas públicas y/o solicitar recursos al alcalde justificando la necesidad.</t>
  </si>
  <si>
    <r>
      <rPr>
        <b/>
        <sz val="12"/>
        <color theme="1"/>
        <rFont val="Arial Narrow"/>
        <family val="2"/>
      </rPr>
      <t>D3;O5;O6:</t>
    </r>
    <r>
      <rPr>
        <sz val="12"/>
        <color theme="1"/>
        <rFont val="Arial Narrow"/>
        <family val="2"/>
      </rPr>
      <t xml:space="preserve"> Obligatoriedad de metas en el plan Desarrollo para la  asignacion de recursos metas para cubrir necesidades de la comunidad para el uso y gestion TIC  e Investigacion de ciencia y tecnologia
</t>
    </r>
    <r>
      <rPr>
        <b/>
        <sz val="12"/>
        <color theme="1"/>
        <rFont val="Arial Narrow"/>
        <family val="2"/>
      </rPr>
      <t>D3;O2:</t>
    </r>
    <r>
      <rPr>
        <sz val="12"/>
        <color theme="1"/>
        <rFont val="Arial Narrow"/>
        <family val="2"/>
      </rPr>
      <t xml:space="preserve"> Particiapación en convocatorias con el objeto de búsqueda de alianzas con entidades nacionales para adquirir recursos económicos.
</t>
    </r>
    <r>
      <rPr>
        <b/>
        <sz val="12"/>
        <color theme="1"/>
        <rFont val="Arial Narrow"/>
        <family val="2"/>
      </rPr>
      <t>F1;O2:</t>
    </r>
    <r>
      <rPr>
        <sz val="12"/>
        <color theme="1"/>
        <rFont val="Arial Narrow"/>
        <family val="2"/>
      </rPr>
      <t xml:space="preserve"> Participación en convocatorias para el desarrollo de programas de Innovacion Ciencia y Tecnologia, con el objeto de optimizar los recursos
</t>
    </r>
    <r>
      <rPr>
        <b/>
        <sz val="12"/>
        <color theme="1"/>
        <rFont val="Arial Narrow"/>
        <family val="2"/>
      </rPr>
      <t>F3;O2;O3;O5:</t>
    </r>
    <r>
      <rPr>
        <sz val="12"/>
        <color theme="1"/>
        <rFont val="Arial Narrow"/>
        <family val="2"/>
      </rPr>
      <t xml:space="preserve"> Desarrollo de proyectos de innovación para presentar en covocatorias y adquirir recursos.</t>
    </r>
  </si>
  <si>
    <t>01/01/2024 - 31/12/2024</t>
  </si>
  <si>
    <t>Durante el bimestre no se realizaron ajustes presupuestales, se ha trabajado con el presupuesto armonizado acorde al nuevo plan de desarrollo “IBAGUE PARA TODOS 2024-2027” del municipio de Ibagué/departamento del Tolima, aprobado mediante el acuerdo municipal No. 6 de fecha Junio 5 de 2024</t>
  </si>
  <si>
    <t xml:space="preserve">Obsolescencia en la plataforma tecnológica (Hardware y Software) 
Deficiencias en el licenciamiento o uso de software no autorizado
Obsolescencia del sistema de cableado estructurado existente </t>
  </si>
  <si>
    <t xml:space="preserve"> La Secretario de las TIC en conjutno con Asesor y Profesional Especializado del Grupo de Innovación y TIC,  anualmente realiza procesos contractuales se adquiere de software y hardware con el objeto de potencializar los centros digitales y así mismo impulsar el uso y apropiación de las tecnologías de la información lo anterior contemplado en el plan de anual de adquisiciones,  plan operativo anual de inversión, plan anual de caja y plan de acción. Así mismo el mobiliario y los equipos tecnológicos se encuentran amparados en una póliza de seguro en caso eventuales de daños a equipos. Así mismo se hacen brigadas de mantenimiento preventivo y correctivo a los equipos. La evidencia reposa en Plataforma PISAMI y en la serie documental de Informe de Gestión de la Secretaría de las TIC. En caso de que no se asigne recursos económicos mediante adiciones presupuestales, justificando la necesidad.</t>
  </si>
  <si>
    <r>
      <rPr>
        <b/>
        <sz val="11"/>
        <color theme="1"/>
        <rFont val="Arial Narrow"/>
        <family val="2"/>
      </rPr>
      <t>D4;D5;D6;D7;O8:</t>
    </r>
    <r>
      <rPr>
        <sz val="11"/>
        <color theme="1"/>
        <rFont val="Arial Narrow"/>
        <family val="2"/>
      </rPr>
      <t xml:space="preserve"> Realizacion de estudios económicos y análisis de mercado para la celebracion de contratos de tecnologico con el objeto de mejorar la infraestructura tecnológica
</t>
    </r>
    <r>
      <rPr>
        <b/>
        <sz val="11"/>
        <color theme="1"/>
        <rFont val="Arial Narrow"/>
        <family val="2"/>
      </rPr>
      <t>A1;A3;D4;D5;D6;D7:</t>
    </r>
    <r>
      <rPr>
        <sz val="11"/>
        <color theme="1"/>
        <rFont val="Arial Narrow"/>
        <family val="2"/>
      </rPr>
      <t xml:space="preserve"> Desarrollo o aplicar el mapa de ruta del Plan Estratégico de TIC para Modernización de Hardware y Software. Procurando impactar a la comunidad con tecnología de última generación.
</t>
    </r>
    <r>
      <rPr>
        <b/>
        <sz val="11"/>
        <color theme="1"/>
        <rFont val="Arial Narrow"/>
        <family val="2"/>
      </rPr>
      <t>A1;F2;F6:</t>
    </r>
    <r>
      <rPr>
        <sz val="11"/>
        <color theme="1"/>
        <rFont val="Arial Narrow"/>
        <family val="2"/>
      </rPr>
      <t xml:space="preserve"> Inclusion en el Plan de Compras de la entidad para la potencialiazar los CED</t>
    </r>
  </si>
  <si>
    <t>Durante el bimestre se realiza jornada de depuración de inventario, donde se encontraron equipos de cómputo de los Centros de Experiencia Digital en mal estado, donde mediante Memorando No. 059862 de fecha 20/12/2024 se hace entrega a Almacén para dar baja a los elementos.
Evidencia: Memorando No. 059862 de fecha 20/12/2024 y Formato Entrega a Almacén</t>
  </si>
  <si>
    <t>Deterioro físico de los centros de Experiencia digital</t>
  </si>
  <si>
    <t xml:space="preserve"> La Secretario de las TIC en conjutno con Asesor y Profesional Especializado del Grupo de Innovación y TIC y con el apoyo del proceso de Gestión de Recursos Físicos, anualmente fortalece la infraestructura de los centros digitales cuando éstos presentan eventos naturales, fallas estructurales y fallas del fluido eléctrico o por factores de orden público o ambientales.  Así mismo el mobiliario y los equipos tecnológicos se encuentran amparados en una póliza de seguro en caso eventuales de daños a equipos. La evidencia reposa en Plataforma PISAMI (Mmemorando, oficicios, circulaes) y en la serie documental de Informe de Gestión de la Secretaría de las TIC y proceso contractual en calidad de comodato o arriendo. Si se presenta el caso de que no se logre la alianza con la Secretaría Administrativa, se debe solicitar recursos económicos justificando la necesidad del servicio.</t>
  </si>
  <si>
    <r>
      <rPr>
        <b/>
        <sz val="11"/>
        <color theme="1"/>
        <rFont val="Arial Narrow"/>
        <family val="2"/>
      </rPr>
      <t>A2;A4;D9:</t>
    </r>
    <r>
      <rPr>
        <sz val="11"/>
        <color theme="1"/>
        <rFont val="Arial Narrow"/>
        <family val="2"/>
      </rPr>
      <t xml:space="preserve"> Articulación con otros procesos para vigilancia del buen uso de las herramientas tecnológicas y supervisión o seguimientos a los servicios prestados por proveedores.
</t>
    </r>
    <r>
      <rPr>
        <b/>
        <sz val="11"/>
        <color theme="1"/>
        <rFont val="Arial Narrow"/>
        <family val="2"/>
      </rPr>
      <t>A3;D8:</t>
    </r>
    <r>
      <rPr>
        <sz val="11"/>
        <color theme="1"/>
        <rFont val="Arial Narrow"/>
        <family val="2"/>
      </rPr>
      <t xml:space="preserve"> Aplicar el procedimiento para efectuar mantenimiento a la infraestructura física, bienes muebles y recurso tecnológico.</t>
    </r>
  </si>
  <si>
    <t>Durante el bimestre se realizan las siguientes actividades
•	Mediante memorando No. 052150 del 05 de noviembre 2024 donde se solicita Información del proceso de donación dirigido a la oficina de Almacén, de los bienes del municipio de Ibagué que se encuentran adscritos a esta administración y que actualmente están ubicados en los Centros de Experiencia Digital.
•	24/09/2024 Contrato de Comodato No. 2272 con la JAC Barrio San Pedro Alejandrino.
•	01/10/2024 Acta de Inicio Contrato de Comodato 2272 de fecha 24/09/2024
•	18/12/2024 Contrato de Comodato No. 4020 con la JAC Barrio Rodríguez Andrade
•	18/12//2024 Acta de Inicio Contrato de Comodato 4020 de fecha 18/12/2024
•	Adecuaciones físicas en el CED Barrio Rodríguez Andrade, arreglo de paredes, pintura, adecuación de letrero luminoso
Evidencia fotográfica en el acta y documentación en formatos PDF</t>
  </si>
  <si>
    <t>Desinterés de la comunidad para capacitarse en apropiación de las TIC;</t>
  </si>
  <si>
    <t>La Secretaría de las TIC en conjutno con Asesor y Profesional Especializado del Grupo de Innovación y TIC, trimestralmente verifica el cumplimiento de las acciones en el Plan de Acción de la Política Pública y las mentas del Plan de desarrollo vigente, teniendo en cuenta el avance mediante el desarrollo estrategias de capacitaciones virtuales para incentivar el uso y apropiación de las TIC. La evidencia reposa en la plataforma ibagueaprendetic.ibague.gov.co, publicacion de oferta insticional, plataforma PISAMI, así mismo en los Formatos de Asistencia Externa que reposa en la gestión documental de la secretaría. Si se presenta el caso de que no se logre las mestas de capacitación se realizará alianzas público privadas para alcanzar el objetivo de la polítca.</t>
  </si>
  <si>
    <r>
      <rPr>
        <b/>
        <sz val="11"/>
        <color theme="1"/>
        <rFont val="Arial Narrow"/>
        <family val="2"/>
      </rPr>
      <t>F1;F4;O1;O5:</t>
    </r>
    <r>
      <rPr>
        <sz val="11"/>
        <color theme="1"/>
        <rFont val="Arial Narrow"/>
        <family val="2"/>
      </rPr>
      <t xml:space="preserve"> Convenios con el SENA y universidades para impulsar la transformación digital, la ciencia, la innovación e Investigación
</t>
    </r>
    <r>
      <rPr>
        <b/>
        <sz val="11"/>
        <color theme="1"/>
        <rFont val="Arial Narrow"/>
        <family val="2"/>
      </rPr>
      <t xml:space="preserve">D9;O2;O6: </t>
    </r>
    <r>
      <rPr>
        <sz val="11"/>
        <color theme="1"/>
        <rFont val="Arial Narrow"/>
        <family val="2"/>
      </rPr>
      <t xml:space="preserve">Promover los CED mediante convenios con universidades para impulsar la transformación digital
</t>
    </r>
    <r>
      <rPr>
        <b/>
        <sz val="11"/>
        <color theme="1"/>
        <rFont val="Arial Narrow"/>
        <family val="2"/>
      </rPr>
      <t xml:space="preserve">A3;D3: </t>
    </r>
    <r>
      <rPr>
        <sz val="11"/>
        <color theme="1"/>
        <rFont val="Arial Narrow"/>
        <family val="2"/>
      </rPr>
      <t>Cursos virtuales; Cursos Presenciales con Medidas de Bioseguridad</t>
    </r>
  </si>
  <si>
    <t xml:space="preserve">Durante el bimestre se realiza el seguimiento a las capacitaciones realizadas en los Centros de Experiencia Digital en donde se ha impactado a 4271 personas. Se realiza tablero de control o seguimiento de personas impactadas. </t>
  </si>
  <si>
    <t>PROCESO:  GESTIÓN DEL DESARROLLO ECONÓMICO Y LA COMPETITIVIDAD</t>
  </si>
  <si>
    <t>OBJETIVO:  PROMOVER EL DESARROLLO ECONÓMICO Y LA COMPETITIVIDAD DEL MUNICIPIO DE IBAGUÉ MEDIANTE LA FORMULACIÓN E IMPLEMENTACIÓN DE PLANES, PROGRAMAS Y PROYECTOS QUE FORTALEZCAN EL TEJIDO EMPRESARIAL, EL EMPRENDIMIENTO, LA EMPLEABILIDAD, EL TURISMO Y EL SECTOR RURAL</t>
  </si>
  <si>
    <t>INICIA CON LA PLANEACIÓN DEL PROCESO, SE REALIZA UN DIAGNÓSTICO DEL SECTOR ECONÓMICO DE LA CIUDAD; SE PROMUEVE LA FORMALIZACIÓN EMPRESARIAL; SE PROMOCIONA LA OFERTA TURÍSTICA DE LA CIUDAD; SE FORTALECE EL TEJIDO EMPRESARIAL; SE IMPLEMENTAN ESTRATEGIAS PARA FACILITAR EL ACCESO DE LOS CIUDADANOS A LA RUTA DE EMPLEABILIDAD, HASTA REALIZAR EL SEGUIMIENTO, EVALUACIÓN Y CONTROL DE LOS PLANES, PROGRAMAS Y PROYECTOS DEL PROCESO.</t>
  </si>
  <si>
    <t>Seguimiento (Enero-Feb)</t>
  </si>
  <si>
    <t>Seguimiento (Noviembre - Diciembre)</t>
  </si>
  <si>
    <t>Sanciones de entes de control</t>
  </si>
  <si>
    <t>Deficiencia en  la formulación e implementación de planes, programas y proyectos que fortalezcan el tejido empresarial, el emprendimiento, la empleabilidad, el turismo y el sector rural</t>
  </si>
  <si>
    <t xml:space="preserve">La baja cobertura para la promoción del desarrollo económico y la competividad para los actores involucrados
</t>
  </si>
  <si>
    <t>Posibilidad de pérdida económica y reputacional, debido a sanciones de entes de control por deficiencia en  la formulación e implementación de planes, programas y proyectos que fortalezcan el tejido empresarial, el emprendimiento, la empleabilidad, el turismo y el sector rural</t>
  </si>
  <si>
    <t>Ejecución de los diferentes planes, programas y proyectos de las secretarías intervinientes en el proceso</t>
  </si>
  <si>
    <r>
      <t xml:space="preserve">Se realizará cuatrimestral comité técnico para revisar los planes de acción y la ejecución de los mismos, dejando como evidencia un acta y planilla de asistencia, en cada una en las Secretaría del Proceso del Desarrollo Económico y la Competitividad (Secretaría de Desarrollo Económico y Secretaría de Agricultura y desarrollo rural) 
</t>
    </r>
    <r>
      <rPr>
        <sz val="10"/>
        <color rgb="FFFF0000"/>
        <rFont val="Arial Narrow"/>
        <family val="2"/>
      </rPr>
      <t xml:space="preserve">*RESPONSABLE (Una persona que ejecute ese control - El Secretario ...)
*PERIODICIDAD
*PROPÓSITO DEL CONTROL -VERBO DE CONTROL
*METODOLOGÍA
*ESTABLECER QUÉ PASA CON LAS DESVIACIONES U OBSERVACIONES AL EJERCER EL CONTROL
*EVIDENCIA (ES LO MÁS IMPORTANTE)
</t>
    </r>
  </si>
  <si>
    <t>Una (1) reunión cuatrimestral para la revisión del Plan de Acción - Actualización documentación SIGAMI correspondiente</t>
  </si>
  <si>
    <t>Secretarios, Directores y enlaces SIGAMI</t>
  </si>
  <si>
    <t xml:space="preserve">Se analiza todo lo correspondiente al riesgo de gestión. Se decide, realizar reunión de capacitación frente al tema de riesgos tanto de gestión como administrativos en una reunión vía meet, la cual se realizará el próximo 23 de febrero. (Acta No. 01) </t>
  </si>
  <si>
    <t>El equipo de enlaces SIGAMI del Proceso Desarrollo Económico y la Competitividad se reunió el día 29 de Noviembre de 2024, para actualizar el plan de Acción.</t>
  </si>
  <si>
    <t>Deficiencia en la planeación y seguimiento de las actividades del proceso</t>
  </si>
  <si>
    <t>Semestralmente la Secretaría Desarrollo Económico y la Secretaría de Agricultura y Desarrollo Rural, se reunirán dos veces por vigencia con los asesores, profesionales universitarios y contratistas , con el fin de revisar el avance físico de las metas producto del plan indicativo y generar estrategias para cumplir las mismas.  Las respectivas evidencias de las reuniones son las planillas de asistencia internas y actas.</t>
  </si>
  <si>
    <t>Dos (2) reuniones semestrales para la revisión del Plan Indicativo - Actualización documentación SIGAMI correspondiente</t>
  </si>
  <si>
    <t>Esta actividad se debe reportar cuatrimestralmente.</t>
  </si>
  <si>
    <t>El equipo de enlaces SIGAMI del Proceso Desarrollo Económico y la Competitividad se reunió el día 29 de Noviembre de 2024, para actualizar el plan indicativo.</t>
  </si>
  <si>
    <t>Deficiencia en la capacitación del talento humano de las secretarías sobre el conocimientos y las actividades del proceso Gestión del Desarrollo Económico y la Competitividad</t>
  </si>
  <si>
    <t xml:space="preserve">Cuatrimestralmente la Secretaría Desarrollo económico y la Secretaría de Agricultura y Desarrollo Rural realizarán una socialización sobre SIGAMI y sobre el Código de Integridad y Buen Gobierno, dirigdo a todo el personal de planta y/o contratistas que conforman el talento humano de las Secretarías (recordar que en el contrato de prestación de servicios queda estipulado que se acogen a este código); dejando como evidencias actas y/o planillas de asistencia interna de la socializaciòn. </t>
  </si>
  <si>
    <t>Una (1) socialización cuatrimestral  sobre SIGAMI y sobre el Código de Integridad y Buen Gobierno - Actualización documentación SIGAMI correspondiente</t>
  </si>
  <si>
    <t xml:space="preserve">El 23 de febrero, se realiza capacitación en riesgos de gestión, riesgos de corrupción y SIGAMI, </t>
  </si>
  <si>
    <t>El equipo de enlaces SIGAMI del Proceso Desarrollo Económico y la Competitividad se reunió el día 17 de diciembre de 2024 para otorrgar capacitación a personal de planta y contratistas sobre Autocontrol, Mapa de riesgos, código de integridad y buen gobierno y Generalidades SIGAMI.</t>
  </si>
  <si>
    <t>Seguimiento  y evaluacion a 30 de diciembre de 2024</t>
  </si>
  <si>
    <t>Posibildad de afectacion economica y reputacional por las sanciones del ente regulador debido a la deficiente gestion de la programacion contractual para el funcionamiento de le Administracion Central</t>
  </si>
  <si>
    <t>A9,F3,4. El director (a) de recursos Fisicos  trimestrealmente revisa el presupuesto y las necesidades de la entidad para planearlas en el Plan de Accion de la Direccion, dejando como evidencia:
el Plan de Accion.</t>
  </si>
  <si>
    <t>1.La Secretaria Administrativa y la Dirección de Recursos Físicos en el mes de Diciembre del 2023, dio respuesta a la Circular 033 (05/12/2023) Instrumentos de Planeación para la Vigencia 2023, donde se envió memorando 059441  del 18 de diciembre de 2023, allegando el Plan de Acción para la Vigencia 2024 .                                      
   2. Por ocasion del Memorando N° 1010-2024-03639 del 01 de febrero del 2024 de la Oficina de Control Interno, con lo cual, el dia 08 del mismo mes, realizo la visita a esta Direccion y evaluaron la gestion del Plan de Accion vigencia 2023 con una Puntuacion de un 100% de cumplimiento de la ejecucion (memorando N° 15/04/2024 Control Interno informe) .                                                                                                                                                                3.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la Directora de Recursos Fisicos, hace seguimiento y control de los bienes serviicios , segun la programacion que se realizo en el plan de accion vigencia 2024, segun Acta N° 00007 del 13 de marzo de 2024, de acuerdo a lo programado y ejecutado en el plan de accion 2024.                                                                                                                                                                                                                5. Dando cumplimiento al seguimiento y control, la Directora de Recursos Fisicos, realiza convocatoria y se reunion con los abogados contratistas para revisar los avances a los procesos contractuales, segun Acta N° 0009 del 22 de marzo de 2024, segun lo programada y ejecutado en el plan de accion 2024.                                                                                                                                                                                                                   6. Dando cumplimiento    al seguimiento y control, la Directora de Recursos Fisicos, realiza convocatoria y se reunion con los abogados contratistas para revisar los avances a los procesos contractuales, segun Acta N° 0013  del 23 de Abril de 2024, segun lo programada y ejecutado en el plan de accion 2024.                                                                                                                                                                                                               7.   Dando cumplimiento al seguimiento la Directora de Recursos Fisicos, hace control a la contratacion que se tiene planeada y programada segun lo programada en el Plan de Accion vigencia 2024 de bienes fiscales y de uso publico y titulacion, por medio del Acta N° 0028 del 25/06/2024.                                                                                                                                                                                             8.Dando cumplimiento a esta actividad, la Directora de Recursos Fisicos realiza seguimiento y control a la contratacion de bienes y servicios de acuerdo a lo presupuestado y ejecutado hasta la fecha, por medio del Acta N° 0029 del 25/06/2024 Evidencia el Plan de accion hasta esa fecha.                                                                  9.Dando cumplimiento a esta actividad la Directora de Recursos Fisicos realiza comite de segumiento de las actividades programadas y al estado de los procesos precontratuales y contratuales a corte de 28 de agosto de 2024, dejando evidencia del acta de reunion N° 0032 del 29/08/2024. 10. Dando cumplimiento a esta actividad por medio del acta de reunion N° 0035 del 16/09/2024, se realizo seguimiento al plan de accion y plan de trabajo del grupo de bienes y de uso publico. 11. Dando cumplimiento a esta actividad por medio del acta de reunion N° 0036 del 01/10/2024 se le realizo seguimiento al plan de accion del funcionamiento de la direccion, revisando la programacion de las actividades principales. 12. SE presenta Plan de accion con corte a 30 de septiembre 2024, dando cumplimiento a la circular N° 1232-0031 del 30/09/2024 emitida por la  Secretaria de Planeacion.</t>
  </si>
  <si>
    <t>F3,4 A9. Trimestralmente la Direccion de Recursos Fisicos  revisa el presupuesto aprobado por la vigencia haciendo  programacion de compras y contratacion el plan anual de adquisicion, dejando como evidencia el Plan de Accion.</t>
  </si>
  <si>
    <t>Posibildad de afectacion economica por multas y/sanciones debido a perdida, extravio, hurto, daños, robo o declaratoria irregular de bienes faltantes pertenecientes a la entidad.</t>
  </si>
  <si>
    <t>D4 04  Socializar la Politica para el uso adecuado de los bienes (devolutivos y de consumo) Politica de obligatorio cumplimiento, a travez de los medios de comunicación interna de la Administración Municipal</t>
  </si>
  <si>
    <t xml:space="preserve">1.  Cumpliendo con la Actividad de Control, desde la Oficina de Almacen se realizo socializacion de la Politica de Uso Adecuado de los Bienes, Esta politica fue Socializada por medio de la Circular N° 003 del 13 de enero del 2024  y se publica en la pagina de Facebook- PELHUSA y se remite por los Correos electronicos a los funcionarios publicos.                                       
2.   Cumpliendo con la Actividad de Control, el dia 14  de febrero de 2024 se expidio Circular 00011  con Asunto: Ingreso Almacen para Elementos Tecnologicos (tangibles e intangibles).                                                                                                                                                                  3.      Cumpliendo con la Actividad de Control, desde la Oficina de Almacen se realizo socializacion de los conceptos que generan Ingreso al Almacen General del Municipio, Esta politica fue Socializada por medio de la Circular N° 0012 del 15 de enero del 2024.   4.   Por medio de la Circular N° 0037 de 22/07/2024 el Almacen emitio circular Socializando la POLITICA DE USO ADECUADO DE LOS BIENES DEL MUNICIPIO. 5.  Por medio del memorando N° 1423-2024-029741 de 12/07/2024 el Almacen General solicitud a la Oficina de Comunicaciones asesoria, acompañamiento, produccion y divulgacion de video y material grafico para el uso adecuado de los bienes y procedimiento de las Tomas Fisicas.                                                                                                                                                                                                      6. Con el Memorando N° 1050-2024-36374 de 16/08/2024 la Oficina de Comunicaciones da contestacion al memo 029741 al Almacen General comunicando la divulgacion por las redes sociales (Pelhusa Comunica) del video y el material grafico (Se anexa video e imagenes de la publicacion).                                                                                                                                                                                                7. Por medio de la Circular N° 067 del 27/11/2024, el Almacen General  socializo la Politica de USO ADECUADO DE LOS BIENES DEL MPIO.                                                                                                                                                                                                                     8. el mes de diciembre de 2024, el almacen gral publico y divulgo por PELHUSA (Facebook) video y fichas graficas del uso adecuado de los bienes del mpio de Ibague, asi como tambien, la divulgacion de un video del manejo correcto de los tonner que son inservibles y que no estan cargados de tintas.        </t>
  </si>
  <si>
    <t>F7 A11. Realizar proceso de toma física a las dependencias de la administración y generar las acciones de actualización de responsabilidades en inventario individual</t>
  </si>
  <si>
    <t xml:space="preserve">1.  De acuerdo a la Circular N° 0019 del 08 de abril de 2024, La Direcciom de Recursos Fisicos junto con el Almacen General, socializaron el cronograma de tomas fisicas vigencia 2024.                                                                                                                                                                 2.  Con el memorando N° 1423-2024-13372 del 08 de abril del 2024 del Almacen General comunica a la Secretaria General y a la Direccion de Atencion al Cuidadano el cronograma de las tomas fisicas a esas dependecias.                                                                                                     3. Por medio del Acta N° 001 del 08 de abril de 2024,    el Almacen General  socializo al personal de apoyo el cronograma de las tomas fisicas y asignar dependecias y directrices y compromisos de la realizacion del trabajo.                                                                                                                      4. El Almacen General realiza tomas fisicas a las Secretarias de Salud, Economico y General (Memorandos 13372-16621-17518 de abril 2024) anexos Soportes de las tomas fisicas (actas Finales 11/06/2024, 17/06/2024 y 16/07/2024).                                                                                                                                                                                                                                                                                                                                                                                                                                                                                                                                                                               5. Por medio del memorando N° 1423-2024-025626 del 19/06/2024 el Almacen Gral notifica a las dependecias de la Secretaria Administrativa el inicio y realizacion de las tomas fisicas (acta final 11/10/2024). </t>
  </si>
  <si>
    <t>D13, O4, 9. En la expedición de paz y salvo para el caso de desvinculacion de funcionarios,  Aplicando los procesos  de controles y procedimientos establecidos por la entidad</t>
  </si>
  <si>
    <t>Posibilidad de perdida economica por multas y/o sanciones debido a  deficiencias en las identificacion de los bienes inmuebles o cedidos de propiedad del Municipio de Ibague</t>
  </si>
  <si>
    <t>F5 A4 Realizar mesas de Trabajo con el personal del grupo de Bienes Fiscales para hacer seguimiento a la informacion reportada en la base de datos asociada al proceso de identificacion de los Predios (bienes fiscales y de uso publico del municipio)</t>
  </si>
  <si>
    <r>
      <rPr>
        <b/>
        <sz val="10"/>
        <color theme="1"/>
        <rFont val="Arial Narrow"/>
        <family val="2"/>
      </rPr>
      <t>MESAS DE TRABAJO:</t>
    </r>
    <r>
      <rPr>
        <sz val="10"/>
        <color theme="1"/>
        <rFont val="Arial Narrow"/>
        <family val="2"/>
      </rPr>
      <t xml:space="preserve">                                                                                                                                                                                                                                      1. Dando cumplimiento al  control, la Directora de Recursos Fisicos, realiza mesa de trabajo realizando seguimiento a la actualizacion digital de los expedientes, informacion  que reposa en el Drive de las BDD, del correo inst. de Predios. Acta N° 0011 del 16/04/2024.  2. 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3. Dando cumplimiento al seguimiento, control del registro y a la confidencialidad de la informacion de las BDD y a los expedientes del grupo de bienes fiscales y titulaciones, efectuado por el grupo de gestion documental, bajo el acta de reunion N° 0031 de 02/08/2024. 4. Dando cumplimiento a esta actividad, por medio del acta de reunion N° 0035 del 16/09/2024, la direccion realiza seguimiento a las proceso de gestion documental, del archivo que reposa en la direccion y los avances en la actualizacion y contol de la BBD de predios que reposa en el Drive. 5. Por medio del Acta N° 034 del 13/09/2024, el lider del Grupo de titulaciones que hace parte de Bienes Fiscales y  de Uso Publico asdcrita a la Direccion de Recursos Fisicos, haciendo una socializacion del cumplimiento de las metas con respecto al archivo  y la realizacion del proceso de gestion documental de estos expedientes.                                                                                                                                                                     </t>
    </r>
    <r>
      <rPr>
        <b/>
        <sz val="10"/>
        <color theme="1"/>
        <rFont val="Arial Narrow"/>
        <family val="2"/>
      </rPr>
      <t xml:space="preserve">REMISIONES ALEATORIAS EXPEDIENTES Y BDD: </t>
    </r>
    <r>
      <rPr>
        <sz val="10"/>
        <color theme="1"/>
        <rFont val="Arial Narrow"/>
        <family val="2"/>
      </rPr>
      <t xml:space="preserve">                                                                                                                                                     1. Por medio de correo electronico institucional el dia 30 de abril de 2024, el grupo de Bienes Fiscales remiten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2. Dando cumplimiento a esta actividad en los meses de mayo y junio de 2024, el profesional universitario especializado hace un muestreo aleatorio a los expedientes fisicos del archivo gestion de bienes fiscales y de uso publico, confrontando esta informacion fisica con los datos rgistrados en el drive de la BDD de predios, para identificar fallas. Evidencias infomacion reportada por bienes fiscales al correo intitucional de Recursos Fisicos.   3 .Por medio de correo electronico  remiten a la Direccion de Recursos Fisicos el area de predios el muestreo aleatorios de los meses de julio y agosto de 2024, donde  el profesional universitario especializado realiza el muestreo aleatorio a los expedientes fisicos del archivo gestion de bienes fiscales y se uso publico, corraborando con la informacion que reposa en la BDD de Drive. para identificar inconsistencias de la infornacion cargada y que coincidan y de corregir las fallas que se presenten.      4.  Por medio del correo electrico inst, el grupo de bienes fiscales le remite el dia 29/10/2024 al despacho el muestreo aleatorio por el mes de septiembre  de 2024, con el fin de identificar fallas en el proceso y mal proceso archivistico en el expedientes que reposan en la direccion y en la BBD del Drive.   5.  Por medio del correo electrico inst, el grupo de bienes fiscales le remite el dia 31/10/2024 al despacho el muestreo aleatorio por el mes de octubre  de 2024, con el fin de identificar fallas en el proceso y mal proceso archivistico en el expedientes que reposan en la direccion y en la BBD del Drive. 6. Por medio del correo electrico inst, el grupo de bienes fiscales le remite el dia 21/11/2024 al despacho el muestreo aleatorio por el mes de Noviembre  de 2024, con el fin de identificar fallas en el proceso y mal proceso archivistico en el expedientes que reposan en la direccion y en la BBD del Drive.                                                                                                                                                                                                                                                                                                    7. Por medio del correo electrico inst, el grupo de bienes fiscales le remite el dia 12/12/2024 al despacho el muestreo aleatorio por el mes de diciembre  de 2024, con el fin de identificar fallas en el proceso y mal proceso archivistico en el expedientes que reposan en la direccion y en la BBD del Drive                                                                                                                                                                                                                                                                        </t>
    </r>
    <r>
      <rPr>
        <b/>
        <sz val="10"/>
        <color theme="1"/>
        <rFont val="Arial Narrow"/>
        <family val="2"/>
      </rPr>
      <t>PROFESIONAL DE APOYO CONTRATADO</t>
    </r>
    <r>
      <rPr>
        <sz val="10"/>
        <color theme="1"/>
        <rFont val="Arial Narrow"/>
        <family val="2"/>
      </rPr>
      <t xml:space="preserve">:                                                                                                                                                                                                                                    1. Por medio de los  Contratos N° 0870 del 13/03/2024 y N° 2636 del 15/10/2024 la Direccion contrata la prestacion de los servicios profesionales de una Ingeniera de Sistema con la obligacion de desarrollar la actividad  de realizar la actualzacion, seguimiento y unificacion de las bases de los datos de los expedientes del archivo a cargo del grupo de bienes bajo la direccion de recursos fisicos.                        </t>
    </r>
  </si>
  <si>
    <t>F9 A12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t>
  </si>
  <si>
    <t>F9 A11  Socializar el  manual ADMINISTRACION DE BIENES FISCALES Y DE USO PUBLICO del municipio incluyendo los controles  al personal de apoyo que ingresen al grupo de bienes fiscales.</t>
  </si>
  <si>
    <t>PROCESO: GESTIÓN DOCUMENTAL</t>
  </si>
  <si>
    <t>OBJETIVO: IMPLEMENTAR EL PROGRAMA DE GESTIÓN DOCUMENTAL APLICANDO EL MODELO DE GESTION DOCUMENTAL Y ADMINISTRACIÓN DE ARCHIVOS (MGDA), PARA GARANTIZAR EL ACCESO A LA INFORMACIÓN EN FORMA OPORTUNA Y PRESERVAR LA MEMORIA INSTITUCIONAL.</t>
  </si>
  <si>
    <t>INICIA CON LA INTERIORIZACIÓN DE UNA CULTURA ARCHIVISTICA Y LA ARTICULACION DE LAS ACTIVIDADES RELACIONADAS CON EL DISEÑO, PLANEACIÓN, VERIFICACIÓN, APLICACIÓN, MEJORAMIENTO Y SOSTENIBILIDAD DE LA GESTIÓN DOCUMENTAL, GENERANDO ESTRATEGIAS ORGANIZACIONALES FINALIZANDO CON EL SEGUIMIENTO Y EVALUACION DEL PROCESO</t>
  </si>
  <si>
    <t>Perdida de Informacion</t>
  </si>
  <si>
    <t xml:space="preserve">
Baja aplicación en los procesos de organización documental a la totalidad de los archivos de la administración Municipal.</t>
  </si>
  <si>
    <t xml:space="preserve"> Bajo compromiso y responsabilidad de los funcionarios frente al desarrollo y cumplimiento de las actividades del proceso en las unidades administrativas.</t>
  </si>
  <si>
    <t xml:space="preserve">
Posibilidad de perdida reputacional debido a la perdida de informacion por la 
Baja aplicación en los procesos de organización documental a la totalidad de los archivos de la administración Municipal.</t>
  </si>
  <si>
    <t xml:space="preserve">"Politica operacional del proceso Gestion Documental
y
Procedimiento gestion de bienes y servicios para el funcionamiento de la administracion central.                                                         PRO-GD-006 ORGANIZACIÓN DE DOCUMENTOS DE ARCHIVO DE GESTION – EXPEDIENTES FISICOS. 
GUI-GD-04-GUIA PARA EL DILIGECIAMIENTO DEL FUID. 
GUI-GD-05-GUIA PARA LAS TRANSFERENCIAS PRIMARIAS. 
PGR-GD-01 PROGRAMA DE GESTIÓN DOCUMENTAL.  
*DIAGNOSTICO INTEGRAL DE ARCHIVO EN LA ALCALDIA MUNICAAPL DE IBAGUÉ 
*ACTA DE VISITA DE CONTROL ALCALDIA MUNICIPAL DE IBAGUÉ 2024
</t>
  </si>
  <si>
    <t>El lider de Gestión documental o profesional asignado anualmente realiza seguimiento segun el cronograma   establecido a las unidades administrativas verificando que la documentación cuente con el proceso de organización establecido en el acuerdo  01 del 2024  y acorde al procedimiento de organizacion de documentos de archivo de gestion-Expedientes fisicos  frente a las condiciones fisicas que presentan la documentación, en caso de incumplimiento a los criterios archivisiticos establecidos,  la unidad administrativa debe diligenciar el formato de acciones correctivas y de mejora y posteriormente el grupo de gestión documental reporta a la direccion de fortalecimiento institucional y a la oficina de control interno para su respectivo seguimiento. (detectivo)</t>
  </si>
  <si>
    <t>1. Ejecutar  seguimiento a los archivos de gestion segun cronograma establecido, Verificando que todas las unidades administrativas cuenten con el proceso de organización documental (Ordenación, clasifición y descripción).
2. Solicitar a las unidades administrativas elaborar y reportar al correo institucional de gestión documental, los inventarios documentales.
3. Realizar visitas de asistencia tecnica de acuerdo a la solicitud de los archivos de gestión</t>
  </si>
  <si>
    <t>Grupo de gestion documental</t>
  </si>
  <si>
    <t>01/05/2024 a 28/02/2025</t>
  </si>
  <si>
    <t>30/06/2024
30/08/2024
31/10/2024
31/12/2024
28/02/2025</t>
  </si>
  <si>
    <r>
      <rPr>
        <b/>
        <sz val="12"/>
        <color theme="1"/>
        <rFont val="Arial Narrow"/>
        <family val="2"/>
      </rPr>
      <t>Mayo - Junio 2024</t>
    </r>
    <r>
      <rPr>
        <sz val="12"/>
        <color theme="1"/>
        <rFont val="Arial Narrow"/>
        <family val="2"/>
      </rPr>
      <t xml:space="preserve">
se elabora circular 28 del 22 de mayo del 2024 donde se socializa el cronograma de visitas de seguimiento a las unidades administritivas que presentaron planes de trabajo en la vigencia 2023 Durante este periodo se llevaron a cabo 46 visitas de seguimiento  a las siguientes unidades administrativas: 
</t>
    </r>
    <r>
      <rPr>
        <sz val="12"/>
        <color rgb="FFFF0000"/>
        <rFont val="Arial Narrow"/>
        <family val="2"/>
      </rPr>
      <t>Porcentaje de cumplimiento: 77%</t>
    </r>
    <r>
      <rPr>
        <sz val="12"/>
        <color theme="1"/>
        <rFont val="Arial Narrow"/>
        <family val="2"/>
      </rPr>
      <t xml:space="preserve">
 Despacho Alcalde Oficina de Control Interno Oficina de Control Unico Disciplinario Oficina Jurídica Oficina Contratación Oficina Comunicaciones Grupo Logística y Protocolo Gerencia de Proyectos Despacho Secretaria educativa Grupo Inspección y Vigilancia Dirección Calidad Educativa Grupo Evaluación Dirección Administrativa y Financiera Grupo Talento Humano y SST Despacho planeación Dirección Ordenamiento Territorial Sostenible - OTS Dirección Información y Aplicación de la norma Urbanística - DIANU Dirección planeación del desarollo Dirección Administración del SISBEN Dirección Fortalecimiento Institucional Despacho hacienda Dirección de Presupuesto Dirección Contabilidad Direccion Tecnica Direccion Operativa Despacho administrativa Dirección De Recursos Fìsicos Despacho Cultura Dirección de fomento de las practicas administrativas Despacho gobierno Dirección de justicia Centro de estudios y análisis de convivencia Dirección de participación ciudadana comunitaria Dirección de Infancia, Adolescencia y Juventud Grupo Etnias Despacho secretaria general Dirección de Atención al Ciudadano Despacho TIC Grupo Ciencia Tecnologia e innovaciòn Grupo Infraestructura Tecnologica  
2. 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Las unidades administrativas capacitadas fueron: GRUPO ALMACEN; GRUPO DE BIENES FISCALES Y DE USO PUBLICO; OFICINA JURIDICA; SECRETARÍA DE SALUD; DIRECCION DE JUSTICIA;  SECRETARÍA DE AMBIENTE Y GESTIÓN 
DEL RIESGO; SECRETARIA DE INFRAESTRUCTURA
</t>
    </r>
    <r>
      <rPr>
        <b/>
        <sz val="12"/>
        <color theme="1"/>
        <rFont val="Arial Narrow"/>
        <family val="2"/>
      </rPr>
      <t xml:space="preserve">JULIO- AGOSTO 2024
</t>
    </r>
    <r>
      <rPr>
        <sz val="12"/>
        <color theme="1"/>
        <rFont val="Arial Narrow"/>
        <family val="2"/>
      </rPr>
      <t xml:space="preserve">Para este periodo se realizarón las visitas de seguimiento que estan pednientes para cumplir el 100% del cronograma estabecido en la circular 28 del 22 de mayo de 2024.
Las unidades administrativas que se visitaron fueron las siguientes ( 13 en total):
Dirección Tesorería
Grupo Cobro Coactivo
Dirección Rentas
Secretaria de desarrollo social- despacho 
Grupo Juventudes
Grupo Etnias
Grupo discapacidad
Grupo Habitante de la Calle
Grupo de Adulto mayor
Grupo Atención y Orientación a las Víctimas del Conflicto Armado
Dirección Mujer, Género y Diversidad Sexual
Grupo LGBTI
Grupo Relaciones Estratégicas
Porcentaje de cumplimiento: 100%
Adicionalmente, para las unidades administrativas que no habian entregado plan de trabajo en la vigencia 2023, se realizo visita de acompañamiento para la contrucción del plan de trabajo 2024, con el fin de brindar apoyo en el cumplimiento de las circulares 005 del 26 de junio y 003 del 27 de junio.
Secretaria de las TIC
grupo SST 
Gerencia de Proyectos Estratégicos
Grupo de Inspección y Vigilancia (Sec. de Educación - Grupo de Cobertura)
Dirección de recursos Fisicos
Grupo de gestión documental
Dirección de Gestión del Riesgo y Atención de Desastres
Despacho secretaria Dirección de Ambiente, Agua y Cambio Climatico
Dirección de Trámites y Servicios
Dirección Asuntos Jurídicos
Dirección Operativa
Secretaria de Salud
EFAC
Dirección de Participación Ciudadana y Grupo de Asuntos Religiosos
Despacho Secretaría de Gobierno
Dirección de Justicia y SEACSPAZ
Dirección de Espacio Público
 Grupo de Acceso Sec. de Educación
direccion cuerpo oficial de bomberos
Secretaría de Cultura
Bienes fiscales 
Dirección de Recursos Físicos ,
Grupo de almacen
Secretaría Administrativa - Despacho
Dirección de Talento Humano
Secretaría de Movilidad-Despacho
Se realizó 26 visitas, las cuales abarcaron las 46 unidades administrativas faltantes para completar visitas al 100% de las unidades administritivas.
</t>
    </r>
    <r>
      <rPr>
        <b/>
        <sz val="12"/>
        <color theme="1"/>
        <rFont val="Arial Narrow"/>
        <family val="2"/>
      </rPr>
      <t>SEPTIEMBRE - OCTUBRE 2024</t>
    </r>
    <r>
      <rPr>
        <b/>
        <sz val="12"/>
        <color rgb="FFFF0000"/>
        <rFont val="Arial Narrow"/>
        <family val="2"/>
      </rPr>
      <t xml:space="preserve">
</t>
    </r>
    <r>
      <rPr>
        <sz val="12"/>
        <color theme="1"/>
        <rFont val="Arial Narrow"/>
        <family val="2"/>
      </rPr>
      <t xml:space="preserve">Se emite circular 58 del 25 de octubre  de 2024 en donde se socializa el cronograma de visitas de seguimiento a todas las unidades administritivas con el fin de hacer segumiento al plan de trabajo planteado para el 2024 y hacer verificación en campo de apropiación de conocimientos adquiridos por medio de las capacitaciones. Es importante mencionar que las visitas se iniciarán en el mes de noviembre. </t>
    </r>
    <r>
      <rPr>
        <sz val="12"/>
        <color rgb="FFFF0000"/>
        <rFont val="Arial Narrow"/>
        <family val="2"/>
      </rPr>
      <t xml:space="preserve">
</t>
    </r>
    <r>
      <rPr>
        <b/>
        <sz val="12"/>
        <color rgb="FFFF0000"/>
        <rFont val="Arial Narrow"/>
        <family val="2"/>
      </rPr>
      <t xml:space="preserve">
NOVIEMBRE- DICIEMBRE 2024
 1. </t>
    </r>
    <r>
      <rPr>
        <sz val="12"/>
        <color rgb="FF000000"/>
        <rFont val="Arial Narrow"/>
        <family val="2"/>
      </rPr>
      <t xml:space="preserve">Conforme a la circular 58 del 25 de octubre , se realizaron 69 visitas las cuales abarcaron el total de las 103  unidades administrativas de la Alcaldía municipal de Ibagué. En estas visitas se reviso  el avance en los planes de trabajo establecidos para el 2024 de cada una de las unidades administrativas y se reviso la correcta aplicación del proceso archivistico. 
Porcentaje de cumplimiento: 100%
</t>
    </r>
    <r>
      <rPr>
        <sz val="12"/>
        <color rgb="FFFF0000"/>
        <rFont val="Arial Narrow"/>
        <family val="2"/>
      </rPr>
      <t>2.</t>
    </r>
    <r>
      <rPr>
        <sz val="12"/>
        <color rgb="FF000000"/>
        <rFont val="Arial Narrow"/>
        <family val="2"/>
      </rPr>
      <t xml:space="preserve"> Esta actividad ya se habia realizado y se registro el avance en el reporte de mayo y junio de 2024
</t>
    </r>
    <r>
      <rPr>
        <sz val="12"/>
        <color rgb="FFFF0000"/>
        <rFont val="Arial Narrow"/>
        <family val="2"/>
      </rPr>
      <t xml:space="preserve">3. </t>
    </r>
    <r>
      <rPr>
        <sz val="12"/>
        <color rgb="FF000000"/>
        <rFont val="Arial Narrow"/>
        <family val="2"/>
      </rPr>
      <t xml:space="preserve">Durante este periodo no se recibieron solicitudes de los archivos de gestión.
</t>
    </r>
  </si>
  <si>
    <t xml:space="preserve">
Incumplimiento al acuerdo 01 de 2024 al titulo 6 conservación y preservación de documentos en relación a los aspectos estructurales y de conservación que deben cumplir los depositos de archivo en arrendamiento.</t>
  </si>
  <si>
    <t>*DIAGNOSTICO INTEGRAL DE ARCHIVO EN LA ALCALDIA MUNICAAPL DE IBAGUÉ 
*ACTA DE VISITA DE CONTROL ALCALDIA MUNICIPAL DE IBAGUÉ 2024</t>
  </si>
  <si>
    <t>El profesional asignado por el director (a) de recursos fisicos para llevar a cabo el proceso contractual para la adquisicion de bienes muebles en arrendamiento y funcionamiento de las unidades administrativas cada vez que se presente una solictud por las areas, verifica  que los bienes muebles a adquirir en arrendamiento cumplan los aspectos estructurales establecidos en la  guia de condiciones fisicas y ambientales para depositos de archivo y el acuerdo 01 del 2024 del AGN  mediante la consulta de los criterios establecidos en los documentos relacionados frente a las condiciones que  presentan en los bienes muebles ofertados, en caso de incumplimiento de estas condiciones se le debe comunicar el rechazo de la oferta al oferente para finalmente dejar como evidencia de aplicacion del control el oficio de aceptación, minuta del contrato y/o estudios previos</t>
  </si>
  <si>
    <t xml:space="preserve">
1. Realizar  y presentar informes semestral de ejecucion  del Sistema Integrado de Conservación ( Programa de inspección y mantenimiento  de sistemas de almacenamiento e instalaciones fisicas )  a la Dirección de Recursos Fisicos.
2. Oficiar y realizar seguimiento a las necesidades de mantenimiento en infraestructura a la directora de recursos fisicos  para la respectiva solución.
3. Verificar la aplicación del procedimiento de Gestión del Cambio cada vez que se  vaya a adquirir un bien en arrendamiento.</t>
  </si>
  <si>
    <t xml:space="preserve">"Dirección de Recursos Fisicos
Grupo de Gestión Documental 
</t>
  </si>
  <si>
    <r>
      <rPr>
        <b/>
        <sz val="11"/>
        <color theme="1"/>
        <rFont val="Arial Narrow"/>
        <family val="2"/>
      </rPr>
      <t xml:space="preserve">Mayo - Junio 2024
</t>
    </r>
    <r>
      <rPr>
        <sz val="11"/>
        <color theme="1"/>
        <rFont val="Arial Narrow"/>
        <family val="2"/>
      </rPr>
      <t xml:space="preserve">
1. Se presenta informe semestral de ejecución del SIC  
 2. Se presneta información dentro del informe de ejecución del SIC
 3. No se realizan actividades relacionadas en este periodo
</t>
    </r>
    <r>
      <rPr>
        <b/>
        <sz val="11"/>
        <color theme="1"/>
        <rFont val="Arial Narrow"/>
        <family val="2"/>
      </rPr>
      <t xml:space="preserve">JULIO- AGOSTO 2024
1. </t>
    </r>
    <r>
      <rPr>
        <sz val="11"/>
        <color theme="1"/>
        <rFont val="Arial Narrow"/>
        <family val="2"/>
      </rPr>
      <t>Las actividades realizadas en este periodo se reportara en el informe del semestre N°2</t>
    </r>
    <r>
      <rPr>
        <b/>
        <sz val="11"/>
        <color theme="1"/>
        <rFont val="Arial Narrow"/>
        <family val="2"/>
      </rPr>
      <t xml:space="preserve">
 2. </t>
    </r>
    <r>
      <rPr>
        <sz val="11"/>
        <color theme="1"/>
        <rFont val="Arial Narrow"/>
        <family val="2"/>
      </rPr>
      <t>No se realizan actividades relacionadas en este periodo</t>
    </r>
    <r>
      <rPr>
        <b/>
        <sz val="11"/>
        <color theme="1"/>
        <rFont val="Arial Narrow"/>
        <family val="2"/>
      </rPr>
      <t xml:space="preserve">
 3. </t>
    </r>
    <r>
      <rPr>
        <sz val="11"/>
        <color theme="1"/>
        <rFont val="Arial Narrow"/>
        <family val="2"/>
      </rPr>
      <t xml:space="preserve">No se realizan actividades relacionadas en este periodo
</t>
    </r>
    <r>
      <rPr>
        <b/>
        <sz val="11"/>
        <color theme="1"/>
        <rFont val="Arial Narrow"/>
        <family val="2"/>
      </rPr>
      <t>SEPTIEMBRE - OCTUBRE 2024</t>
    </r>
    <r>
      <rPr>
        <b/>
        <sz val="11"/>
        <color rgb="FFFF0000"/>
        <rFont val="Arial Narrow"/>
        <family val="2"/>
      </rPr>
      <t xml:space="preserve">
</t>
    </r>
    <r>
      <rPr>
        <sz val="11"/>
        <color theme="1"/>
        <rFont val="Arial Narrow"/>
        <family val="2"/>
      </rPr>
      <t xml:space="preserve">1. Aunque la periodicida del informe es semestral, se adjunta informe de ejecución del SIC del tirmestre III 
2. El día 10 de octubre se envia correo al area de mantenimiento solicitando las necesidades indentificadas
3. Para este periodo, la secretaria de movilidad solicita acoompañamiento para la evaluación de las condiciones del nuevo luegar propuesto para el trasaldo de la misma. Para lo anterior se reaiza reliza comite de gestión del cambio en la dirección recursos fisicos el día 4 de septiembre y posterior a esto el día 10 de septiembre se realiza la visita fisica al punto de traslado con todos los intengrantes del comite en donde cada participante deja plasmado en el acta sus observaciones y recomendaciones
</t>
    </r>
    <r>
      <rPr>
        <b/>
        <sz val="11"/>
        <color theme="1"/>
        <rFont val="Arial Narrow"/>
        <family val="2"/>
      </rPr>
      <t xml:space="preserve">
</t>
    </r>
    <r>
      <rPr>
        <b/>
        <sz val="11"/>
        <color rgb="FFFF0000"/>
        <rFont val="Arial Narrow"/>
        <family val="2"/>
      </rPr>
      <t>NOVIEMBRE- DICIEMBRE 2024</t>
    </r>
    <r>
      <rPr>
        <b/>
        <sz val="11"/>
        <color theme="1"/>
        <rFont val="Arial Narrow"/>
        <family val="2"/>
      </rPr>
      <t xml:space="preserve">
1. Se presenta informe del trimestre IV de ejecución del SIC
2. Durante este periodo se realizan los siguientes requerimientos de mantenimeinto:
–Se solicita visita de revisión de mantenimiento al archivo de la 60 en donde se evidencia gotera dentro del archivo
- Se reporta deterioro en la chapa de la puerta del archivo de la 60
- Se solicita inspección en el archivo de las TIC en donde hay tuberia con gotera
3. No se realizan actividades relacionadas en este periodo
</t>
    </r>
  </si>
  <si>
    <t xml:space="preserve">Deficiencia en el control de prestamo de los documentos en las unidades administrativas </t>
  </si>
  <si>
    <t>FOR-13-PRO-GD-04 FORMATO CONTROL PRÉSTAMO.
*DIAGNOSTICO INTEGRAL DE ARCHIVO EN LA ALCALDIA MUNICAAPL DE IBAGUÉ 
*ACTA DE VISITA DE CONTROL ALCALDIA MUNICIPAL DE IBAGUÉ 2024</t>
  </si>
  <si>
    <t>El lider de gestion documental o profesional asignado anualmente ejecuta seguimiento según el cronograma establecido a las unidades administrativas verificando que la persona encargada de la custodia de los archivos diligencie el formato de préstamo de documentos en su totalidad, adicionalmente debe registrar la información del prestamo, ubicando los testigos o fichas de afuera en los espacios de los documentos extraidos de sus gavetas o estantes. de igual manera deberá hacer seguimiento periódico de los préstamos de documentos registrados en el formato de control de consulta y préstamo de documentos, y hacer cumplir el tiempo de devolución establecido (máximo 5 días hábiles) y solicitar su devolución.  En caso de desviacion  el responsable de su custodia o el Jefe de la Unidad administrativa debe colocar denuncia de pérdida ante las autoridades competentes y se deberá informar a la dependencia competente sobre esta situación. Así mismo tendrán la obligación de reconstruir el expediente teniendo en cuenta la guía para la reconstrucción de  los mismos, finalmente queda como evidencia el fomato de Analisis y Evaluación de los archivos de Gestión.</t>
  </si>
  <si>
    <t>Realizar anualmente visitas de seguimiento verificando la correcta aplicación del formato de control de prestamos documentales.</t>
  </si>
  <si>
    <t>Grupo de Gestion Documental</t>
  </si>
  <si>
    <r>
      <rPr>
        <b/>
        <sz val="11"/>
        <color theme="1"/>
        <rFont val="Arial Narrow"/>
        <family val="2"/>
      </rPr>
      <t xml:space="preserve">Mayo - Junio 2024
</t>
    </r>
    <r>
      <rPr>
        <sz val="11"/>
        <color theme="1"/>
        <rFont val="Arial Narrow"/>
        <family val="2"/>
      </rPr>
      <t xml:space="preserve"> 1. No se realizan actividades relacionadas en este periodo
</t>
    </r>
    <r>
      <rPr>
        <b/>
        <sz val="11"/>
        <color theme="1"/>
        <rFont val="Arial Narrow"/>
        <family val="2"/>
      </rPr>
      <t xml:space="preserve">JULIO- AGOSTO 2024
</t>
    </r>
    <r>
      <rPr>
        <sz val="11"/>
        <color theme="1"/>
        <rFont val="Arial Narrow"/>
        <family val="2"/>
      </rPr>
      <t xml:space="preserve">
1. No se realizan actividades relacionadas en este periodo
</t>
    </r>
    <r>
      <rPr>
        <b/>
        <sz val="11"/>
        <color theme="1"/>
        <rFont val="Arial Narrow"/>
        <family val="2"/>
      </rPr>
      <t xml:space="preserve">SEPTIEMBRE - OCTUBRE 2024
</t>
    </r>
    <r>
      <rPr>
        <b/>
        <sz val="11"/>
        <color rgb="FFFF0000"/>
        <rFont val="Arial Narrow"/>
        <family val="2"/>
      </rPr>
      <t xml:space="preserve">
</t>
    </r>
    <r>
      <rPr>
        <sz val="11"/>
        <color theme="1"/>
        <rFont val="Arial Narrow"/>
        <family val="2"/>
      </rPr>
      <t xml:space="preserve">Se emite circular 58 del 25 de octubre  de 2024 en donde se socializa el cronograma de visitas de seguimiento a todas las unidades administritivas dentro de las cuales se realizara la verificación la correcta aplicación del formato de control de prestamos documentales
</t>
    </r>
    <r>
      <rPr>
        <b/>
        <sz val="11"/>
        <color rgb="FFFF0000"/>
        <rFont val="Arial Narrow"/>
        <family val="2"/>
      </rPr>
      <t>NOVIEMBRE- DICIEMBRE 2024</t>
    </r>
    <r>
      <rPr>
        <sz val="11"/>
        <color theme="1"/>
        <rFont val="Arial Narrow"/>
        <family val="2"/>
      </rPr>
      <t xml:space="preserve">
 1. Conforme a la circular 58 del 25 de octubre , se realizaron 69 visitas las cuales abarcaron el total de las 103  unidades administrativas de la Alcaldía municipal de Ibagué. En estas visitas se reviso  el avance en los planes de trabajo establecidos para el 2024 de cada una de las unidades administrativas y se reviso la correcta aplicación del proceso archivistico. 
</t>
    </r>
    <r>
      <rPr>
        <b/>
        <sz val="11"/>
        <color theme="1"/>
        <rFont val="Arial Narrow"/>
        <family val="2"/>
      </rPr>
      <t>Porcentaje de cumplimiento: 100%</t>
    </r>
  </si>
  <si>
    <t>Insuficiente competencia e idoneidad del personal contratado frente al manejo del proceso de Gestión Documental en las Unidades Administrativas</t>
  </si>
  <si>
    <t>El lider de gestion documental o profesional asignado anualmente ejecutara un plan de capacitaciones en todas las unidades administrativas con el fin de ensibilizar y capacitar al personal encargado de los archivos de gestión en los procesos archivisticos y la importancia del mismo</t>
  </si>
  <si>
    <t xml:space="preserve">
Realizar Socializacion y
Capacitaciones a los
Funcionarios de planta y contrato en la aplicación de los
procesos archivisticos.</t>
  </si>
  <si>
    <r>
      <rPr>
        <b/>
        <sz val="11"/>
        <color rgb="FF000000"/>
        <rFont val="Arial Narrow"/>
        <family val="2"/>
      </rPr>
      <t>Mayo - Junio 2024</t>
    </r>
    <r>
      <rPr>
        <b/>
        <sz val="11"/>
        <color rgb="FFFF0000"/>
        <rFont val="Arial Narrow"/>
        <family val="2"/>
      </rPr>
      <t xml:space="preserve">
</t>
    </r>
    <r>
      <rPr>
        <b/>
        <sz val="11"/>
        <color theme="1"/>
        <rFont val="Arial Narrow"/>
        <family val="2"/>
      </rPr>
      <t xml:space="preserve">
</t>
    </r>
    <r>
      <rPr>
        <sz val="11"/>
        <color theme="1"/>
        <rFont val="Arial Narrow"/>
        <family val="2"/>
      </rPr>
      <t xml:space="preserve">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t>
    </r>
    <r>
      <rPr>
        <sz val="11"/>
        <color rgb="FFFF0000"/>
        <rFont val="Arial Narrow"/>
        <family val="2"/>
      </rPr>
      <t>Porcentaje de cumplimiento: 100%</t>
    </r>
    <r>
      <rPr>
        <sz val="11"/>
        <color theme="1"/>
        <rFont val="Arial Narrow"/>
        <family val="2"/>
      </rPr>
      <t xml:space="preserve">
Las unidades administrativas capacitadas fueron: GRUPO ALMACEN; GRUPO DE BIENES FISCALES Y DE USO PUBLICO; OFICINA JURIDICA; SECRETARÍA DE SALUD; DIRECCION DE JUSTICIA;  SECRETARÍA DE AMBIENTE Y GESTIÓN 
DEL RIESGO; SECRETARIA DE INFRAESTRUCTURA
</t>
    </r>
    <r>
      <rPr>
        <b/>
        <sz val="11"/>
        <color rgb="FF000000"/>
        <rFont val="Arial Narrow"/>
        <family val="2"/>
      </rPr>
      <t>Julio - Agosto 2024</t>
    </r>
    <r>
      <rPr>
        <b/>
        <sz val="11"/>
        <color theme="1"/>
        <rFont val="Arial Narrow"/>
        <family val="2"/>
      </rPr>
      <t xml:space="preserve">
</t>
    </r>
    <r>
      <rPr>
        <sz val="11"/>
        <color theme="1"/>
        <rFont val="Arial Narrow"/>
        <family val="2"/>
      </rPr>
      <t xml:space="preserve">Se elabora memorando 33711 del 5 de agosto de 2024 en donde se solicializa cronograma de capacitaciones a las 104 unidades administrativas en temas de criterios de organización de archivos de gestión; Aplicación TRD; Diligenciamientos de hojas de control e inventarios documentales:
</t>
    </r>
    <r>
      <rPr>
        <b/>
        <sz val="11"/>
        <color rgb="FFFF0000"/>
        <rFont val="Arial Narrow"/>
        <family val="2"/>
      </rPr>
      <t xml:space="preserve">Porcentaje de cumplimiento: 86,6%
</t>
    </r>
    <r>
      <rPr>
        <sz val="11"/>
        <color theme="1"/>
        <rFont val="Arial Narrow"/>
        <family val="2"/>
      </rPr>
      <t xml:space="preserve">Se progamaron 15 capacitaciones que cubren el 100% de Las unidades administrativas. Las unidades administrativas capacitadas fueron:
Dirección de Cobertura,
 Grupo Acceso,
 Grupo cobertura 
Oficina de control interno, 
Oficina de control unico disciplinario, 
Gerencia de proyectos estrategicos
SECRETARIA DESARROLLO ECONOMICO
Despacho, Grupo inspección y vigilancia
Dirección calidad educativa, grupo mejoramiento, grupo Evaluación
Despacho del alcalde/ Oficina Jurídica/Oficina de comunicaciones/ Secretaría general
Secretaría de Hacienda
SECRETARÍA ADMINISTRATIVA – SECRETARÍA DE GOBIERNO
Secretaría TIC, Oficina de contratación
Dirección de justicia
Dirección de espacio público
secretaria de planeación
Dirección Administrativa y financiera, Dirección de calidad
</t>
    </r>
    <r>
      <rPr>
        <b/>
        <sz val="11"/>
        <color rgb="FF000000"/>
        <rFont val="Arial Narrow"/>
        <family val="2"/>
      </rPr>
      <t xml:space="preserve">SEPTIEMBRE - OCTUBRE 2024
</t>
    </r>
    <r>
      <rPr>
        <b/>
        <sz val="11"/>
        <color rgb="FFFF0000"/>
        <rFont val="Arial Narrow"/>
        <family val="2"/>
      </rPr>
      <t xml:space="preserve">
</t>
    </r>
    <r>
      <rPr>
        <sz val="11"/>
        <color theme="1"/>
        <rFont val="Arial Narrow"/>
        <family val="2"/>
      </rPr>
      <t xml:space="preserve">Se realizan las ultimas 3 capacitaciones pendientes para cumplir el 100% del cronograma establecido en el memorando 33711 del 5 de agosto de 2024 y las unidades capacitadas so las siguientes:
Secretaria de infraestructura 
 secretaria de agricultura
 direcciòn de catastro multiproposito
Secretaria de gobierno
 Direcciòn de participaciòn ciudadana
Secretaria de salud
</t>
    </r>
    <r>
      <rPr>
        <sz val="11"/>
        <color rgb="FFFF0000"/>
        <rFont val="Arial Narrow"/>
        <family val="2"/>
      </rPr>
      <t xml:space="preserve">Porcentaje de cumplimiento: 100%
</t>
    </r>
    <r>
      <rPr>
        <b/>
        <sz val="11"/>
        <color rgb="FFFF0000"/>
        <rFont val="Arial Narrow"/>
        <family val="2"/>
      </rPr>
      <t>NOVIEMBRE - DICIEMBRE 2024</t>
    </r>
    <r>
      <rPr>
        <b/>
        <sz val="11"/>
        <color rgb="FF000000"/>
        <rFont val="Arial Narrow"/>
        <family val="2"/>
      </rPr>
      <t xml:space="preserve">
</t>
    </r>
    <r>
      <rPr>
        <sz val="11"/>
        <color rgb="FF000000"/>
        <rFont val="Arial Narrow"/>
        <family val="2"/>
      </rPr>
      <t>Durante este periodo no se realizan capacitaciones ya que en el més de octubre se completaron y reportaron las actividades programadas para el año 2024 en temas de capacitaciones</t>
    </r>
    <r>
      <rPr>
        <sz val="11"/>
        <color rgb="FFFF0000"/>
        <rFont val="Arial Narrow"/>
        <family val="2"/>
      </rPr>
      <t xml:space="preserve">
</t>
    </r>
    <r>
      <rPr>
        <sz val="11"/>
        <color theme="1"/>
        <rFont val="Arial Narrow"/>
        <family val="2"/>
      </rPr>
      <t xml:space="preserve">
</t>
    </r>
  </si>
  <si>
    <t xml:space="preserve">PROCESO: Gestión de Evaluación y  Seguimiento </t>
  </si>
  <si>
    <t xml:space="preserve">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t>
  </si>
  <si>
    <t>INICIA CON LA ELABORACIÓN DEL PLAN ANUAL DE AUDITORÍA, INCLUYE LAS ACTIVIDADES REQUERIDAS PARA LA IMPLEMENTACIÓN DE LOS 5 ROLES ASIGNADOS A LAS OFICINAS DE CONTROL INTERNO, Y FINALIZA CON LA EVALUACIÓN DEL CUMPLIMIENTO DEL PLAN ANUAL DE AUDITORIA.</t>
  </si>
  <si>
    <t xml:space="preserve">Multa o sanción del ente  de control </t>
  </si>
  <si>
    <t xml:space="preserve">Inoportunidad en el cargue   de informes de ley  a través de aplicativos dispuestos por entes de control  </t>
  </si>
  <si>
    <r>
      <rPr>
        <sz val="12"/>
        <color rgb="FFFF0000"/>
        <rFont val="Arial Narrow"/>
        <family val="2"/>
      </rPr>
      <t>Posibilidad</t>
    </r>
    <r>
      <rPr>
        <sz val="12"/>
        <rFont val="Arial Narrow"/>
        <family val="2"/>
      </rPr>
      <t xml:space="preserve">  de afectación reputacional </t>
    </r>
    <r>
      <rPr>
        <sz val="12"/>
        <color rgb="FFFF0000"/>
        <rFont val="Arial Narrow"/>
        <family val="2"/>
      </rPr>
      <t>por</t>
    </r>
    <r>
      <rPr>
        <sz val="12"/>
        <rFont val="Arial Narrow"/>
        <family val="2"/>
      </rPr>
      <t xml:space="preserve"> multa o sanción del ente de control, </t>
    </r>
    <r>
      <rPr>
        <sz val="12"/>
        <color rgb="FFFF0000"/>
        <rFont val="Arial Narrow"/>
        <family val="2"/>
      </rPr>
      <t>debido a la</t>
    </r>
    <r>
      <rPr>
        <sz val="12"/>
        <rFont val="Arial Narrow"/>
        <family val="2"/>
      </rPr>
      <t xml:space="preserve">  Inoportunidad en el cargue  de informes de ley  a través de aplicativos dispuestos por entes de control. </t>
    </r>
  </si>
  <si>
    <t xml:space="preserve">La actividad generadora del riesgo  se presenta:  Realización del cargue del  informe de ley en el aplicativo dispuesto por el  ente de control: Actividad que   se encuentra documentada en:  Guía rendición de la cuenta anual  a la contraloría Municipal, guía rendición de la cuenta a la contraloría general, guía informe de control interno contable, guía informe de derechos de autor y  procedimiento evaluación del sistema de control interno con énfasis del reporte Furag. </t>
  </si>
  <si>
    <t>El auditor asignado en el plan anual de auditoria para realizar  el informe de ley  o  coordinar el cargue en los  aplicativos del ente del control, cada vez que realiza un informe o lo coordina;   verifica que los líderes de procesos responsables del reporte de información,  designen en personal de planta,  diligenciamiento  de  la información  solicitada  en  formatos y sus respectivos anexos,   con el fin de asegurar que realicen  adecuadamente la  validación de  la información   dentro de los plazos establecidos   en los aplicativos  dispuestos por el ente de control;  para ello cada auditor  proyecta   una circular solicitando a los líderes de proceso  que asignen  la responsabilidad  del reporte  de la información solicitada,  en personal de planta, con el fin de garantizar  la calidad y   oportunidad  del reporte del informe al ente de control.  Fijando como fecha límite para el reporte   7  días ´previos al vencimiento del término.  En el caso de detectar que el reporte no esté a cargo de personal de planta, se reitera el cumplimiento de esta directriz.  Como evidencia de ejecución de control queda la circular proyectada, la respuesta emitida por la unidad administrativa citando el nombre y cargo del funcionario asignado y el memorando del reiterado si fue necesario.</t>
  </si>
  <si>
    <t>Jefe de la oficina de control interno</t>
  </si>
  <si>
    <t>7/03/2025
9/05/2025
4/07/2025
5/09/2025
7/11/2025</t>
  </si>
  <si>
    <t xml:space="preserve">D8,12,O19 Consultar los cambios normativos que aplican a control interno socializados en el grupo WhatsApp Mi Tolima y darlos a conocer al equipo de control interno y en caso que el jefe de la Oficina lo considere necesario solicitar a talento humano capacitación y multiplicarla a los compañeros de trabajo. </t>
  </si>
  <si>
    <t>Los auditores responsables de la elaboración de los informes de ley, al momento de generar el informe, emitir una circular a las áreas correspondientes, relacionando el reporte que debe presentarse y estableciendo la fecha límite para la emisión de la respuesta al requerimiento. Esta fecha debe fijarse con al menos 7 días hábiles previos al vencimiento del plazo establecido por la normativa, con el objetivo de asegurar que el informe o reporte se cargue oportunamente al ente de control. Para determinar la fecha de entrega de la información por parte de las unidades administrativas, se debe confrontar la fecha límite para la emisión del reporte con la fecha establecida por el ente de control, de modo que se disponga del tiempo necesario para solicitar una prórroga, en caso de ser necesario.
Vencido el plazo establecido, el auditor debe consultar el aplicativo de correspondencia PISAMI y, al mismo tiempo, coordinar con el auxiliar administrativo para verificar si la información solicitada ha sido recibida. Si la respuesta es afirmativa, se procederá a realizar las actividades necesarias para generar el informe. En caso contrario, se deberá comunicar a jefe el estado del requerimiento para que gestione la entrega inmediata de la información.
Como evidencia de la ejecución del control, se deberá dejar constancia de lo siguiente: el memorando o circular que respalda el requerimiento oportuno de la información y la información recibida, la cual debe ser incluida en los expedientes de la serie documental asociada a los respectivos informes. En caso de desviación, se generará evidencia de la reiteración del requerimiento mediante el correo institucional de la Oficina y/o el aplicativo de correspondencia PISAMI, si se ha reiterado mediante memorando.</t>
  </si>
  <si>
    <t>01/01/2025 al 31/12/2026</t>
  </si>
  <si>
    <t>7/03/2025
9/05/2025
4/07/2025
5/09/2025
7/11/2026</t>
  </si>
  <si>
    <t xml:space="preserve">El auditor responsable de elaborar el informe, conforme al plazo establecido por el ente de control 3) previene la  emisión  inoportuna  del informe, por fallas en los aplicativos,  confrontando  la fecha limite para el cargue del informe en los aplicativos dispuestos por los entes de control  VERSUS la fecha establecida el organismo de control para  la solicitud de prórroga;  con el fin de asegurar   que la falla presentada no afecte la oportunidad del cargue  del informe, dejando como registro los pantallazos de las fallas en el aplicativo.  Si las fallas se presentan dentro del rango de los   7  días previos a la fecha establecida por el ente control para el reporte, se solicita prórroga para el reporte,  adjuntando el registro de los pantallazos;  con el fin de justificar y obtener  la disponibilidad del aplicativo para realizar el cargue 6) como evidencia queda el oficio de solicitud de prórroga, la respuesta emitida por el ente de control y el log de cargue del informe o reporte.  </t>
  </si>
  <si>
    <t>A3,10 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 su vez, las resoluciones vigentes para rendir el informe</t>
  </si>
  <si>
    <t>01/01/2025 al 31/12/2027</t>
  </si>
  <si>
    <t>7/03/2025
9/05/2025
4/07/2025
5/09/2025
7/11/2027</t>
  </si>
  <si>
    <t>socialización inoportuna de los informes emitidos por la Oficina  en  el  Comité de Coordinación de Control Interno</t>
  </si>
  <si>
    <t xml:space="preserve">Olvido de los informes generados por la Oficina de control interno y pendientes de socialización a la Alta Dirección en el Comité de Coordinación de Control Interno, en el momento previo a la convocatoria para la elaboración del orden del día. </t>
  </si>
  <si>
    <r>
      <rPr>
        <sz val="11"/>
        <color rgb="FFFF0000"/>
        <rFont val="Arial Narrow"/>
        <family val="2"/>
      </rPr>
      <t>Posibilidad</t>
    </r>
    <r>
      <rPr>
        <sz val="11"/>
        <rFont val="Arial Narrow"/>
        <family val="2"/>
      </rPr>
      <t xml:space="preserve"> de afectación reputaciona</t>
    </r>
    <r>
      <rPr>
        <sz val="11"/>
        <color rgb="FFFF0000"/>
        <rFont val="Arial Narrow"/>
        <family val="2"/>
      </rPr>
      <t>l</t>
    </r>
    <r>
      <rPr>
        <b/>
        <sz val="11"/>
        <color rgb="FFFF0000"/>
        <rFont val="Arial Narrow"/>
        <family val="2"/>
      </rPr>
      <t xml:space="preserve"> por</t>
    </r>
    <r>
      <rPr>
        <sz val="11"/>
        <rFont val="Arial Narrow"/>
        <family val="2"/>
      </rPr>
      <t xml:space="preserve"> Incumplimiento del  rol de liderazgo estratégico, </t>
    </r>
    <r>
      <rPr>
        <sz val="11"/>
        <color rgb="FFFF0000"/>
        <rFont val="Arial Narrow"/>
        <family val="2"/>
      </rPr>
      <t xml:space="preserve">debido a:  </t>
    </r>
    <r>
      <rPr>
        <sz val="11"/>
        <rFont val="Arial Narrow"/>
        <family val="2"/>
      </rPr>
      <t>socialización inoportuna de los informes emitidos por la Oficina  en  el  Comité de Coordinación de Control Interno</t>
    </r>
  </si>
  <si>
    <t xml:space="preserve">Procedimiento  liderazgo   estratégico </t>
  </si>
  <si>
    <t xml:space="preserve">El Profesional especializado y el jefe de control interno 2. Para elaborar el orden del día a tratar en el comité de coordinación de control interno 3. verifica que los informes programados   a realizar en el plan Anual de Auditoria en el trimestre previo a la realización del comité, se encuentren elaborados 4. Para ello consulta en el Plan Anual de Auditoria qué informes se encuentran programados a realizar entre la fecha del último comité y la definida para el siguiente comité y los confronta con los que se encuentran elaborados, durante el mismo periodo usando como fuente de información el aplicativo PISAMI, el Link de transparencia y los expedientes Físicos, con el fin de asegurar la disponibilidad de los informes para la socialización a la Alta dirección en el Comité.   Acto seguido genera el orden del día con los informes a socializar y convoca al Comité de Coordinación de Control Interno5. No obstante, si se presenta diferencia entre los informes programados a realizar en el PAA   VS los informes realizados; procede a realizar comité extraordinario en fecha posterior al Comité ordinario, o se incluyen junto a los que se deben socializar en el próximo comité.  6.  Como evidencia de ejecución quedan las actas de comité técnico de la oficina de control interno, la hoja de vida del indicador descrito: Índice de informes socializados y las actas del comité de coordinación de control interno.  </t>
  </si>
  <si>
    <t xml:space="preserve"> GESTION DE PARTICIPACION CIUDADANA </t>
  </si>
  <si>
    <t xml:space="preserve">OBJETIVO: FORMULAR, IMPLEMENTAR Y HACER SEGUIMIENTO CONTINUO A POLÍTICAS, PLANES, PROGRAMA, PROYECTOS Y ESTRATEGIAS ENCAMINADOS A PROMOVER Y FORTALECER LA PARTICIPACIÓN CIUDADANA EN EL MARCO DE LA ÉTICA PUBLICA EN EL MUNICIPIO DE IBAGUÉ. 
</t>
  </si>
  <si>
    <t>INICIA DESDE LA PLANEACIÓN DEL PROCESO HASTA REALIZAR ACTIVIDADES DE SEGUIMIENTO A
INDICADORES, AUDITORIAS, PLANES DE MEJORAMIENTO, MAPAS DE RIESGOS Y SALIDAS NO CONFORMES.</t>
  </si>
  <si>
    <t xml:space="preserve">     SEGUIMIENTO SEPTIEMBRE Y OCTUBRE DE 2024</t>
  </si>
  <si>
    <t xml:space="preserve">     SEGUIMIENTO NOVIEMBRE Y DICIEMBRE 2024</t>
  </si>
  <si>
    <t xml:space="preserve">Debilidad en la planeación y entrega de los resportes de las actividades  por parte de los serivdores encargados. </t>
  </si>
  <si>
    <t xml:space="preserve">Inoportuna jecución de la planeacón y el reporte de actividades del proceso. </t>
  </si>
  <si>
    <t xml:space="preserve">Inoportuna ejecución de las actividades e informes que se deben remitir a las dependencias encargadas de consolidar, verificar y evaluar la información suministrada por este proceso. </t>
  </si>
  <si>
    <t>POSIBILIDAD DE IMPACTO REPUTACIONAL A CAUSA DE INVESTIGACIONES POR PARTE DE LOS ORGANISMOS DE CONTROL DEBIDO AL INCUMPLIMIENTO EN EL PLAN DE ACCIÓN Y EL CRONOGRAMA DE LAS ACTIVIDADES DEL PROCESO</t>
  </si>
  <si>
    <t>Implementación de las actividades de la política de participación ciudadana</t>
  </si>
  <si>
    <t xml:space="preserve">La Dirección de Participación ciudadana y comunitaria realiza trimestralmente un comité técnico para hacer seguimiento a la planeación estrategica del proceso (plan de acción, indicadores, salidas no conformes y cumplimiento de meta) dejando como evidencia el acta del comité y los responsables de la información de cada actividad. </t>
  </si>
  <si>
    <t>En comité técnico se revisará el plan de acción, indicadores, salidas no conformes y ejecución de las metas, de la presente vigencia, con el fin de verificar el cumplimiento de la planeación.</t>
  </si>
  <si>
    <t>Director (a) de participación ciudadna y comunitaria</t>
  </si>
  <si>
    <t>septiembre de 2024</t>
  </si>
  <si>
    <t>Se realiza segumiento a través del plan de acción y el POAI, verificando que estos se encuentren actualizados y se revisa porcentaje de cumplimiento de las metas y actividades de esta Dirección.</t>
  </si>
  <si>
    <t>En comité tecnico del mes de octubre junto con fortalecimiento Institucional Se revisa el Plan de Acción, los indicadores, medidas correctivas, así como el proceso y los procedimientos de esta Dirección. Así mismo se entrega informe al despacho de Gobierno el cumplimento de Metas. De acuerdo, con lo anterior, se encuentra acta N°010 del 04/10/2024.</t>
  </si>
  <si>
    <t xml:space="preserve">Reportes extemporaneos de los  informes que se deben remitir a las dependencias encargadas </t>
  </si>
  <si>
    <t>El director (a) de participación ciudadana y comunitaria  realiza trimestralmente un comité técnico para hacer seguimiento a la planeación estrategica del proceso, dejando como evidencia el acta del comité y el memorando de envio a las dependencias responsables de revisar y compilar la información.</t>
  </si>
  <si>
    <t xml:space="preserve">En comité técnico se revisará el plan de acción, indicadores, salidas no conformes y ejecución de las metas, de la presente vigencia, con el fin de verificar que se realice el reporte en los tiempos establecidos. </t>
  </si>
  <si>
    <t>septiembre de 2025</t>
  </si>
  <si>
    <t xml:space="preserve">No se aportaron las actas, sin embargo en el mes de noviembre se realizaron (2) comites técnico. </t>
  </si>
  <si>
    <t xml:space="preserve">Deficiencia de apropiación de la política y la estrategia de participación ciudadana por parte de los funcionarios. </t>
  </si>
  <si>
    <t>El director (a) de participación ciudadana y comunitaria en los comités técnicos, revisa y socializa los diferentes componentes y avances de la Estrategia de participación ciudadana,  dejando como evidencia el acta del comité mensual de la Dirección.</t>
  </si>
  <si>
    <t xml:space="preserve">Realizar capacitación de la política de participación ciudadana al equipo de la dirección de participación ciudada </t>
  </si>
  <si>
    <t>septiembre de 2026</t>
  </si>
  <si>
    <t xml:space="preserve">Se realiza segumiento mediante actas de reunión de los comites técnicos y las evidencias presentadas, tales son las acta de reunión. </t>
  </si>
  <si>
    <t xml:space="preserve">Se realiza revisión de la carpeta de comites tecnicos de la Dirección, en el que se encuentran las sigueintes:  Acta N°009 DEL 06/09/2024 y Acta N°010 DEL 04/10/2024.  Donde se evidencia que se hablo sobre la política de Participación Ciudadana y el codigo de integridad y buen gobierno. </t>
  </si>
  <si>
    <t>GESTION DE LA GOBERNABILIDAD CONVIVENCIA Y SEGURIDAD CIUDADANA</t>
  </si>
  <si>
    <t>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t>
  </si>
  <si>
    <t>Inicia con la planeación del proceso, formulando planes, programas y proyectos que fortalezcan la paz, la convivencia pacífica y el orden público, la coordinación de las autoridades municipales, mediación en la prevención y atención de problemas relacionados con la seguridad, convivencia ciudadana,  derecho internacional humanitario, hasta la protección de víctimas, atención, promoción, prevención y aplicación del código de policía, la recepción y evaluación de las pruebas, proteger los derechos de los niños, niñas y adolescentes, así como de los adultos mayores, en materia de alimentos y violencia intrafamiliar, además se desarrollan actividades asociadas al control y vigilancia de establecimientos comerciales, propiedad horizontal, matrícula inmobiliaria, verificando el cumplimiento de los derechos del consumidor, controlando y vigilando infracciones urbanísticas, de medio ambiente, protección animal y del espacio público, se implementan mecanismos alternativos de resolución de conflictos y audiencia pública, finaliza con el seguimiento y evaluación del proceso.</t>
  </si>
  <si>
    <t xml:space="preserve">Investigaciones y/o sanciones por parte de los entes de control </t>
  </si>
  <si>
    <t xml:space="preserve">incumplimiento de las metas del Plan de Desarrollo del proceso de gestion de la gobernabilidad, convivencia y seguridad ciudadana. </t>
  </si>
  <si>
    <t>Deficiencias en la planeación del proceso</t>
  </si>
  <si>
    <t xml:space="preserve">Posibilidad de perdida economica y reputacional por investigaciones y/o sanciones por parte de los entes de control debido al incumplimiento de las metas del Plan de Desarrollo del proceso de gestion de la gobernabilidad, convivencia y seguridad ciudadana. </t>
  </si>
  <si>
    <t>Planeacion y Seguimiento a las actividades del proceso a través de los Comites Técnicos de cada dependencia de la Secretaria de Gobierno.</t>
  </si>
  <si>
    <t xml:space="preserve">El secretario, directores y referentes se reunen de forma trimestral, mediante comites tecnicos, con el fin de validar la planeación y el seguimiento de las actividades plasmadas  en el plan de desarrollo y plan de accion de la secretaria de gobierno, dejando como evidencia actas de comite y planillas de asistencia. . </t>
  </si>
  <si>
    <t>Probabildad</t>
  </si>
  <si>
    <t xml:space="preserve">Realizar reporte trimestral, del plan indicativo, plan de accion y normograma. </t>
  </si>
  <si>
    <t xml:space="preserve">Secretarios, Directores y sus delegados </t>
  </si>
  <si>
    <t>Diciembre 30/2024</t>
  </si>
  <si>
    <t xml:space="preserve">Se realizo y se evidencia con el acta 06 del 23 de diciembre  de 2024 para los planes de accion y plan de desarrollo con corte a 20 de diciembre del 2024 </t>
  </si>
  <si>
    <t xml:space="preserve">Dificultades de la transferencia del conocimiento. </t>
  </si>
  <si>
    <t>los  enlaces SIGAMI de cada direccion y despacho  concertan mesas de trabajo de forma trimestralmente, con el fin de revisar ,validar los cambios normativos y posteriormente  socializar y actualizar el normograma,  quedando como evidencia el reporte trimestral entregado a la Direccion de Fortalecimiento Institucional</t>
  </si>
  <si>
    <t xml:space="preserve">Secretarios, Directores y enlaces SIGAMI </t>
  </si>
  <si>
    <t xml:space="preserve">
mediante los memorandos No.044623 y 046231 del 27/09/2024 y 07/10/2024, se solicita y se reitera a las  direcciones y grupos de trabajo de la Secretaria de Gobierno reportar el seguimiento y monitoreo del normograma con el fin de revisar ,consolidar y reportar a la Direccion de fortalecimiento institucional el monitoreo y seguimiento del 3° trimestre del normograma( Anexo Memorandos ). posteriormente el dia 09/10/2024 se realiza el reporte del monitoreo y seguimiento del  3° trimestre del Normograma. (Anexo pantallazo envio reporte a fortalecimiento institucional).-  se esta revisando la informacion que se reportadara para el 4° y ultimo trimestre del 2024 en espera de la circular de fortalecmiento institucional para la fecha maxima de reporte .</t>
  </si>
  <si>
    <t>sanciones administrativas, disciplinarias, penales, fiscales por las autoridades pertinentes</t>
  </si>
  <si>
    <t xml:space="preserve">deficiencia en la identificación del presunto infractor para el Pago de multas,  o cualquier tipo de sanción </t>
  </si>
  <si>
    <t>Falta de documentación del procedimiento alineado a la normatividad aplicable</t>
  </si>
  <si>
    <t xml:space="preserve">Posibilidad de afectacion economica por  sanciones administrativas, disciplinarias, penales, fiscales por las autoridades competentes por la deficiencia en la identificación del presunto infractor para el Pago de multas,  o cualquier tipo de sanción </t>
  </si>
  <si>
    <t>al momento de la identificación de la infracción</t>
  </si>
  <si>
    <t xml:space="preserve">     Entre 1000 y 5000 SMLMV </t>
  </si>
  <si>
    <t>El secretario, los directores y enlaces SIGAMI concertan mesas de trabajo con los Inpectores y corregiodores cada vez que se requiera, con el fin de revisar y validar la informacion documentada (procedimientos,manuales,instructivos formatos entre otros ) relacionada con el prceso multas , comparendos entre otros  con el fin de la mejora continua del proceso quedando como evidencia informacion actulizada en la pagna de la Alcaldia Municipál, acta de reunon y planillas de asistencia.</t>
  </si>
  <si>
    <t>realizar la documentacion y adopcion de procedimientos y/o intructivos , manuales y formatos de acuerdo a la normatividad vigente. Institucionalizar el cumplimiento del diligenciamiento del formato FOR-04-PRO-GPC-03</t>
  </si>
  <si>
    <t>el procedimiento se esta implementado por cada una de las comisarias ,inspecciones y corregidurias ,- se tiene programada una mesa de trabajo para el mes de enero con los comisarios,inspectores y corregidores para revisar el procedimkento sobre unas observaciones que tienen al procedimiento.</t>
  </si>
  <si>
    <t xml:space="preserve">Deficiencia en la aplicabilidad de la normatividad </t>
  </si>
  <si>
    <t xml:space="preserve">La Directora verifica el personal que se requiere en la Dirección con el fin de solicitar su contratación, para desarrollar las actividades propias del proceso. Esta actividad deberá realizarce dos veces al año. En caso de no contar con el personal requerido, La Directora de Planeación Multipropósito, verifica los planes de choque  delegados de los rezagos de tramites, esto con el fin de ir evacuando los que están fuera de tiempos de respuesta, delegando por metas a cada uno de los contratistas con los que cuenta en el momento la dirección, todos los tramites deben realizarce siguiendo los controles y el flujo documental y los tiempos de respuesta que se implemente para cada mutación catastral conforme se describe dentro de las hojas de vida de los tramites; los seguimientos a estas metas se realizaran mediante reunión por lo menos una vez al mes. </t>
  </si>
  <si>
    <t>El Grupo tecnico, administrativo y de radicación siguen los pasos aprobados para la radicación y realización de un tramite o producto catastral.  Mensualmente realizar  seguimiento al plan de choque solicitado por la directora donde se consignan las respuestas brindadas a las solicitudes de los usuarios de PQR (Pisamis) y/o solicitudes radicadas en el Cam</t>
  </si>
  <si>
    <t>01/May/2024 al 31/Dic/2024</t>
  </si>
  <si>
    <t>se realiza seguimiento al plan de choque con respecto a las respuesta a pisamis y tramites de rezagos asignados para ir evacuando y solucionando la demora en los tiempos de respuesta a tramites</t>
  </si>
  <si>
    <t>se continua con el seguimiento al plan de contigencia con respecto a las respuesta a pisamis y tramites de rezagos asignados  solucionando la demora en los tiempos de respuesta a tramites</t>
  </si>
  <si>
    <t>Cuando se presenten fallas o  haya dudas en el manejo de la plataforma o se requiera actualización de algun modulo de la misma se realizara solicitud mediante correo electronico y/o se realizaran mesas de trabajo con los administradores de la plataforma.</t>
  </si>
  <si>
    <t>01/sepy/2024 al 31/Dic/2024</t>
  </si>
  <si>
    <t>Actas de reuiniones o planillas de asistencia o correo electronico o informes de la empresa contratada</t>
  </si>
  <si>
    <t>Cuando se presenten fallas o  haya dudas en el manejo de la plataforma o se requiera actualización de algun modulo de la misma se realizara solicitud mediante correo electronico o se realizaran mesas de trabajo con los administradores de la plataforma.</t>
  </si>
  <si>
    <t>Se realizan 4 reuniones con el equipo de la plataforma para mejorar procesos y se recibe y revisa el primer informe presentados por ellos</t>
  </si>
  <si>
    <t>Se hacen las solicitudes requeridas por cada una de las personas que hacen uso diario de la nueva plataforma catastral, ademas se hace revisión de los informes presentados a 30 de diciembre. (4 en total)</t>
  </si>
  <si>
    <t>Remitir memorando o correo electronico al grupo de gestión documental para la creación de la ventanilla unica de la gestión catastral. Además de no poderse crear la ventanilla única,  La Directora Solicitará una capacitación para orientar a las demas ventanillas y requerira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</si>
  <si>
    <t>01/sep/2024 al 31/Dic/2024</t>
  </si>
  <si>
    <t>Correo electronico o memorando enviado o actas de mesas tecnicas o asistencias a estas</t>
  </si>
  <si>
    <t>Se envia correo al grupo de gestión documental solicitando la inclusión de tramites y las tablas de retencion para la dirección y se envia ademas el cuadro de clasificación de asusntos identificados para la dirección para poder realizar la tablas de retención de esta dirección</t>
  </si>
  <si>
    <t>Se realiza solicitud a tic´s    la inclusión del boton de catastro en linea y/o tramites catastrales en sitio web de la alcaldia y/o pisami, además se realiza una socialización de los tramites catastrales y la nueva plataforma a personal de gestion documental y algunas ventanillas de la administración central</t>
  </si>
  <si>
    <t>GESTIÓN AMBIENTAL</t>
  </si>
  <si>
    <t>GESTIONAR LA CONSERVACIÓN, RESTAURACIÓN Y APROVECHAMIENTO SOSTENIBLE DE LOS RECURSOS NATURALES ASÌ COMO EJECUTAR ACCIONES DE CONOCIMIENTO, REDUCCIÓN DEL RIESGO Y MANEJO DEL DESASTRE DE MANERA PERMANENTE, MEDIANTE LA IMPLEMENTACIÓN DE PLANES, PROGRAMAS Y PROYECTOS EN PROCURA DE ALCANZAR CALIDAD AMBIENTAL PARA EL DESARROLLO HUMANO INTEGRAL EN EL MUNICIPIO DE IBAGUÉ.</t>
  </si>
  <si>
    <t>INICIA CON LA PLANEACIÓN DEL PROCESO, CONTINUANDO CON LAS ACTIVIDADES DE SOCIALIZACIÓN, SENSIBILIZACIÓN E IMPLEMENTACIÓN DE LA POLÍTICA PÚBLICA AMBIENTAL, PLAN PARA LA GESTION DEL RIESGO, Y DEMÁS ESTRATEGIAS AMBIENTALES, VERIFICANDO EL CUMPLIMIENTO DE LA NORMATIVA AMBIENTAL Y FINALIZA CON EL SEGUIMIENTO Y EVALUACIÓN DEL PROCESO</t>
  </si>
  <si>
    <t>Seguimiento 31 Diciembre de 2024</t>
  </si>
  <si>
    <t>Económico y reputacional</t>
  </si>
  <si>
    <t>Recursos presupuestales y físicos limitados, para el cumplimiento de metas, desarrollo de programas, proyectos y actividades de la Secretaría de Ambiente y Gestión del Riesgo</t>
  </si>
  <si>
    <t>Incumplimiento  en la ejecución de  Planes, Programas y Proyectos,  establecidos en el Plan de Desarrollo</t>
  </si>
  <si>
    <t xml:space="preserve">Deficiente asignación de presupuesto por parte del municipio </t>
  </si>
  <si>
    <t xml:space="preserve">Posibilidad de pérdida  económica y reputacional por Incumplimiento en la ejecución de planes , programas y proyectos debido a  Recursos presupuestales y físicos limitados, para el cumplimiento de metas, desarrollo de programas, proyectos y actividades de la Secretaría de Ambiente y Gestión del Riesgo </t>
  </si>
  <si>
    <t>Desde la etapa de asignación de recursos realizada por la alta dirección, distribución de recursos por proyecto de inversión y metas de producto y  seguimiento a planes de acción, toma de decisiones en relación a metas rezagadas.</t>
  </si>
  <si>
    <t>Ejecución y administración de procesos</t>
  </si>
  <si>
    <t>Entre 1000 y 5000 SMLMV</t>
  </si>
  <si>
    <t xml:space="preserve">El Profesional Universitario asignado,para recopilar las evidencias de lo actuado o ejecutado, en cada programa  trimestralmente, verifica el avance en el cumplimiento de las metas de los diferentes programas  del plan de desarrollo, establecidos en los instrumentos de planeación (POAI, PLan de Acción, Plan Indicativo), comparando lo programado con lo ejecutado determinando si se cumple o si existe desviación o incumplimiento de las metas establecidas en los programas, se tratan en los comites tecnicos, que se realizan previo al reporte trimestral, estableciendo acciones correctivas que quedan evidenciadas  en las actas de los comites en los compromisos. Como evidencias se dejan el Acta de Comite, y el correo electronico enviado a planeacion municipal con el reporte de avance de cumplimiento al plan de accion, plan indicativo , POAI y los registros del aplicativo al tablero. </t>
  </si>
  <si>
    <t xml:space="preserve">Documentado </t>
  </si>
  <si>
    <t>Con registro</t>
  </si>
  <si>
    <t xml:space="preserve">Realizar seguimiento a los instrumentos de planeación y gestionar recursos de orden nacional e internacional para el  cumplimiento de los  objetivos estratégicos.
Realizar comité técnico para analizar las metas rezagadas.
Gestionar por parte de la alta dirección recursos a nivel nacional e internacional proyectos de preservación, conservación y protección del  medio ambiente, y gestion del riesgo - </t>
  </si>
  <si>
    <t xml:space="preserve">Secretaría de Ambiente y Gestión </t>
  </si>
  <si>
    <t>31 de marzo, 30 de junio, 30 de septiembre, 31  de diciembre  de 2024</t>
  </si>
  <si>
    <t>31 de  diciembre de 2024</t>
  </si>
  <si>
    <t xml:space="preserve">Teniendo en cuenta la periodicidad de evaluación de los instrumentos de planeación  (POAI, Plan Indicativo, Plan de Acción), se realiza medición  del cumplimiento del  Plan de Desarrollo Municipal  "Ibagué para Todos 2024-2027" con corte al 30 de septiembre de 2024, evidenciándose  que para la presente vigencia  hay programadas para ejecutar parcialmente 36 de las 42 metas bajo la responsabilidad de ejecución   de la Secretaría de Ambiente y Gestión del Riesgo, información contenida en los instrumentos ya mencionados y cuyo reporte se realiza a la Secretaría de Planeación.
Además de lo anterior  previo a la medición del cumplimiento se realiza coordinación de equipos internos de trabajo, para la consolidadción de  información en informes técnicos  por parte de los profesionales líderes de meta, cuya socialización  se hace en Comité Técnico General del día 25 de octubre de  2024.
</t>
  </si>
  <si>
    <t xml:space="preserve"> Deficiente gestión para conseguir  fuentes de financiación   y  cofinanciación para la ejecución  de metas  y proyectos instirucionales.</t>
  </si>
  <si>
    <t xml:space="preserve">Económico </t>
  </si>
  <si>
    <t>Pagos efectuados a contratistas  aplicando de manera inapropiada la normatividad en materia tributaria</t>
  </si>
  <si>
    <t>Inadecuada deducción de Impuestos, tasas o contribuciones al contratista</t>
  </si>
  <si>
    <t>Personal inexperto para  la estructuración de procesos contractuales, y ejecución  de   actividades relacionadas con el  área adiministrativa y  contable.</t>
  </si>
  <si>
    <t>Posibilidad de pagos a contratistas  aplicando de manera inapropiada la normatividad en materia tributaria, debido a inadecuada deducción de Impuestos, tasas o contribuciones al contratista</t>
  </si>
  <si>
    <t>Desde  la estructuración, adjudicación  y celebración del contrato, hasta  los pagos derivados de la ejecución y liquidación y/o terminación de los mismos.</t>
  </si>
  <si>
    <t>Entre 200 y 1000 SMLMV</t>
  </si>
  <si>
    <t xml:space="preserve">El estructurador del proceso contractual , verificara en el estatuto tributario la normatividad vigente sobre excension de impuestos  según sea el caso y quedara plasmado en los esudios previos en el capitulo de Perfeccionamiento y requisitos de ejecución. </t>
  </si>
  <si>
    <t xml:space="preserve">Realizar seguimiento al 100% de los contratos verificando   si la compra a realizar o el bien a adquirir  esta excepto del impuesto IVA de acuerdo a los estatutos tributarios  </t>
  </si>
  <si>
    <t>Permanente</t>
  </si>
  <si>
    <t>Durante la vigencia 2024 la Secretaría de Ambiente y Gestión del Riesgo suscribió ocho (8 ) contratos de suministro para la atención de necesidades de la Dirección de  Gestión del Riesgo y Atención de Desastres y la Dirección de Ambiente, Agua y Cambio Climático, teniendo en cuenta el tipo de bienes a adquirir y haciendo el adecuado estudio de mercado para  establecer los gravamenes indicados  en los Estudios Previos de los respectivos procesos en su etapa precontractual, los cuales a su vez fueron revisados y aprobados por la Oficina de Contratación en su rol de asesores en trámités de carácter contractual.</t>
  </si>
  <si>
    <t>Desconocimiento de normatividad en materia tributaria.</t>
  </si>
  <si>
    <t>Deficiencias en el cumplimiento de  las funciones de Supervisión e Interventoría de los contratos de la Entidad</t>
  </si>
  <si>
    <t>Efectos dañosos sobre bienes públicos por  obras inconclusas que no brindan utilidad o beneficio</t>
  </si>
  <si>
    <t>Falta de  idoneidad y del personal que ejerce funciones de supervisoría  de contratos</t>
  </si>
  <si>
    <t>Posibilidad de efectos dañosos  obre bienes públicos por  obras inconclusas que no brindan utilidad o beneficio, debido a  deficiencias en el cumplimiento de  las funciones de Supervisión e Interventoría de los contratos de la Entidad.</t>
  </si>
  <si>
    <t>Desde  la  celebración de los contratos, hasta  la ejecución y liquidación y/o terminación de los mismos.</t>
  </si>
  <si>
    <t>Daños a activos físicos</t>
  </si>
  <si>
    <t>Mayor a 10000  SMLMV</t>
  </si>
  <si>
    <t>El supervisor designado ejercerá el control y seguimiento a la ejecución contractual para verificar el cumplimiento de las condiciones y especificaciones técnicas pactadas y establecidas en la etapa contractual, de presentarse incumplimiento se debe actuar de acuerdo a lo establecido en el manual de supervision e interventoria Código: MAN-GC-02, especificiamente en el capitulo 4.1.INFORME SOBRE PRESUNTO INCUMPLIMIENTO CONTRACTUAL.Previo a la citación que realice la entidad al contratista y su garante</t>
  </si>
  <si>
    <t>Realizar seguimiento a los informes de supervisión del 100% de los contratos suscritos de la Secretaría de Ambiente y Gestión del Riesgo, para verificar el cumplimiento de las condiciones y especificaciones técnicas pactadas y establecidas en la etapa contractual, de acuerdo a las normas vigentes.</t>
  </si>
  <si>
    <t>Durante la vigencia 2024 no se realizarhon las obras que se tenían planificadas dentro de las metas de la respectiva vigencia</t>
  </si>
  <si>
    <t>Seguimiento deficiente por parte del supervisor en aspectos administrativos, contables, jurídicos y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</si>
</sst>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_-\$* #,##0_-;&quot;-$&quot;* #,##0_-;_-\$* \-_-;_-@_-"/>
    <numFmt numFmtId="166" formatCode="d/m/yyyy"/>
  </numFmts>
  <fonts count="9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0"/>
      <color theme="1"/>
      <name val="Calibri"/>
      <family val="2"/>
    </font>
    <font>
      <sz val="12"/>
      <color rgb="FF000000"/>
      <name val="Arial"/>
      <family val="2"/>
    </font>
    <font>
      <sz val="11"/>
      <color rgb="FF000000"/>
      <name val="Arial"/>
      <family val="2"/>
    </font>
    <font>
      <sz val="11"/>
      <color theme="1"/>
      <name val="Arial"/>
      <family val="2"/>
    </font>
    <font>
      <sz val="11"/>
      <color theme="1"/>
      <name val="Calibri"/>
      <family val="2"/>
      <scheme val="minor"/>
    </font>
    <font>
      <sz val="10"/>
      <color theme="1"/>
      <name val="Arial Narrow"/>
      <family val="2"/>
    </font>
    <font>
      <b/>
      <sz val="18"/>
      <color theme="1"/>
      <name val="Arial Narrow"/>
      <family val="2"/>
    </font>
    <font>
      <sz val="12"/>
      <color theme="1"/>
      <name val="Arial Narrow"/>
      <family val="2"/>
    </font>
    <font>
      <sz val="11"/>
      <color theme="1"/>
      <name val="Arial Narrow"/>
      <family val="2"/>
    </font>
    <font>
      <b/>
      <sz val="11"/>
      <color theme="1"/>
      <name val="Arial Narrow"/>
      <family val="2"/>
    </font>
    <font>
      <b/>
      <sz val="14"/>
      <color theme="1"/>
      <name val="Arial Narrow"/>
      <family val="2"/>
    </font>
    <font>
      <sz val="11"/>
      <name val="Arial Narrow"/>
      <family val="2"/>
    </font>
    <font>
      <sz val="12"/>
      <name val="Arial Narrow"/>
      <family val="2"/>
    </font>
    <font>
      <sz val="11"/>
      <color rgb="FFFF0000"/>
      <name val="Arial Narrow"/>
      <family val="2"/>
    </font>
    <font>
      <sz val="11"/>
      <color rgb="FF000000"/>
      <name val="Calibri"/>
      <family val="2"/>
      <charset val="1"/>
    </font>
    <font>
      <b/>
      <sz val="22"/>
      <color theme="1"/>
      <name val="Arial Narrow"/>
      <family val="2"/>
    </font>
    <font>
      <u/>
      <sz val="11"/>
      <color theme="10"/>
      <name val="Calibri"/>
      <family val="2"/>
      <scheme val="minor"/>
    </font>
    <font>
      <sz val="11"/>
      <color theme="1"/>
      <name val="Calibri"/>
      <family val="2"/>
      <scheme val="minor"/>
    </font>
    <font>
      <b/>
      <sz val="12"/>
      <color theme="1"/>
      <name val="Arial Narrow"/>
      <family val="2"/>
    </font>
    <font>
      <b/>
      <sz val="10"/>
      <color theme="1"/>
      <name val="Arial"/>
      <family val="2"/>
    </font>
    <font>
      <sz val="10"/>
      <name val="Arial"/>
      <family val="2"/>
    </font>
    <font>
      <sz val="10"/>
      <color rgb="FFFF0000"/>
      <name val="Arial"/>
      <family val="2"/>
    </font>
    <font>
      <b/>
      <sz val="10"/>
      <color rgb="FF002060"/>
      <name val="Arial Narrow"/>
      <family val="2"/>
    </font>
    <font>
      <b/>
      <sz val="10"/>
      <color rgb="FF00B050"/>
      <name val="Arial Narrow"/>
      <family val="2"/>
    </font>
    <font>
      <b/>
      <sz val="10"/>
      <color theme="1"/>
      <name val="Arial Narrow"/>
      <family val="2"/>
    </font>
    <font>
      <b/>
      <sz val="10"/>
      <name val="Arial Narrow"/>
      <family val="2"/>
    </font>
    <font>
      <b/>
      <sz val="10"/>
      <color rgb="FFFF0000"/>
      <name val="Arial Narrow"/>
      <family val="2"/>
    </font>
    <font>
      <b/>
      <sz val="10"/>
      <color rgb="FFFF9900"/>
      <name val="Arial Narrow"/>
      <family val="2"/>
    </font>
    <font>
      <b/>
      <sz val="10"/>
      <color rgb="FF0070C0"/>
      <name val="Arial Narrow"/>
      <family val="2"/>
    </font>
    <font>
      <sz val="10"/>
      <name val="Arial Narrow"/>
      <family val="2"/>
    </font>
    <font>
      <b/>
      <sz val="10"/>
      <color rgb="FF00B0F0"/>
      <name val="Arial Narrow"/>
      <family val="2"/>
    </font>
    <font>
      <b/>
      <sz val="10"/>
      <color theme="9" tint="-0.249977111117893"/>
      <name val="Arial Narrow"/>
      <family val="2"/>
    </font>
    <font>
      <b/>
      <sz val="10"/>
      <color rgb="FFFFC000"/>
      <name val="Arial Narrow"/>
      <family val="2"/>
    </font>
    <font>
      <b/>
      <sz val="11"/>
      <color rgb="FF0070C0"/>
      <name val="Arial Narrow"/>
      <family val="2"/>
    </font>
    <font>
      <b/>
      <sz val="11"/>
      <color rgb="FF00B050"/>
      <name val="Arial Narrow"/>
      <family val="2"/>
    </font>
    <font>
      <b/>
      <sz val="11"/>
      <color theme="9" tint="-0.249977111117893"/>
      <name val="Arial Narrow"/>
      <family val="2"/>
    </font>
    <font>
      <sz val="11"/>
      <color theme="9" tint="-0.249977111117893"/>
      <name val="Arial Narrow"/>
      <family val="2"/>
    </font>
    <font>
      <b/>
      <sz val="9"/>
      <color indexed="81"/>
      <name val="Tahoma"/>
      <family val="2"/>
    </font>
    <font>
      <sz val="9"/>
      <color indexed="81"/>
      <name val="Tahoma"/>
      <family val="2"/>
    </font>
    <font>
      <sz val="9"/>
      <name val="Arial Narrow"/>
      <family val="2"/>
    </font>
    <font>
      <sz val="8"/>
      <color theme="1"/>
      <name val="Arial Narrow"/>
      <family val="2"/>
    </font>
    <font>
      <b/>
      <u/>
      <sz val="10"/>
      <color theme="1"/>
      <name val="Arial"/>
      <family val="2"/>
    </font>
    <font>
      <b/>
      <sz val="12"/>
      <name val="Arial Narrow"/>
      <family val="2"/>
    </font>
    <font>
      <b/>
      <sz val="11"/>
      <name val="Arial Narrow"/>
      <family val="2"/>
    </font>
    <font>
      <sz val="12"/>
      <color theme="1"/>
      <name val="Arial"/>
      <family val="2"/>
    </font>
    <font>
      <sz val="12"/>
      <name val="Arial"/>
      <family val="2"/>
    </font>
    <font>
      <sz val="12"/>
      <color rgb="FFFF0000"/>
      <name val="Arial"/>
      <family val="2"/>
    </font>
    <font>
      <b/>
      <sz val="22"/>
      <color rgb="FF000000"/>
      <name val="Arial Narrow"/>
      <family val="2"/>
      <charset val="1"/>
    </font>
    <font>
      <sz val="11"/>
      <color rgb="FF000000"/>
      <name val="Arial Narrow"/>
      <family val="2"/>
      <charset val="1"/>
    </font>
    <font>
      <b/>
      <sz val="18"/>
      <color rgb="FF000000"/>
      <name val="Arial Narrow"/>
      <family val="2"/>
      <charset val="1"/>
    </font>
    <font>
      <sz val="12"/>
      <color rgb="FF000000"/>
      <name val="Arial Narrow"/>
      <family val="2"/>
      <charset val="1"/>
    </font>
    <font>
      <b/>
      <sz val="11"/>
      <color rgb="FF000000"/>
      <name val="Arial Narrow"/>
      <family val="2"/>
      <charset val="1"/>
    </font>
    <font>
      <b/>
      <sz val="14"/>
      <color rgb="FF000000"/>
      <name val="Arial Narrow"/>
      <family val="2"/>
      <charset val="1"/>
    </font>
    <font>
      <b/>
      <sz val="11"/>
      <color rgb="FFFF0000"/>
      <name val="Arial Narrow"/>
      <family val="2"/>
    </font>
    <font>
      <b/>
      <sz val="12"/>
      <color rgb="FF000000"/>
      <name val="Arial Narrow"/>
      <family val="2"/>
      <charset val="1"/>
    </font>
    <font>
      <sz val="10"/>
      <color rgb="FF000000"/>
      <name val="Arial Narrow"/>
      <family val="2"/>
    </font>
    <font>
      <sz val="11"/>
      <name val="Arial Narrow"/>
      <family val="2"/>
      <charset val="1"/>
    </font>
    <font>
      <sz val="11"/>
      <color rgb="FFFF0000"/>
      <name val="Arial Narrow"/>
      <family val="2"/>
      <charset val="1"/>
    </font>
    <font>
      <sz val="12"/>
      <color theme="6" tint="-0.249977111117893"/>
      <name val="Arial Narrow"/>
      <family val="2"/>
    </font>
    <font>
      <sz val="12"/>
      <color theme="3" tint="-0.499984740745262"/>
      <name val="Arial Narrow"/>
      <family val="2"/>
    </font>
    <font>
      <sz val="12"/>
      <color rgb="FFFF0000"/>
      <name val="Arial Narrow"/>
      <family val="2"/>
    </font>
    <font>
      <b/>
      <sz val="12"/>
      <color rgb="FFFF0000"/>
      <name val="Arial Narrow"/>
      <family val="2"/>
    </font>
    <font>
      <sz val="11"/>
      <color theme="3"/>
      <name val="Arial Narrow"/>
      <family val="2"/>
    </font>
    <font>
      <sz val="10"/>
      <color rgb="FF00B050"/>
      <name val="Arial Narrow"/>
      <family val="2"/>
    </font>
    <font>
      <sz val="10"/>
      <color rgb="FFFF0000"/>
      <name val="Arial Narrow"/>
      <family val="2"/>
    </font>
    <font>
      <sz val="10"/>
      <color rgb="FF002060"/>
      <name val="Arial Narrow"/>
      <family val="2"/>
    </font>
    <font>
      <sz val="10"/>
      <color theme="4"/>
      <name val="Arial Narrow"/>
      <family val="2"/>
    </font>
    <font>
      <b/>
      <sz val="9"/>
      <color theme="1"/>
      <name val="Arial Narrow"/>
      <family val="2"/>
    </font>
    <font>
      <b/>
      <sz val="9"/>
      <color theme="0"/>
      <name val="Arial Narrow"/>
      <family val="2"/>
    </font>
    <font>
      <sz val="9"/>
      <color theme="1"/>
      <name val="Arial Narrow"/>
      <family val="2"/>
    </font>
    <font>
      <b/>
      <sz val="9"/>
      <color rgb="FFFF0000"/>
      <name val="Arial Narrow"/>
      <family val="2"/>
    </font>
    <font>
      <sz val="9"/>
      <color rgb="FFFF0000"/>
      <name val="Arial Narrow"/>
      <family val="2"/>
    </font>
    <font>
      <sz val="18"/>
      <color theme="1"/>
      <name val="Arial Narrow"/>
      <family val="2"/>
    </font>
    <font>
      <sz val="12"/>
      <color rgb="FF000000"/>
      <name val="Arial Narrow"/>
      <family val="2"/>
    </font>
    <font>
      <b/>
      <sz val="11"/>
      <color rgb="FF000000"/>
      <name val="Arial Narrow"/>
      <family val="2"/>
    </font>
    <font>
      <sz val="11"/>
      <color rgb="FF000000"/>
      <name val="Arial Narrow"/>
      <family val="2"/>
    </font>
    <font>
      <sz val="14"/>
      <color theme="1"/>
      <name val="Arial Narrow"/>
      <family val="2"/>
    </font>
    <font>
      <sz val="11"/>
      <name val="Arial"/>
      <family val="2"/>
    </font>
  </fonts>
  <fills count="28">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theme="9" tint="0.59999389629810485"/>
        <bgColor indexed="64"/>
      </patternFill>
    </fill>
    <fill>
      <patternFill patternType="solid">
        <fgColor theme="0"/>
        <bgColor indexed="64"/>
      </patternFill>
    </fill>
    <fill>
      <patternFill patternType="solid">
        <fgColor rgb="FFFBD4B4"/>
        <bgColor rgb="FFFBD4B4"/>
      </patternFill>
    </fill>
    <fill>
      <patternFill patternType="solid">
        <fgColor theme="0"/>
        <bgColor theme="0"/>
      </patternFill>
    </fill>
    <fill>
      <patternFill patternType="solid">
        <fgColor rgb="FFFFFF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CD5B5"/>
        <bgColor rgb="FFFFC7CE"/>
      </patternFill>
    </fill>
    <fill>
      <patternFill patternType="solid">
        <fgColor rgb="FFFFFFFF"/>
        <bgColor rgb="FFFDEADA"/>
      </patternFill>
    </fill>
    <fill>
      <patternFill patternType="solid">
        <fgColor theme="8" tint="-0.249977111117893"/>
        <bgColor indexed="64"/>
      </patternFill>
    </fill>
    <fill>
      <patternFill patternType="solid">
        <fgColor theme="4" tint="0.59999389629810485"/>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FFFFFF"/>
      </patternFill>
    </fill>
  </fills>
  <borders count="15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thin">
        <color rgb="FFE36C09"/>
      </left>
      <right style="thin">
        <color rgb="FFE36C09"/>
      </right>
      <top style="thin">
        <color rgb="FFE36C09"/>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thin">
        <color rgb="FFE36C09"/>
      </left>
      <right style="thin">
        <color rgb="FFE36C09"/>
      </right>
      <top style="dotted">
        <color rgb="FFE36C09"/>
      </top>
      <bottom style="thin">
        <color rgb="FFE36C09"/>
      </bottom>
      <diagonal/>
    </border>
    <border>
      <left style="dotted">
        <color rgb="FFE36C09"/>
      </left>
      <right style="dotted">
        <color rgb="FFE36C09"/>
      </right>
      <top style="thin">
        <color rgb="FF000000"/>
      </top>
      <bottom/>
      <diagonal/>
    </border>
    <border>
      <left/>
      <right style="dotted">
        <color rgb="FFE36C09"/>
      </right>
      <top/>
      <bottom/>
      <diagonal/>
    </border>
    <border>
      <left style="thin">
        <color rgb="FFE36C09"/>
      </left>
      <right/>
      <top style="thin">
        <color rgb="FFE36C09"/>
      </top>
      <bottom/>
      <diagonal/>
    </border>
    <border>
      <left style="thin">
        <color rgb="FFE36C09"/>
      </left>
      <right/>
      <top/>
      <bottom style="thin">
        <color rgb="FFE36C09"/>
      </bottom>
      <diagonal/>
    </border>
    <border>
      <left style="dashed">
        <color theme="9" tint="-0.24994659260841701"/>
      </left>
      <right style="dashed">
        <color theme="9" tint="-0.249977111117893"/>
      </right>
      <top style="dashed">
        <color theme="9" tint="-0.24994659260841701"/>
      </top>
      <bottom/>
      <diagonal/>
    </border>
    <border>
      <left style="dashed">
        <color theme="9" tint="-0.249977111117893"/>
      </left>
      <right style="dashed">
        <color theme="9" tint="-0.24994659260841701"/>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dashed">
        <color theme="9" tint="-0.24994659260841701"/>
      </right>
      <top/>
      <bottom style="dashed">
        <color theme="9" tint="-0.249977111117893"/>
      </bottom>
      <diagonal/>
    </border>
    <border>
      <left style="dashed">
        <color theme="9" tint="-0.249977111117893"/>
      </left>
      <right/>
      <top/>
      <bottom/>
      <diagonal/>
    </border>
    <border>
      <left style="thin">
        <color indexed="64"/>
      </left>
      <right style="thin">
        <color indexed="64"/>
      </right>
      <top style="thin">
        <color indexed="64"/>
      </top>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style="dashed">
        <color rgb="FFE46C0A"/>
      </left>
      <right style="dashed">
        <color rgb="FFE46C0A"/>
      </right>
      <top style="dashed">
        <color rgb="FFE46C0A"/>
      </top>
      <bottom style="dashed">
        <color rgb="FFE46C0A"/>
      </bottom>
      <diagonal/>
    </border>
    <border>
      <left style="dashed">
        <color rgb="FFE46C0A"/>
      </left>
      <right/>
      <top style="dashed">
        <color rgb="FFE46C0A"/>
      </top>
      <bottom style="dashed">
        <color rgb="FFE46C0A"/>
      </bottom>
      <diagonal/>
    </border>
    <border>
      <left style="dashed">
        <color rgb="FFE46C0A"/>
      </left>
      <right style="dashed">
        <color rgb="FFE46C0A"/>
      </right>
      <top/>
      <bottom style="dashed">
        <color rgb="FFE46C0A"/>
      </bottom>
      <diagonal/>
    </border>
    <border>
      <left style="dashed">
        <color rgb="FFE46C0A"/>
      </left>
      <right style="dashed">
        <color rgb="FFE46C0A"/>
      </right>
      <top style="dashed">
        <color rgb="FFE46C0A"/>
      </top>
      <bottom/>
      <diagonal/>
    </border>
    <border>
      <left style="dashed">
        <color rgb="FFE46C0A"/>
      </left>
      <right style="dashed">
        <color rgb="FFE46C0A"/>
      </right>
      <top/>
      <bottom/>
      <diagonal/>
    </border>
    <border>
      <left style="dashed">
        <color rgb="FFE46C0A"/>
      </left>
      <right/>
      <top/>
      <bottom style="dashed">
        <color rgb="FFE46C0A"/>
      </bottom>
      <diagonal/>
    </border>
    <border>
      <left style="dashed">
        <color rgb="FFE46C0A"/>
      </left>
      <right style="dashed">
        <color rgb="FFE46C0A"/>
      </right>
      <top style="dotted">
        <color rgb="FFE36C09"/>
      </top>
      <bottom/>
      <diagonal/>
    </border>
    <border>
      <left/>
      <right style="dashed">
        <color rgb="FFE46C0A"/>
      </right>
      <top style="dashed">
        <color rgb="FFE46C0A"/>
      </top>
      <bottom style="dashed">
        <color rgb="FFE46C0A"/>
      </bottom>
      <diagonal/>
    </border>
    <border>
      <left style="dashed">
        <color theme="9" tint="-0.24994659260841701"/>
      </left>
      <right style="thin">
        <color theme="9" tint="-0.249977111117893"/>
      </right>
      <top style="dashed">
        <color theme="9" tint="-0.24994659260841701"/>
      </top>
      <bottom/>
      <diagonal/>
    </border>
    <border>
      <left style="thin">
        <color theme="9" tint="-0.249977111117893"/>
      </left>
      <right style="dashed">
        <color theme="9" tint="-0.24994659260841701"/>
      </right>
      <top style="dashed">
        <color theme="9" tint="-0.24994659260841701"/>
      </top>
      <bottom style="dashed">
        <color theme="9" tint="-0.24994659260841701"/>
      </bottom>
      <diagonal/>
    </border>
    <border>
      <left style="dashed">
        <color theme="9" tint="-0.24994659260841701"/>
      </left>
      <right style="thin">
        <color theme="9" tint="-0.249977111117893"/>
      </right>
      <top/>
      <bottom style="dashed">
        <color theme="9" tint="-0.24994659260841701"/>
      </bottom>
      <diagonal/>
    </border>
    <border>
      <left style="dashed">
        <color theme="9" tint="-0.249977111117893"/>
      </left>
      <right/>
      <top style="dashed">
        <color theme="9" tint="-0.249977111117893"/>
      </top>
      <bottom/>
      <diagonal/>
    </border>
    <border>
      <left style="dashed">
        <color theme="9" tint="-0.249977111117893"/>
      </left>
      <right/>
      <top/>
      <bottom style="dashed">
        <color theme="9" tint="-0.249977111117893"/>
      </bottom>
      <diagonal/>
    </border>
    <border>
      <left style="dashed">
        <color theme="9" tint="-0.24994659260841701"/>
      </left>
      <right style="thin">
        <color indexed="64"/>
      </right>
      <top/>
      <bottom style="dashed">
        <color theme="9" tint="-0.24994659260841701"/>
      </bottom>
      <diagonal/>
    </border>
    <border>
      <left style="thin">
        <color indexed="64"/>
      </left>
      <right style="thin">
        <color indexed="64"/>
      </right>
      <top/>
      <bottom/>
      <diagonal/>
    </border>
    <border>
      <left style="dashed">
        <color theme="9" tint="-0.24994659260841701"/>
      </left>
      <right style="thin">
        <color indexed="64"/>
      </right>
      <top style="dashed">
        <color theme="9" tint="-0.24994659260841701"/>
      </top>
      <bottom style="dashed">
        <color theme="9" tint="-0.24994659260841701"/>
      </bottom>
      <diagonal/>
    </border>
    <border>
      <left style="thin">
        <color indexed="64"/>
      </left>
      <right style="thin">
        <color indexed="64"/>
      </right>
      <top/>
      <bottom style="dashed">
        <color theme="9" tint="-0.24994659260841701"/>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bottom/>
      <diagonal/>
    </border>
    <border>
      <left style="thin">
        <color indexed="64"/>
      </left>
      <right style="thin">
        <color indexed="64"/>
      </right>
      <top style="dashed">
        <color theme="9" tint="-0.24994659260841701"/>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9" tint="0.39997558519241921"/>
      </left>
      <right/>
      <top/>
      <bottom/>
      <diagonal/>
    </border>
    <border>
      <left style="dashed">
        <color theme="9" tint="-0.24994659260841701"/>
      </left>
      <right/>
      <top/>
      <bottom style="thin">
        <color theme="9" tint="0.39997558519241921"/>
      </bottom>
      <diagonal/>
    </border>
    <border>
      <left/>
      <right/>
      <top/>
      <bottom style="thin">
        <color theme="9" tint="0.39997558519241921"/>
      </bottom>
      <diagonal/>
    </border>
    <border>
      <left style="dashed">
        <color theme="9" tint="-0.249977111117893"/>
      </left>
      <right style="thin">
        <color theme="9" tint="0.39997558519241921"/>
      </right>
      <top style="thin">
        <color theme="9" tint="0.399975585192419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thin">
        <color theme="9" tint="0.39997558519241921"/>
      </bottom>
      <diagonal/>
    </border>
    <border>
      <left style="dashed">
        <color theme="9" tint="-0.24994659260841701"/>
      </left>
      <right style="thin">
        <color theme="9" tint="0.39997558519241921"/>
      </right>
      <top/>
      <bottom/>
      <diagonal/>
    </border>
    <border>
      <left style="thin">
        <color theme="9" tint="0.39997558519241921"/>
      </left>
      <right style="thin">
        <color theme="9" tint="0.39997558519241921"/>
      </right>
      <top/>
      <bottom style="thin">
        <color theme="9" tint="0.39997558519241921"/>
      </bottom>
      <diagonal/>
    </border>
    <border>
      <left style="dashed">
        <color theme="9" tint="-0.24994659260841701"/>
      </left>
      <right style="thin">
        <color theme="9" tint="0.39997558519241921"/>
      </right>
      <top/>
      <bottom style="thin">
        <color theme="9" tint="0.39997558519241921"/>
      </bottom>
      <diagonal/>
    </border>
    <border>
      <left style="dashed">
        <color theme="9" tint="-0.24994659260841701"/>
      </left>
      <right style="dashed">
        <color theme="9" tint="-0.24994659260841701"/>
      </right>
      <top style="dashed">
        <color theme="9" tint="-0.24994659260841701"/>
      </top>
      <bottom style="thin">
        <color theme="9" tint="0.39997558519241921"/>
      </bottom>
      <diagonal/>
    </border>
    <border>
      <left style="dashed">
        <color theme="9" tint="-0.24994659260841701"/>
      </left>
      <right style="thin">
        <color theme="9" tint="0.39997558519241921"/>
      </right>
      <top style="dashed">
        <color theme="9" tint="-0.24994659260841701"/>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dotted">
        <color indexed="64"/>
      </left>
      <right style="dotted">
        <color indexed="64"/>
      </right>
      <top style="thin">
        <color indexed="64"/>
      </top>
      <bottom/>
      <diagonal/>
    </border>
    <border>
      <left style="dotted">
        <color indexed="64"/>
      </left>
      <right style="dashed">
        <color theme="9" tint="-0.24994659260841701"/>
      </right>
      <top style="dashed">
        <color theme="9" tint="-0.24994659260841701"/>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style="dotted">
        <color indexed="64"/>
      </left>
      <right style="dashed">
        <color theme="9" tint="-0.24994659260841701"/>
      </right>
      <top/>
      <bottom/>
      <diagonal/>
    </border>
    <border>
      <left style="dotted">
        <color indexed="64"/>
      </left>
      <right style="dotted">
        <color indexed="64"/>
      </right>
      <top/>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ashed">
        <color theme="9" tint="-0.249977111117893"/>
      </left>
      <right style="dashed">
        <color theme="9" tint="-0.24994659260841701"/>
      </right>
      <top style="dotted">
        <color indexed="64"/>
      </top>
      <bottom/>
      <diagonal/>
    </border>
    <border>
      <left style="dashed">
        <color theme="9" tint="-0.24994659260841701"/>
      </left>
      <right style="dashed">
        <color theme="9" tint="-0.24994659260841701"/>
      </right>
      <top style="dotted">
        <color indexed="64"/>
      </top>
      <bottom/>
      <diagonal/>
    </border>
    <border>
      <left style="dotted">
        <color rgb="FFE36C09"/>
      </left>
      <right style="thin">
        <color auto="1"/>
      </right>
      <top style="dotted">
        <color rgb="FFE36C09"/>
      </top>
      <bottom/>
      <diagonal/>
    </border>
    <border>
      <left style="dotted">
        <color rgb="FFE36C09"/>
      </left>
      <right style="thin">
        <color auto="1"/>
      </right>
      <top/>
      <bottom/>
      <diagonal/>
    </border>
    <border>
      <left style="dotted">
        <color rgb="FFE36C09"/>
      </left>
      <right style="dotted">
        <color rgb="FFE36C09"/>
      </right>
      <top/>
      <bottom style="dashed">
        <color rgb="FFE26B0A"/>
      </bottom>
      <diagonal/>
    </border>
    <border>
      <left style="dotted">
        <color rgb="FFE36C09"/>
      </left>
      <right style="thin">
        <color auto="1"/>
      </right>
      <top/>
      <bottom style="dashed">
        <color theme="9" tint="-0.24994659260841701"/>
      </bottom>
      <diagonal/>
    </border>
    <border>
      <left style="dashed">
        <color rgb="FFE26B0A"/>
      </left>
      <right style="dashed">
        <color rgb="FFE26B0A"/>
      </right>
      <top style="dashed">
        <color rgb="FFE26B0A"/>
      </top>
      <bottom/>
      <diagonal/>
    </border>
    <border>
      <left style="dashed">
        <color rgb="FFE26B0A"/>
      </left>
      <right/>
      <top style="dashed">
        <color rgb="FFE26B0A"/>
      </top>
      <bottom/>
      <diagonal/>
    </border>
    <border>
      <left style="dashed">
        <color rgb="FFE26B0A"/>
      </left>
      <right style="dashed">
        <color rgb="FFE26B0A"/>
      </right>
      <top/>
      <bottom style="dotted">
        <color rgb="FFE36C09"/>
      </bottom>
      <diagonal/>
    </border>
    <border>
      <left style="dashed">
        <color rgb="FFE26B0A"/>
      </left>
      <right/>
      <top/>
      <bottom style="dashed">
        <color rgb="FFE26B0A"/>
      </bottom>
      <diagonal/>
    </border>
    <border>
      <left style="dashed">
        <color theme="9" tint="-0.24994659260841701"/>
      </left>
      <right style="dotted">
        <color rgb="FFE36C09"/>
      </right>
      <top style="dashed">
        <color theme="9" tint="-0.24994659260841701"/>
      </top>
      <bottom/>
      <diagonal/>
    </border>
    <border>
      <left style="dotted">
        <color rgb="FFE36C09"/>
      </left>
      <right style="thin">
        <color auto="1"/>
      </right>
      <top style="dashed">
        <color theme="9" tint="-0.24994659260841701"/>
      </top>
      <bottom/>
      <diagonal/>
    </border>
    <border>
      <left style="dashed">
        <color theme="9" tint="-0.24994659260841701"/>
      </left>
      <right style="dotted">
        <color rgb="FFE36C09"/>
      </right>
      <top/>
      <bottom/>
      <diagonal/>
    </border>
    <border>
      <left style="dashed">
        <color theme="9" tint="-0.24994659260841701"/>
      </left>
      <right style="dotted">
        <color rgb="FFE36C09"/>
      </right>
      <top/>
      <bottom style="dashed">
        <color theme="9" tint="-0.24994659260841701"/>
      </bottom>
      <diagonal/>
    </border>
    <border>
      <left style="dotted">
        <color rgb="FFE36C09"/>
      </left>
      <right style="thin">
        <color auto="1"/>
      </right>
      <top/>
      <bottom style="dotted">
        <color rgb="FFE36C09"/>
      </bottom>
      <diagonal/>
    </border>
    <border>
      <left/>
      <right style="dashed">
        <color theme="9" tint="-0.249977111117893"/>
      </right>
      <top/>
      <bottom/>
      <diagonal/>
    </border>
    <border>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77111117893"/>
      </top>
      <bottom/>
      <diagonal/>
    </border>
    <border>
      <left style="dashed">
        <color theme="9" tint="-0.24994659260841701"/>
      </left>
      <right style="dashed">
        <color theme="9" tint="-0.24994659260841701"/>
      </right>
      <top/>
      <bottom style="thin">
        <color indexed="64"/>
      </bottom>
      <diagonal/>
    </border>
  </borders>
  <cellStyleXfs count="26">
    <xf numFmtId="0" fontId="0" fillId="0" borderId="0"/>
    <xf numFmtId="0" fontId="22" fillId="0" borderId="37"/>
    <xf numFmtId="0" fontId="8" fillId="0" borderId="37"/>
    <xf numFmtId="0" fontId="23" fillId="0" borderId="37"/>
    <xf numFmtId="0" fontId="7" fillId="0" borderId="37"/>
    <xf numFmtId="0" fontId="6" fillId="0" borderId="37"/>
    <xf numFmtId="44" fontId="17" fillId="0" borderId="37" applyFont="0" applyFill="0" applyBorder="0" applyAlignment="0" applyProtection="0"/>
    <xf numFmtId="0" fontId="5" fillId="0" borderId="37"/>
    <xf numFmtId="9" fontId="5" fillId="0" borderId="37" applyFont="0" applyFill="0" applyBorder="0" applyAlignment="0" applyProtection="0"/>
    <xf numFmtId="165" fontId="33" fillId="0" borderId="37" applyBorder="0" applyProtection="0"/>
    <xf numFmtId="0" fontId="33" fillId="0" borderId="37"/>
    <xf numFmtId="9" fontId="33" fillId="0" borderId="37" applyBorder="0" applyProtection="0"/>
    <xf numFmtId="0" fontId="5" fillId="0" borderId="37"/>
    <xf numFmtId="0" fontId="35" fillId="0" borderId="37" applyNumberFormat="0" applyFill="0" applyBorder="0" applyAlignment="0" applyProtection="0"/>
    <xf numFmtId="0" fontId="4" fillId="0" borderId="37"/>
    <xf numFmtId="9" fontId="4" fillId="0" borderId="37" applyFont="0" applyFill="0" applyBorder="0" applyAlignment="0" applyProtection="0"/>
    <xf numFmtId="9" fontId="36" fillId="0" borderId="0" applyFont="0" applyFill="0" applyBorder="0" applyAlignment="0" applyProtection="0"/>
    <xf numFmtId="0" fontId="3" fillId="0" borderId="37"/>
    <xf numFmtId="9" fontId="3" fillId="0" borderId="37" applyFont="0" applyFill="0" applyBorder="0" applyAlignment="0" applyProtection="0"/>
    <xf numFmtId="0" fontId="36" fillId="0" borderId="37"/>
    <xf numFmtId="0" fontId="2" fillId="0" borderId="37"/>
    <xf numFmtId="9" fontId="2" fillId="0" borderId="37" applyFont="0" applyFill="0" applyBorder="0" applyAlignment="0" applyProtection="0"/>
    <xf numFmtId="0" fontId="1" fillId="0" borderId="37"/>
    <xf numFmtId="0" fontId="1" fillId="0" borderId="37"/>
    <xf numFmtId="9" fontId="1" fillId="0" borderId="37" applyFont="0" applyFill="0" applyBorder="0" applyAlignment="0" applyProtection="0"/>
    <xf numFmtId="0" fontId="1" fillId="0" borderId="37"/>
  </cellStyleXfs>
  <cellXfs count="2385">
    <xf numFmtId="0" fontId="0" fillId="0" borderId="0" xfId="0"/>
    <xf numFmtId="0" fontId="9" fillId="0" borderId="0" xfId="0" applyFont="1"/>
    <xf numFmtId="0" fontId="12" fillId="0" borderId="4" xfId="0" applyFont="1" applyBorder="1" applyAlignment="1">
      <alignment vertic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4" xfId="0" applyFont="1" applyFill="1" applyBorder="1" applyAlignment="1">
      <alignment horizontal="center" vertical="center" wrapText="1"/>
    </xf>
    <xf numFmtId="0" fontId="13" fillId="3" borderId="15" xfId="0" applyFont="1" applyFill="1" applyBorder="1" applyAlignment="1">
      <alignment wrapText="1"/>
    </xf>
    <xf numFmtId="0" fontId="13" fillId="0" borderId="16" xfId="0" applyFont="1" applyBorder="1"/>
    <xf numFmtId="0" fontId="13" fillId="0" borderId="17" xfId="0" applyFont="1" applyBorder="1"/>
    <xf numFmtId="0" fontId="15" fillId="0" borderId="0" xfId="0" applyFont="1" applyAlignment="1">
      <alignment wrapText="1"/>
    </xf>
    <xf numFmtId="0" fontId="13" fillId="0" borderId="4" xfId="0" applyFont="1" applyBorder="1"/>
    <xf numFmtId="0" fontId="13" fillId="0" borderId="18" xfId="0" applyFont="1" applyBorder="1"/>
    <xf numFmtId="0" fontId="13" fillId="3" borderId="19" xfId="0" applyFont="1" applyFill="1" applyBorder="1" applyAlignment="1">
      <alignment wrapText="1"/>
    </xf>
    <xf numFmtId="0" fontId="13" fillId="0" borderId="6" xfId="0" applyFont="1" applyBorder="1"/>
    <xf numFmtId="0" fontId="13" fillId="0" borderId="20" xfId="0" applyFont="1" applyBorder="1"/>
    <xf numFmtId="0" fontId="17" fillId="0" borderId="16" xfId="0" applyFont="1" applyBorder="1" applyAlignment="1">
      <alignment vertical="center" wrapText="1"/>
    </xf>
    <xf numFmtId="0" fontId="17" fillId="0" borderId="4" xfId="0" applyFont="1" applyBorder="1" applyAlignment="1">
      <alignment vertical="center" wrapText="1"/>
    </xf>
    <xf numFmtId="0" fontId="17" fillId="0" borderId="14" xfId="0" applyFont="1" applyBorder="1" applyAlignment="1">
      <alignment vertical="center" wrapText="1"/>
    </xf>
    <xf numFmtId="0" fontId="18" fillId="4" borderId="33"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34" xfId="0" applyFont="1" applyFill="1" applyBorder="1" applyAlignment="1">
      <alignment vertical="center"/>
    </xf>
    <xf numFmtId="0" fontId="18" fillId="4" borderId="34" xfId="0" applyFont="1" applyFill="1" applyBorder="1" applyAlignment="1">
      <alignment horizontal="center" vertical="center" wrapText="1"/>
    </xf>
    <xf numFmtId="0" fontId="18" fillId="4" borderId="35" xfId="0" applyFont="1" applyFill="1" applyBorder="1" applyAlignment="1">
      <alignment horizontal="center" vertical="center"/>
    </xf>
    <xf numFmtId="0" fontId="13" fillId="3" borderId="4" xfId="0" applyFont="1" applyFill="1" applyBorder="1"/>
    <xf numFmtId="0" fontId="19" fillId="0" borderId="0" xfId="0" applyFont="1"/>
    <xf numFmtId="0" fontId="13" fillId="3" borderId="37" xfId="0" applyFont="1" applyFill="1" applyBorder="1" applyAlignment="1">
      <alignment vertical="center"/>
    </xf>
    <xf numFmtId="0" fontId="19" fillId="0" borderId="0" xfId="0" applyFont="1" applyAlignment="1">
      <alignment vertical="top" wrapText="1"/>
    </xf>
    <xf numFmtId="0" fontId="13" fillId="0" borderId="0" xfId="0" applyFont="1" applyAlignment="1">
      <alignment vertical="center" wrapText="1"/>
    </xf>
    <xf numFmtId="0" fontId="19" fillId="0" borderId="0" xfId="0" applyFont="1" applyAlignment="1">
      <alignment wrapText="1"/>
    </xf>
    <xf numFmtId="0" fontId="13" fillId="0" borderId="0" xfId="0" applyFont="1" applyAlignment="1">
      <alignment vertical="center"/>
    </xf>
    <xf numFmtId="0" fontId="13" fillId="0" borderId="0" xfId="0" applyFont="1" applyAlignment="1">
      <alignment wrapText="1"/>
    </xf>
    <xf numFmtId="0" fontId="19" fillId="5" borderId="37" xfId="0" applyFont="1" applyFill="1" applyBorder="1"/>
    <xf numFmtId="0" fontId="13" fillId="3" borderId="37" xfId="0" applyFont="1" applyFill="1" applyBorder="1"/>
    <xf numFmtId="0" fontId="17" fillId="0" borderId="0" xfId="0" applyFont="1"/>
    <xf numFmtId="0" fontId="15" fillId="0" borderId="0" xfId="0" applyFont="1" applyAlignment="1">
      <alignment horizontal="left" vertical="center" wrapText="1"/>
    </xf>
    <xf numFmtId="0" fontId="24" fillId="0" borderId="37" xfId="7" applyFont="1"/>
    <xf numFmtId="0" fontId="24" fillId="0" borderId="37" xfId="7" applyFont="1" applyAlignment="1">
      <alignment horizontal="center" vertical="center"/>
    </xf>
    <xf numFmtId="0" fontId="24" fillId="0" borderId="37" xfId="7" applyFont="1" applyAlignment="1">
      <alignment horizontal="center"/>
    </xf>
    <xf numFmtId="0" fontId="28" fillId="6" borderId="51" xfId="0" applyFont="1" applyFill="1" applyBorder="1" applyAlignment="1">
      <alignment horizontal="center" vertical="center"/>
    </xf>
    <xf numFmtId="0" fontId="28" fillId="6" borderId="49" xfId="0" applyFont="1" applyFill="1" applyBorder="1" applyAlignment="1">
      <alignment horizontal="center" vertical="center" textRotation="90"/>
    </xf>
    <xf numFmtId="0" fontId="27" fillId="0" borderId="37" xfId="17" applyFont="1"/>
    <xf numFmtId="0" fontId="27" fillId="7" borderId="0" xfId="0" applyFont="1" applyFill="1"/>
    <xf numFmtId="0" fontId="27" fillId="7" borderId="0" xfId="0" applyFont="1" applyFill="1" applyAlignment="1">
      <alignment horizontal="center" vertical="center"/>
    </xf>
    <xf numFmtId="0" fontId="27" fillId="7" borderId="0" xfId="0" applyFont="1" applyFill="1" applyAlignment="1">
      <alignment horizontal="left" vertical="center"/>
    </xf>
    <xf numFmtId="0" fontId="27" fillId="7" borderId="0" xfId="0" applyFont="1" applyFill="1" applyAlignment="1">
      <alignment horizontal="center"/>
    </xf>
    <xf numFmtId="9" fontId="27" fillId="0" borderId="48" xfId="0" applyNumberFormat="1" applyFont="1" applyBorder="1" applyAlignment="1" applyProtection="1">
      <alignment horizontal="center" vertical="top" wrapText="1"/>
      <protection hidden="1"/>
    </xf>
    <xf numFmtId="0" fontId="27" fillId="9" borderId="37" xfId="0" applyFont="1" applyFill="1" applyBorder="1"/>
    <xf numFmtId="0" fontId="27" fillId="9" borderId="37" xfId="0" applyFont="1" applyFill="1" applyBorder="1" applyAlignment="1">
      <alignment horizontal="center" vertical="center"/>
    </xf>
    <xf numFmtId="0" fontId="27" fillId="9" borderId="37" xfId="0" applyFont="1" applyFill="1" applyBorder="1" applyAlignment="1">
      <alignment horizontal="left" vertical="center"/>
    </xf>
    <xf numFmtId="0" fontId="27" fillId="9" borderId="37" xfId="0" applyFont="1" applyFill="1" applyBorder="1" applyAlignment="1">
      <alignment horizontal="center"/>
    </xf>
    <xf numFmtId="0" fontId="28" fillId="8" borderId="66" xfId="0" applyFont="1" applyFill="1" applyBorder="1" applyAlignment="1">
      <alignment horizontal="center" vertical="center"/>
    </xf>
    <xf numFmtId="0" fontId="28" fillId="8" borderId="70" xfId="0" applyFont="1" applyFill="1" applyBorder="1" applyAlignment="1">
      <alignment horizontal="center" vertical="center" textRotation="90"/>
    </xf>
    <xf numFmtId="0" fontId="27" fillId="0" borderId="65" xfId="0" applyFont="1" applyBorder="1" applyAlignment="1">
      <alignment horizontal="center" vertical="center"/>
    </xf>
    <xf numFmtId="0" fontId="27" fillId="10" borderId="70" xfId="0" applyFont="1" applyFill="1" applyBorder="1" applyAlignment="1">
      <alignment horizontal="left" vertical="top" wrapText="1"/>
    </xf>
    <xf numFmtId="0" fontId="26" fillId="0" borderId="70" xfId="0" applyFont="1" applyBorder="1" applyAlignment="1">
      <alignment vertical="top" wrapText="1"/>
    </xf>
    <xf numFmtId="0" fontId="26" fillId="0" borderId="58" xfId="0" applyFont="1" applyBorder="1" applyAlignment="1">
      <alignment vertical="top" wrapText="1"/>
    </xf>
    <xf numFmtId="0" fontId="27" fillId="0" borderId="70" xfId="0" applyFont="1" applyBorder="1" applyAlignment="1">
      <alignment horizontal="center" vertical="top"/>
    </xf>
    <xf numFmtId="0" fontId="26" fillId="0" borderId="65" xfId="0" applyFont="1" applyBorder="1" applyAlignment="1">
      <alignment horizontal="center" vertical="top" textRotation="90"/>
    </xf>
    <xf numFmtId="9" fontId="26" fillId="0" borderId="65" xfId="0" applyNumberFormat="1" applyFont="1" applyBorder="1" applyAlignment="1">
      <alignment horizontal="center" vertical="top"/>
    </xf>
    <xf numFmtId="0" fontId="27" fillId="10" borderId="70" xfId="0" applyFont="1" applyFill="1" applyBorder="1" applyAlignment="1">
      <alignment vertical="center" wrapText="1"/>
    </xf>
    <xf numFmtId="0" fontId="26" fillId="0" borderId="73" xfId="0" applyFont="1" applyBorder="1" applyAlignment="1">
      <alignment vertical="top" wrapText="1"/>
    </xf>
    <xf numFmtId="0" fontId="27" fillId="0" borderId="66" xfId="0" applyFont="1" applyBorder="1" applyAlignment="1">
      <alignment vertical="center"/>
    </xf>
    <xf numFmtId="0" fontId="26" fillId="0" borderId="66" xfId="0" applyFont="1" applyBorder="1" applyAlignment="1">
      <alignment vertical="top" wrapText="1"/>
    </xf>
    <xf numFmtId="0" fontId="26" fillId="11" borderId="70" xfId="0" applyFont="1" applyFill="1" applyBorder="1" applyAlignment="1">
      <alignment horizontal="left" vertical="top" wrapText="1"/>
    </xf>
    <xf numFmtId="9" fontId="26" fillId="0" borderId="66" xfId="0" applyNumberFormat="1" applyFont="1" applyBorder="1" applyAlignment="1">
      <alignment vertical="top" wrapText="1"/>
    </xf>
    <xf numFmtId="0" fontId="24" fillId="0" borderId="70" xfId="0" applyFont="1" applyBorder="1" applyAlignment="1">
      <alignment horizontal="left" vertical="top" wrapText="1"/>
    </xf>
    <xf numFmtId="164" fontId="27" fillId="0" borderId="70" xfId="0" applyNumberFormat="1" applyFont="1" applyBorder="1" applyAlignment="1">
      <alignment horizontal="center" vertical="top"/>
    </xf>
    <xf numFmtId="0" fontId="37" fillId="0" borderId="70" xfId="0" applyFont="1" applyBorder="1" applyAlignment="1">
      <alignment horizontal="center" vertical="top" textRotation="90" wrapText="1"/>
    </xf>
    <xf numFmtId="0" fontId="37" fillId="0" borderId="70" xfId="0" applyFont="1" applyBorder="1" applyAlignment="1">
      <alignment horizontal="center" vertical="top" textRotation="90"/>
    </xf>
    <xf numFmtId="0" fontId="26" fillId="12" borderId="70" xfId="0" applyFont="1" applyFill="1" applyBorder="1" applyAlignment="1">
      <alignment horizontal="left" vertical="top" wrapText="1"/>
    </xf>
    <xf numFmtId="0" fontId="26" fillId="0" borderId="70" xfId="0" applyFont="1" applyBorder="1" applyAlignment="1">
      <alignment horizontal="center" vertical="top" textRotation="90"/>
    </xf>
    <xf numFmtId="9" fontId="26" fillId="0" borderId="70" xfId="0" applyNumberFormat="1" applyFont="1" applyBorder="1" applyAlignment="1">
      <alignment horizontal="center" vertical="top"/>
    </xf>
    <xf numFmtId="0" fontId="27" fillId="0" borderId="70" xfId="0" applyFont="1" applyBorder="1" applyAlignment="1">
      <alignment horizontal="center" vertical="top" wrapText="1"/>
    </xf>
    <xf numFmtId="166" fontId="27" fillId="0" borderId="70" xfId="0" applyNumberFormat="1" applyFont="1" applyBorder="1" applyAlignment="1">
      <alignment horizontal="center" vertical="center" wrapText="1"/>
    </xf>
    <xf numFmtId="0" fontId="27" fillId="0" borderId="70" xfId="0" applyFont="1" applyBorder="1" applyAlignment="1">
      <alignment horizontal="center" vertical="center" wrapText="1"/>
    </xf>
    <xf numFmtId="0" fontId="27" fillId="0" borderId="69" xfId="0" applyFont="1" applyBorder="1" applyAlignment="1">
      <alignment vertical="center"/>
    </xf>
    <xf numFmtId="0" fontId="24" fillId="12" borderId="70" xfId="0" applyFont="1" applyFill="1" applyBorder="1" applyAlignment="1">
      <alignment horizontal="left" vertical="top" wrapText="1"/>
    </xf>
    <xf numFmtId="9" fontId="26" fillId="0" borderId="69" xfId="0" applyNumberFormat="1" applyFont="1" applyBorder="1" applyAlignment="1">
      <alignment vertical="top" wrapText="1"/>
    </xf>
    <xf numFmtId="166" fontId="27" fillId="0" borderId="70" xfId="0" applyNumberFormat="1" applyFont="1" applyBorder="1" applyAlignment="1">
      <alignment horizontal="center" vertical="top"/>
    </xf>
    <xf numFmtId="0" fontId="27" fillId="12" borderId="70" xfId="0" applyFont="1" applyFill="1" applyBorder="1" applyAlignment="1">
      <alignment horizontal="left" vertical="top" wrapText="1"/>
    </xf>
    <xf numFmtId="9" fontId="27" fillId="0" borderId="65" xfId="0" applyNumberFormat="1" applyFont="1" applyBorder="1" applyAlignment="1">
      <alignment vertical="top" wrapText="1"/>
    </xf>
    <xf numFmtId="0" fontId="28" fillId="0" borderId="65" xfId="0" applyFont="1" applyBorder="1" applyAlignment="1">
      <alignment vertical="top"/>
    </xf>
    <xf numFmtId="9" fontId="27" fillId="0" borderId="65" xfId="0" applyNumberFormat="1" applyFont="1" applyBorder="1" applyAlignment="1">
      <alignment horizontal="center" vertical="top" wrapText="1"/>
    </xf>
    <xf numFmtId="0" fontId="26" fillId="0" borderId="49" xfId="0" applyFont="1" applyBorder="1" applyAlignment="1" applyProtection="1">
      <alignment horizontal="center" vertical="top" textRotation="90"/>
      <protection locked="0"/>
    </xf>
    <xf numFmtId="9" fontId="26" fillId="0" borderId="49" xfId="0" applyNumberFormat="1" applyFont="1" applyBorder="1" applyAlignment="1" applyProtection="1">
      <alignment horizontal="center" vertical="top"/>
      <protection hidden="1"/>
    </xf>
    <xf numFmtId="0" fontId="37" fillId="0" borderId="49" xfId="0" applyFont="1" applyBorder="1" applyAlignment="1" applyProtection="1">
      <alignment horizontal="center" vertical="top" textRotation="90" wrapText="1"/>
      <protection hidden="1"/>
    </xf>
    <xf numFmtId="9" fontId="26" fillId="0" borderId="48" xfId="0" applyNumberFormat="1" applyFont="1" applyBorder="1" applyAlignment="1" applyProtection="1">
      <alignment horizontal="center" vertical="top"/>
      <protection hidden="1"/>
    </xf>
    <xf numFmtId="0" fontId="37" fillId="0" borderId="49" xfId="0" applyFont="1" applyBorder="1" applyAlignment="1" applyProtection="1">
      <alignment horizontal="center" vertical="top" textRotation="90"/>
      <protection hidden="1"/>
    </xf>
    <xf numFmtId="0" fontId="26" fillId="0" borderId="48" xfId="0" applyFont="1" applyBorder="1" applyAlignment="1" applyProtection="1">
      <alignment horizontal="center" vertical="top" textRotation="90"/>
      <protection locked="0"/>
    </xf>
    <xf numFmtId="0" fontId="31" fillId="0" borderId="54" xfId="0" applyFont="1" applyBorder="1" applyAlignment="1" applyProtection="1">
      <alignment horizontal="center" vertical="top" wrapText="1"/>
      <protection locked="0"/>
    </xf>
    <xf numFmtId="0" fontId="27" fillId="0" borderId="49" xfId="0" applyFont="1" applyBorder="1" applyAlignment="1" applyProtection="1">
      <alignment horizontal="justify" vertical="top" wrapText="1"/>
      <protection locked="0"/>
    </xf>
    <xf numFmtId="0" fontId="27" fillId="0" borderId="49" xfId="0" applyFont="1" applyBorder="1" applyAlignment="1" applyProtection="1">
      <alignment horizontal="center" vertical="top"/>
      <protection hidden="1"/>
    </xf>
    <xf numFmtId="164" fontId="27" fillId="0" borderId="49" xfId="16" applyNumberFormat="1" applyFont="1" applyBorder="1" applyAlignment="1">
      <alignment horizontal="center" vertical="top"/>
    </xf>
    <xf numFmtId="0" fontId="15" fillId="7" borderId="47" xfId="0" applyFont="1" applyFill="1" applyBorder="1" applyAlignment="1">
      <alignment horizontal="justify" vertical="top" wrapText="1"/>
    </xf>
    <xf numFmtId="0" fontId="15" fillId="0" borderId="48" xfId="0" applyFont="1" applyBorder="1" applyAlignment="1" applyProtection="1">
      <alignment horizontal="center" vertical="top"/>
      <protection locked="0"/>
    </xf>
    <xf numFmtId="0" fontId="15" fillId="0" borderId="48" xfId="0" applyFont="1" applyBorder="1" applyAlignment="1" applyProtection="1">
      <alignment vertical="top" wrapText="1"/>
      <protection hidden="1"/>
    </xf>
    <xf numFmtId="9" fontId="15" fillId="0" borderId="48" xfId="0" applyNumberFormat="1" applyFont="1" applyBorder="1" applyAlignment="1" applyProtection="1">
      <alignment horizontal="center" vertical="top" wrapText="1"/>
      <protection hidden="1"/>
    </xf>
    <xf numFmtId="9" fontId="15" fillId="0" borderId="48" xfId="0" applyNumberFormat="1" applyFont="1" applyBorder="1" applyAlignment="1" applyProtection="1">
      <alignment horizontal="justify" vertical="top" wrapText="1"/>
      <protection locked="0"/>
    </xf>
    <xf numFmtId="9" fontId="15" fillId="0" borderId="48" xfId="0" applyNumberFormat="1" applyFont="1" applyBorder="1" applyAlignment="1" applyProtection="1">
      <alignment horizontal="justify" vertical="top" wrapText="1"/>
      <protection hidden="1"/>
    </xf>
    <xf numFmtId="9" fontId="15" fillId="0" borderId="48" xfId="0" applyNumberFormat="1" applyFont="1" applyBorder="1" applyAlignment="1" applyProtection="1">
      <alignment vertical="top" wrapText="1"/>
      <protection hidden="1"/>
    </xf>
    <xf numFmtId="0" fontId="15" fillId="0" borderId="48" xfId="0" applyFont="1" applyBorder="1" applyAlignment="1" applyProtection="1">
      <alignment vertical="top"/>
      <protection hidden="1"/>
    </xf>
    <xf numFmtId="0" fontId="38" fillId="0" borderId="49" xfId="0" applyFont="1" applyBorder="1" applyAlignment="1">
      <alignment horizontal="center" vertical="top"/>
    </xf>
    <xf numFmtId="0" fontId="15" fillId="0" borderId="49" xfId="0" applyFont="1" applyBorder="1" applyAlignment="1" applyProtection="1">
      <alignment horizontal="justify" vertical="center" wrapText="1"/>
      <protection locked="0"/>
    </xf>
    <xf numFmtId="0" fontId="15" fillId="0" borderId="49" xfId="0" applyFont="1" applyBorder="1" applyAlignment="1" applyProtection="1">
      <alignment horizontal="justify" vertical="top"/>
      <protection hidden="1"/>
    </xf>
    <xf numFmtId="0" fontId="15" fillId="0" borderId="49" xfId="0" applyFont="1" applyBorder="1" applyAlignment="1" applyProtection="1">
      <alignment horizontal="justify" vertical="top" textRotation="90"/>
      <protection locked="0"/>
    </xf>
    <xf numFmtId="9" fontId="15" fillId="0" borderId="49" xfId="0" applyNumberFormat="1" applyFont="1" applyBorder="1" applyAlignment="1" applyProtection="1">
      <alignment horizontal="justify" vertical="top"/>
      <protection hidden="1"/>
    </xf>
    <xf numFmtId="164" fontId="15" fillId="0" borderId="49" xfId="16" applyNumberFormat="1" applyFont="1" applyBorder="1" applyAlignment="1">
      <alignment horizontal="center" vertical="top"/>
    </xf>
    <xf numFmtId="0" fontId="15" fillId="0" borderId="49" xfId="0" applyFont="1" applyBorder="1" applyAlignment="1" applyProtection="1">
      <alignment horizontal="center" vertical="top" textRotation="90" wrapText="1"/>
      <protection hidden="1"/>
    </xf>
    <xf numFmtId="9" fontId="15" fillId="0" borderId="48" xfId="0" applyNumberFormat="1" applyFont="1" applyBorder="1" applyAlignment="1" applyProtection="1">
      <alignment horizontal="center" vertical="top"/>
      <protection hidden="1"/>
    </xf>
    <xf numFmtId="0" fontId="15" fillId="0" borderId="49" xfId="0" applyFont="1" applyBorder="1" applyAlignment="1" applyProtection="1">
      <alignment horizontal="justify" vertical="top" wrapText="1"/>
      <protection locked="0"/>
    </xf>
    <xf numFmtId="0" fontId="15" fillId="0" borderId="49" xfId="0" applyFont="1" applyBorder="1" applyAlignment="1" applyProtection="1">
      <alignment horizontal="center" vertical="top" wrapText="1"/>
      <protection locked="0"/>
    </xf>
    <xf numFmtId="14" fontId="15" fillId="0" borderId="49" xfId="0" applyNumberFormat="1" applyFont="1" applyBorder="1" applyAlignment="1" applyProtection="1">
      <alignment horizontal="justify" vertical="top"/>
      <protection locked="0"/>
    </xf>
    <xf numFmtId="14" fontId="15" fillId="0" borderId="49" xfId="0" applyNumberFormat="1" applyFont="1" applyBorder="1" applyAlignment="1" applyProtection="1">
      <alignment horizontal="justify" vertical="top" wrapText="1"/>
      <protection locked="0"/>
    </xf>
    <xf numFmtId="0" fontId="15" fillId="0" borderId="49" xfId="0" applyFont="1" applyBorder="1" applyAlignment="1" applyProtection="1">
      <alignment horizontal="justify" vertical="top"/>
      <protection locked="0"/>
    </xf>
    <xf numFmtId="0" fontId="15" fillId="0" borderId="47" xfId="0" applyFont="1" applyBorder="1" applyAlignment="1" applyProtection="1">
      <alignment horizontal="justify" vertical="top" wrapText="1"/>
      <protection locked="0"/>
    </xf>
    <xf numFmtId="0" fontId="28" fillId="0" borderId="48" xfId="0" applyFont="1" applyBorder="1" applyAlignment="1">
      <alignment horizontal="center" vertical="top"/>
    </xf>
    <xf numFmtId="0" fontId="27" fillId="0" borderId="48" xfId="0" applyFont="1" applyBorder="1" applyAlignment="1" applyProtection="1">
      <alignment horizontal="justify" vertical="top" wrapText="1"/>
      <protection locked="0"/>
    </xf>
    <xf numFmtId="0" fontId="27" fillId="0" borderId="39" xfId="0" applyFont="1" applyBorder="1" applyAlignment="1" applyProtection="1">
      <alignment horizontal="justify" vertical="top" wrapText="1"/>
      <protection locked="0"/>
    </xf>
    <xf numFmtId="0" fontId="27" fillId="0" borderId="54" xfId="0" applyFont="1" applyBorder="1" applyAlignment="1" applyProtection="1">
      <alignment horizontal="justify" vertical="top" wrapText="1"/>
      <protection locked="0"/>
    </xf>
    <xf numFmtId="0" fontId="30" fillId="0" borderId="47" xfId="0" applyFont="1" applyBorder="1" applyAlignment="1" applyProtection="1">
      <alignment horizontal="justify" vertical="top" wrapText="1"/>
      <protection locked="0"/>
    </xf>
    <xf numFmtId="0" fontId="30" fillId="0" borderId="54" xfId="0" applyFont="1" applyBorder="1" applyAlignment="1" applyProtection="1">
      <alignment horizontal="justify" vertical="top" wrapText="1"/>
      <protection locked="0"/>
    </xf>
    <xf numFmtId="0" fontId="27" fillId="0" borderId="41" xfId="0" applyFont="1" applyBorder="1" applyAlignment="1" applyProtection="1">
      <alignment horizontal="justify" vertical="top" wrapText="1"/>
      <protection locked="0"/>
    </xf>
    <xf numFmtId="0" fontId="27" fillId="0" borderId="48" xfId="0" applyFont="1" applyBorder="1" applyAlignment="1" applyProtection="1">
      <alignment horizontal="center" vertical="top"/>
      <protection locked="0"/>
    </xf>
    <xf numFmtId="0" fontId="28" fillId="0" borderId="48" xfId="0" applyFont="1" applyBorder="1" applyAlignment="1" applyProtection="1">
      <alignment horizontal="justify" vertical="top" wrapText="1"/>
      <protection hidden="1"/>
    </xf>
    <xf numFmtId="9" fontId="27" fillId="0" borderId="48" xfId="0" applyNumberFormat="1" applyFont="1" applyBorder="1" applyAlignment="1" applyProtection="1">
      <alignment horizontal="justify" vertical="top" wrapText="1"/>
      <protection locked="0"/>
    </xf>
    <xf numFmtId="9" fontId="27" fillId="0" borderId="48" xfId="0" applyNumberFormat="1" applyFont="1" applyBorder="1" applyAlignment="1" applyProtection="1">
      <alignment horizontal="justify" vertical="top" wrapText="1"/>
      <protection hidden="1"/>
    </xf>
    <xf numFmtId="0" fontId="27" fillId="0" borderId="48" xfId="0" applyFont="1" applyBorder="1" applyAlignment="1" applyProtection="1">
      <alignment horizontal="justify" vertical="top" wrapText="1"/>
      <protection hidden="1"/>
    </xf>
    <xf numFmtId="0" fontId="27" fillId="0" borderId="48" xfId="0" applyFont="1" applyBorder="1" applyAlignment="1" applyProtection="1">
      <alignment horizontal="justify" vertical="top"/>
      <protection hidden="1"/>
    </xf>
    <xf numFmtId="0" fontId="24" fillId="0" borderId="48" xfId="0" applyFont="1" applyBorder="1" applyAlignment="1" applyProtection="1">
      <alignment horizontal="justify" vertical="top" wrapText="1"/>
      <protection locked="0"/>
    </xf>
    <xf numFmtId="14" fontId="27" fillId="0" borderId="49" xfId="0" applyNumberFormat="1" applyFont="1" applyBorder="1" applyAlignment="1" applyProtection="1">
      <alignment horizontal="left" vertical="top" wrapText="1"/>
      <protection locked="0"/>
    </xf>
    <xf numFmtId="0" fontId="27" fillId="9" borderId="38" xfId="0" applyFont="1" applyFill="1" applyBorder="1" applyAlignment="1">
      <alignment horizontal="center" vertical="center" wrapText="1"/>
    </xf>
    <xf numFmtId="0" fontId="27" fillId="9" borderId="38" xfId="0" applyFont="1" applyFill="1" applyBorder="1" applyAlignment="1">
      <alignment horizontal="center" vertical="center"/>
    </xf>
    <xf numFmtId="0" fontId="27" fillId="9" borderId="38" xfId="0" applyFont="1" applyFill="1" applyBorder="1" applyAlignment="1">
      <alignment horizontal="center" vertical="top" wrapText="1"/>
    </xf>
    <xf numFmtId="0" fontId="27" fillId="9" borderId="38" xfId="0" applyFont="1" applyFill="1" applyBorder="1" applyAlignment="1">
      <alignment horizontal="center" wrapText="1"/>
    </xf>
    <xf numFmtId="0" fontId="27" fillId="7" borderId="0" xfId="0" applyFont="1" applyFill="1" applyAlignment="1">
      <alignment horizontal="left" vertical="top"/>
    </xf>
    <xf numFmtId="0" fontId="27" fillId="7" borderId="0" xfId="0" applyFont="1" applyFill="1" applyAlignment="1">
      <alignment horizontal="left"/>
    </xf>
    <xf numFmtId="0" fontId="27" fillId="7" borderId="0" xfId="0" applyFont="1" applyFill="1" applyAlignment="1">
      <alignment textRotation="180"/>
    </xf>
    <xf numFmtId="0" fontId="28" fillId="6" borderId="51" xfId="0" applyFont="1" applyFill="1" applyBorder="1" applyAlignment="1">
      <alignment horizontal="center" vertical="center" textRotation="180"/>
    </xf>
    <xf numFmtId="0" fontId="24" fillId="13" borderId="48" xfId="0" applyFont="1" applyFill="1" applyBorder="1" applyAlignment="1" applyProtection="1">
      <alignment horizontal="justify" vertical="top" wrapText="1"/>
      <protection locked="0"/>
    </xf>
    <xf numFmtId="0" fontId="43" fillId="14" borderId="47" xfId="0" applyFont="1" applyFill="1" applyBorder="1" applyAlignment="1">
      <alignment horizontal="justify" vertical="top" wrapText="1"/>
    </xf>
    <xf numFmtId="9" fontId="24" fillId="0" borderId="48" xfId="0" applyNumberFormat="1" applyFont="1" applyBorder="1" applyAlignment="1" applyProtection="1">
      <alignment horizontal="justify" vertical="top" wrapText="1"/>
      <protection hidden="1"/>
    </xf>
    <xf numFmtId="0" fontId="24" fillId="0" borderId="49" xfId="0" applyFont="1" applyBorder="1" applyAlignment="1">
      <alignment horizontal="justify" vertical="top"/>
    </xf>
    <xf numFmtId="0" fontId="24" fillId="14" borderId="49" xfId="0" applyFont="1" applyFill="1" applyBorder="1" applyAlignment="1" applyProtection="1">
      <alignment horizontal="justify" vertical="top" wrapText="1"/>
      <protection locked="0"/>
    </xf>
    <xf numFmtId="0" fontId="24" fillId="14" borderId="49" xfId="0" applyFont="1" applyFill="1" applyBorder="1" applyAlignment="1" applyProtection="1">
      <alignment horizontal="justify" vertical="top"/>
      <protection hidden="1"/>
    </xf>
    <xf numFmtId="0" fontId="24" fillId="14" borderId="49" xfId="0" applyFont="1" applyFill="1" applyBorder="1" applyAlignment="1" applyProtection="1">
      <alignment horizontal="justify" vertical="top" textRotation="90"/>
      <protection locked="0"/>
    </xf>
    <xf numFmtId="9" fontId="24" fillId="14" borderId="49" xfId="0" applyNumberFormat="1" applyFont="1" applyFill="1" applyBorder="1" applyAlignment="1" applyProtection="1">
      <alignment horizontal="justify" vertical="top"/>
      <protection hidden="1"/>
    </xf>
    <xf numFmtId="164" fontId="24" fillId="14" borderId="49" xfId="16" applyNumberFormat="1" applyFont="1" applyFill="1" applyBorder="1" applyAlignment="1">
      <alignment horizontal="justify" vertical="top"/>
    </xf>
    <xf numFmtId="0" fontId="43" fillId="0" borderId="49" xfId="0" applyFont="1" applyBorder="1" applyAlignment="1" applyProtection="1">
      <alignment horizontal="justify" vertical="top" textRotation="90" wrapText="1"/>
      <protection hidden="1"/>
    </xf>
    <xf numFmtId="9" fontId="24" fillId="14" borderId="48" xfId="0" applyNumberFormat="1" applyFont="1" applyFill="1" applyBorder="1" applyAlignment="1" applyProtection="1">
      <alignment horizontal="justify" vertical="top"/>
      <protection hidden="1"/>
    </xf>
    <xf numFmtId="0" fontId="43" fillId="0" borderId="49" xfId="0" applyFont="1" applyBorder="1" applyAlignment="1" applyProtection="1">
      <alignment horizontal="justify" vertical="top" textRotation="90"/>
      <protection hidden="1"/>
    </xf>
    <xf numFmtId="0" fontId="24" fillId="14" borderId="48" xfId="0" applyFont="1" applyFill="1" applyBorder="1" applyAlignment="1" applyProtection="1">
      <alignment horizontal="justify" vertical="top" textRotation="90"/>
      <protection locked="0"/>
    </xf>
    <xf numFmtId="14" fontId="24" fillId="14" borderId="49" xfId="0" applyNumberFormat="1" applyFont="1" applyFill="1" applyBorder="1" applyAlignment="1" applyProtection="1">
      <alignment horizontal="justify" vertical="top" textRotation="180"/>
      <protection locked="0"/>
    </xf>
    <xf numFmtId="14" fontId="24" fillId="14" borderId="49" xfId="0" applyNumberFormat="1" applyFont="1" applyFill="1" applyBorder="1" applyAlignment="1" applyProtection="1">
      <alignment horizontal="justify" vertical="top"/>
      <protection locked="0"/>
    </xf>
    <xf numFmtId="0" fontId="24" fillId="14" borderId="45" xfId="0" applyFont="1" applyFill="1" applyBorder="1" applyAlignment="1" applyProtection="1">
      <alignment horizontal="justify" vertical="top"/>
      <protection locked="0"/>
    </xf>
    <xf numFmtId="0" fontId="24" fillId="0" borderId="49" xfId="0" applyFont="1" applyBorder="1" applyAlignment="1" applyProtection="1">
      <alignment horizontal="justify" vertical="top" wrapText="1"/>
      <protection locked="0"/>
    </xf>
    <xf numFmtId="0" fontId="43" fillId="16" borderId="47" xfId="0" applyFont="1" applyFill="1" applyBorder="1" applyAlignment="1" applyProtection="1">
      <alignment horizontal="justify" vertical="top" wrapText="1"/>
      <protection locked="0"/>
    </xf>
    <xf numFmtId="0" fontId="44" fillId="16" borderId="47" xfId="0" applyFont="1" applyFill="1" applyBorder="1" applyAlignment="1" applyProtection="1">
      <alignment horizontal="justify" vertical="top" wrapText="1"/>
      <protection locked="0"/>
    </xf>
    <xf numFmtId="0" fontId="24" fillId="16" borderId="49" xfId="0" applyFont="1" applyFill="1" applyBorder="1" applyAlignment="1">
      <alignment horizontal="justify" vertical="top"/>
    </xf>
    <xf numFmtId="0" fontId="24" fillId="16" borderId="49" xfId="0" applyFont="1" applyFill="1" applyBorder="1" applyAlignment="1" applyProtection="1">
      <alignment horizontal="justify" vertical="top" wrapText="1"/>
      <protection locked="0"/>
    </xf>
    <xf numFmtId="0" fontId="24" fillId="16" borderId="49" xfId="0" applyFont="1" applyFill="1" applyBorder="1" applyAlignment="1" applyProtection="1">
      <alignment horizontal="justify" vertical="top"/>
      <protection hidden="1"/>
    </xf>
    <xf numFmtId="0" fontId="24" fillId="16" borderId="49" xfId="0" applyFont="1" applyFill="1" applyBorder="1" applyAlignment="1" applyProtection="1">
      <alignment horizontal="justify" vertical="top" textRotation="90"/>
      <protection locked="0"/>
    </xf>
    <xf numFmtId="9" fontId="24" fillId="16" borderId="49" xfId="0" applyNumberFormat="1" applyFont="1" applyFill="1" applyBorder="1" applyAlignment="1" applyProtection="1">
      <alignment horizontal="justify" vertical="top"/>
      <protection hidden="1"/>
    </xf>
    <xf numFmtId="164" fontId="24" fillId="16" borderId="49" xfId="16" applyNumberFormat="1" applyFont="1" applyFill="1" applyBorder="1" applyAlignment="1">
      <alignment horizontal="justify" vertical="top"/>
    </xf>
    <xf numFmtId="9" fontId="24" fillId="16" borderId="48" xfId="0" applyNumberFormat="1" applyFont="1" applyFill="1" applyBorder="1" applyAlignment="1" applyProtection="1">
      <alignment horizontal="justify" vertical="top"/>
      <protection hidden="1"/>
    </xf>
    <xf numFmtId="0" fontId="24" fillId="16" borderId="48" xfId="0" applyFont="1" applyFill="1" applyBorder="1" applyAlignment="1" applyProtection="1">
      <alignment horizontal="justify" vertical="top" textRotation="90"/>
      <protection locked="0"/>
    </xf>
    <xf numFmtId="14" fontId="24" fillId="16" borderId="49" xfId="0" applyNumberFormat="1" applyFont="1" applyFill="1" applyBorder="1" applyAlignment="1" applyProtection="1">
      <alignment horizontal="justify" vertical="top" textRotation="180"/>
      <protection locked="0"/>
    </xf>
    <xf numFmtId="14" fontId="24" fillId="16" borderId="49" xfId="0" applyNumberFormat="1" applyFont="1" applyFill="1" applyBorder="1" applyAlignment="1" applyProtection="1">
      <alignment horizontal="justify" vertical="top"/>
      <protection locked="0"/>
    </xf>
    <xf numFmtId="0" fontId="24" fillId="16" borderId="45" xfId="0" applyFont="1" applyFill="1" applyBorder="1" applyAlignment="1" applyProtection="1">
      <alignment horizontal="justify" vertical="top"/>
      <protection locked="0"/>
    </xf>
    <xf numFmtId="0" fontId="49" fillId="13" borderId="48" xfId="0" applyFont="1" applyFill="1" applyBorder="1" applyAlignment="1" applyProtection="1">
      <alignment horizontal="justify" vertical="top" wrapText="1"/>
      <protection locked="0"/>
    </xf>
    <xf numFmtId="0" fontId="42" fillId="13" borderId="39" xfId="0" applyFont="1" applyFill="1" applyBorder="1" applyAlignment="1" applyProtection="1">
      <alignment horizontal="justify" vertical="top" wrapText="1"/>
      <protection locked="0"/>
    </xf>
    <xf numFmtId="0" fontId="43" fillId="17" borderId="47" xfId="0" applyFont="1" applyFill="1" applyBorder="1" applyAlignment="1" applyProtection="1">
      <alignment horizontal="justify" vertical="top" wrapText="1"/>
      <protection locked="0"/>
    </xf>
    <xf numFmtId="0" fontId="44" fillId="13" borderId="47" xfId="0" applyFont="1" applyFill="1" applyBorder="1" applyAlignment="1" applyProtection="1">
      <alignment horizontal="justify" vertical="top" wrapText="1"/>
      <protection locked="0"/>
    </xf>
    <xf numFmtId="0" fontId="44" fillId="17" borderId="47" xfId="0" applyFont="1" applyFill="1" applyBorder="1" applyAlignment="1" applyProtection="1">
      <alignment horizontal="justify" vertical="top" wrapText="1"/>
      <protection locked="0"/>
    </xf>
    <xf numFmtId="0" fontId="24" fillId="17" borderId="49" xfId="0" applyFont="1" applyFill="1" applyBorder="1" applyAlignment="1">
      <alignment horizontal="justify" vertical="top"/>
    </xf>
    <xf numFmtId="0" fontId="24" fillId="17" borderId="49" xfId="0" applyFont="1" applyFill="1" applyBorder="1" applyAlignment="1" applyProtection="1">
      <alignment horizontal="justify" vertical="top" wrapText="1"/>
      <protection locked="0"/>
    </xf>
    <xf numFmtId="0" fontId="24" fillId="17" borderId="49" xfId="0" applyFont="1" applyFill="1" applyBorder="1" applyAlignment="1" applyProtection="1">
      <alignment horizontal="justify" vertical="top"/>
      <protection hidden="1"/>
    </xf>
    <xf numFmtId="0" fontId="24" fillId="17" borderId="49" xfId="0" applyFont="1" applyFill="1" applyBorder="1" applyAlignment="1" applyProtection="1">
      <alignment horizontal="justify" vertical="top" textRotation="90"/>
      <protection locked="0"/>
    </xf>
    <xf numFmtId="9" fontId="24" fillId="17" borderId="49" xfId="0" applyNumberFormat="1" applyFont="1" applyFill="1" applyBorder="1" applyAlignment="1" applyProtection="1">
      <alignment horizontal="justify" vertical="top"/>
      <protection hidden="1"/>
    </xf>
    <xf numFmtId="164" fontId="24" fillId="17" borderId="49" xfId="16" applyNumberFormat="1" applyFont="1" applyFill="1" applyBorder="1" applyAlignment="1">
      <alignment horizontal="justify" vertical="top"/>
    </xf>
    <xf numFmtId="9" fontId="24" fillId="17" borderId="48" xfId="0" applyNumberFormat="1" applyFont="1" applyFill="1" applyBorder="1" applyAlignment="1" applyProtection="1">
      <alignment horizontal="justify" vertical="top"/>
      <protection hidden="1"/>
    </xf>
    <xf numFmtId="0" fontId="24" fillId="17" borderId="48" xfId="0" applyFont="1" applyFill="1" applyBorder="1" applyAlignment="1" applyProtection="1">
      <alignment horizontal="justify" vertical="top" textRotation="90"/>
      <protection locked="0"/>
    </xf>
    <xf numFmtId="14" fontId="24" fillId="17" borderId="49" xfId="0" applyNumberFormat="1" applyFont="1" applyFill="1" applyBorder="1" applyAlignment="1" applyProtection="1">
      <alignment horizontal="justify" vertical="top" textRotation="180"/>
      <protection locked="0"/>
    </xf>
    <xf numFmtId="14" fontId="24" fillId="17" borderId="49" xfId="0" applyNumberFormat="1" applyFont="1" applyFill="1" applyBorder="1" applyAlignment="1" applyProtection="1">
      <alignment horizontal="justify" vertical="top"/>
      <protection locked="0"/>
    </xf>
    <xf numFmtId="0" fontId="24" fillId="17" borderId="45" xfId="0" applyFont="1" applyFill="1" applyBorder="1" applyAlignment="1" applyProtection="1">
      <alignment horizontal="justify" vertical="top"/>
      <protection locked="0"/>
    </xf>
    <xf numFmtId="0" fontId="24" fillId="0" borderId="48" xfId="0" applyFont="1" applyBorder="1" applyAlignment="1">
      <alignment vertical="top"/>
    </xf>
    <xf numFmtId="0" fontId="24" fillId="15" borderId="48" xfId="0" applyFont="1" applyFill="1" applyBorder="1" applyAlignment="1" applyProtection="1">
      <alignment vertical="top" wrapText="1"/>
      <protection locked="0"/>
    </xf>
    <xf numFmtId="0" fontId="49" fillId="15" borderId="48" xfId="0" applyFont="1" applyFill="1" applyBorder="1" applyAlignment="1" applyProtection="1">
      <alignment vertical="top" wrapText="1"/>
      <protection locked="0"/>
    </xf>
    <xf numFmtId="0" fontId="24" fillId="15" borderId="39" xfId="0" applyFont="1" applyFill="1" applyBorder="1" applyAlignment="1" applyProtection="1">
      <alignment vertical="top" wrapText="1"/>
      <protection locked="0"/>
    </xf>
    <xf numFmtId="0" fontId="44" fillId="15" borderId="47" xfId="0" applyFont="1" applyFill="1" applyBorder="1" applyAlignment="1" applyProtection="1">
      <alignment vertical="top" wrapText="1"/>
      <protection locked="0"/>
    </xf>
    <xf numFmtId="0" fontId="48" fillId="16" borderId="54" xfId="0" applyFont="1" applyFill="1" applyBorder="1" applyAlignment="1" applyProtection="1">
      <alignment vertical="top" textRotation="180" wrapText="1"/>
      <protection locked="0"/>
    </xf>
    <xf numFmtId="0" fontId="24" fillId="16" borderId="41" xfId="0" applyFont="1" applyFill="1" applyBorder="1" applyAlignment="1" applyProtection="1">
      <alignment vertical="top" wrapText="1"/>
      <protection locked="0"/>
    </xf>
    <xf numFmtId="0" fontId="24" fillId="16" borderId="48" xfId="0" applyFont="1" applyFill="1" applyBorder="1" applyAlignment="1" applyProtection="1">
      <alignment vertical="top"/>
      <protection locked="0"/>
    </xf>
    <xf numFmtId="0" fontId="43" fillId="0" borderId="48" xfId="0" applyFont="1" applyBorder="1" applyAlignment="1" applyProtection="1">
      <alignment vertical="top" textRotation="180" wrapText="1"/>
      <protection hidden="1"/>
    </xf>
    <xf numFmtId="9" fontId="24" fillId="16" borderId="48" xfId="0" applyNumberFormat="1" applyFont="1" applyFill="1" applyBorder="1" applyAlignment="1" applyProtection="1">
      <alignment vertical="top" wrapText="1"/>
      <protection hidden="1"/>
    </xf>
    <xf numFmtId="9" fontId="24" fillId="16" borderId="48" xfId="0" applyNumberFormat="1" applyFont="1" applyFill="1" applyBorder="1" applyAlignment="1" applyProtection="1">
      <alignment vertical="top" wrapText="1"/>
      <protection locked="0"/>
    </xf>
    <xf numFmtId="9" fontId="24" fillId="0" borderId="48" xfId="0" applyNumberFormat="1" applyFont="1" applyBorder="1" applyAlignment="1" applyProtection="1">
      <alignment vertical="top" wrapText="1"/>
      <protection hidden="1"/>
    </xf>
    <xf numFmtId="0" fontId="43" fillId="0" borderId="48" xfId="0" applyFont="1" applyBorder="1" applyAlignment="1" applyProtection="1">
      <alignment vertical="top" textRotation="180"/>
      <protection hidden="1"/>
    </xf>
    <xf numFmtId="0" fontId="24" fillId="16" borderId="49" xfId="0" applyFont="1" applyFill="1" applyBorder="1" applyAlignment="1" applyProtection="1">
      <alignment horizontal="justify" vertical="top"/>
      <protection locked="0"/>
    </xf>
    <xf numFmtId="0" fontId="24" fillId="0" borderId="51" xfId="0" applyFont="1" applyBorder="1" applyAlignment="1">
      <alignment vertical="top"/>
    </xf>
    <xf numFmtId="0" fontId="24" fillId="0" borderId="50" xfId="0" applyFont="1" applyBorder="1" applyAlignment="1" applyProtection="1">
      <alignment vertical="top" wrapText="1"/>
      <protection locked="0"/>
    </xf>
    <xf numFmtId="0" fontId="43" fillId="18" borderId="47" xfId="0" applyFont="1" applyFill="1" applyBorder="1" applyAlignment="1" applyProtection="1">
      <alignment horizontal="justify" vertical="top" wrapText="1"/>
      <protection locked="0"/>
    </xf>
    <xf numFmtId="0" fontId="44" fillId="18" borderId="47" xfId="0" applyFont="1" applyFill="1" applyBorder="1" applyAlignment="1" applyProtection="1">
      <alignment horizontal="justify" vertical="top" wrapText="1"/>
      <protection locked="0"/>
    </xf>
    <xf numFmtId="0" fontId="24" fillId="18" borderId="48" xfId="0" applyFont="1" applyFill="1" applyBorder="1" applyAlignment="1" applyProtection="1">
      <alignment horizontal="justify" vertical="top"/>
      <protection locked="0"/>
    </xf>
    <xf numFmtId="0" fontId="43" fillId="0" borderId="48" xfId="0" applyFont="1" applyBorder="1" applyAlignment="1" applyProtection="1">
      <alignment horizontal="justify" vertical="top" textRotation="180" wrapText="1"/>
      <protection hidden="1"/>
    </xf>
    <xf numFmtId="9" fontId="24" fillId="18" borderId="48" xfId="0" applyNumberFormat="1" applyFont="1" applyFill="1" applyBorder="1" applyAlignment="1" applyProtection="1">
      <alignment horizontal="justify" vertical="top" wrapText="1"/>
      <protection hidden="1"/>
    </xf>
    <xf numFmtId="9" fontId="24" fillId="18" borderId="48" xfId="0" applyNumberFormat="1" applyFont="1" applyFill="1" applyBorder="1" applyAlignment="1" applyProtection="1">
      <alignment horizontal="justify" vertical="top" wrapText="1"/>
      <protection locked="0"/>
    </xf>
    <xf numFmtId="0" fontId="43" fillId="0" borderId="48" xfId="0" applyFont="1" applyBorder="1" applyAlignment="1" applyProtection="1">
      <alignment horizontal="justify" vertical="top" textRotation="180"/>
      <protection hidden="1"/>
    </xf>
    <xf numFmtId="0" fontId="24" fillId="18" borderId="49" xfId="0" applyFont="1" applyFill="1" applyBorder="1" applyAlignment="1">
      <alignment horizontal="justify" vertical="top"/>
    </xf>
    <xf numFmtId="0" fontId="24" fillId="18" borderId="49" xfId="0" applyFont="1" applyFill="1" applyBorder="1" applyAlignment="1" applyProtection="1">
      <alignment horizontal="justify" vertical="top" wrapText="1"/>
      <protection locked="0"/>
    </xf>
    <xf numFmtId="0" fontId="24" fillId="18" borderId="49" xfId="0" applyFont="1" applyFill="1" applyBorder="1" applyAlignment="1" applyProtection="1">
      <alignment horizontal="justify" vertical="top"/>
      <protection hidden="1"/>
    </xf>
    <xf numFmtId="0" fontId="24" fillId="18" borderId="49" xfId="0" applyFont="1" applyFill="1" applyBorder="1" applyAlignment="1" applyProtection="1">
      <alignment horizontal="justify" vertical="top" textRotation="90"/>
      <protection locked="0"/>
    </xf>
    <xf numFmtId="9" fontId="24" fillId="18" borderId="49" xfId="0" applyNumberFormat="1" applyFont="1" applyFill="1" applyBorder="1" applyAlignment="1" applyProtection="1">
      <alignment horizontal="justify" vertical="top"/>
      <protection hidden="1"/>
    </xf>
    <xf numFmtId="164" fontId="24" fillId="18" borderId="49" xfId="16" applyNumberFormat="1" applyFont="1" applyFill="1" applyBorder="1" applyAlignment="1">
      <alignment horizontal="justify" vertical="top"/>
    </xf>
    <xf numFmtId="9" fontId="24" fillId="18" borderId="48" xfId="0" applyNumberFormat="1" applyFont="1" applyFill="1" applyBorder="1" applyAlignment="1" applyProtection="1">
      <alignment horizontal="justify" vertical="top"/>
      <protection hidden="1"/>
    </xf>
    <xf numFmtId="0" fontId="24" fillId="18" borderId="48" xfId="0" applyFont="1" applyFill="1" applyBorder="1" applyAlignment="1" applyProtection="1">
      <alignment horizontal="justify" vertical="top" textRotation="90"/>
      <protection locked="0"/>
    </xf>
    <xf numFmtId="0" fontId="24" fillId="18" borderId="49" xfId="0" applyFont="1" applyFill="1" applyBorder="1" applyAlignment="1" applyProtection="1">
      <alignment horizontal="justify" vertical="top"/>
      <protection locked="0"/>
    </xf>
    <xf numFmtId="14" fontId="24" fillId="18" borderId="49" xfId="0" applyNumberFormat="1" applyFont="1" applyFill="1" applyBorder="1" applyAlignment="1" applyProtection="1">
      <alignment horizontal="justify" vertical="top" textRotation="180"/>
      <protection locked="0"/>
    </xf>
    <xf numFmtId="14" fontId="24" fillId="18" borderId="49" xfId="0" applyNumberFormat="1" applyFont="1" applyFill="1" applyBorder="1" applyAlignment="1" applyProtection="1">
      <alignment horizontal="justify" vertical="top"/>
      <protection locked="0"/>
    </xf>
    <xf numFmtId="0" fontId="24" fillId="18" borderId="45" xfId="0" applyFont="1" applyFill="1" applyBorder="1" applyAlignment="1" applyProtection="1">
      <alignment horizontal="justify" vertical="top"/>
      <protection locked="0"/>
    </xf>
    <xf numFmtId="0" fontId="24" fillId="19" borderId="47" xfId="0" applyFont="1" applyFill="1" applyBorder="1" applyAlignment="1" applyProtection="1">
      <alignment horizontal="justify" vertical="top" wrapText="1"/>
      <protection locked="0"/>
    </xf>
    <xf numFmtId="0" fontId="48" fillId="19" borderId="47" xfId="0" applyFont="1" applyFill="1" applyBorder="1" applyAlignment="1" applyProtection="1">
      <alignment horizontal="justify" vertical="top" wrapText="1"/>
      <protection locked="0"/>
    </xf>
    <xf numFmtId="0" fontId="24" fillId="6" borderId="48" xfId="0" applyFont="1" applyFill="1" applyBorder="1" applyAlignment="1" applyProtection="1">
      <alignment horizontal="justify" vertical="top"/>
      <protection locked="0"/>
    </xf>
    <xf numFmtId="9" fontId="24" fillId="6" borderId="48" xfId="0" applyNumberFormat="1" applyFont="1" applyFill="1" applyBorder="1" applyAlignment="1" applyProtection="1">
      <alignment horizontal="justify" vertical="top" wrapText="1"/>
      <protection hidden="1"/>
    </xf>
    <xf numFmtId="9" fontId="24" fillId="6" borderId="51" xfId="0" applyNumberFormat="1" applyFont="1" applyFill="1" applyBorder="1" applyAlignment="1" applyProtection="1">
      <alignment horizontal="justify" vertical="top" wrapText="1"/>
      <protection locked="0"/>
    </xf>
    <xf numFmtId="0" fontId="24" fillId="6" borderId="49" xfId="0" applyFont="1" applyFill="1" applyBorder="1" applyAlignment="1">
      <alignment horizontal="justify" vertical="top"/>
    </xf>
    <xf numFmtId="0" fontId="24" fillId="6" borderId="49" xfId="0" applyFont="1" applyFill="1" applyBorder="1" applyAlignment="1" applyProtection="1">
      <alignment horizontal="justify" vertical="top" wrapText="1"/>
      <protection locked="0"/>
    </xf>
    <xf numFmtId="0" fontId="24" fillId="6" borderId="49" xfId="0" applyFont="1" applyFill="1" applyBorder="1" applyAlignment="1" applyProtection="1">
      <alignment horizontal="justify" vertical="top"/>
      <protection hidden="1"/>
    </xf>
    <xf numFmtId="0" fontId="24" fillId="6" borderId="49" xfId="0" applyFont="1" applyFill="1" applyBorder="1" applyAlignment="1" applyProtection="1">
      <alignment horizontal="justify" vertical="top" textRotation="90"/>
      <protection locked="0"/>
    </xf>
    <xf numFmtId="9" fontId="24" fillId="6" borderId="49" xfId="0" applyNumberFormat="1" applyFont="1" applyFill="1" applyBorder="1" applyAlignment="1" applyProtection="1">
      <alignment horizontal="justify" vertical="top"/>
      <protection hidden="1"/>
    </xf>
    <xf numFmtId="164" fontId="24" fillId="6" borderId="49" xfId="16" applyNumberFormat="1" applyFont="1" applyFill="1" applyBorder="1" applyAlignment="1">
      <alignment horizontal="justify" vertical="top"/>
    </xf>
    <xf numFmtId="9" fontId="24" fillId="6" borderId="48" xfId="0" applyNumberFormat="1" applyFont="1" applyFill="1" applyBorder="1" applyAlignment="1" applyProtection="1">
      <alignment horizontal="justify" vertical="top"/>
      <protection hidden="1"/>
    </xf>
    <xf numFmtId="0" fontId="43" fillId="6" borderId="49" xfId="0" applyFont="1" applyFill="1" applyBorder="1" applyAlignment="1" applyProtection="1">
      <alignment horizontal="justify" vertical="top" textRotation="90" wrapText="1"/>
      <protection hidden="1"/>
    </xf>
    <xf numFmtId="0" fontId="24" fillId="6" borderId="48" xfId="0" applyFont="1" applyFill="1" applyBorder="1" applyAlignment="1" applyProtection="1">
      <alignment horizontal="justify" vertical="top" textRotation="90"/>
      <protection locked="0"/>
    </xf>
    <xf numFmtId="0" fontId="24" fillId="6" borderId="49" xfId="0" applyFont="1" applyFill="1" applyBorder="1" applyAlignment="1" applyProtection="1">
      <alignment horizontal="justify" vertical="top"/>
      <protection locked="0"/>
    </xf>
    <xf numFmtId="14" fontId="24" fillId="6" borderId="49" xfId="0" applyNumberFormat="1" applyFont="1" applyFill="1" applyBorder="1" applyAlignment="1" applyProtection="1">
      <alignment horizontal="justify" vertical="top" textRotation="180"/>
      <protection locked="0"/>
    </xf>
    <xf numFmtId="14" fontId="24" fillId="6" borderId="49" xfId="0" applyNumberFormat="1" applyFont="1" applyFill="1" applyBorder="1" applyAlignment="1" applyProtection="1">
      <alignment horizontal="justify" vertical="top"/>
      <protection locked="0"/>
    </xf>
    <xf numFmtId="0" fontId="27" fillId="0" borderId="48" xfId="0" applyFont="1" applyBorder="1" applyAlignment="1">
      <alignment horizontal="center" vertical="center"/>
    </xf>
    <xf numFmtId="0" fontId="43" fillId="14" borderId="47" xfId="0" applyFont="1" applyFill="1" applyBorder="1" applyAlignment="1" applyProtection="1">
      <alignment horizontal="justify" vertical="top" wrapText="1"/>
      <protection locked="0"/>
    </xf>
    <xf numFmtId="0" fontId="48" fillId="14" borderId="47" xfId="0" applyFont="1" applyFill="1" applyBorder="1" applyAlignment="1" applyProtection="1">
      <alignment horizontal="justify" vertical="top" wrapText="1"/>
      <protection locked="0"/>
    </xf>
    <xf numFmtId="0" fontId="24" fillId="14" borderId="49" xfId="0" applyFont="1" applyFill="1" applyBorder="1" applyAlignment="1">
      <alignment horizontal="justify" vertical="top"/>
    </xf>
    <xf numFmtId="0" fontId="24" fillId="14" borderId="49" xfId="0" applyFont="1" applyFill="1" applyBorder="1" applyAlignment="1" applyProtection="1">
      <alignment horizontal="justify" vertical="top"/>
      <protection locked="0"/>
    </xf>
    <xf numFmtId="0" fontId="27" fillId="0" borderId="51" xfId="0" applyFont="1" applyBorder="1" applyAlignment="1">
      <alignment horizontal="center" vertical="center"/>
    </xf>
    <xf numFmtId="0" fontId="30" fillId="0" borderId="47" xfId="0" applyFont="1" applyBorder="1" applyAlignment="1" applyProtection="1">
      <alignment horizontal="center" vertical="top" wrapText="1"/>
      <protection locked="0"/>
    </xf>
    <xf numFmtId="0" fontId="27" fillId="0" borderId="49" xfId="0" applyFont="1" applyBorder="1" applyAlignment="1">
      <alignment horizontal="center" vertical="top"/>
    </xf>
    <xf numFmtId="0" fontId="27" fillId="0" borderId="49" xfId="0" applyFont="1" applyBorder="1" applyAlignment="1" applyProtection="1">
      <alignment horizontal="center" vertical="top" wrapText="1"/>
      <protection locked="0"/>
    </xf>
    <xf numFmtId="0" fontId="27" fillId="0" borderId="49" xfId="0" applyFont="1" applyBorder="1" applyAlignment="1" applyProtection="1">
      <alignment horizontal="center" vertical="top"/>
      <protection locked="0"/>
    </xf>
    <xf numFmtId="14" fontId="27" fillId="0" borderId="49" xfId="0" applyNumberFormat="1" applyFont="1" applyBorder="1" applyAlignment="1" applyProtection="1">
      <alignment horizontal="center" vertical="top"/>
      <protection locked="0"/>
    </xf>
    <xf numFmtId="0" fontId="27" fillId="0" borderId="49" xfId="0" applyFont="1" applyBorder="1" applyAlignment="1" applyProtection="1">
      <alignment horizontal="justify" vertical="top"/>
      <protection locked="0"/>
    </xf>
    <xf numFmtId="0" fontId="24" fillId="0" borderId="48" xfId="0" applyFont="1" applyBorder="1" applyAlignment="1">
      <alignment horizontal="justify" vertical="top"/>
    </xf>
    <xf numFmtId="0" fontId="41" fillId="13" borderId="48" xfId="0" applyFont="1" applyFill="1" applyBorder="1" applyAlignment="1" applyProtection="1">
      <alignment horizontal="justify" vertical="top" wrapText="1"/>
      <protection locked="0"/>
    </xf>
    <xf numFmtId="0" fontId="42" fillId="13" borderId="76" xfId="0" applyFont="1" applyFill="1" applyBorder="1" applyAlignment="1" applyProtection="1">
      <alignment horizontal="justify" vertical="top" wrapText="1"/>
      <protection locked="0"/>
    </xf>
    <xf numFmtId="0" fontId="44" fillId="13" borderId="54" xfId="0" applyFont="1" applyFill="1" applyBorder="1" applyAlignment="1" applyProtection="1">
      <alignment horizontal="justify" vertical="top" wrapText="1"/>
      <protection locked="0"/>
    </xf>
    <xf numFmtId="0" fontId="48" fillId="14" borderId="54" xfId="0" applyFont="1" applyFill="1" applyBorder="1" applyAlignment="1" applyProtection="1">
      <alignment horizontal="justify" vertical="top" textRotation="180" wrapText="1"/>
      <protection locked="0"/>
    </xf>
    <xf numFmtId="0" fontId="48" fillId="14" borderId="54" xfId="0" applyFont="1" applyFill="1" applyBorder="1" applyAlignment="1" applyProtection="1">
      <alignment horizontal="justify" vertical="top" wrapText="1"/>
      <protection locked="0"/>
    </xf>
    <xf numFmtId="0" fontId="24" fillId="14" borderId="77" xfId="0" applyFont="1" applyFill="1" applyBorder="1" applyAlignment="1" applyProtection="1">
      <alignment horizontal="justify" vertical="top" wrapText="1"/>
      <protection locked="0"/>
    </xf>
    <xf numFmtId="0" fontId="24" fillId="14" borderId="48" xfId="0" applyFont="1" applyFill="1" applyBorder="1" applyAlignment="1" applyProtection="1">
      <alignment horizontal="justify" vertical="top"/>
      <protection locked="0"/>
    </xf>
    <xf numFmtId="9" fontId="24" fillId="14" borderId="48" xfId="0" applyNumberFormat="1" applyFont="1" applyFill="1" applyBorder="1" applyAlignment="1" applyProtection="1">
      <alignment horizontal="justify" vertical="top" wrapText="1"/>
      <protection hidden="1"/>
    </xf>
    <xf numFmtId="9" fontId="24" fillId="14" borderId="48" xfId="0" applyNumberFormat="1" applyFont="1" applyFill="1" applyBorder="1" applyAlignment="1" applyProtection="1">
      <alignment horizontal="justify" vertical="top" wrapText="1"/>
      <protection locked="0"/>
    </xf>
    <xf numFmtId="0" fontId="24" fillId="15" borderId="48" xfId="0" applyFont="1" applyFill="1" applyBorder="1" applyAlignment="1" applyProtection="1">
      <alignment horizontal="justify" vertical="top" wrapText="1"/>
      <protection locked="0"/>
    </xf>
    <xf numFmtId="0" fontId="47" fillId="15" borderId="48" xfId="0" applyFont="1" applyFill="1" applyBorder="1" applyAlignment="1" applyProtection="1">
      <alignment horizontal="justify" vertical="top" wrapText="1"/>
      <protection locked="0"/>
    </xf>
    <xf numFmtId="0" fontId="24" fillId="15" borderId="39" xfId="0" applyFont="1" applyFill="1" applyBorder="1" applyAlignment="1" applyProtection="1">
      <alignment horizontal="justify" vertical="top" wrapText="1"/>
      <protection locked="0"/>
    </xf>
    <xf numFmtId="0" fontId="44" fillId="15" borderId="47" xfId="0" applyFont="1" applyFill="1" applyBorder="1" applyAlignment="1" applyProtection="1">
      <alignment horizontal="justify" vertical="top" wrapText="1"/>
      <protection locked="0"/>
    </xf>
    <xf numFmtId="0" fontId="48" fillId="16" borderId="54" xfId="0" applyFont="1" applyFill="1" applyBorder="1" applyAlignment="1" applyProtection="1">
      <alignment horizontal="justify" vertical="top" textRotation="180" wrapText="1"/>
      <protection locked="0"/>
    </xf>
    <xf numFmtId="0" fontId="24" fillId="16" borderId="41" xfId="0" applyFont="1" applyFill="1" applyBorder="1" applyAlignment="1" applyProtection="1">
      <alignment horizontal="justify" vertical="top" wrapText="1"/>
      <protection locked="0"/>
    </xf>
    <xf numFmtId="0" fontId="24" fillId="16" borderId="48" xfId="0" applyFont="1" applyFill="1" applyBorder="1" applyAlignment="1" applyProtection="1">
      <alignment horizontal="justify" vertical="top"/>
      <protection locked="0"/>
    </xf>
    <xf numFmtId="9" fontId="24" fillId="16" borderId="48" xfId="0" applyNumberFormat="1" applyFont="1" applyFill="1" applyBorder="1" applyAlignment="1" applyProtection="1">
      <alignment horizontal="justify" vertical="top" wrapText="1"/>
      <protection hidden="1"/>
    </xf>
    <xf numFmtId="9" fontId="24" fillId="16" borderId="48" xfId="0" applyNumberFormat="1" applyFont="1" applyFill="1" applyBorder="1" applyAlignment="1" applyProtection="1">
      <alignment horizontal="justify" vertical="top" wrapText="1"/>
      <protection locked="0"/>
    </xf>
    <xf numFmtId="0" fontId="48" fillId="17" borderId="54" xfId="0" applyFont="1" applyFill="1" applyBorder="1" applyAlignment="1" applyProtection="1">
      <alignment horizontal="justify" vertical="top" textRotation="180" wrapText="1"/>
      <protection locked="0"/>
    </xf>
    <xf numFmtId="0" fontId="24" fillId="17" borderId="41" xfId="0" applyFont="1" applyFill="1" applyBorder="1" applyAlignment="1" applyProtection="1">
      <alignment horizontal="justify" vertical="top" wrapText="1"/>
      <protection locked="0"/>
    </xf>
    <xf numFmtId="0" fontId="24" fillId="17" borderId="48" xfId="0" applyFont="1" applyFill="1" applyBorder="1" applyAlignment="1" applyProtection="1">
      <alignment horizontal="justify" vertical="top"/>
      <protection locked="0"/>
    </xf>
    <xf numFmtId="9" fontId="24" fillId="17" borderId="48" xfId="0" applyNumberFormat="1" applyFont="1" applyFill="1" applyBorder="1" applyAlignment="1" applyProtection="1">
      <alignment horizontal="justify" vertical="top" wrapText="1"/>
      <protection hidden="1"/>
    </xf>
    <xf numFmtId="9" fontId="24" fillId="17" borderId="48" xfId="0" applyNumberFormat="1" applyFont="1" applyFill="1" applyBorder="1" applyAlignment="1" applyProtection="1">
      <alignment horizontal="justify" vertical="top" wrapText="1"/>
      <protection locked="0"/>
    </xf>
    <xf numFmtId="0" fontId="27" fillId="15" borderId="48" xfId="0" applyFont="1" applyFill="1" applyBorder="1" applyAlignment="1" applyProtection="1">
      <alignment horizontal="center" vertical="top" wrapText="1"/>
      <protection locked="0"/>
    </xf>
    <xf numFmtId="0" fontId="52" fillId="15" borderId="48" xfId="0" applyFont="1" applyFill="1" applyBorder="1" applyAlignment="1" applyProtection="1">
      <alignment horizontal="left" vertical="top" wrapText="1"/>
      <protection locked="0"/>
    </xf>
    <xf numFmtId="0" fontId="53" fillId="15" borderId="39" xfId="0" applyFont="1" applyFill="1" applyBorder="1" applyAlignment="1" applyProtection="1">
      <alignment horizontal="left" vertical="top" wrapText="1"/>
      <protection locked="0"/>
    </xf>
    <xf numFmtId="0" fontId="30" fillId="15" borderId="47" xfId="0" applyFont="1" applyFill="1" applyBorder="1" applyAlignment="1" applyProtection="1">
      <alignment horizontal="left" vertical="top" wrapText="1"/>
      <protection locked="0"/>
    </xf>
    <xf numFmtId="0" fontId="31" fillId="14" borderId="54" xfId="0" applyFont="1" applyFill="1" applyBorder="1" applyAlignment="1" applyProtection="1">
      <alignment horizontal="center" vertical="top" textRotation="180" wrapText="1"/>
      <protection locked="0"/>
    </xf>
    <xf numFmtId="0" fontId="27" fillId="14" borderId="41" xfId="0" applyFont="1" applyFill="1" applyBorder="1" applyAlignment="1" applyProtection="1">
      <alignment horizontal="center" vertical="top" wrapText="1"/>
      <protection locked="0"/>
    </xf>
    <xf numFmtId="0" fontId="27" fillId="14" borderId="48" xfId="0" applyFont="1" applyFill="1" applyBorder="1" applyAlignment="1" applyProtection="1">
      <alignment horizontal="center" vertical="top"/>
      <protection locked="0"/>
    </xf>
    <xf numFmtId="0" fontId="28" fillId="0" borderId="48" xfId="0" applyFont="1" applyBorder="1" applyAlignment="1" applyProtection="1">
      <alignment horizontal="center" vertical="top" textRotation="180" wrapText="1"/>
      <protection hidden="1"/>
    </xf>
    <xf numFmtId="9" fontId="27" fillId="14" borderId="48" xfId="0" applyNumberFormat="1" applyFont="1" applyFill="1" applyBorder="1" applyAlignment="1" applyProtection="1">
      <alignment horizontal="center" vertical="top" wrapText="1"/>
      <protection hidden="1"/>
    </xf>
    <xf numFmtId="9" fontId="27" fillId="14" borderId="48" xfId="0" applyNumberFormat="1" applyFont="1" applyFill="1" applyBorder="1" applyAlignment="1" applyProtection="1">
      <alignment horizontal="center" vertical="top" wrapText="1"/>
      <protection locked="0"/>
    </xf>
    <xf numFmtId="0" fontId="28" fillId="0" borderId="48" xfId="0" applyFont="1" applyBorder="1" applyAlignment="1" applyProtection="1">
      <alignment horizontal="center" vertical="top" textRotation="180"/>
      <protection hidden="1"/>
    </xf>
    <xf numFmtId="0" fontId="27" fillId="0" borderId="65" xfId="0" applyFont="1" applyBorder="1" applyAlignment="1">
      <alignment vertical="center"/>
    </xf>
    <xf numFmtId="0" fontId="26" fillId="0" borderId="48" xfId="0" applyFont="1" applyBorder="1" applyAlignment="1" applyProtection="1">
      <alignment horizontal="center" vertical="top" wrapText="1"/>
      <protection locked="0"/>
    </xf>
    <xf numFmtId="0" fontId="26" fillId="0" borderId="39" xfId="0" applyFont="1" applyBorder="1" applyAlignment="1" applyProtection="1">
      <alignment horizontal="center" vertical="top" wrapText="1"/>
      <protection locked="0"/>
    </xf>
    <xf numFmtId="0" fontId="24" fillId="0" borderId="48" xfId="0" applyFont="1" applyBorder="1" applyAlignment="1" applyProtection="1">
      <alignment vertical="center" wrapText="1"/>
      <protection locked="0"/>
    </xf>
    <xf numFmtId="0" fontId="31" fillId="0" borderId="47" xfId="0" applyFont="1" applyBorder="1" applyAlignment="1" applyProtection="1">
      <alignment horizontal="center" vertical="top" wrapText="1"/>
      <protection locked="0"/>
    </xf>
    <xf numFmtId="0" fontId="26" fillId="0" borderId="41" xfId="0" applyFont="1" applyBorder="1" applyAlignment="1" applyProtection="1">
      <alignment horizontal="center" vertical="top" wrapText="1"/>
      <protection locked="0"/>
    </xf>
    <xf numFmtId="0" fontId="26" fillId="0" borderId="48" xfId="0" applyFont="1" applyBorder="1" applyAlignment="1" applyProtection="1">
      <alignment horizontal="center" vertical="top"/>
      <protection locked="0"/>
    </xf>
    <xf numFmtId="0" fontId="37" fillId="0" borderId="48" xfId="0" applyFont="1" applyBorder="1" applyAlignment="1" applyProtection="1">
      <alignment horizontal="center" vertical="top" wrapText="1"/>
      <protection hidden="1"/>
    </xf>
    <xf numFmtId="9" fontId="26" fillId="0" borderId="48" xfId="0" applyNumberFormat="1" applyFont="1" applyBorder="1" applyAlignment="1" applyProtection="1">
      <alignment horizontal="center" vertical="top" wrapText="1"/>
      <protection hidden="1"/>
    </xf>
    <xf numFmtId="0" fontId="37" fillId="0" borderId="48" xfId="0" applyFont="1" applyBorder="1" applyAlignment="1" applyProtection="1">
      <alignment horizontal="center" vertical="top"/>
      <protection hidden="1"/>
    </xf>
    <xf numFmtId="0" fontId="24" fillId="0" borderId="49" xfId="0" applyFont="1" applyBorder="1" applyAlignment="1" applyProtection="1">
      <alignment horizontal="center" vertical="top" wrapText="1"/>
      <protection locked="0"/>
    </xf>
    <xf numFmtId="0" fontId="26" fillId="0" borderId="49" xfId="0" applyFont="1" applyBorder="1" applyAlignment="1" applyProtection="1">
      <alignment horizontal="center" vertical="top" wrapText="1"/>
      <protection locked="0"/>
    </xf>
    <xf numFmtId="14" fontId="26" fillId="0" borderId="49" xfId="0" applyNumberFormat="1" applyFont="1" applyBorder="1" applyAlignment="1" applyProtection="1">
      <alignment horizontal="center" vertical="top" wrapText="1"/>
      <protection locked="0"/>
    </xf>
    <xf numFmtId="0" fontId="26" fillId="0" borderId="45" xfId="0" applyFont="1" applyBorder="1" applyAlignment="1" applyProtection="1">
      <alignment horizontal="center" vertical="top"/>
      <protection locked="0"/>
    </xf>
    <xf numFmtId="0" fontId="15" fillId="7" borderId="38" xfId="0" applyFont="1" applyFill="1" applyBorder="1" applyAlignment="1">
      <alignment vertical="center" wrapText="1"/>
    </xf>
    <xf numFmtId="0" fontId="26" fillId="0" borderId="51" xfId="0" applyFont="1" applyBorder="1" applyAlignment="1" applyProtection="1">
      <alignment horizontal="center" vertical="top" wrapText="1"/>
      <protection locked="0"/>
    </xf>
    <xf numFmtId="0" fontId="26" fillId="0" borderId="52" xfId="0" applyFont="1" applyBorder="1" applyAlignment="1" applyProtection="1">
      <alignment horizontal="center" vertical="top" wrapText="1"/>
      <protection locked="0"/>
    </xf>
    <xf numFmtId="0" fontId="24" fillId="0" borderId="51" xfId="0" applyFont="1" applyBorder="1" applyAlignment="1" applyProtection="1">
      <alignment vertical="center" wrapText="1"/>
      <protection locked="0"/>
    </xf>
    <xf numFmtId="0" fontId="31" fillId="0" borderId="55" xfId="0" applyFont="1" applyBorder="1" applyAlignment="1" applyProtection="1">
      <alignment horizontal="center" vertical="top" wrapText="1"/>
      <protection locked="0"/>
    </xf>
    <xf numFmtId="0" fontId="26" fillId="0" borderId="53" xfId="0" applyFont="1" applyBorder="1" applyAlignment="1" applyProtection="1">
      <alignment horizontal="center" vertical="top" wrapText="1"/>
      <protection locked="0"/>
    </xf>
    <xf numFmtId="9" fontId="26" fillId="0" borderId="51" xfId="0" applyNumberFormat="1" applyFont="1" applyBorder="1" applyAlignment="1" applyProtection="1">
      <alignment horizontal="center" vertical="top" wrapText="1"/>
      <protection hidden="1"/>
    </xf>
    <xf numFmtId="0" fontId="27" fillId="0" borderId="45" xfId="0" applyFont="1" applyBorder="1" applyAlignment="1" applyProtection="1">
      <alignment horizontal="center" vertical="top"/>
      <protection locked="0"/>
    </xf>
    <xf numFmtId="0" fontId="15" fillId="7" borderId="38" xfId="0" applyFont="1" applyFill="1" applyBorder="1"/>
    <xf numFmtId="0" fontId="27" fillId="0" borderId="48" xfId="0" applyFont="1" applyBorder="1" applyAlignment="1" applyProtection="1">
      <alignment horizontal="center" vertical="top" wrapText="1"/>
      <protection locked="0"/>
    </xf>
    <xf numFmtId="0" fontId="27" fillId="0" borderId="39" xfId="0" applyFont="1" applyBorder="1" applyAlignment="1" applyProtection="1">
      <alignment horizontal="center" vertical="top" wrapText="1"/>
      <protection locked="0"/>
    </xf>
    <xf numFmtId="0" fontId="27" fillId="0" borderId="47" xfId="0" applyFont="1" applyBorder="1" applyAlignment="1" applyProtection="1">
      <alignment horizontal="center" vertical="top" wrapText="1"/>
      <protection locked="0"/>
    </xf>
    <xf numFmtId="0" fontId="58" fillId="0" borderId="47" xfId="0" applyFont="1" applyBorder="1" applyAlignment="1" applyProtection="1">
      <alignment horizontal="center" vertical="top" wrapText="1"/>
      <protection locked="0"/>
    </xf>
    <xf numFmtId="0" fontId="27" fillId="0" borderId="41" xfId="0" applyFont="1" applyBorder="1" applyAlignment="1" applyProtection="1">
      <alignment horizontal="center" vertical="top" wrapText="1"/>
      <protection locked="0"/>
    </xf>
    <xf numFmtId="0" fontId="28" fillId="0" borderId="48" xfId="0" applyFont="1" applyBorder="1" applyAlignment="1" applyProtection="1">
      <alignment horizontal="center" vertical="top" wrapText="1"/>
      <protection hidden="1"/>
    </xf>
    <xf numFmtId="9" fontId="27" fillId="0" borderId="48" xfId="0" applyNumberFormat="1" applyFont="1" applyBorder="1" applyAlignment="1" applyProtection="1">
      <alignment horizontal="center" vertical="top" wrapText="1"/>
      <protection locked="0"/>
    </xf>
    <xf numFmtId="0" fontId="28" fillId="0" borderId="48" xfId="0" applyFont="1" applyBorder="1" applyAlignment="1" applyProtection="1">
      <alignment horizontal="center" vertical="top"/>
      <protection hidden="1"/>
    </xf>
    <xf numFmtId="0" fontId="15" fillId="7" borderId="38" xfId="0" applyFont="1" applyFill="1" applyBorder="1" applyAlignment="1">
      <alignment wrapText="1"/>
    </xf>
    <xf numFmtId="0" fontId="24" fillId="0" borderId="47" xfId="0" applyFont="1" applyBorder="1" applyAlignment="1" applyProtection="1">
      <alignment horizontal="center" vertical="top" wrapText="1"/>
      <protection locked="0"/>
    </xf>
    <xf numFmtId="0" fontId="31" fillId="0" borderId="54" xfId="0" applyFont="1" applyBorder="1" applyAlignment="1" applyProtection="1">
      <alignment horizontal="center" vertical="center" wrapText="1"/>
      <protection locked="0"/>
    </xf>
    <xf numFmtId="0" fontId="30" fillId="0" borderId="54" xfId="0" applyFont="1" applyBorder="1" applyAlignment="1" applyProtection="1">
      <alignment horizontal="center" vertical="center" wrapText="1"/>
      <protection locked="0"/>
    </xf>
    <xf numFmtId="0" fontId="59" fillId="0" borderId="39" xfId="0" applyFont="1" applyBorder="1" applyAlignment="1" applyProtection="1">
      <alignment vertical="center" wrapText="1"/>
      <protection locked="0"/>
    </xf>
    <xf numFmtId="0" fontId="27" fillId="0" borderId="38" xfId="0" applyFont="1" applyBorder="1" applyAlignment="1" applyProtection="1">
      <alignment vertical="center" wrapText="1"/>
      <protection locked="0"/>
    </xf>
    <xf numFmtId="14" fontId="27" fillId="0" borderId="38" xfId="0" applyNumberFormat="1" applyFont="1" applyBorder="1" applyAlignment="1" applyProtection="1">
      <alignment vertical="center" wrapText="1"/>
      <protection locked="0"/>
    </xf>
    <xf numFmtId="0" fontId="27" fillId="0" borderId="38" xfId="0" applyFont="1" applyBorder="1" applyAlignment="1" applyProtection="1">
      <alignment vertical="top" wrapText="1"/>
      <protection locked="0"/>
    </xf>
    <xf numFmtId="0" fontId="27" fillId="0" borderId="38" xfId="0" applyFont="1" applyBorder="1" applyAlignment="1" applyProtection="1">
      <alignment vertical="top"/>
      <protection locked="0"/>
    </xf>
    <xf numFmtId="0" fontId="15" fillId="7" borderId="38" xfId="0" applyFont="1" applyFill="1" applyBorder="1" applyAlignment="1">
      <alignment horizontal="left" vertical="center" wrapText="1"/>
    </xf>
    <xf numFmtId="0" fontId="26" fillId="0" borderId="45" xfId="0" applyFont="1" applyBorder="1" applyAlignment="1" applyProtection="1">
      <alignment horizontal="center" vertical="top" textRotation="90"/>
      <protection locked="0"/>
    </xf>
    <xf numFmtId="164" fontId="27" fillId="0" borderId="38" xfId="16" applyNumberFormat="1" applyFont="1" applyBorder="1" applyAlignment="1">
      <alignment horizontal="center" vertical="top"/>
    </xf>
    <xf numFmtId="0" fontId="37" fillId="0" borderId="38" xfId="0" applyFont="1" applyBorder="1" applyAlignment="1" applyProtection="1">
      <alignment horizontal="center" vertical="top" textRotation="90" wrapText="1"/>
      <protection hidden="1"/>
    </xf>
    <xf numFmtId="9" fontId="26" fillId="0" borderId="38" xfId="0" applyNumberFormat="1" applyFont="1" applyBorder="1" applyAlignment="1" applyProtection="1">
      <alignment horizontal="center" vertical="top"/>
      <protection hidden="1"/>
    </xf>
    <xf numFmtId="0" fontId="37" fillId="0" borderId="38" xfId="0" applyFont="1" applyBorder="1" applyAlignment="1" applyProtection="1">
      <alignment horizontal="center" vertical="top" textRotation="90"/>
      <protection hidden="1"/>
    </xf>
    <xf numFmtId="0" fontId="26" fillId="0" borderId="38" xfId="0" applyFont="1" applyBorder="1" applyAlignment="1" applyProtection="1">
      <alignment horizontal="center" vertical="top" textRotation="90"/>
      <protection locked="0"/>
    </xf>
    <xf numFmtId="0" fontId="24" fillId="0" borderId="38" xfId="0" applyFont="1" applyBorder="1" applyAlignment="1" applyProtection="1">
      <alignment vertical="top" wrapText="1"/>
      <protection locked="0"/>
    </xf>
    <xf numFmtId="0" fontId="27" fillId="0" borderId="76" xfId="0" applyFont="1" applyBorder="1" applyAlignment="1" applyProtection="1">
      <alignment horizontal="center" vertical="top" wrapText="1"/>
      <protection locked="0"/>
    </xf>
    <xf numFmtId="0" fontId="28" fillId="6" borderId="45" xfId="0" applyFont="1" applyFill="1" applyBorder="1" applyAlignment="1">
      <alignment vertical="center"/>
    </xf>
    <xf numFmtId="0" fontId="28" fillId="6" borderId="46" xfId="0" applyFont="1" applyFill="1" applyBorder="1" applyAlignment="1">
      <alignment vertical="center"/>
    </xf>
    <xf numFmtId="0" fontId="28" fillId="6" borderId="43" xfId="0" applyFont="1" applyFill="1" applyBorder="1" applyAlignment="1">
      <alignment vertical="center"/>
    </xf>
    <xf numFmtId="0" fontId="28" fillId="6" borderId="44" xfId="0" applyFont="1" applyFill="1" applyBorder="1" applyAlignment="1">
      <alignment vertical="center"/>
    </xf>
    <xf numFmtId="0" fontId="28" fillId="6" borderId="42" xfId="0" applyFont="1" applyFill="1" applyBorder="1" applyAlignment="1">
      <alignment vertical="center"/>
    </xf>
    <xf numFmtId="0" fontId="28" fillId="7" borderId="38" xfId="0" applyFont="1" applyFill="1" applyBorder="1" applyAlignment="1">
      <alignment horizontal="center" vertical="center"/>
    </xf>
    <xf numFmtId="0" fontId="26" fillId="7" borderId="47" xfId="0" applyFont="1" applyFill="1" applyBorder="1" applyAlignment="1">
      <alignment vertical="center" wrapText="1"/>
    </xf>
    <xf numFmtId="0" fontId="26" fillId="0" borderId="49" xfId="0" applyFont="1" applyBorder="1" applyAlignment="1">
      <alignment horizontal="center" vertical="top"/>
    </xf>
    <xf numFmtId="0" fontId="26" fillId="0" borderId="49" xfId="0" applyFont="1" applyBorder="1" applyAlignment="1" applyProtection="1">
      <alignment horizontal="justify" vertical="top" wrapText="1"/>
      <protection locked="0"/>
    </xf>
    <xf numFmtId="0" fontId="26" fillId="0" borderId="49" xfId="0" applyFont="1" applyBorder="1" applyAlignment="1" applyProtection="1">
      <alignment horizontal="center" vertical="top"/>
      <protection hidden="1"/>
    </xf>
    <xf numFmtId="164" fontId="26" fillId="0" borderId="49" xfId="16" applyNumberFormat="1" applyFont="1" applyBorder="1" applyAlignment="1">
      <alignment horizontal="center" vertical="top"/>
    </xf>
    <xf numFmtId="0" fontId="26" fillId="7" borderId="49" xfId="0" applyFont="1" applyFill="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14" fontId="26" fillId="0" borderId="49" xfId="0" applyNumberFormat="1"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30" fillId="7" borderId="38" xfId="0" applyFont="1" applyFill="1" applyBorder="1" applyAlignment="1">
      <alignment vertical="center" wrapText="1"/>
    </xf>
    <xf numFmtId="0" fontId="26" fillId="0" borderId="48" xfId="0" applyFont="1" applyBorder="1" applyAlignment="1" applyProtection="1">
      <alignment vertical="top"/>
      <protection hidden="1"/>
    </xf>
    <xf numFmtId="0" fontId="26" fillId="0" borderId="48" xfId="0" applyFont="1" applyBorder="1" applyAlignment="1" applyProtection="1">
      <alignment vertical="top" textRotation="90"/>
      <protection locked="0"/>
    </xf>
    <xf numFmtId="9" fontId="26" fillId="0" borderId="48" xfId="0" applyNumberFormat="1" applyFont="1" applyBorder="1" applyAlignment="1" applyProtection="1">
      <alignment vertical="top"/>
      <protection hidden="1"/>
    </xf>
    <xf numFmtId="0" fontId="26" fillId="7" borderId="48" xfId="0" applyFont="1" applyFill="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14" fontId="26" fillId="0" borderId="48" xfId="0" applyNumberFormat="1"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27" fillId="7" borderId="38" xfId="0" applyFont="1" applyFill="1" applyBorder="1" applyAlignment="1">
      <alignment vertical="center" wrapText="1"/>
    </xf>
    <xf numFmtId="0" fontId="27" fillId="7" borderId="83" xfId="0" applyFont="1" applyFill="1" applyBorder="1" applyAlignment="1">
      <alignment horizontal="left" vertical="center" wrapText="1"/>
    </xf>
    <xf numFmtId="0" fontId="26" fillId="0" borderId="47" xfId="0" applyFont="1" applyBorder="1" applyAlignment="1" applyProtection="1">
      <alignment horizontal="left" vertical="top" wrapText="1"/>
      <protection locked="0"/>
    </xf>
    <xf numFmtId="0" fontId="26" fillId="7" borderId="47" xfId="0" applyFont="1" applyFill="1" applyBorder="1" applyAlignment="1" applyProtection="1">
      <alignment horizontal="center" vertical="top" wrapText="1"/>
      <protection locked="0"/>
    </xf>
    <xf numFmtId="0" fontId="26" fillId="7" borderId="49" xfId="0" applyFont="1" applyFill="1" applyBorder="1" applyAlignment="1" applyProtection="1">
      <alignment horizontal="justify" vertical="top" wrapText="1"/>
      <protection locked="0"/>
    </xf>
    <xf numFmtId="0" fontId="26" fillId="7" borderId="47" xfId="0" applyFont="1" applyFill="1" applyBorder="1" applyAlignment="1" applyProtection="1">
      <alignment horizontal="left" vertical="top" wrapText="1"/>
      <protection locked="0"/>
    </xf>
    <xf numFmtId="0" fontId="26" fillId="20" borderId="47" xfId="0" applyFont="1" applyFill="1" applyBorder="1" applyAlignment="1" applyProtection="1">
      <alignment horizontal="left" vertical="top" wrapText="1"/>
      <protection locked="0"/>
    </xf>
    <xf numFmtId="0" fontId="26" fillId="20" borderId="49" xfId="0" applyFont="1" applyFill="1" applyBorder="1" applyAlignment="1" applyProtection="1">
      <alignment horizontal="justify" vertical="top"/>
      <protection locked="0"/>
    </xf>
    <xf numFmtId="0" fontId="27" fillId="7" borderId="38" xfId="0" applyFont="1" applyFill="1" applyBorder="1" applyAlignment="1">
      <alignment horizontal="left" vertical="center" wrapText="1"/>
    </xf>
    <xf numFmtId="0" fontId="26" fillId="0" borderId="47" xfId="0" applyFont="1" applyBorder="1" applyAlignment="1" applyProtection="1">
      <alignment horizontal="center" vertical="top" wrapText="1"/>
      <protection locked="0"/>
    </xf>
    <xf numFmtId="9" fontId="27" fillId="0" borderId="48" xfId="0" applyNumberFormat="1" applyFont="1" applyBorder="1" applyAlignment="1" applyProtection="1">
      <alignment vertical="top" wrapText="1"/>
      <protection locked="0"/>
    </xf>
    <xf numFmtId="0" fontId="63" fillId="7" borderId="0" xfId="0" applyFont="1" applyFill="1" applyAlignment="1">
      <alignment horizontal="center" vertical="center"/>
    </xf>
    <xf numFmtId="0" fontId="63" fillId="7" borderId="0" xfId="0" applyFont="1" applyFill="1" applyAlignment="1">
      <alignment horizontal="left" vertical="center"/>
    </xf>
    <xf numFmtId="0" fontId="63" fillId="7" borderId="0" xfId="0" applyFont="1" applyFill="1"/>
    <xf numFmtId="0" fontId="63" fillId="7" borderId="0" xfId="0" applyFont="1" applyFill="1" applyAlignment="1">
      <alignment horizontal="center"/>
    </xf>
    <xf numFmtId="0" fontId="18" fillId="6" borderId="51" xfId="0" applyFont="1" applyFill="1" applyBorder="1" applyAlignment="1">
      <alignment horizontal="center" vertical="center"/>
    </xf>
    <xf numFmtId="0" fontId="18" fillId="6" borderId="49" xfId="0" applyFont="1" applyFill="1" applyBorder="1" applyAlignment="1">
      <alignment horizontal="center" vertical="center" textRotation="90"/>
    </xf>
    <xf numFmtId="0" fontId="63" fillId="0" borderId="48" xfId="0" applyFont="1" applyBorder="1" applyAlignment="1" applyProtection="1">
      <alignment horizontal="center" vertical="center" wrapText="1"/>
      <protection locked="0"/>
    </xf>
    <xf numFmtId="0" fontId="64" fillId="0" borderId="48" xfId="0" applyFont="1" applyBorder="1" applyAlignment="1" applyProtection="1">
      <alignment horizontal="center" vertical="center" wrapText="1"/>
      <protection locked="0"/>
    </xf>
    <xf numFmtId="0" fontId="63" fillId="0" borderId="49" xfId="0" applyFont="1" applyBorder="1" applyAlignment="1">
      <alignment horizontal="center" vertical="center"/>
    </xf>
    <xf numFmtId="0" fontId="63" fillId="0" borderId="49" xfId="0" applyFont="1" applyBorder="1" applyAlignment="1" applyProtection="1">
      <alignment horizontal="justify" vertical="center" wrapText="1"/>
      <protection locked="0"/>
    </xf>
    <xf numFmtId="0" fontId="65" fillId="0" borderId="49" xfId="0" applyFont="1" applyBorder="1" applyAlignment="1" applyProtection="1">
      <alignment horizontal="center" vertical="center"/>
      <protection hidden="1"/>
    </xf>
    <xf numFmtId="0" fontId="63" fillId="0" borderId="49" xfId="0" applyFont="1" applyBorder="1" applyAlignment="1" applyProtection="1">
      <alignment horizontal="center" vertical="center" textRotation="90"/>
      <protection locked="0"/>
    </xf>
    <xf numFmtId="9" fontId="63" fillId="0" borderId="49" xfId="0" applyNumberFormat="1" applyFont="1" applyBorder="1" applyAlignment="1" applyProtection="1">
      <alignment horizontal="center" vertical="center"/>
      <protection hidden="1"/>
    </xf>
    <xf numFmtId="164" fontId="63" fillId="0" borderId="49" xfId="16" applyNumberFormat="1" applyFont="1" applyFill="1" applyBorder="1" applyAlignment="1">
      <alignment horizontal="center" vertical="center"/>
    </xf>
    <xf numFmtId="0" fontId="18" fillId="0" borderId="49" xfId="0" applyFont="1" applyBorder="1" applyAlignment="1" applyProtection="1">
      <alignment horizontal="center" vertical="center" textRotation="90" wrapText="1"/>
      <protection hidden="1"/>
    </xf>
    <xf numFmtId="9" fontId="63" fillId="0" borderId="48" xfId="0" applyNumberFormat="1" applyFont="1" applyBorder="1" applyAlignment="1" applyProtection="1">
      <alignment horizontal="center" vertical="center"/>
      <protection hidden="1"/>
    </xf>
    <xf numFmtId="0" fontId="18" fillId="0" borderId="49" xfId="0" applyFont="1" applyBorder="1" applyAlignment="1" applyProtection="1">
      <alignment horizontal="center" vertical="center" textRotation="90"/>
      <protection hidden="1"/>
    </xf>
    <xf numFmtId="0" fontId="63" fillId="0" borderId="48" xfId="0" applyFont="1" applyBorder="1" applyAlignment="1" applyProtection="1">
      <alignment horizontal="center" vertical="center" textRotation="90"/>
      <protection locked="0"/>
    </xf>
    <xf numFmtId="0" fontId="63" fillId="0" borderId="0" xfId="0" applyFont="1" applyAlignment="1">
      <alignment horizontal="justify" vertical="center"/>
    </xf>
    <xf numFmtId="9" fontId="63" fillId="0" borderId="51" xfId="0" applyNumberFormat="1" applyFont="1" applyBorder="1" applyAlignment="1" applyProtection="1">
      <alignment horizontal="center" vertical="center" wrapText="1"/>
      <protection hidden="1"/>
    </xf>
    <xf numFmtId="9" fontId="63" fillId="0" borderId="48" xfId="0" applyNumberFormat="1" applyFont="1" applyBorder="1" applyAlignment="1" applyProtection="1">
      <alignment vertical="center"/>
      <protection hidden="1"/>
    </xf>
    <xf numFmtId="0" fontId="63" fillId="0" borderId="48" xfId="0" applyFont="1" applyBorder="1" applyAlignment="1" applyProtection="1">
      <alignment vertical="center" wrapText="1"/>
      <protection locked="0"/>
    </xf>
    <xf numFmtId="0" fontId="65" fillId="0" borderId="48" xfId="0" applyFont="1" applyBorder="1" applyAlignment="1" applyProtection="1">
      <alignment vertical="center" wrapText="1"/>
      <protection locked="0"/>
    </xf>
    <xf numFmtId="0" fontId="63" fillId="0" borderId="48" xfId="0" applyFont="1" applyBorder="1" applyAlignment="1" applyProtection="1">
      <alignment vertical="center" textRotation="90"/>
      <protection locked="0"/>
    </xf>
    <xf numFmtId="0" fontId="18" fillId="0" borderId="48" xfId="0" applyFont="1" applyBorder="1" applyAlignment="1" applyProtection="1">
      <alignment vertical="center" textRotation="90" wrapText="1"/>
      <protection hidden="1"/>
    </xf>
    <xf numFmtId="0" fontId="18" fillId="0" borderId="48" xfId="0" applyFont="1" applyBorder="1" applyAlignment="1" applyProtection="1">
      <alignment vertical="center" textRotation="90"/>
      <protection hidden="1"/>
    </xf>
    <xf numFmtId="0" fontId="63" fillId="0" borderId="50" xfId="0" applyFont="1" applyBorder="1" applyAlignment="1" applyProtection="1">
      <alignment vertical="center" wrapText="1"/>
      <protection locked="0"/>
    </xf>
    <xf numFmtId="0" fontId="26" fillId="7" borderId="47" xfId="0" applyFont="1" applyFill="1" applyBorder="1" applyAlignment="1">
      <alignment horizontal="left" vertical="center" wrapText="1"/>
    </xf>
    <xf numFmtId="0" fontId="26" fillId="0" borderId="49" xfId="0" applyFont="1" applyBorder="1" applyAlignment="1" applyProtection="1">
      <alignment horizontal="left" vertical="top" wrapText="1"/>
      <protection locked="0"/>
    </xf>
    <xf numFmtId="0" fontId="26" fillId="0" borderId="49" xfId="0" applyFont="1" applyBorder="1" applyAlignment="1" applyProtection="1">
      <alignment horizontal="center" vertical="top"/>
      <protection locked="0"/>
    </xf>
    <xf numFmtId="14" fontId="26" fillId="0" borderId="49" xfId="0" applyNumberFormat="1" applyFont="1" applyBorder="1" applyAlignment="1" applyProtection="1">
      <alignment horizontal="center" vertical="top"/>
      <protection locked="0"/>
    </xf>
    <xf numFmtId="0" fontId="27" fillId="0" borderId="49" xfId="0" applyFont="1" applyBorder="1" applyAlignment="1" applyProtection="1">
      <alignment horizontal="left" vertical="top" wrapText="1"/>
      <protection locked="0"/>
    </xf>
    <xf numFmtId="14" fontId="27" fillId="0" borderId="49" xfId="0" applyNumberFormat="1" applyFont="1" applyBorder="1" applyAlignment="1" applyProtection="1">
      <alignment horizontal="center" vertical="top" wrapText="1"/>
      <protection locked="0"/>
    </xf>
    <xf numFmtId="0" fontId="28" fillId="7" borderId="47" xfId="0" applyFont="1" applyFill="1" applyBorder="1" applyAlignment="1">
      <alignment horizontal="center" vertical="center" wrapText="1"/>
    </xf>
    <xf numFmtId="0" fontId="26" fillId="0" borderId="48" xfId="0" applyFont="1" applyBorder="1" applyAlignment="1" applyProtection="1">
      <alignment horizontal="center" vertical="center" textRotation="90"/>
      <protection locked="0"/>
    </xf>
    <xf numFmtId="0" fontId="37" fillId="0" borderId="47" xfId="0" applyFont="1" applyBorder="1" applyAlignment="1" applyProtection="1">
      <alignment horizontal="center" vertical="center" wrapText="1"/>
      <protection locked="0"/>
    </xf>
    <xf numFmtId="0" fontId="67" fillId="22" borderId="0" xfId="0" applyFont="1" applyFill="1" applyAlignment="1">
      <alignment horizontal="center" vertical="center"/>
    </xf>
    <xf numFmtId="0" fontId="67" fillId="22" borderId="0" xfId="0" applyFont="1" applyFill="1" applyAlignment="1">
      <alignment horizontal="left" vertical="center"/>
    </xf>
    <xf numFmtId="0" fontId="67" fillId="22" borderId="0" xfId="0" applyFont="1" applyFill="1"/>
    <xf numFmtId="0" fontId="67" fillId="22" borderId="0" xfId="0" applyFont="1" applyFill="1" applyAlignment="1">
      <alignment horizontal="center"/>
    </xf>
    <xf numFmtId="0" fontId="70" fillId="21" borderId="93" xfId="0" applyFont="1" applyFill="1" applyBorder="1" applyAlignment="1">
      <alignment horizontal="center" vertical="center"/>
    </xf>
    <xf numFmtId="0" fontId="70" fillId="21" borderId="89" xfId="0" applyFont="1" applyFill="1" applyBorder="1" applyAlignment="1">
      <alignment horizontal="center" vertical="center" textRotation="90"/>
    </xf>
    <xf numFmtId="0" fontId="67" fillId="22" borderId="89" xfId="0" applyFont="1" applyFill="1" applyBorder="1" applyAlignment="1">
      <alignment vertical="center" wrapText="1"/>
    </xf>
    <xf numFmtId="0" fontId="67" fillId="0" borderId="89" xfId="0" applyFont="1" applyBorder="1" applyAlignment="1">
      <alignment horizontal="center" vertical="top"/>
    </xf>
    <xf numFmtId="0" fontId="74" fillId="0" borderId="89" xfId="0" applyFont="1" applyBorder="1" applyAlignment="1" applyProtection="1">
      <alignment horizontal="justify" vertical="center" wrapText="1"/>
      <protection locked="0"/>
    </xf>
    <xf numFmtId="0" fontId="67" fillId="0" borderId="89" xfId="0" applyFont="1" applyBorder="1" applyAlignment="1" applyProtection="1">
      <alignment horizontal="center" vertical="center"/>
      <protection hidden="1"/>
    </xf>
    <xf numFmtId="0" fontId="69" fillId="0" borderId="89" xfId="0" applyFont="1" applyBorder="1" applyAlignment="1" applyProtection="1">
      <alignment horizontal="center" vertical="center" textRotation="90"/>
      <protection locked="0"/>
    </xf>
    <xf numFmtId="9" fontId="69" fillId="0" borderId="89" xfId="0" applyNumberFormat="1" applyFont="1" applyBorder="1" applyAlignment="1" applyProtection="1">
      <alignment horizontal="center" vertical="center"/>
      <protection hidden="1"/>
    </xf>
    <xf numFmtId="164" fontId="67" fillId="0" borderId="89" xfId="11" applyNumberFormat="1" applyFont="1" applyBorder="1" applyAlignment="1" applyProtection="1">
      <alignment horizontal="center" vertical="top"/>
    </xf>
    <xf numFmtId="0" fontId="73" fillId="0" borderId="89" xfId="0" applyFont="1" applyBorder="1" applyAlignment="1" applyProtection="1">
      <alignment horizontal="center" vertical="top" textRotation="90" wrapText="1"/>
      <protection hidden="1"/>
    </xf>
    <xf numFmtId="9" fontId="69" fillId="0" borderId="92" xfId="0" applyNumberFormat="1" applyFont="1" applyBorder="1" applyAlignment="1" applyProtection="1">
      <alignment horizontal="center" vertical="top"/>
      <protection hidden="1"/>
    </xf>
    <xf numFmtId="0" fontId="73" fillId="0" borderId="89" xfId="0" applyFont="1" applyBorder="1" applyAlignment="1" applyProtection="1">
      <alignment horizontal="center" vertical="top" textRotation="90"/>
      <protection hidden="1"/>
    </xf>
    <xf numFmtId="0" fontId="67" fillId="22" borderId="89" xfId="0" applyFont="1" applyFill="1" applyBorder="1" applyAlignment="1" applyProtection="1">
      <alignment vertical="center" wrapText="1"/>
      <protection locked="0"/>
    </xf>
    <xf numFmtId="0" fontId="67" fillId="0" borderId="89" xfId="0" applyFont="1" applyBorder="1" applyAlignment="1" applyProtection="1">
      <alignment horizontal="center" vertical="center" wrapText="1"/>
      <protection locked="0"/>
    </xf>
    <xf numFmtId="14" fontId="67" fillId="0" borderId="92" xfId="0" applyNumberFormat="1" applyFont="1" applyBorder="1" applyAlignment="1" applyProtection="1">
      <alignment vertical="center" wrapText="1"/>
      <protection locked="0"/>
    </xf>
    <xf numFmtId="0" fontId="48" fillId="0" borderId="89" xfId="0" applyFont="1" applyBorder="1" applyAlignment="1" applyProtection="1">
      <alignment horizontal="justify" vertical="center" wrapText="1"/>
      <protection locked="0"/>
    </xf>
    <xf numFmtId="0" fontId="67" fillId="22" borderId="92" xfId="0" applyFont="1" applyFill="1" applyBorder="1" applyAlignment="1" applyProtection="1">
      <alignment vertical="center" wrapText="1"/>
      <protection locked="0"/>
    </xf>
    <xf numFmtId="14" fontId="69" fillId="0" borderId="92" xfId="0" applyNumberFormat="1" applyFont="1" applyBorder="1" applyAlignment="1" applyProtection="1">
      <alignment vertical="center" wrapText="1"/>
      <protection locked="0"/>
    </xf>
    <xf numFmtId="0" fontId="69" fillId="22" borderId="89" xfId="0" applyFont="1" applyFill="1" applyBorder="1" applyAlignment="1" applyProtection="1">
      <alignment horizontal="center" vertical="top" wrapText="1"/>
      <protection locked="0"/>
    </xf>
    <xf numFmtId="0" fontId="67" fillId="0" borderId="89" xfId="0" applyFont="1" applyBorder="1" applyAlignment="1" applyProtection="1">
      <alignment horizontal="center" vertical="top"/>
      <protection hidden="1"/>
    </xf>
    <xf numFmtId="9" fontId="69" fillId="0" borderId="89" xfId="0" applyNumberFormat="1" applyFont="1" applyBorder="1" applyAlignment="1" applyProtection="1">
      <alignment horizontal="center" vertical="top"/>
      <protection hidden="1"/>
    </xf>
    <xf numFmtId="0" fontId="69" fillId="0" borderId="92" xfId="0" applyFont="1" applyBorder="1" applyAlignment="1" applyProtection="1">
      <alignment horizontal="center" vertical="top" textRotation="90"/>
      <protection locked="0"/>
    </xf>
    <xf numFmtId="0" fontId="67" fillId="0" borderId="89" xfId="0" applyFont="1" applyBorder="1" applyAlignment="1" applyProtection="1">
      <alignment horizontal="center" vertical="top" wrapText="1"/>
      <protection locked="0"/>
    </xf>
    <xf numFmtId="0" fontId="67" fillId="0" borderId="89" xfId="0" applyFont="1" applyBorder="1" applyAlignment="1" applyProtection="1">
      <alignment horizontal="center" vertical="top"/>
      <protection locked="0"/>
    </xf>
    <xf numFmtId="14" fontId="67" fillId="0" borderId="89" xfId="0" applyNumberFormat="1" applyFont="1" applyBorder="1" applyAlignment="1" applyProtection="1">
      <alignment horizontal="center" vertical="top"/>
      <protection locked="0"/>
    </xf>
    <xf numFmtId="14" fontId="67" fillId="0" borderId="89" xfId="0" applyNumberFormat="1" applyFont="1" applyBorder="1" applyAlignment="1" applyProtection="1">
      <alignment horizontal="center" vertical="top" wrapText="1"/>
      <protection locked="0"/>
    </xf>
    <xf numFmtId="0" fontId="30" fillId="0" borderId="89" xfId="0" applyFont="1" applyBorder="1" applyAlignment="1" applyProtection="1">
      <alignment horizontal="justify" vertical="center" wrapText="1"/>
      <protection locked="0"/>
    </xf>
    <xf numFmtId="164" fontId="67" fillId="0" borderId="89" xfId="11" applyNumberFormat="1" applyFont="1" applyBorder="1" applyAlignment="1" applyProtection="1">
      <alignment horizontal="center" vertical="center"/>
    </xf>
    <xf numFmtId="0" fontId="73" fillId="0" borderId="89" xfId="0" applyFont="1" applyBorder="1" applyAlignment="1" applyProtection="1">
      <alignment horizontal="center" vertical="center" textRotation="90" wrapText="1"/>
      <protection hidden="1"/>
    </xf>
    <xf numFmtId="9" fontId="69" fillId="0" borderId="92" xfId="0" applyNumberFormat="1" applyFont="1" applyBorder="1" applyAlignment="1" applyProtection="1">
      <alignment horizontal="center" vertical="center"/>
      <protection hidden="1"/>
    </xf>
    <xf numFmtId="0" fontId="73" fillId="0" borderId="89" xfId="0" applyFont="1" applyBorder="1" applyAlignment="1" applyProtection="1">
      <alignment horizontal="center" vertical="center" textRotation="90"/>
      <protection hidden="1"/>
    </xf>
    <xf numFmtId="0" fontId="30" fillId="0" borderId="89" xfId="0" applyFont="1" applyBorder="1" applyAlignment="1" applyProtection="1">
      <alignment horizontal="left" vertical="center" wrapText="1"/>
      <protection locked="0"/>
    </xf>
    <xf numFmtId="0" fontId="69" fillId="0" borderId="89" xfId="0" applyFont="1" applyBorder="1" applyAlignment="1" applyProtection="1">
      <alignment horizontal="center" vertical="top" textRotation="90"/>
      <protection locked="0"/>
    </xf>
    <xf numFmtId="0" fontId="67" fillId="0" borderId="89" xfId="0" applyFont="1" applyBorder="1" applyAlignment="1" applyProtection="1">
      <alignment vertical="top" wrapText="1"/>
      <protection locked="0"/>
    </xf>
    <xf numFmtId="0" fontId="48" fillId="0" borderId="92" xfId="0" applyFont="1" applyBorder="1" applyAlignment="1" applyProtection="1">
      <alignment vertical="center" wrapText="1"/>
      <protection locked="0"/>
    </xf>
    <xf numFmtId="0" fontId="48" fillId="0" borderId="91" xfId="0" applyFont="1" applyBorder="1" applyAlignment="1" applyProtection="1">
      <alignment vertical="center" wrapText="1"/>
      <protection locked="0"/>
    </xf>
    <xf numFmtId="0" fontId="30" fillId="7" borderId="47" xfId="0" applyFont="1" applyFill="1" applyBorder="1" applyAlignment="1">
      <alignment vertical="center" wrapText="1"/>
    </xf>
    <xf numFmtId="0" fontId="30" fillId="0" borderId="49" xfId="0" applyFont="1" applyBorder="1" applyAlignment="1" applyProtection="1">
      <alignment horizontal="justify" vertical="top" wrapText="1"/>
      <protection locked="0"/>
    </xf>
    <xf numFmtId="0" fontId="26" fillId="0" borderId="48" xfId="0" applyFont="1" applyBorder="1" applyAlignment="1" applyProtection="1">
      <alignment vertical="top" wrapText="1"/>
      <protection locked="0"/>
    </xf>
    <xf numFmtId="14" fontId="26" fillId="0" borderId="48" xfId="0" applyNumberFormat="1" applyFont="1" applyBorder="1" applyAlignment="1" applyProtection="1">
      <alignment vertical="top" wrapText="1"/>
      <protection locked="0"/>
    </xf>
    <xf numFmtId="0" fontId="26" fillId="0" borderId="48" xfId="0" applyFont="1" applyBorder="1" applyAlignment="1" applyProtection="1">
      <alignment vertical="top"/>
      <protection locked="0"/>
    </xf>
    <xf numFmtId="0" fontId="30" fillId="0" borderId="49" xfId="0" applyFont="1" applyBorder="1" applyAlignment="1" applyProtection="1">
      <alignment horizontal="center" vertical="top" wrapText="1"/>
      <protection locked="0"/>
    </xf>
    <xf numFmtId="0" fontId="30" fillId="0" borderId="49" xfId="0" applyFont="1" applyBorder="1" applyAlignment="1" applyProtection="1">
      <alignment horizontal="justify" vertical="top"/>
      <protection locked="0"/>
    </xf>
    <xf numFmtId="0" fontId="27" fillId="0" borderId="0" xfId="0" applyFont="1" applyAlignment="1">
      <alignment vertical="center" wrapText="1"/>
    </xf>
    <xf numFmtId="0" fontId="26" fillId="7" borderId="47" xfId="0" applyFont="1" applyFill="1" applyBorder="1" applyAlignment="1">
      <alignment horizontal="center" vertical="center" wrapText="1"/>
    </xf>
    <xf numFmtId="0" fontId="26" fillId="0" borderId="98" xfId="0" applyFont="1" applyBorder="1" applyAlignment="1" applyProtection="1">
      <alignment horizontal="center" vertical="top"/>
      <protection locked="0"/>
    </xf>
    <xf numFmtId="0" fontId="27" fillId="0" borderId="98" xfId="0" applyFont="1" applyBorder="1" applyAlignment="1" applyProtection="1">
      <alignment horizontal="center" vertical="top"/>
      <protection locked="0"/>
    </xf>
    <xf numFmtId="14" fontId="27" fillId="0" borderId="45" xfId="0" applyNumberFormat="1" applyFont="1" applyBorder="1" applyAlignment="1" applyProtection="1">
      <alignment horizontal="center" vertical="top"/>
      <protection locked="0"/>
    </xf>
    <xf numFmtId="0" fontId="30" fillId="0" borderId="54" xfId="0" applyFont="1" applyBorder="1" applyAlignment="1" applyProtection="1">
      <alignment horizontal="center" vertical="top" wrapText="1"/>
      <protection locked="0"/>
    </xf>
    <xf numFmtId="0" fontId="48" fillId="0" borderId="49" xfId="0" applyFont="1" applyBorder="1" applyAlignment="1" applyProtection="1">
      <alignment horizontal="justify" vertical="top" wrapText="1"/>
      <protection locked="0"/>
    </xf>
    <xf numFmtId="0" fontId="30" fillId="0" borderId="55" xfId="0" applyFont="1" applyBorder="1" applyAlignment="1" applyProtection="1">
      <alignment horizontal="center" vertical="top" wrapText="1"/>
      <protection locked="0"/>
    </xf>
    <xf numFmtId="0" fontId="27" fillId="7" borderId="47" xfId="0" applyFont="1" applyFill="1" applyBorder="1" applyAlignment="1">
      <alignment vertical="center" wrapText="1"/>
    </xf>
    <xf numFmtId="0" fontId="27" fillId="0" borderId="49" xfId="0" applyFont="1" applyBorder="1" applyAlignment="1">
      <alignment horizontal="center" vertical="center"/>
    </xf>
    <xf numFmtId="0" fontId="27" fillId="0" borderId="49" xfId="0" applyFont="1" applyBorder="1" applyAlignment="1" applyProtection="1">
      <alignment horizontal="justify" vertical="center" wrapText="1"/>
      <protection locked="0"/>
    </xf>
    <xf numFmtId="0" fontId="27" fillId="0" borderId="49" xfId="0" applyFont="1" applyBorder="1" applyAlignment="1" applyProtection="1">
      <alignment horizontal="center" vertical="center"/>
      <protection hidden="1"/>
    </xf>
    <xf numFmtId="0" fontId="26" fillId="0" borderId="49" xfId="0" applyFont="1" applyBorder="1" applyAlignment="1" applyProtection="1">
      <alignment horizontal="center" vertical="center" textRotation="90"/>
      <protection locked="0"/>
    </xf>
    <xf numFmtId="9" fontId="26" fillId="0" borderId="49" xfId="0" applyNumberFormat="1" applyFont="1" applyBorder="1" applyAlignment="1" applyProtection="1">
      <alignment horizontal="center" vertical="center"/>
      <protection hidden="1"/>
    </xf>
    <xf numFmtId="164" fontId="27" fillId="0" borderId="49" xfId="16" applyNumberFormat="1" applyFont="1" applyBorder="1" applyAlignment="1">
      <alignment horizontal="center" vertical="center"/>
    </xf>
    <xf numFmtId="0" fontId="37" fillId="0" borderId="49" xfId="0" applyFont="1" applyBorder="1" applyAlignment="1" applyProtection="1">
      <alignment horizontal="center" vertical="center" textRotation="90" wrapText="1"/>
      <protection hidden="1"/>
    </xf>
    <xf numFmtId="9" fontId="26" fillId="0" borderId="48" xfId="0" applyNumberFormat="1" applyFont="1" applyBorder="1" applyAlignment="1" applyProtection="1">
      <alignment horizontal="center" vertical="center"/>
      <protection hidden="1"/>
    </xf>
    <xf numFmtId="0" fontId="37" fillId="0" borderId="49" xfId="0" applyFont="1" applyBorder="1" applyAlignment="1" applyProtection="1">
      <alignment horizontal="center" vertical="center" textRotation="90"/>
      <protection hidden="1"/>
    </xf>
    <xf numFmtId="0" fontId="27" fillId="0" borderId="49"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protection locked="0"/>
    </xf>
    <xf numFmtId="0" fontId="24" fillId="0" borderId="49" xfId="0" applyFont="1" applyBorder="1" applyAlignment="1" applyProtection="1">
      <alignment horizontal="justify" vertical="center" wrapText="1"/>
      <protection locked="0"/>
    </xf>
    <xf numFmtId="0" fontId="27" fillId="0" borderId="48" xfId="0" applyFont="1" applyBorder="1" applyAlignment="1" applyProtection="1">
      <alignment vertical="center" wrapText="1"/>
      <protection locked="0"/>
    </xf>
    <xf numFmtId="0" fontId="27" fillId="0" borderId="48" xfId="0" applyFont="1" applyBorder="1" applyAlignment="1" applyProtection="1">
      <alignment vertical="top" wrapText="1"/>
      <protection locked="0"/>
    </xf>
    <xf numFmtId="0" fontId="27" fillId="20" borderId="50" xfId="0" applyFont="1" applyFill="1" applyBorder="1" applyAlignment="1" applyProtection="1">
      <alignment horizontal="left" vertical="center" wrapText="1"/>
      <protection locked="0"/>
    </xf>
    <xf numFmtId="0" fontId="24" fillId="20" borderId="51" xfId="0" applyFont="1" applyFill="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7" fillId="0" borderId="47" xfId="0" applyFont="1" applyBorder="1" applyAlignment="1" applyProtection="1">
      <alignment horizontal="center" vertical="center" wrapText="1"/>
      <protection locked="0"/>
    </xf>
    <xf numFmtId="0" fontId="27" fillId="20" borderId="50" xfId="0" applyFont="1" applyFill="1" applyBorder="1" applyAlignment="1" applyProtection="1">
      <alignment vertical="center" wrapText="1"/>
      <protection locked="0"/>
    </xf>
    <xf numFmtId="0" fontId="27" fillId="0" borderId="0" xfId="0" applyFont="1" applyAlignment="1">
      <alignment horizontal="left" vertical="center" wrapText="1"/>
    </xf>
    <xf numFmtId="0" fontId="24" fillId="7" borderId="0" xfId="0" applyFont="1" applyFill="1"/>
    <xf numFmtId="0" fontId="24" fillId="7" borderId="0" xfId="0" applyFont="1" applyFill="1" applyAlignment="1">
      <alignment horizontal="center" vertical="center"/>
    </xf>
    <xf numFmtId="0" fontId="24" fillId="7" borderId="0" xfId="0" applyFont="1" applyFill="1" applyAlignment="1">
      <alignment horizontal="left" vertical="center"/>
    </xf>
    <xf numFmtId="0" fontId="24" fillId="7" borderId="0" xfId="0" applyFont="1" applyFill="1" applyAlignment="1">
      <alignment horizontal="center"/>
    </xf>
    <xf numFmtId="0" fontId="43" fillId="6" borderId="51" xfId="0" applyFont="1" applyFill="1" applyBorder="1" applyAlignment="1">
      <alignment horizontal="center" vertical="center"/>
    </xf>
    <xf numFmtId="0" fontId="43" fillId="6" borderId="49" xfId="0" applyFont="1" applyFill="1" applyBorder="1" applyAlignment="1">
      <alignment horizontal="center" vertical="center" textRotation="90"/>
    </xf>
    <xf numFmtId="0" fontId="24" fillId="0" borderId="47" xfId="0" applyFont="1" applyBorder="1" applyAlignment="1" applyProtection="1">
      <alignment horizontal="center" vertical="center" wrapText="1"/>
      <protection locked="0"/>
    </xf>
    <xf numFmtId="0" fontId="48" fillId="0" borderId="47" xfId="0" applyFont="1" applyBorder="1" applyAlignment="1" applyProtection="1">
      <alignment horizontal="center" vertical="center" wrapText="1"/>
      <protection locked="0"/>
    </xf>
    <xf numFmtId="0" fontId="24" fillId="0" borderId="49" xfId="0" applyFont="1" applyBorder="1" applyAlignment="1">
      <alignment horizontal="center" vertical="center"/>
    </xf>
    <xf numFmtId="0" fontId="24" fillId="0" borderId="49" xfId="0" applyFont="1" applyBorder="1" applyAlignment="1" applyProtection="1">
      <alignment horizontal="center" vertical="center"/>
      <protection hidden="1"/>
    </xf>
    <xf numFmtId="0" fontId="24" fillId="0" borderId="49" xfId="0" applyFont="1" applyBorder="1" applyAlignment="1" applyProtection="1">
      <alignment horizontal="center" vertical="center" textRotation="90"/>
      <protection locked="0"/>
    </xf>
    <xf numFmtId="9" fontId="24" fillId="0" borderId="49" xfId="0" applyNumberFormat="1" applyFont="1" applyBorder="1" applyAlignment="1" applyProtection="1">
      <alignment horizontal="center" vertical="center"/>
      <protection hidden="1"/>
    </xf>
    <xf numFmtId="164" fontId="24" fillId="0" borderId="49" xfId="16" applyNumberFormat="1" applyFont="1" applyBorder="1" applyAlignment="1">
      <alignment horizontal="center" vertical="center"/>
    </xf>
    <xf numFmtId="0" fontId="43" fillId="0" borderId="49" xfId="0" applyFont="1" applyBorder="1" applyAlignment="1" applyProtection="1">
      <alignment horizontal="center" vertical="center" textRotation="90" wrapText="1"/>
      <protection hidden="1"/>
    </xf>
    <xf numFmtId="9" fontId="24" fillId="0" borderId="48" xfId="0" applyNumberFormat="1" applyFont="1" applyBorder="1" applyAlignment="1" applyProtection="1">
      <alignment horizontal="center" vertical="center"/>
      <protection hidden="1"/>
    </xf>
    <xf numFmtId="0" fontId="43" fillId="0" borderId="49" xfId="0" applyFont="1" applyBorder="1" applyAlignment="1" applyProtection="1">
      <alignment horizontal="center" vertical="center" textRotation="90"/>
      <protection hidden="1"/>
    </xf>
    <xf numFmtId="0" fontId="48" fillId="0" borderId="49" xfId="0" applyFont="1" applyBorder="1" applyAlignment="1" applyProtection="1">
      <alignment horizontal="justify" vertical="center" wrapText="1"/>
      <protection locked="0"/>
    </xf>
    <xf numFmtId="0" fontId="24" fillId="0" borderId="49" xfId="0" applyFont="1" applyBorder="1" applyAlignment="1" applyProtection="1">
      <alignment horizontal="justify" vertical="center"/>
      <protection locked="0"/>
    </xf>
    <xf numFmtId="0" fontId="24" fillId="20" borderId="49" xfId="0" applyFont="1" applyFill="1" applyBorder="1" applyAlignment="1">
      <alignment horizontal="center" vertical="center"/>
    </xf>
    <xf numFmtId="0" fontId="24" fillId="20" borderId="49" xfId="0" applyFont="1" applyFill="1" applyBorder="1" applyAlignment="1" applyProtection="1">
      <alignment horizontal="justify" vertical="center" wrapText="1"/>
      <protection locked="0"/>
    </xf>
    <xf numFmtId="164" fontId="24" fillId="0" borderId="49" xfId="16" applyNumberFormat="1" applyFont="1" applyBorder="1" applyAlignment="1">
      <alignment horizontal="center" vertical="top"/>
    </xf>
    <xf numFmtId="0" fontId="43" fillId="0" borderId="49" xfId="0" applyFont="1" applyBorder="1" applyAlignment="1" applyProtection="1">
      <alignment horizontal="center" vertical="top" textRotation="90" wrapText="1"/>
      <protection hidden="1"/>
    </xf>
    <xf numFmtId="9" fontId="24" fillId="0" borderId="48" xfId="0" applyNumberFormat="1" applyFont="1" applyBorder="1" applyAlignment="1" applyProtection="1">
      <alignment horizontal="center" vertical="top"/>
      <protection hidden="1"/>
    </xf>
    <xf numFmtId="0" fontId="43" fillId="0" borderId="49" xfId="0" applyFont="1" applyBorder="1" applyAlignment="1" applyProtection="1">
      <alignment horizontal="center" vertical="top" textRotation="90"/>
      <protection hidden="1"/>
    </xf>
    <xf numFmtId="0" fontId="24" fillId="20" borderId="49" xfId="0" applyFont="1" applyFill="1" applyBorder="1" applyAlignment="1" applyProtection="1">
      <alignment horizontal="justify" vertical="center"/>
      <protection locked="0"/>
    </xf>
    <xf numFmtId="0" fontId="27" fillId="9" borderId="70" xfId="0" applyFont="1" applyFill="1" applyBorder="1" applyAlignment="1">
      <alignment horizontal="center" vertical="center" wrapText="1"/>
    </xf>
    <xf numFmtId="0" fontId="27" fillId="9" borderId="70" xfId="0" applyFont="1" applyFill="1" applyBorder="1" applyAlignment="1">
      <alignment horizontal="center" vertical="center"/>
    </xf>
    <xf numFmtId="0" fontId="27" fillId="7" borderId="0" xfId="0" applyFont="1" applyFill="1" applyAlignment="1">
      <alignment horizontal="justify" vertical="top"/>
    </xf>
    <xf numFmtId="0" fontId="88" fillId="0" borderId="48" xfId="0" applyFont="1" applyBorder="1" applyAlignment="1">
      <alignment horizontal="left" vertical="top"/>
    </xf>
    <xf numFmtId="0" fontId="88" fillId="0" borderId="48" xfId="0" applyFont="1" applyBorder="1" applyAlignment="1">
      <alignment vertical="top"/>
    </xf>
    <xf numFmtId="0" fontId="88" fillId="0" borderId="50" xfId="0" applyFont="1" applyBorder="1" applyAlignment="1">
      <alignment vertical="top"/>
    </xf>
    <xf numFmtId="0" fontId="88" fillId="0" borderId="38" xfId="0" applyFont="1" applyBorder="1" applyAlignment="1">
      <alignment vertical="top"/>
    </xf>
    <xf numFmtId="0" fontId="48" fillId="14" borderId="54" xfId="0" applyFont="1" applyFill="1" applyBorder="1" applyAlignment="1" applyProtection="1">
      <alignment horizontal="center" vertical="top" wrapText="1"/>
      <protection locked="0"/>
    </xf>
    <xf numFmtId="0" fontId="48" fillId="16" borderId="54" xfId="0" applyFont="1" applyFill="1" applyBorder="1" applyAlignment="1" applyProtection="1">
      <alignment horizontal="center" vertical="top" wrapText="1"/>
      <protection locked="0"/>
    </xf>
    <xf numFmtId="0" fontId="48" fillId="17" borderId="54" xfId="0" applyFont="1" applyFill="1" applyBorder="1" applyAlignment="1" applyProtection="1">
      <alignment horizontal="center" vertical="top" wrapText="1"/>
      <protection locked="0"/>
    </xf>
    <xf numFmtId="0" fontId="31" fillId="14" borderId="54" xfId="0" applyFont="1" applyFill="1" applyBorder="1" applyAlignment="1" applyProtection="1">
      <alignment horizontal="center" vertical="top" wrapText="1"/>
      <protection locked="0"/>
    </xf>
    <xf numFmtId="0" fontId="24" fillId="16" borderId="48" xfId="0" applyFont="1" applyFill="1" applyBorder="1" applyAlignment="1" applyProtection="1">
      <alignment horizontal="left" vertical="top"/>
      <protection locked="0"/>
    </xf>
    <xf numFmtId="0" fontId="24" fillId="16" borderId="49" xfId="0" applyFont="1" applyFill="1" applyBorder="1" applyAlignment="1">
      <alignment horizontal="center" vertical="center"/>
    </xf>
    <xf numFmtId="0" fontId="24" fillId="17" borderId="49" xfId="0" applyFont="1" applyFill="1" applyBorder="1" applyAlignment="1">
      <alignment horizontal="center" vertical="center"/>
    </xf>
    <xf numFmtId="0" fontId="24" fillId="18" borderId="49" xfId="0" applyFont="1" applyFill="1" applyBorder="1" applyAlignment="1">
      <alignment horizontal="center" vertical="center"/>
    </xf>
    <xf numFmtId="0" fontId="24" fillId="6" borderId="49" xfId="0" applyFont="1" applyFill="1" applyBorder="1" applyAlignment="1">
      <alignment horizontal="center" vertical="center"/>
    </xf>
    <xf numFmtId="0" fontId="24" fillId="14" borderId="49" xfId="0" applyFont="1" applyFill="1" applyBorder="1" applyAlignment="1">
      <alignment horizontal="center" vertical="center"/>
    </xf>
    <xf numFmtId="0" fontId="27" fillId="9" borderId="69" xfId="0" applyFont="1" applyFill="1" applyBorder="1" applyAlignment="1">
      <alignment horizontal="center" vertical="center" wrapText="1"/>
    </xf>
    <xf numFmtId="0" fontId="27" fillId="9" borderId="59" xfId="0" applyFont="1" applyFill="1" applyBorder="1" applyAlignment="1">
      <alignment horizontal="center" vertical="center" wrapText="1"/>
    </xf>
    <xf numFmtId="0" fontId="32" fillId="9" borderId="62" xfId="0" applyFont="1" applyFill="1" applyBorder="1" applyAlignment="1">
      <alignment horizontal="center" vertical="top" wrapText="1"/>
    </xf>
    <xf numFmtId="0" fontId="27" fillId="9" borderId="62" xfId="0" applyFont="1" applyFill="1" applyBorder="1" applyAlignment="1">
      <alignment horizontal="center" wrapText="1"/>
    </xf>
    <xf numFmtId="0" fontId="88" fillId="0" borderId="48" xfId="0" applyFont="1" applyBorder="1" applyAlignment="1">
      <alignment horizontal="left" vertical="center"/>
    </xf>
    <xf numFmtId="0" fontId="88" fillId="24" borderId="110" xfId="0" applyFont="1" applyFill="1" applyBorder="1" applyAlignment="1">
      <alignment horizontal="left" vertical="center" wrapText="1"/>
    </xf>
    <xf numFmtId="0" fontId="86" fillId="24" borderId="110" xfId="0" applyFont="1" applyFill="1" applyBorder="1" applyAlignment="1">
      <alignment horizontal="left" vertical="center" wrapText="1"/>
    </xf>
    <xf numFmtId="0" fontId="88" fillId="24" borderId="111" xfId="0" applyFont="1" applyFill="1" applyBorder="1" applyAlignment="1">
      <alignment horizontal="left" vertical="center" wrapText="1"/>
    </xf>
    <xf numFmtId="0" fontId="88" fillId="24" borderId="112" xfId="0" applyFont="1" applyFill="1" applyBorder="1" applyAlignment="1">
      <alignment horizontal="left" vertical="center" wrapText="1"/>
    </xf>
    <xf numFmtId="0" fontId="88" fillId="0" borderId="50" xfId="0" applyFont="1" applyBorder="1" applyAlignment="1">
      <alignment horizontal="left" vertical="center"/>
    </xf>
    <xf numFmtId="0" fontId="88" fillId="24" borderId="38" xfId="0" applyFont="1" applyFill="1" applyBorder="1" applyAlignment="1">
      <alignment horizontal="left" vertical="center" wrapText="1"/>
    </xf>
    <xf numFmtId="0" fontId="88" fillId="0" borderId="38" xfId="0" applyFont="1" applyBorder="1" applyAlignment="1">
      <alignment horizontal="left" vertical="center"/>
    </xf>
    <xf numFmtId="0" fontId="10" fillId="0" borderId="1" xfId="0" applyFont="1" applyBorder="1" applyAlignment="1">
      <alignment horizontal="center" vertical="center" wrapText="1"/>
    </xf>
    <xf numFmtId="0" fontId="11" fillId="0" borderId="6" xfId="0" applyFont="1" applyBorder="1"/>
    <xf numFmtId="0" fontId="11" fillId="0" borderId="9" xfId="0" applyFont="1" applyBorder="1"/>
    <xf numFmtId="0" fontId="10" fillId="0" borderId="2" xfId="0" applyFont="1" applyBorder="1" applyAlignment="1">
      <alignment horizontal="center" vertical="center" wrapText="1"/>
    </xf>
    <xf numFmtId="0" fontId="11" fillId="0" borderId="3" xfId="0" applyFont="1" applyBorder="1"/>
    <xf numFmtId="0" fontId="11" fillId="0" borderId="7" xfId="0" applyFont="1" applyBorder="1"/>
    <xf numFmtId="0" fontId="11" fillId="0" borderId="8" xfId="0" applyFont="1" applyBorder="1"/>
    <xf numFmtId="0" fontId="13" fillId="0" borderId="5" xfId="0" applyFont="1" applyBorder="1" applyAlignment="1">
      <alignment horizontal="center"/>
    </xf>
    <xf numFmtId="0" fontId="11" fillId="0" borderId="5" xfId="0" applyFont="1" applyBorder="1"/>
    <xf numFmtId="0" fontId="14" fillId="2" borderId="10" xfId="0" applyFont="1" applyFill="1" applyBorder="1" applyAlignment="1">
      <alignment horizontal="center" vertical="center"/>
    </xf>
    <xf numFmtId="0" fontId="11" fillId="0" borderId="11" xfId="0" applyFont="1" applyBorder="1"/>
    <xf numFmtId="0" fontId="11" fillId="0" borderId="12" xfId="0" applyFont="1" applyBorder="1"/>
    <xf numFmtId="0" fontId="13" fillId="0" borderId="36" xfId="0" applyFont="1" applyBorder="1" applyAlignment="1">
      <alignment horizontal="center"/>
    </xf>
    <xf numFmtId="0" fontId="11" fillId="0" borderId="25" xfId="0" applyFont="1" applyBorder="1"/>
    <xf numFmtId="0" fontId="11" fillId="0" borderId="28" xfId="0" applyFont="1" applyBorder="1"/>
    <xf numFmtId="0" fontId="10"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1" fillId="0" borderId="23" xfId="0" applyFont="1" applyBorder="1"/>
    <xf numFmtId="0" fontId="11" fillId="0" borderId="26" xfId="0" applyFont="1" applyBorder="1"/>
    <xf numFmtId="0" fontId="13" fillId="0" borderId="24" xfId="0" applyFont="1" applyBorder="1" applyAlignment="1">
      <alignment horizontal="center"/>
    </xf>
    <xf numFmtId="0" fontId="11" fillId="0" borderId="20" xfId="0" applyFont="1" applyBorder="1"/>
    <xf numFmtId="0" fontId="11" fillId="0" borderId="31" xfId="0" applyFont="1" applyBorder="1"/>
    <xf numFmtId="0" fontId="16" fillId="0" borderId="2" xfId="0" applyFont="1" applyBorder="1" applyAlignment="1">
      <alignment horizontal="center" vertical="center" wrapText="1"/>
    </xf>
    <xf numFmtId="0" fontId="11" fillId="0" borderId="27" xfId="0" applyFont="1" applyBorder="1"/>
    <xf numFmtId="0" fontId="11" fillId="0" borderId="29" xfId="0" applyFont="1" applyBorder="1"/>
    <xf numFmtId="0" fontId="11" fillId="0" borderId="30" xfId="0" applyFont="1" applyBorder="1"/>
    <xf numFmtId="0" fontId="18" fillId="4" borderId="10" xfId="0" applyFont="1" applyFill="1" applyBorder="1" applyAlignment="1">
      <alignment horizontal="center" vertical="center"/>
    </xf>
    <xf numFmtId="0" fontId="11" fillId="0" borderId="32" xfId="0" applyFont="1" applyBorder="1"/>
    <xf numFmtId="0" fontId="43" fillId="6" borderId="51" xfId="0" applyFont="1" applyFill="1" applyBorder="1" applyAlignment="1">
      <alignment horizontal="center" vertical="center" wrapText="1"/>
    </xf>
    <xf numFmtId="0" fontId="43" fillId="6" borderId="50" xfId="0" applyFont="1" applyFill="1" applyBorder="1" applyAlignment="1">
      <alignment horizontal="center" vertical="center" wrapText="1"/>
    </xf>
    <xf numFmtId="0" fontId="43" fillId="6" borderId="52" xfId="0" applyFont="1" applyFill="1" applyBorder="1" applyAlignment="1">
      <alignment horizontal="center" vertical="center"/>
    </xf>
    <xf numFmtId="0" fontId="43" fillId="6" borderId="42" xfId="0" applyFont="1" applyFill="1" applyBorder="1" applyAlignment="1">
      <alignment horizontal="center" vertical="center"/>
    </xf>
    <xf numFmtId="0" fontId="43" fillId="6" borderId="48" xfId="0" applyFont="1" applyFill="1" applyBorder="1" applyAlignment="1">
      <alignment horizontal="center" vertical="center" wrapText="1"/>
    </xf>
    <xf numFmtId="0" fontId="43" fillId="6" borderId="52" xfId="0" applyFont="1" applyFill="1" applyBorder="1" applyAlignment="1">
      <alignment horizontal="center" vertical="center" wrapText="1"/>
    </xf>
    <xf numFmtId="15" fontId="24" fillId="20" borderId="108" xfId="0" applyNumberFormat="1" applyFont="1" applyFill="1" applyBorder="1" applyAlignment="1">
      <alignment horizontal="center" vertical="center" wrapText="1"/>
    </xf>
    <xf numFmtId="15" fontId="24" fillId="20" borderId="103" xfId="0" applyNumberFormat="1" applyFont="1" applyFill="1" applyBorder="1" applyAlignment="1">
      <alignment horizontal="center" vertical="center" wrapText="1"/>
    </xf>
    <xf numFmtId="15" fontId="24" fillId="20" borderId="109" xfId="0" applyNumberFormat="1" applyFont="1" applyFill="1" applyBorder="1" applyAlignment="1">
      <alignment horizontal="center" vertical="center" wrapText="1"/>
    </xf>
    <xf numFmtId="0" fontId="24" fillId="20" borderId="108" xfId="0" applyFont="1" applyFill="1" applyBorder="1" applyAlignment="1">
      <alignment horizontal="center" vertical="center" wrapText="1"/>
    </xf>
    <xf numFmtId="0" fontId="24" fillId="20" borderId="103" xfId="0" applyFont="1" applyFill="1" applyBorder="1" applyAlignment="1">
      <alignment horizontal="center" vertical="center" wrapText="1"/>
    </xf>
    <xf numFmtId="0" fontId="24" fillId="20" borderId="109" xfId="0" applyFont="1" applyFill="1" applyBorder="1" applyAlignment="1">
      <alignment horizontal="center" vertical="center" wrapText="1"/>
    </xf>
    <xf numFmtId="0" fontId="24" fillId="0" borderId="48" xfId="0" applyFont="1" applyBorder="1" applyAlignment="1" applyProtection="1">
      <alignment horizontal="center" vertical="center" textRotation="90"/>
      <protection locked="0"/>
    </xf>
    <xf numFmtId="0" fontId="24" fillId="0" borderId="51" xfId="0" applyFont="1" applyBorder="1" applyAlignment="1" applyProtection="1">
      <alignment horizontal="center" vertical="center" textRotation="90"/>
      <protection locked="0"/>
    </xf>
    <xf numFmtId="0" fontId="24" fillId="0" borderId="48" xfId="0" applyFont="1" applyBorder="1" applyAlignment="1" applyProtection="1">
      <alignment horizontal="center" vertical="center" wrapText="1"/>
      <protection locked="0"/>
    </xf>
    <xf numFmtId="0" fontId="24" fillId="0" borderId="51" xfId="0" applyFont="1" applyBorder="1" applyAlignment="1" applyProtection="1">
      <alignment horizontal="center" vertical="center" wrapText="1"/>
      <protection locked="0"/>
    </xf>
    <xf numFmtId="14" fontId="24" fillId="0" borderId="48" xfId="0" applyNumberFormat="1" applyFont="1" applyBorder="1" applyAlignment="1" applyProtection="1">
      <alignment horizontal="center" vertical="center" wrapText="1"/>
      <protection locked="0"/>
    </xf>
    <xf numFmtId="14" fontId="24" fillId="0" borderId="51" xfId="0" applyNumberFormat="1" applyFont="1" applyBorder="1" applyAlignment="1" applyProtection="1">
      <alignment horizontal="center" vertical="center" wrapText="1"/>
      <protection locked="0"/>
    </xf>
    <xf numFmtId="14" fontId="24" fillId="0" borderId="50" xfId="0" applyNumberFormat="1" applyFont="1" applyBorder="1" applyAlignment="1" applyProtection="1">
      <alignment horizontal="center" vertical="center" wrapText="1"/>
      <protection locked="0"/>
    </xf>
    <xf numFmtId="14" fontId="24" fillId="0" borderId="48" xfId="0" applyNumberFormat="1" applyFont="1" applyBorder="1" applyAlignment="1" applyProtection="1">
      <alignment horizontal="center" vertical="center"/>
      <protection locked="0"/>
    </xf>
    <xf numFmtId="14" fontId="24" fillId="0" borderId="51" xfId="0" applyNumberFormat="1" applyFont="1" applyBorder="1" applyAlignment="1" applyProtection="1">
      <alignment horizontal="center" vertical="center"/>
      <protection locked="0"/>
    </xf>
    <xf numFmtId="14" fontId="24" fillId="0" borderId="50" xfId="0" applyNumberFormat="1" applyFont="1" applyBorder="1" applyAlignment="1" applyProtection="1">
      <alignment horizontal="center" vertical="center"/>
      <protection locked="0"/>
    </xf>
    <xf numFmtId="0" fontId="24" fillId="0" borderId="50" xfId="0" applyFont="1" applyBorder="1" applyAlignment="1" applyProtection="1">
      <alignment horizontal="center" vertical="center" wrapText="1"/>
      <protection locked="0"/>
    </xf>
    <xf numFmtId="0" fontId="24" fillId="0" borderId="106" xfId="0" applyFont="1" applyBorder="1" applyAlignment="1" applyProtection="1">
      <alignment horizontal="center" vertical="center"/>
      <protection locked="0"/>
    </xf>
    <xf numFmtId="0" fontId="24" fillId="0" borderId="107" xfId="0" applyFont="1" applyBorder="1" applyAlignment="1" applyProtection="1">
      <alignment horizontal="center" vertical="center"/>
      <protection locked="0"/>
    </xf>
    <xf numFmtId="0" fontId="24" fillId="0" borderId="102" xfId="0" applyFont="1" applyBorder="1" applyAlignment="1" applyProtection="1">
      <alignment horizontal="center" vertical="center"/>
      <protection locked="0"/>
    </xf>
    <xf numFmtId="0" fontId="43" fillId="6" borderId="49" xfId="0" applyFont="1" applyFill="1" applyBorder="1" applyAlignment="1">
      <alignment horizontal="center" vertical="center" wrapText="1"/>
    </xf>
    <xf numFmtId="0" fontId="43" fillId="6" borderId="102" xfId="0" applyFont="1" applyFill="1" applyBorder="1" applyAlignment="1">
      <alignment horizontal="center" vertical="center" wrapText="1"/>
    </xf>
    <xf numFmtId="0" fontId="43" fillId="6" borderId="104" xfId="0" applyFont="1" applyFill="1" applyBorder="1" applyAlignment="1">
      <alignment horizontal="center" vertical="center" wrapText="1"/>
    </xf>
    <xf numFmtId="0" fontId="43" fillId="6" borderId="103" xfId="0" applyFont="1" applyFill="1" applyBorder="1" applyAlignment="1">
      <alignment horizontal="center" vertical="center" wrapText="1"/>
    </xf>
    <xf numFmtId="0" fontId="43" fillId="6" borderId="105" xfId="0" applyFont="1" applyFill="1" applyBorder="1" applyAlignment="1">
      <alignment horizontal="center" vertical="center" wrapText="1"/>
    </xf>
    <xf numFmtId="0" fontId="24" fillId="0" borderId="48" xfId="0" applyFont="1" applyBorder="1" applyAlignment="1">
      <alignment horizontal="center" vertical="center"/>
    </xf>
    <xf numFmtId="0" fontId="24" fillId="0" borderId="51" xfId="0" applyFont="1" applyBorder="1" applyAlignment="1">
      <alignment horizontal="center" vertical="center"/>
    </xf>
    <xf numFmtId="0" fontId="83" fillId="0" borderId="48" xfId="0" applyFont="1" applyBorder="1" applyAlignment="1" applyProtection="1">
      <alignment horizontal="center" vertical="center" wrapText="1"/>
      <protection locked="0"/>
    </xf>
    <xf numFmtId="0" fontId="83" fillId="0" borderId="51" xfId="0" applyFont="1" applyBorder="1" applyAlignment="1" applyProtection="1">
      <alignment horizontal="center" vertical="center" wrapText="1"/>
      <protection locked="0"/>
    </xf>
    <xf numFmtId="0" fontId="84" fillId="0" borderId="39" xfId="0" applyFont="1" applyBorder="1" applyAlignment="1" applyProtection="1">
      <alignment horizontal="center" vertical="center" wrapText="1"/>
      <protection locked="0"/>
    </xf>
    <xf numFmtId="0" fontId="84" fillId="0" borderId="52" xfId="0" applyFont="1" applyBorder="1" applyAlignment="1" applyProtection="1">
      <alignment horizontal="center" vertical="center" wrapText="1"/>
      <protection locked="0"/>
    </xf>
    <xf numFmtId="0" fontId="48" fillId="0" borderId="47" xfId="0" applyFont="1" applyBorder="1" applyAlignment="1" applyProtection="1">
      <alignment horizontal="center" vertical="center" wrapText="1"/>
      <protection locked="0"/>
    </xf>
    <xf numFmtId="0" fontId="48" fillId="0" borderId="54" xfId="0" applyFont="1" applyBorder="1" applyAlignment="1" applyProtection="1">
      <alignment horizontal="center" vertical="center" wrapText="1"/>
      <protection locked="0"/>
    </xf>
    <xf numFmtId="0" fontId="48" fillId="0" borderId="55" xfId="0" applyFont="1" applyBorder="1" applyAlignment="1" applyProtection="1">
      <alignment horizontal="center" vertical="center" wrapText="1"/>
      <protection locked="0"/>
    </xf>
    <xf numFmtId="0" fontId="48" fillId="0" borderId="80"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wrapText="1"/>
      <protection locked="0"/>
    </xf>
    <xf numFmtId="0" fontId="24" fillId="0" borderId="53"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43" fillId="0" borderId="48" xfId="0" applyFont="1" applyBorder="1" applyAlignment="1" applyProtection="1">
      <alignment horizontal="center" vertical="center" wrapText="1"/>
      <protection hidden="1"/>
    </xf>
    <xf numFmtId="0" fontId="43" fillId="0" borderId="51" xfId="0" applyFont="1" applyBorder="1" applyAlignment="1" applyProtection="1">
      <alignment horizontal="center" vertical="center" wrapText="1"/>
      <protection hidden="1"/>
    </xf>
    <xf numFmtId="9" fontId="24" fillId="0" borderId="48" xfId="0" applyNumberFormat="1" applyFont="1" applyBorder="1" applyAlignment="1" applyProtection="1">
      <alignment horizontal="center" vertical="center" wrapText="1"/>
      <protection hidden="1"/>
    </xf>
    <xf numFmtId="9" fontId="24" fillId="0" borderId="51" xfId="0" applyNumberFormat="1" applyFont="1" applyBorder="1" applyAlignment="1" applyProtection="1">
      <alignment horizontal="center" vertical="center" wrapText="1"/>
      <protection hidden="1"/>
    </xf>
    <xf numFmtId="9" fontId="24" fillId="0" borderId="48" xfId="0" applyNumberFormat="1" applyFont="1" applyBorder="1" applyAlignment="1" applyProtection="1">
      <alignment horizontal="center" vertical="center" wrapText="1"/>
      <protection locked="0"/>
    </xf>
    <xf numFmtId="9" fontId="24" fillId="0" borderId="51" xfId="0" applyNumberFormat="1" applyFont="1" applyBorder="1" applyAlignment="1" applyProtection="1">
      <alignment horizontal="center" vertical="center" wrapText="1"/>
      <protection locked="0"/>
    </xf>
    <xf numFmtId="0" fontId="43" fillId="0" borderId="48" xfId="0" applyFont="1" applyBorder="1" applyAlignment="1" applyProtection="1">
      <alignment horizontal="center" vertical="center"/>
      <protection hidden="1"/>
    </xf>
    <xf numFmtId="0" fontId="43" fillId="0" borderId="51" xfId="0" applyFont="1" applyBorder="1" applyAlignment="1" applyProtection="1">
      <alignment horizontal="center" vertical="center"/>
      <protection hidden="1"/>
    </xf>
    <xf numFmtId="0" fontId="43" fillId="6" borderId="49" xfId="0" applyFont="1" applyFill="1" applyBorder="1" applyAlignment="1">
      <alignment horizontal="center" vertical="center" textRotation="90" wrapText="1"/>
    </xf>
    <xf numFmtId="0" fontId="82" fillId="0" borderId="48" xfId="0" applyFont="1" applyBorder="1" applyAlignment="1" applyProtection="1">
      <alignment horizontal="center" vertical="center" wrapText="1"/>
      <protection locked="0"/>
    </xf>
    <xf numFmtId="0" fontId="82" fillId="0" borderId="51" xfId="0" applyFont="1" applyBorder="1" applyAlignment="1" applyProtection="1">
      <alignment horizontal="center" vertical="center" wrapText="1"/>
      <protection locked="0"/>
    </xf>
    <xf numFmtId="0" fontId="24" fillId="0" borderId="50" xfId="0" applyFont="1" applyBorder="1" applyAlignment="1" applyProtection="1">
      <alignment horizontal="center" vertical="center" textRotation="90"/>
      <protection locked="0"/>
    </xf>
    <xf numFmtId="0" fontId="43" fillId="6" borderId="48" xfId="0" applyFont="1" applyFill="1" applyBorder="1" applyAlignment="1">
      <alignment horizontal="center" vertical="center" textRotation="90" wrapText="1"/>
    </xf>
    <xf numFmtId="0" fontId="43" fillId="6" borderId="50" xfId="0" applyFont="1" applyFill="1" applyBorder="1" applyAlignment="1">
      <alignment horizontal="center" vertical="center" textRotation="90" wrapText="1"/>
    </xf>
    <xf numFmtId="0" fontId="43" fillId="6" borderId="48" xfId="0" applyFont="1" applyFill="1" applyBorder="1" applyAlignment="1">
      <alignment horizontal="center" vertical="center" textRotation="90"/>
    </xf>
    <xf numFmtId="0" fontId="43" fillId="6" borderId="50" xfId="0" applyFont="1" applyFill="1" applyBorder="1" applyAlignment="1">
      <alignment horizontal="center" vertical="center" textRotation="90"/>
    </xf>
    <xf numFmtId="0" fontId="43" fillId="6" borderId="49" xfId="0" applyFont="1" applyFill="1" applyBorder="1" applyAlignment="1">
      <alignment horizontal="center" vertical="center"/>
    </xf>
    <xf numFmtId="0" fontId="43" fillId="6" borderId="50" xfId="0" applyFont="1" applyFill="1" applyBorder="1" applyAlignment="1">
      <alignment horizontal="center" vertical="center"/>
    </xf>
    <xf numFmtId="0" fontId="43" fillId="6" borderId="48" xfId="0" applyFont="1" applyFill="1" applyBorder="1" applyAlignment="1">
      <alignment horizontal="center" vertical="center"/>
    </xf>
    <xf numFmtId="0" fontId="43" fillId="6" borderId="81" xfId="0" applyFont="1" applyFill="1" applyBorder="1" applyAlignment="1">
      <alignment horizontal="center" vertical="center"/>
    </xf>
    <xf numFmtId="0" fontId="43" fillId="6" borderId="45" xfId="0" applyFont="1" applyFill="1" applyBorder="1" applyAlignment="1">
      <alignment horizontal="left" vertical="center"/>
    </xf>
    <xf numFmtId="0" fontId="43" fillId="6" borderId="46" xfId="0" applyFont="1" applyFill="1" applyBorder="1" applyAlignment="1">
      <alignment horizontal="left" vertical="center"/>
    </xf>
    <xf numFmtId="0" fontId="24" fillId="7" borderId="47" xfId="0" applyFont="1" applyFill="1" applyBorder="1" applyAlignment="1" applyProtection="1">
      <alignment horizontal="left" vertical="center"/>
      <protection locked="0"/>
    </xf>
    <xf numFmtId="0" fontId="24" fillId="7" borderId="47" xfId="0" applyFont="1" applyFill="1" applyBorder="1" applyAlignment="1" applyProtection="1">
      <alignment horizontal="left" vertical="center" wrapText="1"/>
      <protection locked="0"/>
    </xf>
    <xf numFmtId="0" fontId="24" fillId="7" borderId="54" xfId="0" applyFont="1" applyFill="1" applyBorder="1" applyAlignment="1" applyProtection="1">
      <alignment horizontal="left" vertical="center" wrapText="1"/>
      <protection locked="0"/>
    </xf>
    <xf numFmtId="0" fontId="43" fillId="6" borderId="45" xfId="0" applyFont="1" applyFill="1" applyBorder="1" applyAlignment="1">
      <alignment horizontal="center" vertical="center"/>
    </xf>
    <xf numFmtId="0" fontId="43" fillId="6" borderId="46" xfId="0" applyFont="1" applyFill="1" applyBorder="1" applyAlignment="1">
      <alignment horizontal="center" vertical="center"/>
    </xf>
    <xf numFmtId="0" fontId="43" fillId="6" borderId="43" xfId="0" applyFont="1" applyFill="1" applyBorder="1" applyAlignment="1">
      <alignment horizontal="center" vertical="center"/>
    </xf>
    <xf numFmtId="0" fontId="43" fillId="6" borderId="44" xfId="0" applyFont="1" applyFill="1" applyBorder="1" applyAlignment="1">
      <alignment horizontal="center" vertical="center"/>
    </xf>
    <xf numFmtId="0" fontId="43" fillId="6" borderId="38" xfId="0" applyFont="1" applyFill="1" applyBorder="1" applyAlignment="1">
      <alignment horizontal="center" vertical="center"/>
    </xf>
    <xf numFmtId="164" fontId="27" fillId="0" borderId="48" xfId="16" applyNumberFormat="1" applyFont="1" applyBorder="1" applyAlignment="1">
      <alignment horizontal="center" vertical="center"/>
    </xf>
    <xf numFmtId="164" fontId="27" fillId="0" borderId="50" xfId="16" applyNumberFormat="1" applyFont="1" applyBorder="1" applyAlignment="1">
      <alignment horizontal="center" vertical="center"/>
    </xf>
    <xf numFmtId="0" fontId="37" fillId="0" borderId="48" xfId="0" applyFont="1" applyBorder="1" applyAlignment="1" applyProtection="1">
      <alignment horizontal="center" vertical="center" textRotation="90" wrapText="1"/>
      <protection hidden="1"/>
    </xf>
    <xf numFmtId="0" fontId="37" fillId="0" borderId="50" xfId="0" applyFont="1" applyBorder="1" applyAlignment="1" applyProtection="1">
      <alignment horizontal="center" vertical="center" textRotation="90" wrapText="1"/>
      <protection hidden="1"/>
    </xf>
    <xf numFmtId="9" fontId="26" fillId="0" borderId="48" xfId="0" applyNumberFormat="1" applyFont="1" applyBorder="1" applyAlignment="1" applyProtection="1">
      <alignment horizontal="center" vertical="center"/>
      <protection hidden="1"/>
    </xf>
    <xf numFmtId="9" fontId="26" fillId="0" borderId="50" xfId="0" applyNumberFormat="1" applyFont="1" applyBorder="1" applyAlignment="1" applyProtection="1">
      <alignment horizontal="center" vertical="center"/>
      <protection hidden="1"/>
    </xf>
    <xf numFmtId="0" fontId="37" fillId="0" borderId="48" xfId="0" applyFont="1" applyBorder="1" applyAlignment="1" applyProtection="1">
      <alignment horizontal="center" vertical="center" textRotation="90"/>
      <protection hidden="1"/>
    </xf>
    <xf numFmtId="0" fontId="37" fillId="0" borderId="50" xfId="0" applyFont="1" applyBorder="1" applyAlignment="1" applyProtection="1">
      <alignment horizontal="center" vertical="center" textRotation="90"/>
      <protection hidden="1"/>
    </xf>
    <xf numFmtId="0" fontId="26" fillId="0" borderId="48" xfId="0" applyFont="1" applyBorder="1" applyAlignment="1" applyProtection="1">
      <alignment horizontal="center" vertical="center" textRotation="90"/>
      <protection locked="0"/>
    </xf>
    <xf numFmtId="0" fontId="26" fillId="0" borderId="50" xfId="0" applyFont="1" applyBorder="1" applyAlignment="1" applyProtection="1">
      <alignment horizontal="center" vertical="center" textRotation="90"/>
      <protection locked="0"/>
    </xf>
    <xf numFmtId="0" fontId="27" fillId="0" borderId="48"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28" fillId="6" borderId="39" xfId="0" applyFont="1" applyFill="1" applyBorder="1" applyAlignment="1">
      <alignment horizontal="left" vertical="center"/>
    </xf>
    <xf numFmtId="0" fontId="28" fillId="6" borderId="40" xfId="0" applyFont="1" applyFill="1" applyBorder="1" applyAlignment="1">
      <alignment horizontal="left" vertical="center"/>
    </xf>
    <xf numFmtId="0" fontId="28" fillId="6" borderId="41" xfId="0" applyFont="1" applyFill="1" applyBorder="1" applyAlignment="1">
      <alignment horizontal="left" vertical="center"/>
    </xf>
    <xf numFmtId="0" fontId="28" fillId="6" borderId="42" xfId="0" applyFont="1" applyFill="1" applyBorder="1" applyAlignment="1">
      <alignment horizontal="left" vertical="center"/>
    </xf>
    <xf numFmtId="0" fontId="28" fillId="6" borderId="43" xfId="0" applyFont="1" applyFill="1" applyBorder="1" applyAlignment="1">
      <alignment horizontal="left" vertical="center"/>
    </xf>
    <xf numFmtId="0" fontId="28" fillId="6" borderId="44" xfId="0" applyFont="1" applyFill="1" applyBorder="1" applyAlignment="1">
      <alignment horizontal="left" vertical="center"/>
    </xf>
    <xf numFmtId="0" fontId="27" fillId="0" borderId="48" xfId="0" applyFont="1" applyBorder="1" applyAlignment="1">
      <alignment horizontal="center" vertical="center"/>
    </xf>
    <xf numFmtId="0" fontId="27" fillId="0" borderId="50" xfId="0" applyFont="1" applyBorder="1" applyAlignment="1">
      <alignment horizontal="center" vertical="center"/>
    </xf>
    <xf numFmtId="0" fontId="30" fillId="0" borderId="48"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protection hidden="1"/>
    </xf>
    <xf numFmtId="0" fontId="27" fillId="0" borderId="50" xfId="0" applyFont="1" applyBorder="1" applyAlignment="1" applyProtection="1">
      <alignment horizontal="center" vertical="center"/>
      <protection hidden="1"/>
    </xf>
    <xf numFmtId="0" fontId="28" fillId="0" borderId="48" xfId="0" applyFont="1" applyBorder="1" applyAlignment="1" applyProtection="1">
      <alignment horizontal="center" vertical="top" wrapText="1"/>
      <protection hidden="1"/>
    </xf>
    <xf numFmtId="0" fontId="28" fillId="0" borderId="51" xfId="0" applyFont="1" applyBorder="1" applyAlignment="1" applyProtection="1">
      <alignment horizontal="center" vertical="top" wrapText="1"/>
      <protection hidden="1"/>
    </xf>
    <xf numFmtId="9" fontId="27" fillId="0" borderId="48" xfId="0" applyNumberFormat="1" applyFont="1" applyBorder="1" applyAlignment="1" applyProtection="1">
      <alignment horizontal="center" vertical="top" wrapText="1"/>
      <protection hidden="1"/>
    </xf>
    <xf numFmtId="9" fontId="27" fillId="0" borderId="51" xfId="0" applyNumberFormat="1" applyFont="1" applyBorder="1" applyAlignment="1" applyProtection="1">
      <alignment horizontal="center" vertical="top" wrapText="1"/>
      <protection hidden="1"/>
    </xf>
    <xf numFmtId="9" fontId="27" fillId="0" borderId="48" xfId="0" applyNumberFormat="1" applyFont="1" applyBorder="1" applyAlignment="1" applyProtection="1">
      <alignment horizontal="center" vertical="top" wrapText="1"/>
      <protection locked="0"/>
    </xf>
    <xf numFmtId="9" fontId="27" fillId="0" borderId="51" xfId="0" applyNumberFormat="1" applyFont="1" applyBorder="1" applyAlignment="1" applyProtection="1">
      <alignment horizontal="center" vertical="top" wrapText="1"/>
      <protection locked="0"/>
    </xf>
    <xf numFmtId="0" fontId="28" fillId="0" borderId="48" xfId="0" applyFont="1" applyBorder="1" applyAlignment="1" applyProtection="1">
      <alignment horizontal="center" vertical="top"/>
      <protection hidden="1"/>
    </xf>
    <xf numFmtId="0" fontId="28" fillId="0" borderId="51" xfId="0" applyFont="1" applyBorder="1" applyAlignment="1" applyProtection="1">
      <alignment horizontal="center" vertical="top"/>
      <protection hidden="1"/>
    </xf>
    <xf numFmtId="0" fontId="27" fillId="0" borderId="51" xfId="0" applyFont="1" applyBorder="1" applyAlignment="1">
      <alignment horizontal="center" vertical="center"/>
    </xf>
    <xf numFmtId="0" fontId="28" fillId="0" borderId="48" xfId="0" applyFont="1" applyBorder="1" applyAlignment="1" applyProtection="1">
      <alignment horizontal="center" vertical="top" wrapText="1"/>
      <protection locked="0"/>
    </xf>
    <xf numFmtId="0" fontId="28" fillId="0" borderId="51" xfId="0" applyFont="1" applyBorder="1" applyAlignment="1" applyProtection="1">
      <alignment horizontal="center" vertical="top" wrapText="1"/>
      <protection locked="0"/>
    </xf>
    <xf numFmtId="0" fontId="81" fillId="0" borderId="48" xfId="0" applyFont="1" applyBorder="1" applyAlignment="1" applyProtection="1">
      <alignment horizontal="center" vertical="top" wrapText="1"/>
      <protection locked="0"/>
    </xf>
    <xf numFmtId="0" fontId="81" fillId="0" borderId="51" xfId="0" applyFont="1" applyBorder="1" applyAlignment="1" applyProtection="1">
      <alignment horizontal="center" vertical="top" wrapText="1"/>
      <protection locked="0"/>
    </xf>
    <xf numFmtId="0" fontId="32" fillId="0" borderId="39" xfId="0" applyFont="1" applyBorder="1" applyAlignment="1" applyProtection="1">
      <alignment horizontal="center" vertical="top" wrapText="1"/>
      <protection locked="0"/>
    </xf>
    <xf numFmtId="0" fontId="32" fillId="0" borderId="52" xfId="0" applyFont="1" applyBorder="1" applyAlignment="1" applyProtection="1">
      <alignment horizontal="center" vertical="top" wrapText="1"/>
      <protection locked="0"/>
    </xf>
    <xf numFmtId="0" fontId="30" fillId="0" borderId="47" xfId="0" applyFont="1" applyBorder="1" applyAlignment="1" applyProtection="1">
      <alignment horizontal="center" vertical="center" wrapText="1"/>
      <protection locked="0"/>
    </xf>
    <xf numFmtId="0" fontId="31" fillId="0" borderId="54"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27" fillId="0" borderId="100"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41" xfId="0" applyFont="1" applyBorder="1" applyAlignment="1" applyProtection="1">
      <alignment horizontal="center" vertical="center" wrapText="1"/>
      <protection locked="0"/>
    </xf>
    <xf numFmtId="0" fontId="27" fillId="0" borderId="53" xfId="0" applyFont="1" applyBorder="1" applyAlignment="1" applyProtection="1">
      <alignment horizontal="center" vertical="center" wrapText="1"/>
      <protection locked="0"/>
    </xf>
    <xf numFmtId="0" fontId="27" fillId="0" borderId="48" xfId="0" applyFont="1" applyBorder="1" applyAlignment="1" applyProtection="1">
      <alignment horizontal="center" vertical="top"/>
      <protection locked="0"/>
    </xf>
    <xf numFmtId="0" fontId="27" fillId="0" borderId="51" xfId="0" applyFont="1" applyBorder="1" applyAlignment="1" applyProtection="1">
      <alignment horizontal="center" vertical="top"/>
      <protection locked="0"/>
    </xf>
    <xf numFmtId="0" fontId="28" fillId="0" borderId="48" xfId="0" applyFont="1" applyBorder="1" applyAlignment="1" applyProtection="1">
      <alignment horizontal="center" vertical="center" wrapText="1"/>
      <protection hidden="1"/>
    </xf>
    <xf numFmtId="0" fontId="28" fillId="0" borderId="51" xfId="0" applyFont="1" applyBorder="1" applyAlignment="1" applyProtection="1">
      <alignment horizontal="center" vertical="center" wrapText="1"/>
      <protection hidden="1"/>
    </xf>
    <xf numFmtId="9" fontId="27" fillId="0" borderId="48" xfId="0" applyNumberFormat="1" applyFont="1" applyBorder="1" applyAlignment="1" applyProtection="1">
      <alignment horizontal="center" vertical="center" wrapText="1"/>
      <protection hidden="1"/>
    </xf>
    <xf numFmtId="9" fontId="27" fillId="0" borderId="51" xfId="0" applyNumberFormat="1" applyFont="1" applyBorder="1" applyAlignment="1" applyProtection="1">
      <alignment horizontal="center" vertical="center" wrapText="1"/>
      <protection hidden="1"/>
    </xf>
    <xf numFmtId="9" fontId="27" fillId="0" borderId="48" xfId="0" applyNumberFormat="1" applyFont="1" applyBorder="1" applyAlignment="1" applyProtection="1">
      <alignment horizontal="center" vertical="center" wrapText="1"/>
      <protection locked="0"/>
    </xf>
    <xf numFmtId="9" fontId="27" fillId="0" borderId="51" xfId="0" applyNumberFormat="1" applyFont="1" applyBorder="1" applyAlignment="1" applyProtection="1">
      <alignment horizontal="center" vertical="center" wrapText="1"/>
      <protection locked="0"/>
    </xf>
    <xf numFmtId="0" fontId="28" fillId="0" borderId="48" xfId="0" applyFont="1" applyBorder="1" applyAlignment="1" applyProtection="1">
      <alignment horizontal="center" vertical="center"/>
      <protection hidden="1"/>
    </xf>
    <xf numFmtId="0" fontId="28" fillId="0" borderId="51" xfId="0" applyFont="1" applyBorder="1" applyAlignment="1" applyProtection="1">
      <alignment horizontal="center" vertical="center"/>
      <protection hidden="1"/>
    </xf>
    <xf numFmtId="0" fontId="28" fillId="0" borderId="48" xfId="0" applyFont="1" applyBorder="1" applyAlignment="1" applyProtection="1">
      <alignment horizontal="center" vertical="center" wrapText="1"/>
      <protection locked="0"/>
    </xf>
    <xf numFmtId="0" fontId="28" fillId="0" borderId="51"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52" xfId="0" applyFont="1" applyBorder="1" applyAlignment="1" applyProtection="1">
      <alignment horizontal="center" vertical="center" wrapText="1"/>
      <protection locked="0"/>
    </xf>
    <xf numFmtId="0" fontId="30" fillId="0" borderId="54"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0" borderId="80" xfId="0" applyFont="1" applyBorder="1" applyAlignment="1" applyProtection="1">
      <alignment horizontal="center" vertical="center" wrapText="1"/>
      <protection locked="0"/>
    </xf>
    <xf numFmtId="0" fontId="28" fillId="6" borderId="49" xfId="0" applyFont="1" applyFill="1" applyBorder="1" applyAlignment="1">
      <alignment horizontal="center" vertical="center" wrapText="1"/>
    </xf>
    <xf numFmtId="0" fontId="37" fillId="0" borderId="48" xfId="0" applyFont="1" applyBorder="1" applyAlignment="1" applyProtection="1">
      <alignment horizontal="center" vertical="center" wrapText="1"/>
      <protection locked="0"/>
    </xf>
    <xf numFmtId="0" fontId="37" fillId="0" borderId="51" xfId="0" applyFont="1" applyBorder="1" applyAlignment="1" applyProtection="1">
      <alignment horizontal="center" vertical="center" wrapText="1"/>
      <protection locked="0"/>
    </xf>
    <xf numFmtId="0" fontId="78" fillId="0" borderId="48" xfId="0" applyFont="1" applyBorder="1" applyAlignment="1" applyProtection="1">
      <alignment horizontal="center" vertical="center" wrapText="1"/>
      <protection locked="0"/>
    </xf>
    <xf numFmtId="0" fontId="78" fillId="0" borderId="51" xfId="0" applyFont="1" applyBorder="1" applyAlignment="1" applyProtection="1">
      <alignment horizontal="center" vertical="center" wrapText="1"/>
      <protection locked="0"/>
    </xf>
    <xf numFmtId="0" fontId="79" fillId="0" borderId="39" xfId="0" applyFont="1" applyBorder="1" applyAlignment="1" applyProtection="1">
      <alignment horizontal="center" vertical="center" wrapText="1"/>
      <protection locked="0"/>
    </xf>
    <xf numFmtId="0" fontId="79" fillId="0" borderId="52" xfId="0" applyFont="1" applyBorder="1" applyAlignment="1" applyProtection="1">
      <alignment horizontal="center" vertical="center" wrapText="1"/>
      <protection locked="0"/>
    </xf>
    <xf numFmtId="0" fontId="31" fillId="0" borderId="47" xfId="0" applyFont="1" applyBorder="1" applyAlignment="1" applyProtection="1">
      <alignment horizontal="center" vertical="center" wrapText="1"/>
      <protection locked="0"/>
    </xf>
    <xf numFmtId="0" fontId="26" fillId="0" borderId="41" xfId="0" applyFont="1" applyBorder="1" applyAlignment="1" applyProtection="1">
      <alignment horizontal="center" vertical="center" wrapText="1"/>
      <protection locked="0"/>
    </xf>
    <xf numFmtId="0" fontId="26" fillId="0" borderId="53"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37" fillId="0" borderId="48" xfId="0" applyFont="1" applyBorder="1" applyAlignment="1" applyProtection="1">
      <alignment horizontal="center" vertical="center" wrapText="1"/>
      <protection hidden="1"/>
    </xf>
    <xf numFmtId="0" fontId="37" fillId="0" borderId="51" xfId="0" applyFont="1" applyBorder="1" applyAlignment="1" applyProtection="1">
      <alignment horizontal="center" vertical="center" wrapText="1"/>
      <protection hidden="1"/>
    </xf>
    <xf numFmtId="9" fontId="26" fillId="0" borderId="48" xfId="0" applyNumberFormat="1" applyFont="1" applyBorder="1" applyAlignment="1" applyProtection="1">
      <alignment horizontal="center" vertical="center" wrapText="1"/>
      <protection hidden="1"/>
    </xf>
    <xf numFmtId="9" fontId="26" fillId="0" borderId="51" xfId="0" applyNumberFormat="1" applyFont="1" applyBorder="1" applyAlignment="1" applyProtection="1">
      <alignment horizontal="center" vertical="center" wrapText="1"/>
      <protection hidden="1"/>
    </xf>
    <xf numFmtId="9" fontId="26" fillId="0" borderId="48" xfId="0" applyNumberFormat="1" applyFont="1" applyBorder="1" applyAlignment="1" applyProtection="1">
      <alignment horizontal="center" vertical="center" wrapText="1"/>
      <protection locked="0"/>
    </xf>
    <xf numFmtId="9" fontId="26" fillId="0" borderId="51" xfId="0" applyNumberFormat="1" applyFont="1" applyBorder="1" applyAlignment="1" applyProtection="1">
      <alignment horizontal="center" vertical="center" wrapText="1"/>
      <protection locked="0"/>
    </xf>
    <xf numFmtId="0" fontId="37" fillId="0" borderId="48" xfId="0" applyFont="1" applyBorder="1" applyAlignment="1" applyProtection="1">
      <alignment horizontal="center" vertical="center"/>
      <protection hidden="1"/>
    </xf>
    <xf numFmtId="0" fontId="37" fillId="0" borderId="51" xfId="0" applyFont="1" applyBorder="1" applyAlignment="1" applyProtection="1">
      <alignment horizontal="center" vertical="center"/>
      <protection hidden="1"/>
    </xf>
    <xf numFmtId="0" fontId="27" fillId="0" borderId="50" xfId="0" applyFont="1" applyBorder="1" applyAlignment="1" applyProtection="1">
      <alignment horizontal="left" vertical="top" wrapText="1"/>
      <protection locked="0"/>
    </xf>
    <xf numFmtId="0" fontId="28" fillId="6" borderId="49" xfId="0" applyFont="1" applyFill="1" applyBorder="1" applyAlignment="1">
      <alignment horizontal="center" vertical="center" textRotation="90" wrapText="1"/>
    </xf>
    <xf numFmtId="0" fontId="28" fillId="6" borderId="48" xfId="0" applyFont="1" applyFill="1" applyBorder="1" applyAlignment="1">
      <alignment horizontal="center" vertical="center" textRotation="90" wrapText="1"/>
    </xf>
    <xf numFmtId="0" fontId="28" fillId="6" borderId="50" xfId="0" applyFont="1" applyFill="1" applyBorder="1" applyAlignment="1">
      <alignment horizontal="center" vertical="center" textRotation="90" wrapText="1"/>
    </xf>
    <xf numFmtId="0" fontId="28" fillId="6" borderId="52" xfId="0" applyFont="1" applyFill="1" applyBorder="1" applyAlignment="1">
      <alignment horizontal="center" vertical="center"/>
    </xf>
    <xf numFmtId="0" fontId="28" fillId="6" borderId="42" xfId="0" applyFont="1" applyFill="1" applyBorder="1" applyAlignment="1">
      <alignment horizontal="center" vertical="center"/>
    </xf>
    <xf numFmtId="0" fontId="28" fillId="6" borderId="48" xfId="0" applyFont="1" applyFill="1" applyBorder="1" applyAlignment="1">
      <alignment horizontal="center" vertical="center" wrapText="1"/>
    </xf>
    <xf numFmtId="0" fontId="28" fillId="6" borderId="50" xfId="0" applyFont="1" applyFill="1" applyBorder="1" applyAlignment="1">
      <alignment horizontal="center" vertical="center" wrapText="1"/>
    </xf>
    <xf numFmtId="0" fontId="28" fillId="6" borderId="52" xfId="0" applyFont="1" applyFill="1" applyBorder="1" applyAlignment="1">
      <alignment horizontal="center" vertical="center" wrapText="1"/>
    </xf>
    <xf numFmtId="0" fontId="29" fillId="6" borderId="48" xfId="0" applyFont="1" applyFill="1" applyBorder="1" applyAlignment="1">
      <alignment horizontal="center" vertical="center" textRotation="90"/>
    </xf>
    <xf numFmtId="0" fontId="29" fillId="6" borderId="50" xfId="0" applyFont="1" applyFill="1" applyBorder="1" applyAlignment="1">
      <alignment horizontal="center" vertical="center" textRotation="90"/>
    </xf>
    <xf numFmtId="0" fontId="28" fillId="6" borderId="49" xfId="0" applyFont="1" applyFill="1" applyBorder="1" applyAlignment="1">
      <alignment horizontal="center" vertical="center"/>
    </xf>
    <xf numFmtId="0" fontId="28" fillId="6" borderId="51" xfId="0" applyFont="1" applyFill="1" applyBorder="1" applyAlignment="1">
      <alignment horizontal="center" vertical="center" wrapText="1"/>
    </xf>
    <xf numFmtId="0" fontId="28" fillId="6" borderId="50" xfId="0" applyFont="1" applyFill="1" applyBorder="1" applyAlignment="1">
      <alignment horizontal="center" vertical="center"/>
    </xf>
    <xf numFmtId="0" fontId="28" fillId="6" borderId="48" xfId="0" applyFont="1" applyFill="1" applyBorder="1" applyAlignment="1">
      <alignment horizontal="center" vertical="center"/>
    </xf>
    <xf numFmtId="0" fontId="25" fillId="6" borderId="45" xfId="0" applyFont="1" applyFill="1" applyBorder="1" applyAlignment="1">
      <alignment horizontal="left" vertical="center"/>
    </xf>
    <xf numFmtId="0" fontId="25" fillId="6" borderId="46" xfId="0" applyFont="1" applyFill="1" applyBorder="1" applyAlignment="1">
      <alignment horizontal="left" vertical="center"/>
    </xf>
    <xf numFmtId="0" fontId="26" fillId="7" borderId="47" xfId="0" applyFont="1" applyFill="1" applyBorder="1" applyAlignment="1" applyProtection="1">
      <alignment horizontal="left" vertical="center" wrapText="1"/>
      <protection locked="0"/>
    </xf>
    <xf numFmtId="0" fontId="28" fillId="6" borderId="45" xfId="0" applyFont="1" applyFill="1" applyBorder="1" applyAlignment="1">
      <alignment horizontal="center" vertical="center"/>
    </xf>
    <xf numFmtId="0" fontId="28" fillId="6" borderId="46" xfId="0" applyFont="1" applyFill="1" applyBorder="1" applyAlignment="1">
      <alignment horizontal="center" vertical="center"/>
    </xf>
    <xf numFmtId="0" fontId="28" fillId="6" borderId="43" xfId="0" applyFont="1" applyFill="1" applyBorder="1" applyAlignment="1">
      <alignment horizontal="center" vertical="center"/>
    </xf>
    <xf numFmtId="0" fontId="28" fillId="6" borderId="44" xfId="0" applyFont="1" applyFill="1" applyBorder="1" applyAlignment="1">
      <alignment horizontal="center" vertical="center"/>
    </xf>
    <xf numFmtId="0" fontId="34" fillId="6" borderId="39" xfId="0" applyFont="1" applyFill="1" applyBorder="1" applyAlignment="1">
      <alignment horizontal="left" vertical="center"/>
    </xf>
    <xf numFmtId="0" fontId="34" fillId="6" borderId="40" xfId="0" applyFont="1" applyFill="1" applyBorder="1" applyAlignment="1">
      <alignment horizontal="left" vertical="center"/>
    </xf>
    <xf numFmtId="0" fontId="34" fillId="6" borderId="41" xfId="0" applyFont="1" applyFill="1" applyBorder="1" applyAlignment="1">
      <alignment horizontal="left" vertical="center"/>
    </xf>
    <xf numFmtId="0" fontId="34" fillId="6" borderId="42" xfId="0" applyFont="1" applyFill="1" applyBorder="1" applyAlignment="1">
      <alignment horizontal="left" vertical="center"/>
    </xf>
    <xf numFmtId="0" fontId="34" fillId="6" borderId="43" xfId="0" applyFont="1" applyFill="1" applyBorder="1" applyAlignment="1">
      <alignment horizontal="left" vertical="center"/>
    </xf>
    <xf numFmtId="0" fontId="34" fillId="6" borderId="44" xfId="0" applyFont="1" applyFill="1" applyBorder="1" applyAlignment="1">
      <alignment horizontal="left" vertical="center"/>
    </xf>
    <xf numFmtId="0" fontId="26" fillId="7" borderId="47" xfId="0" applyFont="1" applyFill="1" applyBorder="1" applyAlignment="1" applyProtection="1">
      <alignment horizontal="left" vertical="center"/>
      <protection locked="0"/>
    </xf>
    <xf numFmtId="0" fontId="27" fillId="0" borderId="48" xfId="0" applyFont="1" applyBorder="1" applyAlignment="1" applyProtection="1">
      <alignment horizontal="center" vertical="top" wrapText="1"/>
      <protection locked="0"/>
    </xf>
    <xf numFmtId="0" fontId="27" fillId="0" borderId="51" xfId="0" applyFont="1" applyBorder="1" applyAlignment="1" applyProtection="1">
      <alignment horizontal="center" vertical="top" wrapText="1"/>
      <protection locked="0"/>
    </xf>
    <xf numFmtId="0" fontId="27" fillId="0" borderId="39" xfId="0" applyFont="1" applyBorder="1" applyAlignment="1" applyProtection="1">
      <alignment horizontal="center" vertical="top" wrapText="1"/>
      <protection locked="0"/>
    </xf>
    <xf numFmtId="0" fontId="27" fillId="0" borderId="52" xfId="0" applyFont="1" applyBorder="1" applyAlignment="1" applyProtection="1">
      <alignment horizontal="center" vertical="top" wrapText="1"/>
      <protection locked="0"/>
    </xf>
    <xf numFmtId="0" fontId="30" fillId="0" borderId="47" xfId="0" applyFont="1" applyBorder="1" applyAlignment="1" applyProtection="1">
      <alignment horizontal="center" vertical="top" wrapText="1"/>
      <protection locked="0"/>
    </xf>
    <xf numFmtId="0" fontId="30" fillId="0" borderId="54" xfId="0" applyFont="1" applyBorder="1" applyAlignment="1" applyProtection="1">
      <alignment horizontal="center" vertical="top" wrapText="1"/>
      <protection locked="0"/>
    </xf>
    <xf numFmtId="0" fontId="30" fillId="0" borderId="55" xfId="0" applyFont="1" applyBorder="1" applyAlignment="1" applyProtection="1">
      <alignment horizontal="center" vertical="top" wrapText="1"/>
      <protection locked="0"/>
    </xf>
    <xf numFmtId="0" fontId="27" fillId="0" borderId="41" xfId="0" applyFont="1" applyBorder="1" applyAlignment="1" applyProtection="1">
      <alignment horizontal="center" vertical="top" wrapText="1"/>
      <protection locked="0"/>
    </xf>
    <xf numFmtId="0" fontId="27" fillId="0" borderId="53" xfId="0" applyFont="1" applyBorder="1" applyAlignment="1" applyProtection="1">
      <alignment horizontal="center" vertical="top" wrapText="1"/>
      <protection locked="0"/>
    </xf>
    <xf numFmtId="0" fontId="26" fillId="0" borderId="48" xfId="0" applyFont="1" applyBorder="1" applyAlignment="1" applyProtection="1">
      <alignment horizontal="center" vertical="top" wrapText="1"/>
      <protection locked="0"/>
    </xf>
    <xf numFmtId="0" fontId="26" fillId="0" borderId="51" xfId="0" applyFont="1" applyBorder="1" applyAlignment="1" applyProtection="1">
      <alignment horizontal="center" vertical="top" wrapText="1"/>
      <protection locked="0"/>
    </xf>
    <xf numFmtId="0" fontId="26" fillId="0" borderId="39" xfId="0" applyFont="1" applyBorder="1" applyAlignment="1" applyProtection="1">
      <alignment horizontal="center" vertical="top" wrapText="1"/>
      <protection locked="0"/>
    </xf>
    <xf numFmtId="0" fontId="26" fillId="0" borderId="52" xfId="0" applyFont="1" applyBorder="1" applyAlignment="1" applyProtection="1">
      <alignment horizontal="center" vertical="top" wrapText="1"/>
      <protection locked="0"/>
    </xf>
    <xf numFmtId="0" fontId="31" fillId="0" borderId="47" xfId="0" applyFont="1" applyBorder="1" applyAlignment="1" applyProtection="1">
      <alignment horizontal="center" vertical="top" wrapText="1"/>
      <protection locked="0"/>
    </xf>
    <xf numFmtId="0" fontId="26" fillId="0" borderId="41" xfId="0" applyFont="1" applyBorder="1" applyAlignment="1" applyProtection="1">
      <alignment horizontal="center" vertical="top" wrapText="1"/>
      <protection locked="0"/>
    </xf>
    <xf numFmtId="0" fontId="26" fillId="0" borderId="53" xfId="0" applyFont="1" applyBorder="1" applyAlignment="1" applyProtection="1">
      <alignment horizontal="center" vertical="top" wrapText="1"/>
      <protection locked="0"/>
    </xf>
    <xf numFmtId="0" fontId="26" fillId="0" borderId="48" xfId="0" applyFont="1" applyBorder="1" applyAlignment="1" applyProtection="1">
      <alignment horizontal="center" vertical="top"/>
      <protection locked="0"/>
    </xf>
    <xf numFmtId="0" fontId="26" fillId="0" borderId="51" xfId="0" applyFont="1" applyBorder="1" applyAlignment="1" applyProtection="1">
      <alignment horizontal="center" vertical="top"/>
      <protection locked="0"/>
    </xf>
    <xf numFmtId="0" fontId="37" fillId="0" borderId="48" xfId="0" applyFont="1" applyBorder="1" applyAlignment="1" applyProtection="1">
      <alignment horizontal="center" vertical="top" wrapText="1"/>
      <protection hidden="1"/>
    </xf>
    <xf numFmtId="0" fontId="37" fillId="0" borderId="51" xfId="0" applyFont="1" applyBorder="1" applyAlignment="1" applyProtection="1">
      <alignment horizontal="center" vertical="top" wrapText="1"/>
      <protection hidden="1"/>
    </xf>
    <xf numFmtId="9" fontId="26" fillId="0" borderId="48" xfId="0" applyNumberFormat="1" applyFont="1" applyBorder="1" applyAlignment="1" applyProtection="1">
      <alignment horizontal="center" vertical="top" wrapText="1"/>
      <protection hidden="1"/>
    </xf>
    <xf numFmtId="9" fontId="26" fillId="0" borderId="51" xfId="0" applyNumberFormat="1" applyFont="1" applyBorder="1" applyAlignment="1" applyProtection="1">
      <alignment horizontal="center" vertical="top" wrapText="1"/>
      <protection hidden="1"/>
    </xf>
    <xf numFmtId="9" fontId="26" fillId="0" borderId="48" xfId="0" applyNumberFormat="1" applyFont="1" applyBorder="1" applyAlignment="1" applyProtection="1">
      <alignment horizontal="center" vertical="top" wrapText="1"/>
      <protection locked="0"/>
    </xf>
    <xf numFmtId="9" fontId="26" fillId="0" borderId="51" xfId="0" applyNumberFormat="1" applyFont="1" applyBorder="1" applyAlignment="1" applyProtection="1">
      <alignment horizontal="center" vertical="top" wrapText="1"/>
      <protection locked="0"/>
    </xf>
    <xf numFmtId="0" fontId="37" fillId="0" borderId="48" xfId="0" applyFont="1" applyBorder="1" applyAlignment="1" applyProtection="1">
      <alignment horizontal="center" vertical="top"/>
      <protection hidden="1"/>
    </xf>
    <xf numFmtId="0" fontId="37" fillId="0" borderId="51" xfId="0" applyFont="1" applyBorder="1" applyAlignment="1" applyProtection="1">
      <alignment horizontal="center" vertical="top"/>
      <protection hidden="1"/>
    </xf>
    <xf numFmtId="0" fontId="26" fillId="0" borderId="48" xfId="0" applyFont="1" applyBorder="1" applyAlignment="1" applyProtection="1">
      <alignment horizontal="center" vertical="top" textRotation="90"/>
      <protection locked="0"/>
    </xf>
    <xf numFmtId="0" fontId="26" fillId="0" borderId="51" xfId="0" applyFont="1" applyBorder="1" applyAlignment="1" applyProtection="1">
      <alignment horizontal="center" vertical="top" textRotation="90"/>
      <protection locked="0"/>
    </xf>
    <xf numFmtId="0" fontId="26" fillId="0" borderId="50" xfId="0" applyFont="1" applyBorder="1" applyAlignment="1" applyProtection="1">
      <alignment horizontal="center" vertical="top" wrapText="1"/>
      <protection locked="0"/>
    </xf>
    <xf numFmtId="0" fontId="26" fillId="0" borderId="50" xfId="0" applyFont="1" applyBorder="1" applyAlignment="1" applyProtection="1">
      <alignment horizontal="center" vertical="top"/>
      <protection locked="0"/>
    </xf>
    <xf numFmtId="14" fontId="26" fillId="0" borderId="48" xfId="0" applyNumberFormat="1" applyFont="1" applyBorder="1" applyAlignment="1" applyProtection="1">
      <alignment horizontal="center" vertical="top"/>
      <protection locked="0"/>
    </xf>
    <xf numFmtId="14" fontId="26" fillId="0" borderId="50" xfId="0" applyNumberFormat="1" applyFont="1" applyBorder="1" applyAlignment="1" applyProtection="1">
      <alignment horizontal="center" vertical="top"/>
      <protection locked="0"/>
    </xf>
    <xf numFmtId="14" fontId="26" fillId="0" borderId="97" xfId="0" applyNumberFormat="1" applyFont="1" applyBorder="1" applyAlignment="1" applyProtection="1">
      <alignment vertical="top"/>
      <protection locked="0"/>
    </xf>
    <xf numFmtId="14" fontId="26" fillId="0" borderId="99" xfId="0" applyNumberFormat="1" applyFont="1" applyBorder="1" applyAlignment="1" applyProtection="1">
      <alignment vertical="top"/>
      <protection locked="0"/>
    </xf>
    <xf numFmtId="0" fontId="31" fillId="0" borderId="47" xfId="0" applyFont="1" applyBorder="1" applyAlignment="1" applyProtection="1">
      <alignment vertical="center" wrapText="1"/>
      <protection locked="0"/>
    </xf>
    <xf numFmtId="0" fontId="31" fillId="0" borderId="54" xfId="0" applyFont="1" applyBorder="1" applyAlignment="1" applyProtection="1">
      <alignment horizontal="center" vertical="top" wrapText="1"/>
      <protection locked="0"/>
    </xf>
    <xf numFmtId="0" fontId="31" fillId="0" borderId="55" xfId="0" applyFont="1" applyBorder="1" applyAlignment="1" applyProtection="1">
      <alignment horizontal="center" vertical="top" wrapText="1"/>
      <protection locked="0"/>
    </xf>
    <xf numFmtId="0" fontId="30" fillId="0" borderId="89" xfId="0" applyFont="1" applyBorder="1" applyAlignment="1" applyProtection="1">
      <alignment horizontal="center" vertical="center" wrapText="1"/>
      <protection locked="0"/>
    </xf>
    <xf numFmtId="0" fontId="67" fillId="0" borderId="89" xfId="0" applyFont="1" applyBorder="1" applyAlignment="1" applyProtection="1">
      <alignment horizontal="center" vertical="center" wrapText="1"/>
      <protection locked="0"/>
    </xf>
    <xf numFmtId="0" fontId="67" fillId="0" borderId="89" xfId="0" applyFont="1" applyBorder="1" applyAlignment="1" applyProtection="1">
      <alignment horizontal="center" vertical="center"/>
      <protection locked="0"/>
    </xf>
    <xf numFmtId="14" fontId="67" fillId="0" borderId="92" xfId="0" applyNumberFormat="1" applyFont="1" applyBorder="1" applyAlignment="1" applyProtection="1">
      <alignment horizontal="center" vertical="center" wrapText="1"/>
      <protection locked="0"/>
    </xf>
    <xf numFmtId="14" fontId="67" fillId="0" borderId="91" xfId="0" applyNumberFormat="1" applyFont="1" applyBorder="1" applyAlignment="1" applyProtection="1">
      <alignment horizontal="center" vertical="center" wrapText="1"/>
      <protection locked="0"/>
    </xf>
    <xf numFmtId="14" fontId="67" fillId="0" borderId="89" xfId="0" applyNumberFormat="1" applyFont="1" applyBorder="1" applyAlignment="1" applyProtection="1">
      <alignment horizontal="center" vertical="center" wrapText="1"/>
      <protection locked="0"/>
    </xf>
    <xf numFmtId="0" fontId="67" fillId="0" borderId="91" xfId="0" applyFont="1" applyBorder="1" applyAlignment="1" applyProtection="1">
      <alignment horizontal="center" vertical="center" wrapText="1"/>
      <protection locked="0"/>
    </xf>
    <xf numFmtId="0" fontId="70" fillId="0" borderId="89" xfId="0" applyFont="1" applyBorder="1" applyAlignment="1" applyProtection="1">
      <alignment horizontal="center" vertical="center" wrapText="1"/>
      <protection hidden="1"/>
    </xf>
    <xf numFmtId="9" fontId="67" fillId="0" borderId="89" xfId="0" applyNumberFormat="1" applyFont="1" applyBorder="1" applyAlignment="1" applyProtection="1">
      <alignment horizontal="center" vertical="center" wrapText="1"/>
      <protection hidden="1"/>
    </xf>
    <xf numFmtId="9" fontId="67" fillId="0" borderId="89" xfId="0" applyNumberFormat="1" applyFont="1" applyBorder="1" applyAlignment="1" applyProtection="1">
      <alignment horizontal="center" vertical="center" wrapText="1"/>
      <protection locked="0"/>
    </xf>
    <xf numFmtId="9" fontId="67" fillId="0" borderId="89" xfId="0" applyNumberFormat="1" applyFont="1" applyBorder="1" applyAlignment="1" applyProtection="1">
      <alignment horizontal="center" vertical="top" wrapText="1"/>
      <protection hidden="1"/>
    </xf>
    <xf numFmtId="0" fontId="70" fillId="0" borderId="89" xfId="0" applyFont="1" applyBorder="1" applyAlignment="1" applyProtection="1">
      <alignment horizontal="center" vertical="center"/>
      <protection hidden="1"/>
    </xf>
    <xf numFmtId="0" fontId="67" fillId="0" borderId="92" xfId="0" applyFont="1" applyBorder="1" applyAlignment="1">
      <alignment horizontal="center" vertical="top"/>
    </xf>
    <xf numFmtId="0" fontId="67" fillId="0" borderId="91" xfId="0" applyFont="1" applyBorder="1" applyAlignment="1">
      <alignment horizontal="center" vertical="top"/>
    </xf>
    <xf numFmtId="165" fontId="69" fillId="0" borderId="89" xfId="9" applyFont="1" applyBorder="1" applyAlignment="1" applyProtection="1">
      <alignment horizontal="center" vertical="top" textRotation="90" wrapText="1"/>
      <protection locked="0"/>
    </xf>
    <xf numFmtId="0" fontId="67" fillId="0" borderId="89" xfId="0" applyFont="1" applyBorder="1" applyAlignment="1">
      <alignment horizontal="center" vertical="center"/>
    </xf>
    <xf numFmtId="0" fontId="30" fillId="0" borderId="90" xfId="0" applyFont="1" applyBorder="1" applyAlignment="1" applyProtection="1">
      <alignment horizontal="center" vertical="center" wrapText="1"/>
      <protection locked="0"/>
    </xf>
    <xf numFmtId="0" fontId="76" fillId="0" borderId="90" xfId="0" applyFont="1" applyBorder="1" applyAlignment="1" applyProtection="1">
      <alignment horizontal="center" vertical="center" wrapText="1"/>
      <protection locked="0"/>
    </xf>
    <xf numFmtId="0" fontId="26" fillId="0" borderId="92" xfId="0" applyFont="1" applyBorder="1" applyAlignment="1">
      <alignment horizontal="center" vertical="center" wrapText="1"/>
    </xf>
    <xf numFmtId="0" fontId="26" fillId="0" borderId="93" xfId="0" applyFont="1" applyBorder="1" applyAlignment="1">
      <alignment horizontal="center" vertical="center" wrapText="1"/>
    </xf>
    <xf numFmtId="0" fontId="75" fillId="0" borderId="89" xfId="0" applyFont="1" applyBorder="1" applyAlignment="1" applyProtection="1">
      <alignment horizontal="center" vertical="center" wrapText="1"/>
      <protection locked="0"/>
    </xf>
    <xf numFmtId="0" fontId="67" fillId="0" borderId="96" xfId="0" applyFont="1" applyBorder="1" applyAlignment="1" applyProtection="1">
      <alignment horizontal="center" vertical="center" wrapText="1"/>
      <protection locked="0"/>
    </xf>
    <xf numFmtId="0" fontId="76" fillId="0" borderId="89" xfId="0" applyFont="1" applyBorder="1" applyAlignment="1" applyProtection="1">
      <alignment horizontal="center" vertical="center"/>
      <protection locked="0"/>
    </xf>
    <xf numFmtId="0" fontId="70" fillId="21" borderId="89" xfId="0" applyFont="1" applyFill="1" applyBorder="1" applyAlignment="1">
      <alignment horizontal="center" vertical="center" wrapText="1"/>
    </xf>
    <xf numFmtId="0" fontId="70" fillId="21" borderId="89" xfId="0" applyFont="1" applyFill="1" applyBorder="1" applyAlignment="1">
      <alignment horizontal="center" vertical="center" textRotation="90" wrapText="1"/>
    </xf>
    <xf numFmtId="14" fontId="69" fillId="0" borderId="92" xfId="0" applyNumberFormat="1" applyFont="1" applyBorder="1" applyAlignment="1" applyProtection="1">
      <alignment horizontal="center" vertical="center" wrapText="1"/>
      <protection locked="0"/>
    </xf>
    <xf numFmtId="14" fontId="69" fillId="0" borderId="91" xfId="0" applyNumberFormat="1" applyFont="1" applyBorder="1" applyAlignment="1" applyProtection="1">
      <alignment horizontal="center" vertical="center" wrapText="1"/>
      <protection locked="0"/>
    </xf>
    <xf numFmtId="14" fontId="69" fillId="0" borderId="92" xfId="0" applyNumberFormat="1" applyFont="1" applyBorder="1" applyAlignment="1" applyProtection="1">
      <alignment horizontal="center" vertical="center"/>
      <protection locked="0"/>
    </xf>
    <xf numFmtId="14" fontId="69" fillId="0" borderId="91" xfId="0" applyNumberFormat="1" applyFont="1" applyBorder="1" applyAlignment="1" applyProtection="1">
      <alignment horizontal="center" vertical="center"/>
      <protection locked="0"/>
    </xf>
    <xf numFmtId="0" fontId="67" fillId="22" borderId="89" xfId="0" applyFont="1" applyFill="1" applyBorder="1" applyAlignment="1">
      <alignment horizontal="center" vertical="center" wrapText="1"/>
    </xf>
    <xf numFmtId="0" fontId="26" fillId="0" borderId="95" xfId="0" applyFont="1" applyBorder="1" applyAlignment="1">
      <alignment horizontal="center" vertical="center" wrapText="1"/>
    </xf>
    <xf numFmtId="0" fontId="69" fillId="0" borderId="89" xfId="0" applyFont="1" applyBorder="1" applyAlignment="1" applyProtection="1">
      <alignment horizontal="center" vertical="center" textRotation="90"/>
      <protection locked="0"/>
    </xf>
    <xf numFmtId="14" fontId="67" fillId="0" borderId="93" xfId="0" applyNumberFormat="1" applyFont="1" applyBorder="1" applyAlignment="1" applyProtection="1">
      <alignment horizontal="center" vertical="center" wrapText="1"/>
      <protection locked="0"/>
    </xf>
    <xf numFmtId="14" fontId="67" fillId="0" borderId="92" xfId="0" applyNumberFormat="1" applyFont="1" applyBorder="1" applyAlignment="1" applyProtection="1">
      <alignment horizontal="center" vertical="center"/>
      <protection locked="0"/>
    </xf>
    <xf numFmtId="14" fontId="67" fillId="0" borderId="91" xfId="0" applyNumberFormat="1" applyFont="1" applyBorder="1" applyAlignment="1" applyProtection="1">
      <alignment horizontal="center" vertical="center"/>
      <protection locked="0"/>
    </xf>
    <xf numFmtId="0" fontId="69" fillId="22" borderId="89" xfId="0" applyFont="1" applyFill="1" applyBorder="1" applyAlignment="1" applyProtection="1">
      <alignment horizontal="center" vertical="center" wrapText="1"/>
      <protection locked="0"/>
    </xf>
    <xf numFmtId="0" fontId="30" fillId="22" borderId="91" xfId="0" applyFont="1" applyFill="1" applyBorder="1" applyAlignment="1">
      <alignment horizontal="center" vertical="center" wrapText="1"/>
    </xf>
    <xf numFmtId="0" fontId="30" fillId="22" borderId="89" xfId="0" applyFont="1" applyFill="1" applyBorder="1" applyAlignment="1" applyProtection="1">
      <alignment horizontal="center" vertical="center" wrapText="1"/>
      <protection locked="0"/>
    </xf>
    <xf numFmtId="0" fontId="72" fillId="22" borderId="89" xfId="0" applyFont="1" applyFill="1" applyBorder="1" applyAlignment="1" applyProtection="1">
      <alignment horizontal="center" vertical="center"/>
      <protection locked="0"/>
    </xf>
    <xf numFmtId="9" fontId="69" fillId="0" borderId="89" xfId="0" applyNumberFormat="1" applyFont="1" applyBorder="1" applyAlignment="1" applyProtection="1">
      <alignment horizontal="center" vertical="center" wrapText="1"/>
      <protection locked="0"/>
    </xf>
    <xf numFmtId="9" fontId="69" fillId="0" borderId="89" xfId="0" applyNumberFormat="1" applyFont="1" applyBorder="1" applyAlignment="1" applyProtection="1">
      <alignment horizontal="center" vertical="top" wrapText="1"/>
      <protection hidden="1"/>
    </xf>
    <xf numFmtId="0" fontId="73" fillId="0" borderId="89" xfId="0" applyFont="1" applyBorder="1" applyAlignment="1" applyProtection="1">
      <alignment horizontal="center" vertical="center" wrapText="1"/>
      <protection hidden="1"/>
    </xf>
    <xf numFmtId="9" fontId="69" fillId="0" borderId="89" xfId="0" applyNumberFormat="1" applyFont="1" applyBorder="1" applyAlignment="1" applyProtection="1">
      <alignment horizontal="center" vertical="center" wrapText="1"/>
      <protection hidden="1"/>
    </xf>
    <xf numFmtId="0" fontId="73" fillId="0" borderId="89" xfId="0" applyFont="1" applyBorder="1" applyAlignment="1" applyProtection="1">
      <alignment horizontal="center" vertical="center"/>
      <protection hidden="1"/>
    </xf>
    <xf numFmtId="0" fontId="68" fillId="21" borderId="90" xfId="0" applyFont="1" applyFill="1" applyBorder="1" applyAlignment="1">
      <alignment horizontal="left" vertical="center"/>
    </xf>
    <xf numFmtId="0" fontId="67" fillId="22" borderId="89" xfId="0" applyFont="1" applyFill="1" applyBorder="1" applyAlignment="1" applyProtection="1">
      <alignment horizontal="left" vertical="center" wrapText="1"/>
      <protection locked="0"/>
    </xf>
    <xf numFmtId="0" fontId="70" fillId="21" borderId="89" xfId="0" applyFont="1" applyFill="1" applyBorder="1" applyAlignment="1">
      <alignment horizontal="center" vertical="center"/>
    </xf>
    <xf numFmtId="0" fontId="70" fillId="21" borderId="91" xfId="0" applyFont="1" applyFill="1" applyBorder="1" applyAlignment="1">
      <alignment horizontal="center" vertical="center"/>
    </xf>
    <xf numFmtId="0" fontId="71" fillId="21" borderId="89" xfId="0" applyFont="1" applyFill="1" applyBorder="1" applyAlignment="1">
      <alignment horizontal="center" vertical="center" textRotation="90"/>
    </xf>
    <xf numFmtId="0" fontId="70" fillId="21" borderId="91" xfId="0" applyFont="1" applyFill="1" applyBorder="1" applyAlignment="1">
      <alignment horizontal="center" vertical="center" wrapText="1"/>
    </xf>
    <xf numFmtId="0" fontId="70" fillId="21" borderId="92" xfId="0" applyFont="1" applyFill="1" applyBorder="1" applyAlignment="1">
      <alignment horizontal="center" vertical="center" wrapText="1"/>
    </xf>
    <xf numFmtId="0" fontId="70" fillId="21" borderId="93" xfId="0" applyFont="1" applyFill="1" applyBorder="1" applyAlignment="1">
      <alignment horizontal="center" vertical="center"/>
    </xf>
    <xf numFmtId="0" fontId="70" fillId="21" borderId="94" xfId="0" applyFont="1" applyFill="1" applyBorder="1" applyAlignment="1">
      <alignment horizontal="center" vertical="center"/>
    </xf>
    <xf numFmtId="0" fontId="70" fillId="21" borderId="94" xfId="0" applyFont="1" applyFill="1" applyBorder="1" applyAlignment="1">
      <alignment horizontal="center" vertical="center" wrapText="1"/>
    </xf>
    <xf numFmtId="14" fontId="31" fillId="0" borderId="48" xfId="0" applyNumberFormat="1" applyFont="1" applyBorder="1" applyAlignment="1" applyProtection="1">
      <alignment horizontal="center" vertical="center"/>
      <protection locked="0"/>
    </xf>
    <xf numFmtId="14" fontId="31" fillId="0" borderId="51" xfId="0" applyNumberFormat="1" applyFont="1" applyBorder="1" applyAlignment="1" applyProtection="1">
      <alignment horizontal="center" vertical="center"/>
      <protection locked="0"/>
    </xf>
    <xf numFmtId="14" fontId="31" fillId="0" borderId="50" xfId="0" applyNumberFormat="1" applyFont="1" applyBorder="1" applyAlignment="1" applyProtection="1">
      <alignment horizontal="center" vertical="center"/>
      <protection locked="0"/>
    </xf>
    <xf numFmtId="0" fontId="31" fillId="0" borderId="48" xfId="0" applyFont="1" applyBorder="1" applyAlignment="1" applyProtection="1">
      <alignment horizontal="center" vertical="center" wrapText="1"/>
      <protection locked="0"/>
    </xf>
    <xf numFmtId="0" fontId="31" fillId="0" borderId="51" xfId="0" applyFont="1" applyBorder="1" applyAlignment="1" applyProtection="1">
      <alignment horizontal="center" vertical="center" wrapText="1"/>
      <protection locked="0"/>
    </xf>
    <xf numFmtId="0" fontId="31" fillId="0" borderId="50" xfId="0" applyFont="1" applyBorder="1" applyAlignment="1" applyProtection="1">
      <alignment horizontal="center" vertical="center" wrapText="1"/>
      <protection locked="0"/>
    </xf>
    <xf numFmtId="0" fontId="31" fillId="0" borderId="48"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66" fillId="21" borderId="89" xfId="0" applyFont="1" applyFill="1" applyBorder="1" applyAlignment="1">
      <alignment horizontal="left" vertical="center"/>
    </xf>
    <xf numFmtId="0" fontId="69" fillId="22" borderId="89" xfId="0" applyFont="1" applyFill="1" applyBorder="1" applyAlignment="1" applyProtection="1">
      <alignment horizontal="left" vertical="center"/>
      <protection locked="0"/>
    </xf>
    <xf numFmtId="0" fontId="26" fillId="0" borderId="51" xfId="0" applyFont="1" applyBorder="1" applyAlignment="1" applyProtection="1">
      <alignment horizontal="center" vertical="center" textRotation="90"/>
      <protection locked="0"/>
    </xf>
    <xf numFmtId="0" fontId="26" fillId="7" borderId="86" xfId="0" applyFont="1" applyFill="1" applyBorder="1" applyAlignment="1" applyProtection="1">
      <alignment horizontal="left" vertical="center"/>
      <protection locked="0"/>
    </xf>
    <xf numFmtId="0" fontId="26" fillId="7" borderId="87" xfId="0" applyFont="1" applyFill="1" applyBorder="1" applyAlignment="1" applyProtection="1">
      <alignment horizontal="left" vertical="center"/>
      <protection locked="0"/>
    </xf>
    <xf numFmtId="0" fontId="26" fillId="7" borderId="88" xfId="0" applyFont="1" applyFill="1" applyBorder="1" applyAlignment="1" applyProtection="1">
      <alignment horizontal="left" vertical="center"/>
      <protection locked="0"/>
    </xf>
    <xf numFmtId="0" fontId="26" fillId="7" borderId="86" xfId="0" applyFont="1" applyFill="1" applyBorder="1" applyAlignment="1" applyProtection="1">
      <alignment horizontal="left" vertical="center" wrapText="1"/>
      <protection locked="0"/>
    </xf>
    <xf numFmtId="0" fontId="26" fillId="7" borderId="87" xfId="0" applyFont="1" applyFill="1" applyBorder="1" applyAlignment="1" applyProtection="1">
      <alignment horizontal="left" vertical="center" wrapText="1"/>
      <protection locked="0"/>
    </xf>
    <xf numFmtId="0" fontId="26" fillId="7" borderId="88" xfId="0" applyFont="1" applyFill="1" applyBorder="1" applyAlignment="1" applyProtection="1">
      <alignment horizontal="left" vertical="center" wrapText="1"/>
      <protection locked="0"/>
    </xf>
    <xf numFmtId="0" fontId="38" fillId="0" borderId="48" xfId="0" applyFont="1" applyBorder="1" applyAlignment="1">
      <alignment horizontal="justify" vertical="top"/>
    </xf>
    <xf numFmtId="0" fontId="38" fillId="0" borderId="51" xfId="0" applyFont="1" applyBorder="1" applyAlignment="1">
      <alignment horizontal="justify" vertical="top"/>
    </xf>
    <xf numFmtId="0" fontId="15" fillId="0" borderId="48" xfId="0" applyFont="1" applyBorder="1" applyAlignment="1" applyProtection="1">
      <alignment horizontal="justify" vertical="top" wrapText="1"/>
      <protection locked="0"/>
    </xf>
    <xf numFmtId="0" fontId="15" fillId="0" borderId="51" xfId="0" applyFont="1" applyBorder="1" applyAlignment="1" applyProtection="1">
      <alignment horizontal="justify" vertical="top" wrapText="1"/>
      <protection locked="0"/>
    </xf>
    <xf numFmtId="0" fontId="15" fillId="0" borderId="39" xfId="0" applyFont="1" applyBorder="1" applyAlignment="1" applyProtection="1">
      <alignment horizontal="justify" vertical="top" wrapText="1"/>
      <protection locked="0"/>
    </xf>
    <xf numFmtId="0" fontId="15" fillId="0" borderId="52" xfId="0" applyFont="1" applyBorder="1" applyAlignment="1" applyProtection="1">
      <alignment horizontal="justify" vertical="top" wrapText="1"/>
      <protection locked="0"/>
    </xf>
    <xf numFmtId="0" fontId="39" fillId="0" borderId="47" xfId="0" applyFont="1" applyBorder="1" applyAlignment="1" applyProtection="1">
      <alignment horizontal="justify" vertical="top" wrapText="1"/>
      <protection locked="0"/>
    </xf>
    <xf numFmtId="0" fontId="39" fillId="0" borderId="54" xfId="0" applyFont="1" applyBorder="1" applyAlignment="1" applyProtection="1">
      <alignment horizontal="center" vertical="top" wrapText="1"/>
      <protection locked="0"/>
    </xf>
    <xf numFmtId="0" fontId="39" fillId="0" borderId="55" xfId="0" applyFont="1" applyBorder="1" applyAlignment="1" applyProtection="1">
      <alignment horizontal="center" vertical="top" wrapText="1"/>
      <protection locked="0"/>
    </xf>
    <xf numFmtId="0" fontId="15" fillId="0" borderId="41" xfId="0" applyFont="1" applyBorder="1" applyAlignment="1" applyProtection="1">
      <alignment horizontal="justify" vertical="top" wrapText="1"/>
      <protection locked="0"/>
    </xf>
    <xf numFmtId="0" fontId="15" fillId="0" borderId="53" xfId="0" applyFont="1" applyBorder="1" applyAlignment="1" applyProtection="1">
      <alignment horizontal="justify" vertical="top" wrapText="1"/>
      <protection locked="0"/>
    </xf>
    <xf numFmtId="0" fontId="15" fillId="0" borderId="48" xfId="0" applyFont="1" applyBorder="1" applyAlignment="1" applyProtection="1">
      <alignment horizontal="center" vertical="top" textRotation="90" wrapText="1"/>
      <protection hidden="1"/>
    </xf>
    <xf numFmtId="0" fontId="15" fillId="0" borderId="51" xfId="0" applyFont="1" applyBorder="1" applyAlignment="1" applyProtection="1">
      <alignment horizontal="center" vertical="top" textRotation="90" wrapText="1"/>
      <protection hidden="1"/>
    </xf>
    <xf numFmtId="0" fontId="15" fillId="0" borderId="50" xfId="0" applyFont="1" applyBorder="1" applyAlignment="1" applyProtection="1">
      <alignment horizontal="center" vertical="top" textRotation="90" wrapText="1"/>
      <protection hidden="1"/>
    </xf>
    <xf numFmtId="0" fontId="15" fillId="0" borderId="48" xfId="0" applyFont="1" applyBorder="1" applyAlignment="1" applyProtection="1">
      <alignment horizontal="center" vertical="top" textRotation="90"/>
      <protection hidden="1"/>
    </xf>
    <xf numFmtId="0" fontId="15" fillId="0" borderId="51" xfId="0" applyFont="1" applyBorder="1" applyAlignment="1" applyProtection="1">
      <alignment horizontal="center" vertical="top" textRotation="90"/>
      <protection hidden="1"/>
    </xf>
    <xf numFmtId="0" fontId="15" fillId="0" borderId="50" xfId="0" applyFont="1" applyBorder="1" applyAlignment="1" applyProtection="1">
      <alignment horizontal="center" vertical="top" textRotation="90"/>
      <protection hidden="1"/>
    </xf>
    <xf numFmtId="0" fontId="26" fillId="0" borderId="76" xfId="0" applyFont="1" applyBorder="1" applyAlignment="1" applyProtection="1">
      <alignment horizontal="center" vertical="top" wrapText="1"/>
      <protection locked="0"/>
    </xf>
    <xf numFmtId="0" fontId="26" fillId="0" borderId="78" xfId="0" applyFont="1" applyBorder="1" applyAlignment="1" applyProtection="1">
      <alignment horizontal="center" vertical="top" wrapText="1"/>
      <protection locked="0"/>
    </xf>
    <xf numFmtId="0" fontId="31" fillId="0" borderId="80" xfId="0" applyFont="1" applyBorder="1" applyAlignment="1" applyProtection="1">
      <alignment horizontal="center" vertical="top" wrapText="1"/>
      <protection locked="0"/>
    </xf>
    <xf numFmtId="0" fontId="26" fillId="0" borderId="77" xfId="0" applyFont="1" applyBorder="1" applyAlignment="1" applyProtection="1">
      <alignment horizontal="center" vertical="top" wrapText="1"/>
      <protection locked="0"/>
    </xf>
    <xf numFmtId="0" fontId="26" fillId="0" borderId="79" xfId="0" applyFont="1" applyBorder="1" applyAlignment="1" applyProtection="1">
      <alignment horizontal="center" vertical="top" wrapText="1"/>
      <protection locked="0"/>
    </xf>
    <xf numFmtId="0" fontId="37" fillId="0" borderId="50" xfId="0" applyFont="1" applyBorder="1" applyAlignment="1" applyProtection="1">
      <alignment horizontal="center" vertical="top" wrapText="1"/>
      <protection hidden="1"/>
    </xf>
    <xf numFmtId="9" fontId="26" fillId="0" borderId="50" xfId="0" applyNumberFormat="1" applyFont="1" applyBorder="1" applyAlignment="1" applyProtection="1">
      <alignment horizontal="center" vertical="top" wrapText="1"/>
      <protection hidden="1"/>
    </xf>
    <xf numFmtId="9" fontId="26" fillId="0" borderId="50" xfId="0" applyNumberFormat="1" applyFont="1" applyBorder="1" applyAlignment="1" applyProtection="1">
      <alignment horizontal="center" vertical="top" wrapText="1"/>
      <protection locked="0"/>
    </xf>
    <xf numFmtId="0" fontId="37" fillId="0" borderId="50" xfId="0" applyFont="1" applyBorder="1" applyAlignment="1" applyProtection="1">
      <alignment horizontal="center" vertical="top"/>
      <protection hidden="1"/>
    </xf>
    <xf numFmtId="0" fontId="63" fillId="0" borderId="48" xfId="0" applyFont="1" applyBorder="1" applyAlignment="1" applyProtection="1">
      <alignment horizontal="center" vertical="center" wrapText="1"/>
      <protection locked="0"/>
    </xf>
    <xf numFmtId="0" fontId="63" fillId="0" borderId="51" xfId="0" applyFont="1" applyBorder="1" applyAlignment="1" applyProtection="1">
      <alignment horizontal="center" vertical="center" wrapText="1"/>
      <protection locked="0"/>
    </xf>
    <xf numFmtId="0" fontId="63" fillId="0" borderId="50" xfId="0" applyFont="1" applyBorder="1" applyAlignment="1" applyProtection="1">
      <alignment horizontal="center" vertical="center" wrapText="1"/>
      <protection locked="0"/>
    </xf>
    <xf numFmtId="0" fontId="63" fillId="0" borderId="48" xfId="0" applyFont="1" applyBorder="1" applyAlignment="1">
      <alignment horizontal="center" vertical="center"/>
    </xf>
    <xf numFmtId="0" fontId="63" fillId="0" borderId="51" xfId="0" applyFont="1" applyBorder="1" applyAlignment="1">
      <alignment horizontal="center" vertical="center"/>
    </xf>
    <xf numFmtId="0" fontId="63" fillId="0" borderId="50" xfId="0" applyFont="1" applyBorder="1" applyAlignment="1">
      <alignment horizontal="center" vertical="center"/>
    </xf>
    <xf numFmtId="0" fontId="34" fillId="6" borderId="39" xfId="0" applyFont="1" applyFill="1" applyBorder="1" applyAlignment="1">
      <alignment horizontal="center" vertical="center"/>
    </xf>
    <xf numFmtId="0" fontId="34" fillId="6" borderId="40" xfId="0" applyFont="1" applyFill="1" applyBorder="1" applyAlignment="1">
      <alignment horizontal="center" vertical="center"/>
    </xf>
    <xf numFmtId="0" fontId="34" fillId="6" borderId="41" xfId="0" applyFont="1" applyFill="1" applyBorder="1" applyAlignment="1">
      <alignment horizontal="center" vertical="center"/>
    </xf>
    <xf numFmtId="0" fontId="34" fillId="6" borderId="42" xfId="0" applyFont="1" applyFill="1" applyBorder="1" applyAlignment="1">
      <alignment horizontal="center" vertical="center"/>
    </xf>
    <xf numFmtId="0" fontId="34" fillId="6" borderId="43" xfId="0" applyFont="1" applyFill="1" applyBorder="1" applyAlignment="1">
      <alignment horizontal="center" vertical="center"/>
    </xf>
    <xf numFmtId="0" fontId="34" fillId="6" borderId="44" xfId="0" applyFont="1" applyFill="1" applyBorder="1" applyAlignment="1">
      <alignment horizontal="center" vertical="center"/>
    </xf>
    <xf numFmtId="0" fontId="63" fillId="0" borderId="48" xfId="0" applyFont="1" applyBorder="1" applyAlignment="1" applyProtection="1">
      <alignment horizontal="center" vertical="center" textRotation="90"/>
      <protection locked="0"/>
    </xf>
    <xf numFmtId="0" fontId="63" fillId="0" borderId="51" xfId="0" applyFont="1" applyBorder="1" applyAlignment="1" applyProtection="1">
      <alignment horizontal="center" vertical="center" textRotation="90"/>
      <protection locked="0"/>
    </xf>
    <xf numFmtId="0" fontId="63" fillId="0" borderId="50" xfId="0" applyFont="1" applyBorder="1" applyAlignment="1" applyProtection="1">
      <alignment horizontal="center" vertical="center" textRotation="90"/>
      <protection locked="0"/>
    </xf>
    <xf numFmtId="164" fontId="63" fillId="0" borderId="48" xfId="16" applyNumberFormat="1" applyFont="1" applyFill="1" applyBorder="1" applyAlignment="1">
      <alignment horizontal="center" vertical="center"/>
    </xf>
    <xf numFmtId="164" fontId="63" fillId="0" borderId="51" xfId="16" applyNumberFormat="1" applyFont="1" applyFill="1" applyBorder="1" applyAlignment="1">
      <alignment horizontal="center" vertical="center"/>
    </xf>
    <xf numFmtId="164" fontId="63" fillId="0" borderId="50" xfId="16" applyNumberFormat="1" applyFont="1" applyFill="1" applyBorder="1" applyAlignment="1">
      <alignment horizontal="center" vertical="center"/>
    </xf>
    <xf numFmtId="0" fontId="18" fillId="0" borderId="48" xfId="0" applyFont="1" applyBorder="1" applyAlignment="1" applyProtection="1">
      <alignment horizontal="center" vertical="center" textRotation="90" wrapText="1"/>
      <protection hidden="1"/>
    </xf>
    <xf numFmtId="0" fontId="18" fillId="0" borderId="51" xfId="0" applyFont="1" applyBorder="1" applyAlignment="1" applyProtection="1">
      <alignment horizontal="center" vertical="center" textRotation="90" wrapText="1"/>
      <protection hidden="1"/>
    </xf>
    <xf numFmtId="0" fontId="18" fillId="0" borderId="50" xfId="0" applyFont="1" applyBorder="1" applyAlignment="1" applyProtection="1">
      <alignment horizontal="center" vertical="center" textRotation="90" wrapText="1"/>
      <protection hidden="1"/>
    </xf>
    <xf numFmtId="9" fontId="63" fillId="0" borderId="48" xfId="0" applyNumberFormat="1" applyFont="1" applyBorder="1" applyAlignment="1" applyProtection="1">
      <alignment horizontal="center" vertical="center"/>
      <protection hidden="1"/>
    </xf>
    <xf numFmtId="9" fontId="63" fillId="0" borderId="51" xfId="0" applyNumberFormat="1" applyFont="1" applyBorder="1" applyAlignment="1" applyProtection="1">
      <alignment horizontal="center" vertical="center"/>
      <protection hidden="1"/>
    </xf>
    <xf numFmtId="9" fontId="63" fillId="0" borderId="50" xfId="0" applyNumberFormat="1" applyFont="1" applyBorder="1" applyAlignment="1" applyProtection="1">
      <alignment horizontal="center" vertical="center"/>
      <protection hidden="1"/>
    </xf>
    <xf numFmtId="0" fontId="18" fillId="0" borderId="48" xfId="0" applyFont="1" applyBorder="1" applyAlignment="1" applyProtection="1">
      <alignment horizontal="center" vertical="center" textRotation="90"/>
      <protection hidden="1"/>
    </xf>
    <xf numFmtId="0" fontId="18" fillId="0" borderId="51" xfId="0" applyFont="1" applyBorder="1" applyAlignment="1" applyProtection="1">
      <alignment horizontal="center" vertical="center" textRotation="90"/>
      <protection hidden="1"/>
    </xf>
    <xf numFmtId="0" fontId="18" fillId="0" borderId="50" xfId="0" applyFont="1" applyBorder="1" applyAlignment="1" applyProtection="1">
      <alignment horizontal="center" vertical="center" textRotation="90"/>
      <protection hidden="1"/>
    </xf>
    <xf numFmtId="0" fontId="64" fillId="0" borderId="48" xfId="0" applyFont="1" applyBorder="1" applyAlignment="1" applyProtection="1">
      <alignment horizontal="center" vertical="center" wrapText="1"/>
      <protection locked="0"/>
    </xf>
    <xf numFmtId="0" fontId="64" fillId="0" borderId="51" xfId="0" applyFont="1" applyBorder="1" applyAlignment="1" applyProtection="1">
      <alignment horizontal="center" vertical="center" wrapText="1"/>
      <protection locked="0"/>
    </xf>
    <xf numFmtId="0" fontId="64" fillId="0" borderId="50" xfId="0" applyFont="1" applyBorder="1" applyAlignment="1" applyProtection="1">
      <alignment horizontal="center" vertical="center" wrapText="1"/>
      <protection locked="0"/>
    </xf>
    <xf numFmtId="0" fontId="64" fillId="0" borderId="81" xfId="0" applyFont="1" applyBorder="1" applyAlignment="1" applyProtection="1">
      <alignment horizontal="center" vertical="center" wrapText="1"/>
      <protection locked="0"/>
    </xf>
    <xf numFmtId="0" fontId="63" fillId="0" borderId="48" xfId="0" applyFont="1" applyBorder="1" applyAlignment="1" applyProtection="1">
      <alignment horizontal="center" vertical="center"/>
      <protection locked="0"/>
    </xf>
    <xf numFmtId="0" fontId="63" fillId="0" borderId="51" xfId="0" applyFont="1" applyBorder="1" applyAlignment="1" applyProtection="1">
      <alignment horizontal="center" vertical="center"/>
      <protection locked="0"/>
    </xf>
    <xf numFmtId="0" fontId="63" fillId="0" borderId="50" xfId="0" applyFont="1" applyBorder="1" applyAlignment="1" applyProtection="1">
      <alignment horizontal="center" vertical="center"/>
      <protection locked="0"/>
    </xf>
    <xf numFmtId="0" fontId="18" fillId="0" borderId="48" xfId="0" applyFont="1" applyBorder="1" applyAlignment="1" applyProtection="1">
      <alignment horizontal="center" vertical="center" wrapText="1"/>
      <protection hidden="1"/>
    </xf>
    <xf numFmtId="0" fontId="18" fillId="0" borderId="51" xfId="0" applyFont="1" applyBorder="1" applyAlignment="1" applyProtection="1">
      <alignment horizontal="center" vertical="center" wrapText="1"/>
      <protection hidden="1"/>
    </xf>
    <xf numFmtId="0" fontId="18" fillId="0" borderId="50" xfId="0" applyFont="1" applyBorder="1" applyAlignment="1" applyProtection="1">
      <alignment horizontal="center" vertical="center" wrapText="1"/>
      <protection hidden="1"/>
    </xf>
    <xf numFmtId="9" fontId="63" fillId="0" borderId="48" xfId="0" applyNumberFormat="1" applyFont="1" applyBorder="1" applyAlignment="1" applyProtection="1">
      <alignment horizontal="center" vertical="center" wrapText="1"/>
      <protection hidden="1"/>
    </xf>
    <xf numFmtId="9" fontId="63" fillId="0" borderId="51" xfId="0" applyNumberFormat="1" applyFont="1" applyBorder="1" applyAlignment="1" applyProtection="1">
      <alignment horizontal="center" vertical="center" wrapText="1"/>
      <protection hidden="1"/>
    </xf>
    <xf numFmtId="9" fontId="63" fillId="0" borderId="50" xfId="0" applyNumberFormat="1" applyFont="1" applyBorder="1" applyAlignment="1" applyProtection="1">
      <alignment horizontal="center" vertical="center" wrapText="1"/>
      <protection hidden="1"/>
    </xf>
    <xf numFmtId="9" fontId="63" fillId="0" borderId="48" xfId="0" applyNumberFormat="1" applyFont="1" applyBorder="1" applyAlignment="1" applyProtection="1">
      <alignment horizontal="center" vertical="center" wrapText="1"/>
      <protection locked="0"/>
    </xf>
    <xf numFmtId="9" fontId="63" fillId="0" borderId="51" xfId="0" applyNumberFormat="1" applyFont="1" applyBorder="1" applyAlignment="1" applyProtection="1">
      <alignment horizontal="center" vertical="center" wrapText="1"/>
      <protection locked="0"/>
    </xf>
    <xf numFmtId="9" fontId="63" fillId="0" borderId="50" xfId="0" applyNumberFormat="1" applyFont="1" applyBorder="1" applyAlignment="1" applyProtection="1">
      <alignment horizontal="center" vertical="center" wrapText="1"/>
      <protection locked="0"/>
    </xf>
    <xf numFmtId="0" fontId="18" fillId="0" borderId="48" xfId="0" applyFont="1" applyBorder="1" applyAlignment="1" applyProtection="1">
      <alignment horizontal="center" vertical="center"/>
      <protection hidden="1"/>
    </xf>
    <xf numFmtId="0" fontId="18" fillId="0" borderId="51" xfId="0" applyFont="1" applyBorder="1" applyAlignment="1" applyProtection="1">
      <alignment horizontal="center" vertical="center"/>
      <protection hidden="1"/>
    </xf>
    <xf numFmtId="0" fontId="18" fillId="0" borderId="50" xfId="0" applyFont="1" applyBorder="1" applyAlignment="1" applyProtection="1">
      <alignment horizontal="center" vertical="center"/>
      <protection hidden="1"/>
    </xf>
    <xf numFmtId="0" fontId="65" fillId="0" borderId="48" xfId="0" applyFont="1" applyBorder="1" applyAlignment="1" applyProtection="1">
      <alignment horizontal="center" vertical="center" wrapText="1"/>
      <protection locked="0"/>
    </xf>
    <xf numFmtId="0" fontId="65" fillId="0" borderId="51" xfId="0" applyFont="1" applyBorder="1" applyAlignment="1" applyProtection="1">
      <alignment horizontal="center" vertical="center" wrapText="1"/>
      <protection locked="0"/>
    </xf>
    <xf numFmtId="0" fontId="65" fillId="0" borderId="50" xfId="0" applyFont="1" applyBorder="1" applyAlignment="1" applyProtection="1">
      <alignment horizontal="center" vertical="center" wrapText="1"/>
      <protection locked="0"/>
    </xf>
    <xf numFmtId="0" fontId="63" fillId="7" borderId="51" xfId="0" applyFont="1" applyFill="1" applyBorder="1" applyAlignment="1" applyProtection="1">
      <alignment horizontal="left" vertical="center" wrapText="1"/>
      <protection locked="0"/>
    </xf>
    <xf numFmtId="0" fontId="63" fillId="7" borderId="50" xfId="0" applyFont="1" applyFill="1" applyBorder="1" applyAlignment="1" applyProtection="1">
      <alignment horizontal="left" vertical="center" wrapText="1"/>
      <protection locked="0"/>
    </xf>
    <xf numFmtId="0" fontId="63" fillId="7" borderId="48" xfId="0" applyFont="1" applyFill="1" applyBorder="1" applyAlignment="1" applyProtection="1">
      <alignment horizontal="center" vertical="center" wrapText="1"/>
      <protection locked="0"/>
    </xf>
    <xf numFmtId="0" fontId="63" fillId="7" borderId="51" xfId="0" applyFont="1" applyFill="1" applyBorder="1" applyAlignment="1" applyProtection="1">
      <alignment horizontal="center" vertical="center" wrapText="1"/>
      <protection locked="0"/>
    </xf>
    <xf numFmtId="0" fontId="63" fillId="7" borderId="50" xfId="0" applyFont="1" applyFill="1" applyBorder="1" applyAlignment="1" applyProtection="1">
      <alignment horizontal="center" vertical="center" wrapText="1"/>
      <protection locked="0"/>
    </xf>
    <xf numFmtId="0" fontId="65" fillId="0" borderId="48" xfId="0" applyFont="1" applyBorder="1" applyAlignment="1" applyProtection="1">
      <alignment horizontal="center" vertical="center"/>
      <protection hidden="1"/>
    </xf>
    <xf numFmtId="0" fontId="65" fillId="0" borderId="51" xfId="0" applyFont="1" applyBorder="1" applyAlignment="1" applyProtection="1">
      <alignment horizontal="center" vertical="center"/>
      <protection hidden="1"/>
    </xf>
    <xf numFmtId="0" fontId="65" fillId="0" borderId="50" xfId="0" applyFont="1" applyBorder="1" applyAlignment="1" applyProtection="1">
      <alignment horizontal="center" vertical="center"/>
      <protection hidden="1"/>
    </xf>
    <xf numFmtId="0" fontId="18" fillId="6" borderId="48"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8" fillId="6" borderId="42" xfId="0" applyFont="1" applyFill="1" applyBorder="1" applyAlignment="1">
      <alignment horizontal="center" vertical="center"/>
    </xf>
    <xf numFmtId="0" fontId="18" fillId="6" borderId="52" xfId="0" applyFont="1" applyFill="1" applyBorder="1" applyAlignment="1">
      <alignment horizontal="center" vertical="center"/>
    </xf>
    <xf numFmtId="0" fontId="18" fillId="6" borderId="49" xfId="0" applyFont="1" applyFill="1" applyBorder="1" applyAlignment="1">
      <alignment horizontal="center" vertical="center" wrapText="1"/>
    </xf>
    <xf numFmtId="0" fontId="18" fillId="6" borderId="48" xfId="0" applyFont="1" applyFill="1" applyBorder="1" applyAlignment="1">
      <alignment horizontal="center" vertical="center" textRotation="90" wrapText="1"/>
    </xf>
    <xf numFmtId="0" fontId="18" fillId="6" borderId="50" xfId="0" applyFont="1" applyFill="1" applyBorder="1" applyAlignment="1">
      <alignment horizontal="center" vertical="center" textRotation="90" wrapText="1"/>
    </xf>
    <xf numFmtId="9" fontId="63" fillId="0" borderId="48" xfId="0" applyNumberFormat="1" applyFont="1" applyBorder="1" applyAlignment="1" applyProtection="1">
      <alignment vertical="center"/>
      <protection hidden="1"/>
    </xf>
    <xf numFmtId="9" fontId="63" fillId="0" borderId="51" xfId="0" applyNumberFormat="1" applyFont="1" applyBorder="1" applyAlignment="1" applyProtection="1">
      <alignment vertical="center"/>
      <protection hidden="1"/>
    </xf>
    <xf numFmtId="9" fontId="63" fillId="0" borderId="50" xfId="0" applyNumberFormat="1" applyFont="1" applyBorder="1" applyAlignment="1" applyProtection="1">
      <alignment vertical="center"/>
      <protection hidden="1"/>
    </xf>
    <xf numFmtId="0" fontId="18" fillId="6" borderId="48" xfId="0" applyFont="1" applyFill="1" applyBorder="1" applyAlignment="1">
      <alignment horizontal="center" vertical="center" textRotation="90"/>
    </xf>
    <xf numFmtId="0" fontId="18" fillId="6" borderId="50" xfId="0" applyFont="1" applyFill="1" applyBorder="1" applyAlignment="1">
      <alignment horizontal="center" vertical="center" textRotation="90"/>
    </xf>
    <xf numFmtId="0" fontId="18" fillId="6" borderId="49" xfId="0" applyFont="1" applyFill="1" applyBorder="1" applyAlignment="1">
      <alignment horizontal="center" vertical="center"/>
    </xf>
    <xf numFmtId="0" fontId="18" fillId="6" borderId="51" xfId="0" applyFont="1" applyFill="1" applyBorder="1" applyAlignment="1">
      <alignment horizontal="center" vertical="center" wrapText="1"/>
    </xf>
    <xf numFmtId="0" fontId="18" fillId="6" borderId="50" xfId="0" applyFont="1" applyFill="1" applyBorder="1" applyAlignment="1">
      <alignment horizontal="center" vertical="center"/>
    </xf>
    <xf numFmtId="0" fontId="18" fillId="6" borderId="48" xfId="0" applyFont="1" applyFill="1" applyBorder="1" applyAlignment="1">
      <alignment horizontal="center" vertical="center"/>
    </xf>
    <xf numFmtId="0" fontId="18" fillId="6" borderId="39" xfId="0" applyFont="1" applyFill="1" applyBorder="1" applyAlignment="1">
      <alignment horizontal="left" vertical="center"/>
    </xf>
    <xf numFmtId="0" fontId="18" fillId="6" borderId="40" xfId="0" applyFont="1" applyFill="1" applyBorder="1" applyAlignment="1">
      <alignment horizontal="left" vertical="center"/>
    </xf>
    <xf numFmtId="0" fontId="18" fillId="6" borderId="42" xfId="0" applyFont="1" applyFill="1" applyBorder="1" applyAlignment="1">
      <alignment horizontal="left" vertical="center"/>
    </xf>
    <xf numFmtId="0" fontId="18" fillId="6" borderId="43" xfId="0" applyFont="1" applyFill="1" applyBorder="1" applyAlignment="1">
      <alignment horizontal="left" vertical="center"/>
    </xf>
    <xf numFmtId="0" fontId="18" fillId="6" borderId="45" xfId="0" applyFont="1" applyFill="1" applyBorder="1" applyAlignment="1">
      <alignment horizontal="left" vertical="center"/>
    </xf>
    <xf numFmtId="0" fontId="18" fillId="6" borderId="46" xfId="0" applyFont="1" applyFill="1" applyBorder="1" applyAlignment="1">
      <alignment horizontal="left" vertical="center"/>
    </xf>
    <xf numFmtId="0" fontId="18" fillId="7" borderId="47" xfId="0" applyFont="1" applyFill="1" applyBorder="1" applyAlignment="1" applyProtection="1">
      <alignment horizontal="left" vertical="top"/>
      <protection locked="0"/>
    </xf>
    <xf numFmtId="0" fontId="63" fillId="7" borderId="47" xfId="0" applyFont="1" applyFill="1" applyBorder="1" applyAlignment="1" applyProtection="1">
      <alignment horizontal="left" vertical="top"/>
      <protection locked="0"/>
    </xf>
    <xf numFmtId="0" fontId="63" fillId="7" borderId="47" xfId="0" applyFont="1" applyFill="1" applyBorder="1" applyAlignment="1" applyProtection="1">
      <alignment horizontal="left" vertical="top" wrapText="1"/>
      <protection locked="0"/>
    </xf>
    <xf numFmtId="0" fontId="63" fillId="7" borderId="47" xfId="0" applyFont="1" applyFill="1" applyBorder="1" applyAlignment="1" applyProtection="1">
      <alignment horizontal="left" vertical="center" wrapText="1"/>
      <protection locked="0"/>
    </xf>
    <xf numFmtId="0" fontId="18" fillId="6" borderId="45" xfId="0" applyFont="1" applyFill="1" applyBorder="1" applyAlignment="1">
      <alignment horizontal="center" vertical="center"/>
    </xf>
    <xf numFmtId="0" fontId="18" fillId="6" borderId="46" xfId="0" applyFont="1" applyFill="1" applyBorder="1" applyAlignment="1">
      <alignment horizontal="center" vertical="center"/>
    </xf>
    <xf numFmtId="0" fontId="18" fillId="6" borderId="43" xfId="0" applyFont="1" applyFill="1" applyBorder="1" applyAlignment="1">
      <alignment horizontal="center" vertical="center"/>
    </xf>
    <xf numFmtId="0" fontId="18" fillId="6" borderId="44" xfId="0" applyFont="1" applyFill="1" applyBorder="1" applyAlignment="1">
      <alignment horizontal="center" vertical="center"/>
    </xf>
    <xf numFmtId="0" fontId="18" fillId="6" borderId="84" xfId="0" applyFont="1" applyFill="1" applyBorder="1" applyAlignment="1">
      <alignment horizontal="center" vertical="center"/>
    </xf>
    <xf numFmtId="0" fontId="18" fillId="6" borderId="85" xfId="0" applyFont="1" applyFill="1" applyBorder="1" applyAlignment="1">
      <alignment horizontal="center" vertical="center"/>
    </xf>
    <xf numFmtId="0" fontId="18" fillId="6" borderId="49" xfId="0" applyFont="1" applyFill="1" applyBorder="1" applyAlignment="1">
      <alignment horizontal="center" vertical="center" textRotation="90" wrapText="1"/>
    </xf>
    <xf numFmtId="0" fontId="26" fillId="0" borderId="48" xfId="0" applyFont="1" applyBorder="1" applyAlignment="1">
      <alignment horizontal="center" vertical="top"/>
    </xf>
    <xf numFmtId="0" fontId="26" fillId="0" borderId="50" xfId="0" applyFont="1" applyBorder="1" applyAlignment="1">
      <alignment horizontal="center" vertical="top"/>
    </xf>
    <xf numFmtId="0" fontId="26" fillId="7" borderId="54" xfId="0" applyFont="1" applyFill="1" applyBorder="1" applyAlignment="1">
      <alignment horizontal="center" vertical="center" wrapText="1"/>
    </xf>
    <xf numFmtId="0" fontId="26" fillId="7" borderId="80" xfId="0" applyFont="1" applyFill="1" applyBorder="1" applyAlignment="1">
      <alignment horizontal="center" vertical="center" wrapText="1"/>
    </xf>
    <xf numFmtId="0" fontId="26" fillId="7" borderId="39" xfId="0" applyFont="1" applyFill="1" applyBorder="1" applyAlignment="1" applyProtection="1">
      <alignment horizontal="center" vertical="top" wrapText="1"/>
      <protection locked="0"/>
    </xf>
    <xf numFmtId="0" fontId="26" fillId="7" borderId="52" xfId="0" applyFont="1" applyFill="1" applyBorder="1" applyAlignment="1" applyProtection="1">
      <alignment horizontal="center" vertical="top" wrapText="1"/>
      <protection locked="0"/>
    </xf>
    <xf numFmtId="0" fontId="31" fillId="7" borderId="54" xfId="0" applyFont="1" applyFill="1" applyBorder="1" applyAlignment="1" applyProtection="1">
      <alignment horizontal="center" vertical="top" wrapText="1"/>
      <protection locked="0"/>
    </xf>
    <xf numFmtId="0" fontId="31" fillId="7" borderId="55" xfId="0" applyFont="1" applyFill="1" applyBorder="1" applyAlignment="1" applyProtection="1">
      <alignment horizontal="center" vertical="top" wrapText="1"/>
      <protection locked="0"/>
    </xf>
    <xf numFmtId="0" fontId="26" fillId="7" borderId="82" xfId="0" applyFont="1" applyFill="1" applyBorder="1" applyAlignment="1" applyProtection="1">
      <alignment horizontal="left" vertical="center" wrapText="1"/>
      <protection locked="0"/>
    </xf>
    <xf numFmtId="0" fontId="26" fillId="7" borderId="0" xfId="0" applyFont="1" applyFill="1" applyAlignment="1" applyProtection="1">
      <alignment horizontal="left" vertical="center" wrapText="1"/>
      <protection locked="0"/>
    </xf>
    <xf numFmtId="0" fontId="28" fillId="6" borderId="42" xfId="0" applyFont="1" applyFill="1" applyBorder="1" applyAlignment="1">
      <alignment horizontal="center" vertical="center" wrapText="1"/>
    </xf>
    <xf numFmtId="0" fontId="34" fillId="6" borderId="52" xfId="0" applyFont="1" applyFill="1" applyBorder="1" applyAlignment="1">
      <alignment horizontal="left" vertical="center"/>
    </xf>
    <xf numFmtId="0" fontId="34" fillId="6" borderId="0" xfId="0" applyFont="1" applyFill="1" applyAlignment="1">
      <alignment horizontal="left" vertical="center"/>
    </xf>
    <xf numFmtId="0" fontId="26" fillId="7" borderId="82" xfId="0" applyFont="1" applyFill="1" applyBorder="1" applyAlignment="1" applyProtection="1">
      <alignment horizontal="left" vertical="center"/>
      <protection locked="0"/>
    </xf>
    <xf numFmtId="0" fontId="26" fillId="7" borderId="0" xfId="0" applyFont="1" applyFill="1" applyAlignment="1" applyProtection="1">
      <alignment horizontal="left" vertical="center"/>
      <protection locked="0"/>
    </xf>
    <xf numFmtId="0" fontId="24" fillId="0" borderId="48" xfId="0" applyFont="1" applyBorder="1" applyAlignment="1" applyProtection="1">
      <alignment horizontal="center" vertical="top" wrapText="1"/>
      <protection locked="0"/>
    </xf>
    <xf numFmtId="0" fontId="24" fillId="0" borderId="50" xfId="0" applyFont="1" applyBorder="1" applyAlignment="1" applyProtection="1">
      <alignment horizontal="center" vertical="top" wrapText="1"/>
      <protection locked="0"/>
    </xf>
    <xf numFmtId="0" fontId="27" fillId="0" borderId="48"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24" fillId="0" borderId="51" xfId="0" applyFont="1" applyBorder="1" applyAlignment="1" applyProtection="1">
      <alignment horizontal="center" vertical="top" wrapText="1"/>
      <protection locked="0"/>
    </xf>
    <xf numFmtId="0" fontId="24" fillId="0" borderId="81" xfId="0" applyFont="1" applyBorder="1" applyAlignment="1" applyProtection="1">
      <alignment horizontal="center" vertical="top" wrapText="1"/>
      <protection locked="0"/>
    </xf>
    <xf numFmtId="0" fontId="27" fillId="0" borderId="65" xfId="0" applyFont="1" applyBorder="1" applyAlignment="1">
      <alignment horizontal="center" vertical="top" wrapText="1"/>
    </xf>
    <xf numFmtId="0" fontId="11" fillId="0" borderId="69" xfId="0" applyFont="1" applyBorder="1"/>
    <xf numFmtId="0" fontId="26" fillId="0" borderId="65" xfId="0" applyFont="1" applyBorder="1" applyAlignment="1">
      <alignment horizontal="center" vertical="top" textRotation="90"/>
    </xf>
    <xf numFmtId="164" fontId="27" fillId="0" borderId="65" xfId="0" applyNumberFormat="1" applyFont="1" applyBorder="1" applyAlignment="1">
      <alignment horizontal="center" vertical="top"/>
    </xf>
    <xf numFmtId="0" fontId="37" fillId="0" borderId="65" xfId="0" applyFont="1" applyBorder="1" applyAlignment="1">
      <alignment horizontal="center" vertical="top" textRotation="90" wrapText="1"/>
    </xf>
    <xf numFmtId="9" fontId="26" fillId="0" borderId="65" xfId="0" applyNumberFormat="1" applyFont="1" applyBorder="1" applyAlignment="1">
      <alignment horizontal="center" vertical="top"/>
    </xf>
    <xf numFmtId="0" fontId="37" fillId="0" borderId="65" xfId="0" applyFont="1" applyBorder="1" applyAlignment="1">
      <alignment horizontal="center" vertical="top" textRotation="90"/>
    </xf>
    <xf numFmtId="166" fontId="26" fillId="0" borderId="65" xfId="0" applyNumberFormat="1" applyFont="1" applyBorder="1" applyAlignment="1">
      <alignment horizontal="center" vertical="center" wrapText="1"/>
    </xf>
    <xf numFmtId="166" fontId="26" fillId="0" borderId="69"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7" fillId="0" borderId="69" xfId="0" applyFont="1" applyBorder="1" applyAlignment="1">
      <alignment horizontal="center" vertical="center" wrapText="1"/>
    </xf>
    <xf numFmtId="0" fontId="26" fillId="0" borderId="66" xfId="0" applyFont="1" applyBorder="1" applyAlignment="1">
      <alignment horizontal="center" vertical="top" wrapText="1"/>
    </xf>
    <xf numFmtId="0" fontId="11" fillId="0" borderId="66" xfId="0" applyFont="1" applyBorder="1"/>
    <xf numFmtId="0" fontId="24" fillId="0" borderId="65" xfId="0" applyFont="1" applyBorder="1" applyAlignment="1">
      <alignment horizontal="left" vertical="top" wrapText="1"/>
    </xf>
    <xf numFmtId="0" fontId="26" fillId="0" borderId="66" xfId="0" applyFont="1" applyBorder="1" applyAlignment="1">
      <alignment horizontal="center" vertical="center" wrapText="1"/>
    </xf>
    <xf numFmtId="0" fontId="26" fillId="0" borderId="65" xfId="0" applyFont="1" applyBorder="1" applyAlignment="1">
      <alignment horizontal="left" vertical="top" wrapText="1"/>
    </xf>
    <xf numFmtId="0" fontId="26" fillId="0" borderId="66" xfId="0" applyFont="1" applyBorder="1" applyAlignment="1">
      <alignment horizontal="center" vertical="top"/>
    </xf>
    <xf numFmtId="0" fontId="37" fillId="0" borderId="65" xfId="0" applyFont="1" applyBorder="1" applyAlignment="1">
      <alignment horizontal="center" vertical="top" wrapText="1"/>
    </xf>
    <xf numFmtId="9" fontId="26" fillId="0" borderId="65" xfId="0" applyNumberFormat="1" applyFont="1" applyBorder="1" applyAlignment="1">
      <alignment horizontal="center" vertical="top" wrapText="1"/>
    </xf>
    <xf numFmtId="9" fontId="26" fillId="0" borderId="66" xfId="0" applyNumberFormat="1" applyFont="1" applyBorder="1" applyAlignment="1">
      <alignment horizontal="center" vertical="top" wrapText="1"/>
    </xf>
    <xf numFmtId="0" fontId="28" fillId="0" borderId="66" xfId="0" applyFont="1" applyBorder="1" applyAlignment="1">
      <alignment horizontal="center" vertical="top" wrapText="1"/>
    </xf>
    <xf numFmtId="0" fontId="26" fillId="0" borderId="65" xfId="0" applyFont="1" applyBorder="1" applyAlignment="1">
      <alignment horizontal="center" vertical="center" wrapText="1"/>
    </xf>
    <xf numFmtId="0" fontId="26" fillId="0" borderId="69" xfId="0" applyFont="1" applyBorder="1" applyAlignment="1">
      <alignment horizontal="center" vertical="center" wrapText="1"/>
    </xf>
    <xf numFmtId="0" fontId="28" fillId="8" borderId="65" xfId="0" applyFont="1" applyFill="1" applyBorder="1" applyAlignment="1">
      <alignment horizontal="center" vertical="center" textRotation="90" wrapText="1"/>
    </xf>
    <xf numFmtId="0" fontId="28" fillId="8" borderId="65" xfId="0" applyFont="1" applyFill="1" applyBorder="1" applyAlignment="1">
      <alignment horizontal="center" vertical="center" wrapText="1"/>
    </xf>
    <xf numFmtId="0" fontId="27" fillId="0" borderId="65" xfId="0" applyFont="1" applyBorder="1" applyAlignment="1">
      <alignment horizontal="left" vertical="top" wrapText="1"/>
    </xf>
    <xf numFmtId="0" fontId="27" fillId="0" borderId="65" xfId="0" applyFont="1" applyBorder="1" applyAlignment="1">
      <alignment horizontal="center" vertical="center"/>
    </xf>
    <xf numFmtId="0" fontId="26" fillId="0" borderId="65" xfId="0" applyFont="1" applyBorder="1" applyAlignment="1">
      <alignment horizontal="center" vertical="top" wrapText="1"/>
    </xf>
    <xf numFmtId="0" fontId="26" fillId="0" borderId="65" xfId="0" applyFont="1" applyBorder="1" applyAlignment="1">
      <alignment horizontal="center" vertical="top"/>
    </xf>
    <xf numFmtId="0" fontId="37" fillId="0" borderId="65" xfId="0" applyFont="1" applyBorder="1" applyAlignment="1">
      <alignment horizontal="center" vertical="top"/>
    </xf>
    <xf numFmtId="0" fontId="15" fillId="0" borderId="65" xfId="0" applyFont="1" applyBorder="1" applyAlignment="1">
      <alignment horizontal="center" vertical="center" wrapText="1"/>
    </xf>
    <xf numFmtId="0" fontId="15" fillId="0" borderId="69" xfId="0" applyFont="1" applyBorder="1" applyAlignment="1">
      <alignment horizontal="center" vertical="center" wrapText="1"/>
    </xf>
    <xf numFmtId="0" fontId="27" fillId="0" borderId="72" xfId="0" applyFont="1" applyBorder="1" applyAlignment="1">
      <alignment horizontal="center" vertical="top"/>
    </xf>
    <xf numFmtId="0" fontId="37" fillId="0" borderId="66" xfId="0" applyFont="1" applyBorder="1" applyAlignment="1">
      <alignment horizontal="center" vertical="top" wrapText="1"/>
    </xf>
    <xf numFmtId="0" fontId="27" fillId="0" borderId="65" xfId="0" applyFont="1" applyBorder="1" applyAlignment="1">
      <alignment horizontal="center" vertical="top"/>
    </xf>
    <xf numFmtId="0" fontId="28" fillId="8" borderId="62" xfId="0" applyFont="1" applyFill="1" applyBorder="1" applyAlignment="1">
      <alignment horizontal="center" vertical="center"/>
    </xf>
    <xf numFmtId="0" fontId="11" fillId="0" borderId="63" xfId="0" applyFont="1" applyBorder="1"/>
    <xf numFmtId="0" fontId="11" fillId="0" borderId="64" xfId="0" applyFont="1" applyBorder="1"/>
    <xf numFmtId="0" fontId="28" fillId="8" borderId="59" xfId="0" applyFont="1" applyFill="1" applyBorder="1" applyAlignment="1">
      <alignment horizontal="center" vertical="center"/>
    </xf>
    <xf numFmtId="0" fontId="11" fillId="0" borderId="60" xfId="0" applyFont="1" applyBorder="1"/>
    <xf numFmtId="0" fontId="11" fillId="0" borderId="61" xfId="0" applyFont="1" applyBorder="1"/>
    <xf numFmtId="0" fontId="29" fillId="8" borderId="65" xfId="0" applyFont="1" applyFill="1" applyBorder="1" applyAlignment="1">
      <alignment horizontal="center" vertical="center" textRotation="90"/>
    </xf>
    <xf numFmtId="0" fontId="28" fillId="8" borderId="65" xfId="0" applyFont="1" applyFill="1" applyBorder="1" applyAlignment="1">
      <alignment horizontal="center" vertical="center"/>
    </xf>
    <xf numFmtId="0" fontId="28" fillId="8" borderId="66" xfId="0" applyFont="1" applyFill="1" applyBorder="1" applyAlignment="1">
      <alignment horizontal="center" vertical="center" wrapText="1"/>
    </xf>
    <xf numFmtId="0" fontId="28" fillId="8" borderId="66" xfId="0" applyFont="1" applyFill="1" applyBorder="1" applyAlignment="1">
      <alignment horizontal="center" vertical="center"/>
    </xf>
    <xf numFmtId="0" fontId="28" fillId="8" borderId="67" xfId="0" applyFont="1" applyFill="1" applyBorder="1" applyAlignment="1">
      <alignment horizontal="center" vertical="center"/>
    </xf>
    <xf numFmtId="0" fontId="11" fillId="0" borderId="59" xfId="0" applyFont="1" applyBorder="1"/>
    <xf numFmtId="0" fontId="28" fillId="8" borderId="67" xfId="0" applyFont="1" applyFill="1" applyBorder="1" applyAlignment="1">
      <alignment horizontal="center" vertical="center" wrapText="1"/>
    </xf>
    <xf numFmtId="0" fontId="18" fillId="9" borderId="34" xfId="0" applyFont="1" applyFill="1" applyBorder="1" applyAlignment="1">
      <alignment horizontal="center" vertical="center" wrapText="1"/>
    </xf>
    <xf numFmtId="0" fontId="28" fillId="8" borderId="62" xfId="0" applyFont="1" applyFill="1" applyBorder="1" applyAlignment="1">
      <alignment horizontal="center" vertical="center" wrapText="1"/>
    </xf>
    <xf numFmtId="0" fontId="28" fillId="8" borderId="56" xfId="0" applyFont="1" applyFill="1" applyBorder="1" applyAlignment="1">
      <alignment horizontal="center" vertical="center" wrapText="1"/>
    </xf>
    <xf numFmtId="0" fontId="34" fillId="8" borderId="56" xfId="0" applyFont="1" applyFill="1" applyBorder="1" applyAlignment="1">
      <alignment horizontal="left" vertical="center"/>
    </xf>
    <xf numFmtId="0" fontId="11" fillId="0" borderId="57" xfId="0" applyFont="1" applyBorder="1" applyAlignment="1">
      <alignment horizontal="left"/>
    </xf>
    <xf numFmtId="0" fontId="11" fillId="0" borderId="58" xfId="0" applyFont="1" applyBorder="1" applyAlignment="1">
      <alignment horizontal="left"/>
    </xf>
    <xf numFmtId="0" fontId="11" fillId="0" borderId="59" xfId="0" applyFont="1" applyBorder="1" applyAlignment="1">
      <alignment horizontal="left"/>
    </xf>
    <xf numFmtId="0" fontId="11" fillId="0" borderId="60" xfId="0" applyFont="1" applyBorder="1" applyAlignment="1">
      <alignment horizontal="left"/>
    </xf>
    <xf numFmtId="0" fontId="11" fillId="0" borderId="61" xfId="0" applyFont="1" applyBorder="1" applyAlignment="1">
      <alignment horizontal="left"/>
    </xf>
    <xf numFmtId="0" fontId="25" fillId="8" borderId="62" xfId="0" applyFont="1" applyFill="1" applyBorder="1" applyAlignment="1">
      <alignment horizontal="left" vertical="center"/>
    </xf>
    <xf numFmtId="0" fontId="26" fillId="9" borderId="62" xfId="0" applyFont="1" applyFill="1" applyBorder="1" applyAlignment="1">
      <alignment horizontal="left" vertical="center"/>
    </xf>
    <xf numFmtId="0" fontId="11" fillId="0" borderId="63" xfId="0" applyFont="1" applyBorder="1" applyAlignment="1">
      <alignment horizontal="left"/>
    </xf>
    <xf numFmtId="0" fontId="11" fillId="0" borderId="64" xfId="0" applyFont="1" applyBorder="1" applyAlignment="1">
      <alignment horizontal="left"/>
    </xf>
    <xf numFmtId="0" fontId="13" fillId="0" borderId="63" xfId="0" applyFont="1" applyBorder="1" applyAlignment="1">
      <alignment horizontal="left" vertical="center"/>
    </xf>
    <xf numFmtId="0" fontId="13" fillId="0" borderId="57" xfId="0" applyFont="1" applyBorder="1" applyAlignment="1">
      <alignment horizontal="left" vertical="center"/>
    </xf>
    <xf numFmtId="0" fontId="11" fillId="0" borderId="57" xfId="0" applyFont="1" applyBorder="1"/>
    <xf numFmtId="0" fontId="11" fillId="0" borderId="58" xfId="0" applyFont="1" applyBorder="1"/>
    <xf numFmtId="0" fontId="24" fillId="13" borderId="48" xfId="0" applyFont="1" applyFill="1" applyBorder="1" applyAlignment="1" applyProtection="1">
      <alignment horizontal="justify" vertical="top" wrapText="1"/>
      <protection locked="0"/>
    </xf>
    <xf numFmtId="0" fontId="24" fillId="13" borderId="51" xfId="0" applyFont="1" applyFill="1" applyBorder="1" applyAlignment="1" applyProtection="1">
      <alignment horizontal="justify" vertical="top" wrapText="1"/>
      <protection locked="0"/>
    </xf>
    <xf numFmtId="0" fontId="49" fillId="13" borderId="48" xfId="0" applyFont="1" applyFill="1" applyBorder="1" applyAlignment="1" applyProtection="1">
      <alignment horizontal="justify" vertical="top" wrapText="1"/>
      <protection locked="0"/>
    </xf>
    <xf numFmtId="0" fontId="42" fillId="13" borderId="39" xfId="0" applyFont="1" applyFill="1" applyBorder="1" applyAlignment="1" applyProtection="1">
      <alignment horizontal="justify" vertical="top" wrapText="1"/>
      <protection locked="0"/>
    </xf>
    <xf numFmtId="0" fontId="24" fillId="13" borderId="52" xfId="0" applyFont="1" applyFill="1" applyBorder="1" applyAlignment="1" applyProtection="1">
      <alignment horizontal="justify" vertical="top" wrapText="1"/>
      <protection locked="0"/>
    </xf>
    <xf numFmtId="0" fontId="44" fillId="13" borderId="47" xfId="0" applyFont="1" applyFill="1" applyBorder="1" applyAlignment="1" applyProtection="1">
      <alignment horizontal="justify" vertical="top" wrapText="1"/>
      <protection locked="0"/>
    </xf>
    <xf numFmtId="0" fontId="44" fillId="13" borderId="54" xfId="0" applyFont="1" applyFill="1" applyBorder="1" applyAlignment="1" applyProtection="1">
      <alignment horizontal="justify" vertical="top" textRotation="180" wrapText="1"/>
      <protection locked="0"/>
    </xf>
    <xf numFmtId="0" fontId="44" fillId="13" borderId="55" xfId="0" applyFont="1" applyFill="1" applyBorder="1" applyAlignment="1" applyProtection="1">
      <alignment horizontal="justify" vertical="top" textRotation="180" wrapText="1"/>
      <protection locked="0"/>
    </xf>
    <xf numFmtId="0" fontId="24" fillId="13" borderId="41" xfId="0" applyFont="1" applyFill="1" applyBorder="1" applyAlignment="1" applyProtection="1">
      <alignment horizontal="justify" vertical="top" wrapText="1"/>
      <protection locked="0"/>
    </xf>
    <xf numFmtId="0" fontId="24" fillId="13" borderId="53" xfId="0" applyFont="1" applyFill="1" applyBorder="1" applyAlignment="1" applyProtection="1">
      <alignment horizontal="justify" vertical="top" wrapText="1"/>
      <protection locked="0"/>
    </xf>
    <xf numFmtId="9" fontId="24" fillId="0" borderId="48" xfId="0" applyNumberFormat="1" applyFont="1" applyBorder="1" applyAlignment="1" applyProtection="1">
      <alignment horizontal="justify" vertical="top" wrapText="1"/>
      <protection hidden="1"/>
    </xf>
    <xf numFmtId="9" fontId="24" fillId="0" borderId="51" xfId="0" applyNumberFormat="1" applyFont="1" applyBorder="1" applyAlignment="1" applyProtection="1">
      <alignment horizontal="justify" vertical="top" wrapText="1"/>
      <protection hidden="1"/>
    </xf>
    <xf numFmtId="0" fontId="28" fillId="6" borderId="49" xfId="0" applyFont="1" applyFill="1" applyBorder="1" applyAlignment="1">
      <alignment horizontal="center" vertical="center" textRotation="180" wrapText="1"/>
    </xf>
    <xf numFmtId="0" fontId="28" fillId="6" borderId="45" xfId="0" applyFont="1" applyFill="1" applyBorder="1" applyAlignment="1">
      <alignment horizontal="center" vertical="center" wrapText="1"/>
    </xf>
    <xf numFmtId="0" fontId="28" fillId="6" borderId="52" xfId="0" applyFont="1" applyFill="1" applyBorder="1" applyAlignment="1">
      <alignment horizontal="center" vertical="center" textRotation="180" wrapText="1"/>
    </xf>
    <xf numFmtId="0" fontId="28" fillId="6" borderId="42" xfId="0" applyFont="1" applyFill="1" applyBorder="1" applyAlignment="1">
      <alignment horizontal="center" vertical="center" textRotation="180"/>
    </xf>
    <xf numFmtId="0" fontId="28" fillId="6" borderId="50" xfId="0" applyFont="1" applyFill="1" applyBorder="1" applyAlignment="1">
      <alignment horizontal="center" vertical="center" textRotation="180" wrapText="1"/>
    </xf>
    <xf numFmtId="0" fontId="28" fillId="6" borderId="50" xfId="0" applyFont="1" applyFill="1" applyBorder="1" applyAlignment="1">
      <alignment horizontal="left" vertical="center" wrapText="1"/>
    </xf>
    <xf numFmtId="0" fontId="28" fillId="6" borderId="49" xfId="0" applyFont="1" applyFill="1" applyBorder="1" applyAlignment="1">
      <alignment horizontal="left" vertical="center" wrapText="1"/>
    </xf>
    <xf numFmtId="0" fontId="28" fillId="6" borderId="48" xfId="0" applyFont="1" applyFill="1" applyBorder="1" applyAlignment="1">
      <alignment horizontal="left" vertical="top" wrapText="1"/>
    </xf>
    <xf numFmtId="0" fontId="28" fillId="6" borderId="51" xfId="0" applyFont="1" applyFill="1" applyBorder="1" applyAlignment="1">
      <alignment horizontal="left" vertical="top" wrapText="1"/>
    </xf>
    <xf numFmtId="0" fontId="28" fillId="6" borderId="50" xfId="0" applyFont="1" applyFill="1" applyBorder="1" applyAlignment="1">
      <alignment horizontal="left" vertical="center"/>
    </xf>
    <xf numFmtId="0" fontId="28" fillId="6" borderId="48" xfId="0" applyFont="1" applyFill="1" applyBorder="1" applyAlignment="1">
      <alignment horizontal="left" vertical="center"/>
    </xf>
    <xf numFmtId="0" fontId="28" fillId="6" borderId="51" xfId="0" applyFont="1" applyFill="1" applyBorder="1" applyAlignment="1">
      <alignment horizontal="center" vertical="center" textRotation="180" wrapText="1"/>
    </xf>
    <xf numFmtId="0" fontId="44" fillId="13" borderId="54" xfId="0" applyFont="1" applyFill="1" applyBorder="1" applyAlignment="1" applyProtection="1">
      <alignment horizontal="center" vertical="top" wrapText="1"/>
      <protection locked="0"/>
    </xf>
    <xf numFmtId="0" fontId="44" fillId="13" borderId="55" xfId="0" applyFont="1" applyFill="1" applyBorder="1" applyAlignment="1" applyProtection="1">
      <alignment horizontal="center" vertical="top" wrapText="1"/>
      <protection locked="0"/>
    </xf>
    <xf numFmtId="0" fontId="86" fillId="6" borderId="38" xfId="0" applyFont="1" applyFill="1" applyBorder="1" applyAlignment="1">
      <alignment horizontal="center" vertical="center" textRotation="90"/>
    </xf>
    <xf numFmtId="0" fontId="87" fillId="23" borderId="38" xfId="0" applyFont="1" applyFill="1" applyBorder="1" applyAlignment="1">
      <alignment horizontal="justify" vertical="top" wrapText="1"/>
    </xf>
    <xf numFmtId="0" fontId="87" fillId="23" borderId="38" xfId="0" applyFont="1" applyFill="1" applyBorder="1" applyAlignment="1">
      <alignment horizontal="justify" vertical="top"/>
    </xf>
    <xf numFmtId="0" fontId="87" fillId="23" borderId="38" xfId="0" applyFont="1" applyFill="1" applyBorder="1" applyAlignment="1">
      <alignment horizontal="justify" vertical="center" wrapText="1"/>
    </xf>
    <xf numFmtId="0" fontId="87" fillId="23" borderId="38" xfId="0" applyFont="1" applyFill="1" applyBorder="1" applyAlignment="1">
      <alignment horizontal="justify" vertical="center"/>
    </xf>
    <xf numFmtId="0" fontId="27" fillId="9" borderId="38" xfId="0" applyFont="1" applyFill="1" applyBorder="1" applyAlignment="1">
      <alignment horizontal="center" vertical="center" wrapText="1"/>
    </xf>
    <xf numFmtId="0" fontId="27" fillId="9" borderId="38" xfId="0" applyFont="1" applyFill="1" applyBorder="1" applyAlignment="1">
      <alignment horizontal="center" vertical="center"/>
    </xf>
    <xf numFmtId="0" fontId="27" fillId="9" borderId="38" xfId="0" applyFont="1" applyFill="1" applyBorder="1" applyAlignment="1">
      <alignment horizontal="center" vertical="top" wrapText="1"/>
    </xf>
    <xf numFmtId="0" fontId="27" fillId="9" borderId="70" xfId="0" applyFont="1" applyFill="1" applyBorder="1" applyAlignment="1">
      <alignment horizontal="center" vertical="center" wrapText="1"/>
    </xf>
    <xf numFmtId="0" fontId="27" fillId="9" borderId="70" xfId="0" applyFont="1" applyFill="1" applyBorder="1" applyAlignment="1">
      <alignment horizontal="center" vertical="center"/>
    </xf>
    <xf numFmtId="0" fontId="27" fillId="9" borderId="62" xfId="0" applyFont="1" applyFill="1" applyBorder="1" applyAlignment="1">
      <alignment horizontal="center" vertical="top" wrapText="1"/>
    </xf>
    <xf numFmtId="0" fontId="27" fillId="9" borderId="68" xfId="0" applyFont="1" applyFill="1" applyBorder="1" applyAlignment="1">
      <alignment horizontal="center" vertical="center" wrapText="1"/>
    </xf>
    <xf numFmtId="0" fontId="27" fillId="9" borderId="71" xfId="0" applyFont="1" applyFill="1" applyBorder="1" applyAlignment="1">
      <alignment horizontal="center" vertical="center" wrapText="1"/>
    </xf>
    <xf numFmtId="0" fontId="28" fillId="9" borderId="74" xfId="0" applyFont="1" applyFill="1" applyBorder="1" applyAlignment="1">
      <alignment horizontal="center" vertical="center"/>
    </xf>
    <xf numFmtId="0" fontId="28" fillId="9" borderId="75" xfId="0" applyFont="1" applyFill="1" applyBorder="1" applyAlignment="1">
      <alignment horizontal="center" vertical="center"/>
    </xf>
    <xf numFmtId="0" fontId="28" fillId="9" borderId="38" xfId="0" applyFont="1" applyFill="1" applyBorder="1" applyAlignment="1">
      <alignment horizontal="center" vertical="center"/>
    </xf>
    <xf numFmtId="0" fontId="34" fillId="8" borderId="56" xfId="22" applyFont="1" applyFill="1" applyBorder="1" applyAlignment="1">
      <alignment horizontal="left" vertical="center"/>
    </xf>
    <xf numFmtId="0" fontId="11" fillId="0" borderId="57" xfId="22" applyFont="1" applyBorder="1" applyAlignment="1">
      <alignment horizontal="left"/>
    </xf>
    <xf numFmtId="0" fontId="11" fillId="0" borderId="58" xfId="22" applyFont="1" applyBorder="1" applyAlignment="1">
      <alignment horizontal="left"/>
    </xf>
    <xf numFmtId="0" fontId="27" fillId="0" borderId="37" xfId="23" applyFont="1"/>
    <xf numFmtId="0" fontId="11" fillId="0" borderId="59" xfId="22" applyFont="1" applyBorder="1" applyAlignment="1">
      <alignment horizontal="left"/>
    </xf>
    <xf numFmtId="0" fontId="11" fillId="0" borderId="60" xfId="22" applyFont="1" applyBorder="1" applyAlignment="1">
      <alignment horizontal="left"/>
    </xf>
    <xf numFmtId="0" fontId="11" fillId="0" borderId="61" xfId="22" applyFont="1" applyBorder="1" applyAlignment="1">
      <alignment horizontal="left"/>
    </xf>
    <xf numFmtId="0" fontId="27" fillId="9" borderId="37" xfId="22" applyFont="1" applyFill="1" applyAlignment="1">
      <alignment horizontal="center" vertical="center"/>
    </xf>
    <xf numFmtId="0" fontId="27" fillId="9" borderId="37" xfId="22" applyFont="1" applyFill="1" applyAlignment="1">
      <alignment horizontal="left" vertical="center"/>
    </xf>
    <xf numFmtId="0" fontId="27" fillId="9" borderId="37" xfId="22" applyFont="1" applyFill="1"/>
    <xf numFmtId="0" fontId="27" fillId="9" borderId="37" xfId="22" applyFont="1" applyFill="1" applyAlignment="1">
      <alignment horizontal="center"/>
    </xf>
    <xf numFmtId="0" fontId="25" fillId="8" borderId="62" xfId="22" applyFont="1" applyFill="1" applyBorder="1" applyAlignment="1">
      <alignment horizontal="left" vertical="center"/>
    </xf>
    <xf numFmtId="0" fontId="11" fillId="0" borderId="63" xfId="22" applyFont="1" applyBorder="1"/>
    <xf numFmtId="0" fontId="26" fillId="9" borderId="62" xfId="22" applyFont="1" applyFill="1" applyBorder="1" applyAlignment="1">
      <alignment horizontal="left" vertical="center"/>
    </xf>
    <xf numFmtId="0" fontId="11" fillId="0" borderId="64" xfId="22" applyFont="1" applyBorder="1"/>
    <xf numFmtId="0" fontId="26" fillId="9" borderId="62" xfId="22" applyFont="1" applyFill="1" applyBorder="1" applyAlignment="1">
      <alignment horizontal="left" vertical="center" wrapText="1"/>
    </xf>
    <xf numFmtId="0" fontId="28" fillId="8" borderId="62" xfId="22" applyFont="1" applyFill="1" applyBorder="1" applyAlignment="1">
      <alignment horizontal="center" vertical="center"/>
    </xf>
    <xf numFmtId="0" fontId="28" fillId="8" borderId="59" xfId="22" applyFont="1" applyFill="1" applyBorder="1" applyAlignment="1">
      <alignment horizontal="center" vertical="center"/>
    </xf>
    <xf numFmtId="0" fontId="11" fillId="0" borderId="60" xfId="22" applyFont="1" applyBorder="1"/>
    <xf numFmtId="0" fontId="11" fillId="0" borderId="61" xfId="22" applyFont="1" applyBorder="1"/>
    <xf numFmtId="0" fontId="29" fillId="8" borderId="65" xfId="22" applyFont="1" applyFill="1" applyBorder="1" applyAlignment="1">
      <alignment horizontal="center" vertical="center" textRotation="90"/>
    </xf>
    <xf numFmtId="0" fontId="28" fillId="8" borderId="65" xfId="22" applyFont="1" applyFill="1" applyBorder="1" applyAlignment="1">
      <alignment horizontal="center" vertical="center"/>
    </xf>
    <xf numFmtId="0" fontId="28" fillId="8" borderId="66" xfId="22" applyFont="1" applyFill="1" applyBorder="1" applyAlignment="1">
      <alignment horizontal="center" vertical="center" wrapText="1"/>
    </xf>
    <xf numFmtId="0" fontId="28" fillId="8" borderId="65" xfId="22" applyFont="1" applyFill="1" applyBorder="1" applyAlignment="1">
      <alignment horizontal="center" vertical="center" wrapText="1"/>
    </xf>
    <xf numFmtId="0" fontId="28" fillId="8" borderId="66" xfId="22" applyFont="1" applyFill="1" applyBorder="1" applyAlignment="1">
      <alignment horizontal="center" vertical="center"/>
    </xf>
    <xf numFmtId="0" fontId="28" fillId="8" borderId="66" xfId="22" applyFont="1" applyFill="1" applyBorder="1" applyAlignment="1">
      <alignment horizontal="center" vertical="center"/>
    </xf>
    <xf numFmtId="0" fontId="28" fillId="8" borderId="67" xfId="22" applyFont="1" applyFill="1" applyBorder="1" applyAlignment="1">
      <alignment horizontal="center" vertical="center"/>
    </xf>
    <xf numFmtId="0" fontId="28" fillId="8" borderId="67" xfId="22" applyFont="1" applyFill="1" applyBorder="1" applyAlignment="1">
      <alignment horizontal="center" vertical="center" wrapText="1"/>
    </xf>
    <xf numFmtId="0" fontId="28" fillId="8" borderId="65" xfId="22" applyFont="1" applyFill="1" applyBorder="1" applyAlignment="1">
      <alignment horizontal="center" vertical="center" textRotation="90" wrapText="1"/>
    </xf>
    <xf numFmtId="0" fontId="28" fillId="8" borderId="62" xfId="22" applyFont="1" applyFill="1" applyBorder="1" applyAlignment="1">
      <alignment horizontal="center" vertical="center" wrapText="1"/>
    </xf>
    <xf numFmtId="0" fontId="11" fillId="0" borderId="69" xfId="22" applyFont="1" applyBorder="1"/>
    <xf numFmtId="0" fontId="11" fillId="0" borderId="66" xfId="22" applyFont="1" applyBorder="1"/>
    <xf numFmtId="0" fontId="11" fillId="0" borderId="59" xfId="22" applyFont="1" applyBorder="1"/>
    <xf numFmtId="0" fontId="28" fillId="8" borderId="70" xfId="22" applyFont="1" applyFill="1" applyBorder="1" applyAlignment="1">
      <alignment horizontal="center" vertical="center" textRotation="90"/>
    </xf>
    <xf numFmtId="0" fontId="27" fillId="0" borderId="65" xfId="22" applyFont="1" applyBorder="1" applyAlignment="1">
      <alignment horizontal="center" vertical="center"/>
    </xf>
    <xf numFmtId="0" fontId="26" fillId="0" borderId="65" xfId="22" applyFont="1" applyBorder="1" applyAlignment="1">
      <alignment horizontal="center" vertical="top" wrapText="1"/>
    </xf>
    <xf numFmtId="0" fontId="26" fillId="0" borderId="56" xfId="22" applyFont="1" applyBorder="1" applyAlignment="1">
      <alignment horizontal="center" vertical="top" wrapText="1"/>
    </xf>
    <xf numFmtId="0" fontId="28" fillId="9" borderId="70" xfId="22" applyFont="1" applyFill="1" applyBorder="1" applyAlignment="1">
      <alignment horizontal="center" vertical="center" wrapText="1"/>
    </xf>
    <xf numFmtId="0" fontId="26" fillId="0" borderId="58" xfId="22" applyFont="1" applyBorder="1" applyAlignment="1">
      <alignment horizontal="center" vertical="top" wrapText="1"/>
    </xf>
    <xf numFmtId="0" fontId="26" fillId="0" borderId="65" xfId="22" applyFont="1" applyBorder="1" applyAlignment="1">
      <alignment horizontal="center" vertical="top"/>
    </xf>
    <xf numFmtId="0" fontId="37" fillId="0" borderId="65" xfId="22" applyFont="1" applyBorder="1" applyAlignment="1">
      <alignment horizontal="center" vertical="top" wrapText="1"/>
    </xf>
    <xf numFmtId="9" fontId="26" fillId="0" borderId="65" xfId="22" applyNumberFormat="1" applyFont="1" applyBorder="1" applyAlignment="1">
      <alignment horizontal="center" vertical="top" wrapText="1"/>
    </xf>
    <xf numFmtId="0" fontId="37" fillId="0" borderId="65" xfId="22" applyFont="1" applyBorder="1" applyAlignment="1">
      <alignment horizontal="center" vertical="top"/>
    </xf>
    <xf numFmtId="0" fontId="27" fillId="0" borderId="70" xfId="22" applyFont="1" applyBorder="1" applyAlignment="1">
      <alignment horizontal="center" vertical="top"/>
    </xf>
    <xf numFmtId="0" fontId="27" fillId="0" borderId="70" xfId="22" applyFont="1" applyBorder="1" applyAlignment="1">
      <alignment horizontal="left" vertical="top" wrapText="1"/>
    </xf>
    <xf numFmtId="0" fontId="26" fillId="0" borderId="70" xfId="22" applyFont="1" applyBorder="1" applyAlignment="1">
      <alignment horizontal="center" vertical="top" textRotation="90"/>
    </xf>
    <xf numFmtId="9" fontId="26" fillId="0" borderId="70" xfId="22" applyNumberFormat="1" applyFont="1" applyBorder="1" applyAlignment="1">
      <alignment horizontal="center" vertical="top"/>
    </xf>
    <xf numFmtId="164" fontId="27" fillId="0" borderId="70" xfId="22" applyNumberFormat="1" applyFont="1" applyBorder="1" applyAlignment="1">
      <alignment horizontal="center" vertical="top"/>
    </xf>
    <xf numFmtId="0" fontId="37" fillId="0" borderId="70" xfId="22" applyFont="1" applyBorder="1" applyAlignment="1">
      <alignment horizontal="center" vertical="top" textRotation="90" wrapText="1"/>
    </xf>
    <xf numFmtId="9" fontId="26" fillId="0" borderId="65" xfId="22" applyNumberFormat="1" applyFont="1" applyBorder="1" applyAlignment="1">
      <alignment horizontal="center" vertical="top"/>
    </xf>
    <xf numFmtId="0" fontId="37" fillId="0" borderId="70" xfId="22" applyFont="1" applyBorder="1" applyAlignment="1">
      <alignment horizontal="center" vertical="top" textRotation="90"/>
    </xf>
    <xf numFmtId="0" fontId="26" fillId="0" borderId="65" xfId="22" applyFont="1" applyBorder="1" applyAlignment="1">
      <alignment horizontal="center" vertical="center" textRotation="90"/>
    </xf>
    <xf numFmtId="0" fontId="26" fillId="0" borderId="65" xfId="22" applyFont="1" applyBorder="1" applyAlignment="1">
      <alignment horizontal="center" vertical="center" wrapText="1"/>
    </xf>
    <xf numFmtId="166" fontId="26" fillId="0" borderId="65" xfId="22" applyNumberFormat="1" applyFont="1" applyBorder="1" applyAlignment="1">
      <alignment horizontal="center" vertical="center"/>
    </xf>
    <xf numFmtId="0" fontId="26" fillId="0" borderId="65" xfId="22" applyFont="1" applyBorder="1" applyAlignment="1">
      <alignment horizontal="center" vertical="center"/>
    </xf>
    <xf numFmtId="0" fontId="11" fillId="0" borderId="67" xfId="22" applyFont="1" applyBorder="1"/>
    <xf numFmtId="0" fontId="11" fillId="0" borderId="73" xfId="22" applyFont="1" applyBorder="1"/>
    <xf numFmtId="0" fontId="37" fillId="0" borderId="66" xfId="22" applyFont="1" applyBorder="1" applyAlignment="1">
      <alignment horizontal="center" vertical="top" wrapText="1"/>
    </xf>
    <xf numFmtId="0" fontId="37" fillId="0" borderId="66" xfId="22" applyFont="1" applyBorder="1" applyAlignment="1">
      <alignment horizontal="center" vertical="top"/>
    </xf>
    <xf numFmtId="0" fontId="66" fillId="21" borderId="89" xfId="22" applyFont="1" applyFill="1" applyBorder="1" applyAlignment="1">
      <alignment horizontal="left" vertical="center"/>
    </xf>
    <xf numFmtId="0" fontId="67" fillId="22" borderId="37" xfId="22" applyFont="1" applyFill="1"/>
    <xf numFmtId="0" fontId="67" fillId="22" borderId="37" xfId="22" applyFont="1" applyFill="1" applyAlignment="1">
      <alignment horizontal="center" vertical="center"/>
    </xf>
    <xf numFmtId="0" fontId="67" fillId="22" borderId="37" xfId="22" applyFont="1" applyFill="1" applyAlignment="1">
      <alignment horizontal="left" vertical="center"/>
    </xf>
    <xf numFmtId="0" fontId="67" fillId="22" borderId="37" xfId="22" applyFont="1" applyFill="1" applyAlignment="1">
      <alignment horizontal="center"/>
    </xf>
    <xf numFmtId="0" fontId="68" fillId="21" borderId="90" xfId="22" applyFont="1" applyFill="1" applyBorder="1" applyAlignment="1">
      <alignment horizontal="left" vertical="center"/>
    </xf>
    <xf numFmtId="0" fontId="69" fillId="22" borderId="89" xfId="22" applyFont="1" applyFill="1" applyBorder="1" applyAlignment="1" applyProtection="1">
      <alignment horizontal="left" vertical="center"/>
      <protection locked="0"/>
    </xf>
    <xf numFmtId="0" fontId="67" fillId="22" borderId="89" xfId="22" applyFont="1" applyFill="1" applyBorder="1" applyAlignment="1" applyProtection="1">
      <alignment horizontal="left" vertical="center" wrapText="1"/>
      <protection locked="0"/>
    </xf>
    <xf numFmtId="0" fontId="70" fillId="21" borderId="89" xfId="22" applyFont="1" applyFill="1" applyBorder="1" applyAlignment="1">
      <alignment horizontal="center" vertical="center"/>
    </xf>
    <xf numFmtId="0" fontId="70" fillId="21" borderId="91" xfId="22" applyFont="1" applyFill="1" applyBorder="1" applyAlignment="1">
      <alignment horizontal="center" vertical="center"/>
    </xf>
    <xf numFmtId="0" fontId="71" fillId="21" borderId="89" xfId="22" applyFont="1" applyFill="1" applyBorder="1" applyAlignment="1">
      <alignment horizontal="center" vertical="center" textRotation="90"/>
    </xf>
    <xf numFmtId="0" fontId="70" fillId="21" borderId="91" xfId="22" applyFont="1" applyFill="1" applyBorder="1" applyAlignment="1">
      <alignment horizontal="center" vertical="center" wrapText="1"/>
    </xf>
    <xf numFmtId="0" fontId="70" fillId="21" borderId="92" xfId="22" applyFont="1" applyFill="1" applyBorder="1" applyAlignment="1">
      <alignment horizontal="center" vertical="center" wrapText="1"/>
    </xf>
    <xf numFmtId="0" fontId="70" fillId="21" borderId="93" xfId="22" applyFont="1" applyFill="1" applyBorder="1" applyAlignment="1">
      <alignment horizontal="center" vertical="center"/>
    </xf>
    <xf numFmtId="0" fontId="70" fillId="21" borderId="93" xfId="22" applyFont="1" applyFill="1" applyBorder="1" applyAlignment="1">
      <alignment horizontal="center" vertical="center"/>
    </xf>
    <xf numFmtId="0" fontId="70" fillId="21" borderId="89" xfId="22" applyFont="1" applyFill="1" applyBorder="1" applyAlignment="1">
      <alignment horizontal="center" vertical="center" wrapText="1"/>
    </xf>
    <xf numFmtId="0" fontId="70" fillId="21" borderId="94" xfId="22" applyFont="1" applyFill="1" applyBorder="1" applyAlignment="1">
      <alignment horizontal="center" vertical="center"/>
    </xf>
    <xf numFmtId="0" fontId="70" fillId="21" borderId="94" xfId="22" applyFont="1" applyFill="1" applyBorder="1" applyAlignment="1">
      <alignment horizontal="center" vertical="center" wrapText="1"/>
    </xf>
    <xf numFmtId="0" fontId="70" fillId="21" borderId="89" xfId="22" applyFont="1" applyFill="1" applyBorder="1" applyAlignment="1">
      <alignment horizontal="center" vertical="center" textRotation="90" wrapText="1"/>
    </xf>
    <xf numFmtId="0" fontId="70" fillId="21" borderId="89" xfId="22" applyFont="1" applyFill="1" applyBorder="1" applyAlignment="1">
      <alignment horizontal="center" vertical="center" textRotation="90"/>
    </xf>
    <xf numFmtId="0" fontId="67" fillId="0" borderId="89" xfId="22" applyFont="1" applyBorder="1" applyAlignment="1">
      <alignment horizontal="center" vertical="center"/>
    </xf>
    <xf numFmtId="0" fontId="69" fillId="22" borderId="89" xfId="22" applyFont="1" applyFill="1" applyBorder="1" applyAlignment="1" applyProtection="1">
      <alignment horizontal="center" vertical="center" wrapText="1"/>
      <protection locked="0"/>
    </xf>
    <xf numFmtId="0" fontId="67" fillId="22" borderId="89" xfId="22" applyFont="1" applyFill="1" applyBorder="1" applyAlignment="1">
      <alignment vertical="center" wrapText="1"/>
    </xf>
    <xf numFmtId="0" fontId="30" fillId="22" borderId="91" xfId="22" applyFont="1" applyFill="1" applyBorder="1" applyAlignment="1">
      <alignment horizontal="center" vertical="center" wrapText="1"/>
    </xf>
    <xf numFmtId="0" fontId="26" fillId="0" borderId="95" xfId="22" applyFont="1" applyBorder="1" applyAlignment="1">
      <alignment horizontal="center" vertical="center" wrapText="1"/>
    </xf>
    <xf numFmtId="0" fontId="30" fillId="22" borderId="89" xfId="22" applyFont="1" applyFill="1" applyBorder="1" applyAlignment="1" applyProtection="1">
      <alignment horizontal="center" vertical="center" wrapText="1"/>
      <protection locked="0"/>
    </xf>
    <xf numFmtId="0" fontId="67" fillId="0" borderId="96" xfId="22" applyFont="1" applyBorder="1" applyAlignment="1" applyProtection="1">
      <alignment horizontal="center" vertical="center" wrapText="1"/>
      <protection locked="0"/>
    </xf>
    <xf numFmtId="0" fontId="72" fillId="22" borderId="89" xfId="22" applyFont="1" applyFill="1" applyBorder="1" applyAlignment="1" applyProtection="1">
      <alignment horizontal="center" vertical="center"/>
      <protection locked="0"/>
    </xf>
    <xf numFmtId="0" fontId="70" fillId="0" borderId="89" xfId="22" applyFont="1" applyBorder="1" applyAlignment="1" applyProtection="1">
      <alignment horizontal="center" vertical="center" wrapText="1"/>
      <protection hidden="1"/>
    </xf>
    <xf numFmtId="9" fontId="67" fillId="0" borderId="89" xfId="22" applyNumberFormat="1" applyFont="1" applyBorder="1" applyAlignment="1" applyProtection="1">
      <alignment horizontal="center" vertical="center" wrapText="1"/>
      <protection hidden="1"/>
    </xf>
    <xf numFmtId="9" fontId="69" fillId="0" borderId="89" xfId="22" applyNumberFormat="1" applyFont="1" applyBorder="1" applyAlignment="1" applyProtection="1">
      <alignment horizontal="center" vertical="center" wrapText="1"/>
      <protection locked="0"/>
    </xf>
    <xf numFmtId="9" fontId="69" fillId="0" borderId="89" xfId="22" applyNumberFormat="1" applyFont="1" applyBorder="1" applyAlignment="1" applyProtection="1">
      <alignment horizontal="center" vertical="top" wrapText="1"/>
      <protection hidden="1"/>
    </xf>
    <xf numFmtId="0" fontId="73" fillId="0" borderId="89" xfId="22" applyFont="1" applyBorder="1" applyAlignment="1" applyProtection="1">
      <alignment horizontal="center" vertical="center" wrapText="1"/>
      <protection hidden="1"/>
    </xf>
    <xf numFmtId="9" fontId="69" fillId="0" borderId="89" xfId="22" applyNumberFormat="1" applyFont="1" applyBorder="1" applyAlignment="1" applyProtection="1">
      <alignment horizontal="center" vertical="center" wrapText="1"/>
      <protection hidden="1"/>
    </xf>
    <xf numFmtId="0" fontId="73" fillId="0" borderId="89" xfId="22" applyFont="1" applyBorder="1" applyAlignment="1" applyProtection="1">
      <alignment horizontal="center" vertical="center"/>
      <protection hidden="1"/>
    </xf>
    <xf numFmtId="0" fontId="67" fillId="0" borderId="89" xfId="22" applyFont="1" applyBorder="1" applyAlignment="1">
      <alignment horizontal="center" vertical="top"/>
    </xf>
    <xf numFmtId="0" fontId="74" fillId="0" borderId="89" xfId="22" applyFont="1" applyBorder="1" applyAlignment="1" applyProtection="1">
      <alignment horizontal="justify" vertical="center" wrapText="1"/>
      <protection locked="0"/>
    </xf>
    <xf numFmtId="0" fontId="67" fillId="0" borderId="89" xfId="22" applyFont="1" applyBorder="1" applyAlignment="1" applyProtection="1">
      <alignment horizontal="center" vertical="center"/>
      <protection hidden="1"/>
    </xf>
    <xf numFmtId="0" fontId="69" fillId="0" borderId="89" xfId="22" applyFont="1" applyBorder="1" applyAlignment="1" applyProtection="1">
      <alignment horizontal="center" vertical="center" textRotation="90"/>
      <protection locked="0"/>
    </xf>
    <xf numFmtId="9" fontId="69" fillId="0" borderId="89" xfId="22" applyNumberFormat="1" applyFont="1" applyBorder="1" applyAlignment="1" applyProtection="1">
      <alignment horizontal="center" vertical="center"/>
      <protection hidden="1"/>
    </xf>
    <xf numFmtId="0" fontId="73" fillId="0" borderId="89" xfId="22" applyFont="1" applyBorder="1" applyAlignment="1" applyProtection="1">
      <alignment horizontal="center" vertical="top" textRotation="90" wrapText="1"/>
      <protection hidden="1"/>
    </xf>
    <xf numFmtId="9" fontId="69" fillId="0" borderId="92" xfId="22" applyNumberFormat="1" applyFont="1" applyBorder="1" applyAlignment="1" applyProtection="1">
      <alignment horizontal="center" vertical="top"/>
      <protection hidden="1"/>
    </xf>
    <xf numFmtId="0" fontId="73" fillId="0" borderId="89" xfId="22" applyFont="1" applyBorder="1" applyAlignment="1" applyProtection="1">
      <alignment horizontal="center" vertical="top" textRotation="90"/>
      <protection hidden="1"/>
    </xf>
    <xf numFmtId="0" fontId="69" fillId="0" borderId="89" xfId="22" applyFont="1" applyBorder="1" applyAlignment="1" applyProtection="1">
      <alignment horizontal="center" vertical="center" textRotation="90"/>
      <protection locked="0"/>
    </xf>
    <xf numFmtId="0" fontId="67" fillId="22" borderId="89" xfId="22" applyFont="1" applyFill="1" applyBorder="1" applyAlignment="1" applyProtection="1">
      <alignment vertical="center" wrapText="1"/>
      <protection locked="0"/>
    </xf>
    <xf numFmtId="0" fontId="67" fillId="0" borderId="89" xfId="22" applyFont="1" applyBorder="1" applyAlignment="1" applyProtection="1">
      <alignment horizontal="center" vertical="center" wrapText="1"/>
      <protection locked="0"/>
    </xf>
    <xf numFmtId="14" fontId="69" fillId="0" borderId="92" xfId="22" applyNumberFormat="1" applyFont="1" applyBorder="1" applyAlignment="1" applyProtection="1">
      <alignment horizontal="center" vertical="center" wrapText="1"/>
      <protection locked="0"/>
    </xf>
    <xf numFmtId="14" fontId="67" fillId="0" borderId="92" xfId="22" applyNumberFormat="1" applyFont="1" applyBorder="1" applyAlignment="1" applyProtection="1">
      <alignment vertical="center" wrapText="1"/>
      <protection locked="0"/>
    </xf>
    <xf numFmtId="14" fontId="69" fillId="0" borderId="92" xfId="22" applyNumberFormat="1" applyFont="1" applyBorder="1" applyAlignment="1" applyProtection="1">
      <alignment horizontal="center" vertical="center"/>
      <protection locked="0"/>
    </xf>
    <xf numFmtId="0" fontId="26" fillId="0" borderId="93" xfId="22" applyFont="1" applyBorder="1" applyAlignment="1">
      <alignment horizontal="center" vertical="center" wrapText="1"/>
    </xf>
    <xf numFmtId="0" fontId="48" fillId="0" borderId="89" xfId="22" applyFont="1" applyBorder="1" applyAlignment="1" applyProtection="1">
      <alignment horizontal="justify" vertical="center" wrapText="1"/>
      <protection locked="0"/>
    </xf>
    <xf numFmtId="0" fontId="67" fillId="22" borderId="92" xfId="22" applyFont="1" applyFill="1" applyBorder="1" applyAlignment="1" applyProtection="1">
      <alignment vertical="center" wrapText="1"/>
      <protection locked="0"/>
    </xf>
    <xf numFmtId="14" fontId="69" fillId="0" borderId="91" xfId="22" applyNumberFormat="1" applyFont="1" applyBorder="1" applyAlignment="1" applyProtection="1">
      <alignment horizontal="center" vertical="center" wrapText="1"/>
      <protection locked="0"/>
    </xf>
    <xf numFmtId="14" fontId="69" fillId="0" borderId="92" xfId="22" applyNumberFormat="1" applyFont="1" applyBorder="1" applyAlignment="1" applyProtection="1">
      <alignment vertical="center" wrapText="1"/>
      <protection locked="0"/>
    </xf>
    <xf numFmtId="14" fontId="69" fillId="0" borderId="91" xfId="22" applyNumberFormat="1" applyFont="1" applyBorder="1" applyAlignment="1" applyProtection="1">
      <alignment horizontal="center" vertical="center"/>
      <protection locked="0"/>
    </xf>
    <xf numFmtId="0" fontId="69" fillId="0" borderId="91" xfId="22" applyFont="1" applyBorder="1" applyAlignment="1" applyProtection="1">
      <alignment horizontal="center" vertical="center" wrapText="1"/>
      <protection locked="0"/>
    </xf>
    <xf numFmtId="0" fontId="69" fillId="22" borderId="89" xfId="22" applyFont="1" applyFill="1" applyBorder="1" applyAlignment="1" applyProtection="1">
      <alignment horizontal="center" vertical="top" wrapText="1"/>
      <protection locked="0"/>
    </xf>
    <xf numFmtId="0" fontId="67" fillId="0" borderId="89" xfId="22" applyFont="1" applyBorder="1" applyAlignment="1" applyProtection="1">
      <alignment horizontal="center" vertical="top"/>
      <protection hidden="1"/>
    </xf>
    <xf numFmtId="9" fontId="69" fillId="0" borderId="89" xfId="22" applyNumberFormat="1" applyFont="1" applyBorder="1" applyAlignment="1" applyProtection="1">
      <alignment horizontal="center" vertical="top"/>
      <protection hidden="1"/>
    </xf>
    <xf numFmtId="0" fontId="69" fillId="0" borderId="92" xfId="22" applyFont="1" applyBorder="1" applyAlignment="1" applyProtection="1">
      <alignment horizontal="center" vertical="top" textRotation="90"/>
      <protection locked="0"/>
    </xf>
    <xf numFmtId="0" fontId="67" fillId="0" borderId="89" xfId="22" applyFont="1" applyBorder="1" applyAlignment="1" applyProtection="1">
      <alignment horizontal="center" vertical="top" wrapText="1"/>
      <protection locked="0"/>
    </xf>
    <xf numFmtId="0" fontId="67" fillId="0" borderId="89" xfId="22" applyFont="1" applyBorder="1" applyAlignment="1" applyProtection="1">
      <alignment horizontal="center" vertical="top"/>
      <protection locked="0"/>
    </xf>
    <xf numFmtId="14" fontId="67" fillId="0" borderId="89" xfId="22" applyNumberFormat="1" applyFont="1" applyBorder="1" applyAlignment="1" applyProtection="1">
      <alignment horizontal="center" vertical="top"/>
      <protection locked="0"/>
    </xf>
    <xf numFmtId="14" fontId="67" fillId="0" borderId="89" xfId="22" applyNumberFormat="1" applyFont="1" applyBorder="1" applyAlignment="1" applyProtection="1">
      <alignment horizontal="center" vertical="top" wrapText="1"/>
      <protection locked="0"/>
    </xf>
    <xf numFmtId="14" fontId="67" fillId="0" borderId="89" xfId="22" applyNumberFormat="1" applyFont="1" applyBorder="1" applyAlignment="1" applyProtection="1">
      <alignment horizontal="center" vertical="center" wrapText="1"/>
      <protection locked="0"/>
    </xf>
    <xf numFmtId="14" fontId="67" fillId="0" borderId="89" xfId="22" applyNumberFormat="1" applyFont="1" applyBorder="1" applyAlignment="1" applyProtection="1">
      <alignment horizontal="center" vertical="center"/>
      <protection locked="0"/>
    </xf>
    <xf numFmtId="0" fontId="67" fillId="22" borderId="89" xfId="22" applyFont="1" applyFill="1" applyBorder="1" applyAlignment="1">
      <alignment horizontal="center" vertical="center" wrapText="1"/>
    </xf>
    <xf numFmtId="0" fontId="67" fillId="0" borderId="89" xfId="22" applyFont="1" applyBorder="1" applyAlignment="1" applyProtection="1">
      <alignment horizontal="center" vertical="center" wrapText="1"/>
      <protection locked="0"/>
    </xf>
    <xf numFmtId="0" fontId="30" fillId="0" borderId="89" xfId="22" applyFont="1" applyBorder="1" applyAlignment="1" applyProtection="1">
      <alignment horizontal="center" vertical="center" wrapText="1"/>
      <protection locked="0"/>
    </xf>
    <xf numFmtId="0" fontId="75" fillId="0" borderId="89" xfId="22" applyFont="1" applyBorder="1" applyAlignment="1" applyProtection="1">
      <alignment horizontal="center" vertical="center" wrapText="1"/>
      <protection locked="0"/>
    </xf>
    <xf numFmtId="0" fontId="76" fillId="0" borderId="89" xfId="22" applyFont="1" applyBorder="1" applyAlignment="1" applyProtection="1">
      <alignment horizontal="center" vertical="center"/>
      <protection locked="0"/>
    </xf>
    <xf numFmtId="9" fontId="67" fillId="0" borderId="89" xfId="22" applyNumberFormat="1" applyFont="1" applyBorder="1" applyAlignment="1" applyProtection="1">
      <alignment horizontal="center" vertical="center" wrapText="1"/>
      <protection locked="0"/>
    </xf>
    <xf numFmtId="0" fontId="70" fillId="0" borderId="89" xfId="22" applyFont="1" applyBorder="1" applyAlignment="1" applyProtection="1">
      <alignment horizontal="center" vertical="center"/>
      <protection hidden="1"/>
    </xf>
    <xf numFmtId="0" fontId="30" fillId="0" borderId="89" xfId="22" applyFont="1" applyBorder="1" applyAlignment="1" applyProtection="1">
      <alignment horizontal="justify" vertical="center" wrapText="1"/>
      <protection locked="0"/>
    </xf>
    <xf numFmtId="0" fontId="73" fillId="0" borderId="89" xfId="22" applyFont="1" applyBorder="1" applyAlignment="1" applyProtection="1">
      <alignment horizontal="center" vertical="center" textRotation="90" wrapText="1"/>
      <protection hidden="1"/>
    </xf>
    <xf numFmtId="9" fontId="69" fillId="0" borderId="92" xfId="22" applyNumberFormat="1" applyFont="1" applyBorder="1" applyAlignment="1" applyProtection="1">
      <alignment horizontal="center" vertical="center"/>
      <protection hidden="1"/>
    </xf>
    <xf numFmtId="0" fontId="73" fillId="0" borderId="89" xfId="22" applyFont="1" applyBorder="1" applyAlignment="1" applyProtection="1">
      <alignment horizontal="center" vertical="center" textRotation="90"/>
      <protection hidden="1"/>
    </xf>
    <xf numFmtId="14" fontId="67" fillId="0" borderId="92" xfId="22" applyNumberFormat="1" applyFont="1" applyBorder="1" applyAlignment="1" applyProtection="1">
      <alignment horizontal="center" vertical="center" wrapText="1"/>
      <protection locked="0"/>
    </xf>
    <xf numFmtId="14" fontId="67" fillId="0" borderId="92" xfId="22" applyNumberFormat="1" applyFont="1" applyBorder="1" applyAlignment="1" applyProtection="1">
      <alignment horizontal="center" vertical="center"/>
      <protection locked="0"/>
    </xf>
    <xf numFmtId="0" fontId="30" fillId="0" borderId="89" xfId="22" applyFont="1" applyBorder="1" applyAlignment="1" applyProtection="1">
      <alignment horizontal="left" vertical="center" wrapText="1"/>
      <protection locked="0"/>
    </xf>
    <xf numFmtId="14" fontId="67" fillId="0" borderId="93" xfId="22" applyNumberFormat="1" applyFont="1" applyBorder="1" applyAlignment="1" applyProtection="1">
      <alignment horizontal="center" vertical="center" wrapText="1"/>
      <protection locked="0"/>
    </xf>
    <xf numFmtId="14" fontId="67" fillId="0" borderId="91" xfId="22" applyNumberFormat="1" applyFont="1" applyBorder="1" applyAlignment="1" applyProtection="1">
      <alignment horizontal="center" vertical="center"/>
      <protection locked="0"/>
    </xf>
    <xf numFmtId="0" fontId="67" fillId="0" borderId="91" xfId="22" applyFont="1" applyBorder="1" applyAlignment="1" applyProtection="1">
      <alignment horizontal="center" vertical="center"/>
      <protection locked="0"/>
    </xf>
    <xf numFmtId="0" fontId="30" fillId="0" borderId="90" xfId="22" applyFont="1" applyBorder="1" applyAlignment="1" applyProtection="1">
      <alignment horizontal="center" vertical="center" wrapText="1"/>
      <protection locked="0"/>
    </xf>
    <xf numFmtId="0" fontId="67" fillId="0" borderId="89" xfId="22" applyFont="1" applyBorder="1" applyAlignment="1" applyProtection="1">
      <alignment vertical="top" wrapText="1"/>
      <protection locked="0"/>
    </xf>
    <xf numFmtId="0" fontId="26" fillId="0" borderId="92" xfId="22" applyFont="1" applyBorder="1" applyAlignment="1">
      <alignment horizontal="center" vertical="center" wrapText="1"/>
    </xf>
    <xf numFmtId="9" fontId="67" fillId="0" borderId="89" xfId="22" applyNumberFormat="1" applyFont="1" applyBorder="1" applyAlignment="1" applyProtection="1">
      <alignment horizontal="center" vertical="top" wrapText="1"/>
      <protection hidden="1"/>
    </xf>
    <xf numFmtId="0" fontId="67" fillId="0" borderId="92" xfId="22" applyFont="1" applyBorder="1" applyAlignment="1">
      <alignment horizontal="center" vertical="top"/>
    </xf>
    <xf numFmtId="0" fontId="48" fillId="0" borderId="92" xfId="22" applyFont="1" applyBorder="1" applyAlignment="1" applyProtection="1">
      <alignment vertical="center" wrapText="1"/>
      <protection locked="0"/>
    </xf>
    <xf numFmtId="0" fontId="69" fillId="0" borderId="89" xfId="22" applyFont="1" applyBorder="1" applyAlignment="1" applyProtection="1">
      <alignment horizontal="center" vertical="top" textRotation="90"/>
      <protection locked="0"/>
    </xf>
    <xf numFmtId="0" fontId="67" fillId="0" borderId="89" xfId="22" applyFont="1" applyBorder="1" applyAlignment="1" applyProtection="1">
      <alignment horizontal="center" vertical="center"/>
      <protection locked="0"/>
    </xf>
    <xf numFmtId="14" fontId="67" fillId="0" borderId="89" xfId="22" applyNumberFormat="1" applyFont="1" applyBorder="1" applyAlignment="1" applyProtection="1">
      <alignment horizontal="center" vertical="center" wrapText="1"/>
      <protection locked="0"/>
    </xf>
    <xf numFmtId="0" fontId="76" fillId="0" borderId="90" xfId="22" applyFont="1" applyBorder="1" applyAlignment="1" applyProtection="1">
      <alignment horizontal="center" vertical="center" wrapText="1"/>
      <protection locked="0"/>
    </xf>
    <xf numFmtId="0" fontId="67" fillId="0" borderId="91" xfId="22" applyFont="1" applyBorder="1" applyAlignment="1">
      <alignment horizontal="center" vertical="top"/>
    </xf>
    <xf numFmtId="0" fontId="48" fillId="0" borderId="91" xfId="22" applyFont="1" applyBorder="1" applyAlignment="1" applyProtection="1">
      <alignment vertical="center" wrapText="1"/>
      <protection locked="0"/>
    </xf>
    <xf numFmtId="14" fontId="67" fillId="0" borderId="91" xfId="22" applyNumberFormat="1" applyFont="1" applyBorder="1" applyAlignment="1" applyProtection="1">
      <alignment horizontal="center" vertical="center" wrapText="1"/>
      <protection locked="0"/>
    </xf>
    <xf numFmtId="0" fontId="67" fillId="0" borderId="91" xfId="22" applyFont="1" applyBorder="1" applyAlignment="1" applyProtection="1">
      <alignment horizontal="center" vertical="center" wrapText="1"/>
      <protection locked="0"/>
    </xf>
    <xf numFmtId="0" fontId="28" fillId="6" borderId="39" xfId="22" applyFont="1" applyFill="1" applyBorder="1" applyAlignment="1">
      <alignment horizontal="left" vertical="center"/>
    </xf>
    <xf numFmtId="0" fontId="28" fillId="6" borderId="40" xfId="22" applyFont="1" applyFill="1" applyBorder="1" applyAlignment="1">
      <alignment horizontal="left" vertical="center"/>
    </xf>
    <xf numFmtId="0" fontId="28" fillId="6" borderId="41" xfId="22" applyFont="1" applyFill="1" applyBorder="1" applyAlignment="1">
      <alignment horizontal="left" vertical="center"/>
    </xf>
    <xf numFmtId="0" fontId="24" fillId="7" borderId="37" xfId="22" applyFont="1" applyFill="1"/>
    <xf numFmtId="0" fontId="28" fillId="6" borderId="42" xfId="22" applyFont="1" applyFill="1" applyBorder="1" applyAlignment="1">
      <alignment horizontal="left" vertical="center"/>
    </xf>
    <xf numFmtId="0" fontId="28" fillId="6" borderId="43" xfId="22" applyFont="1" applyFill="1" applyBorder="1" applyAlignment="1">
      <alignment horizontal="left" vertical="center"/>
    </xf>
    <xf numFmtId="0" fontId="28" fillId="6" borderId="44" xfId="22" applyFont="1" applyFill="1" applyBorder="1" applyAlignment="1">
      <alignment horizontal="left" vertical="center"/>
    </xf>
    <xf numFmtId="0" fontId="24" fillId="7" borderId="37" xfId="22" applyFont="1" applyFill="1" applyAlignment="1">
      <alignment horizontal="center" vertical="center"/>
    </xf>
    <xf numFmtId="0" fontId="24" fillId="7" borderId="37" xfId="22" applyFont="1" applyFill="1" applyAlignment="1">
      <alignment horizontal="left" vertical="center"/>
    </xf>
    <xf numFmtId="0" fontId="24" fillId="7" borderId="37" xfId="22" applyFont="1" applyFill="1" applyAlignment="1">
      <alignment horizontal="center"/>
    </xf>
    <xf numFmtId="0" fontId="43" fillId="6" borderId="45" xfId="22" applyFont="1" applyFill="1" applyBorder="1" applyAlignment="1">
      <alignment horizontal="left" vertical="center"/>
    </xf>
    <xf numFmtId="0" fontId="43" fillId="6" borderId="46" xfId="22" applyFont="1" applyFill="1" applyBorder="1" applyAlignment="1">
      <alignment horizontal="left" vertical="center"/>
    </xf>
    <xf numFmtId="0" fontId="24" fillId="7" borderId="47" xfId="22" applyFont="1" applyFill="1" applyBorder="1" applyAlignment="1" applyProtection="1">
      <alignment horizontal="left" vertical="center"/>
      <protection locked="0"/>
    </xf>
    <xf numFmtId="0" fontId="24" fillId="7" borderId="47" xfId="22" applyFont="1" applyFill="1" applyBorder="1" applyAlignment="1" applyProtection="1">
      <alignment horizontal="left" vertical="center" wrapText="1"/>
      <protection locked="0"/>
    </xf>
    <xf numFmtId="0" fontId="24" fillId="7" borderId="54" xfId="22" applyFont="1" applyFill="1" applyBorder="1" applyAlignment="1" applyProtection="1">
      <alignment horizontal="left" vertical="center" wrapText="1"/>
      <protection locked="0"/>
    </xf>
    <xf numFmtId="0" fontId="43" fillId="6" borderId="45" xfId="22" applyFont="1" applyFill="1" applyBorder="1" applyAlignment="1">
      <alignment horizontal="center" vertical="center"/>
    </xf>
    <xf numFmtId="0" fontId="43" fillId="6" borderId="46" xfId="22" applyFont="1" applyFill="1" applyBorder="1" applyAlignment="1">
      <alignment horizontal="center" vertical="center"/>
    </xf>
    <xf numFmtId="0" fontId="43" fillId="6" borderId="43" xfId="22" applyFont="1" applyFill="1" applyBorder="1" applyAlignment="1">
      <alignment horizontal="center" vertical="center"/>
    </xf>
    <xf numFmtId="0" fontId="43" fillId="6" borderId="44" xfId="22" applyFont="1" applyFill="1" applyBorder="1" applyAlignment="1">
      <alignment horizontal="center" vertical="center"/>
    </xf>
    <xf numFmtId="0" fontId="43" fillId="6" borderId="42" xfId="22" applyFont="1" applyFill="1" applyBorder="1" applyAlignment="1">
      <alignment horizontal="center" vertical="center"/>
    </xf>
    <xf numFmtId="0" fontId="43" fillId="6" borderId="38" xfId="22" applyFont="1" applyFill="1" applyBorder="1" applyAlignment="1">
      <alignment horizontal="center" vertical="center"/>
    </xf>
    <xf numFmtId="0" fontId="43" fillId="6" borderId="48" xfId="22" applyFont="1" applyFill="1" applyBorder="1" applyAlignment="1">
      <alignment horizontal="center" vertical="center" textRotation="90"/>
    </xf>
    <xf numFmtId="0" fontId="43" fillId="6" borderId="49" xfId="22" applyFont="1" applyFill="1" applyBorder="1" applyAlignment="1">
      <alignment horizontal="center" vertical="center"/>
    </xf>
    <xf numFmtId="0" fontId="43" fillId="6" borderId="50" xfId="22" applyFont="1" applyFill="1" applyBorder="1" applyAlignment="1">
      <alignment horizontal="center" vertical="center" wrapText="1"/>
    </xf>
    <xf numFmtId="0" fontId="43" fillId="6" borderId="48" xfId="22" applyFont="1" applyFill="1" applyBorder="1" applyAlignment="1">
      <alignment horizontal="center" vertical="center" wrapText="1"/>
    </xf>
    <xf numFmtId="0" fontId="43" fillId="6" borderId="50" xfId="22" applyFont="1" applyFill="1" applyBorder="1" applyAlignment="1">
      <alignment horizontal="center" vertical="center"/>
    </xf>
    <xf numFmtId="0" fontId="43" fillId="6" borderId="48" xfId="22" applyFont="1" applyFill="1" applyBorder="1" applyAlignment="1">
      <alignment horizontal="center" vertical="center"/>
    </xf>
    <xf numFmtId="0" fontId="43" fillId="6" borderId="51" xfId="22" applyFont="1" applyFill="1" applyBorder="1" applyAlignment="1">
      <alignment horizontal="center" vertical="center"/>
    </xf>
    <xf numFmtId="0" fontId="43" fillId="6" borderId="51" xfId="22" applyFont="1" applyFill="1" applyBorder="1" applyAlignment="1">
      <alignment horizontal="center" vertical="center" wrapText="1"/>
    </xf>
    <xf numFmtId="0" fontId="43" fillId="6" borderId="52" xfId="22" applyFont="1" applyFill="1" applyBorder="1" applyAlignment="1">
      <alignment horizontal="center" vertical="center"/>
    </xf>
    <xf numFmtId="0" fontId="43" fillId="6" borderId="52" xfId="22" applyFont="1" applyFill="1" applyBorder="1" applyAlignment="1">
      <alignment horizontal="center" vertical="center" wrapText="1"/>
    </xf>
    <xf numFmtId="0" fontId="43" fillId="6" borderId="48" xfId="22" applyFont="1" applyFill="1" applyBorder="1" applyAlignment="1">
      <alignment horizontal="center" vertical="center" textRotation="90" wrapText="1"/>
    </xf>
    <xf numFmtId="0" fontId="43" fillId="6" borderId="49" xfId="22" applyFont="1" applyFill="1" applyBorder="1" applyAlignment="1">
      <alignment horizontal="center" vertical="center" wrapText="1"/>
    </xf>
    <xf numFmtId="0" fontId="43" fillId="6" borderId="49" xfId="22" applyFont="1" applyFill="1" applyBorder="1" applyAlignment="1">
      <alignment horizontal="center" vertical="center" textRotation="90" wrapText="1"/>
    </xf>
    <xf numFmtId="0" fontId="43" fillId="6" borderId="102" xfId="22" applyFont="1" applyFill="1" applyBorder="1" applyAlignment="1">
      <alignment horizontal="center" vertical="center" wrapText="1"/>
    </xf>
    <xf numFmtId="0" fontId="43" fillId="6" borderId="103" xfId="22" applyFont="1" applyFill="1" applyBorder="1" applyAlignment="1">
      <alignment horizontal="center" vertical="center" wrapText="1"/>
    </xf>
    <xf numFmtId="0" fontId="43" fillId="6" borderId="50" xfId="22" applyFont="1" applyFill="1" applyBorder="1" applyAlignment="1">
      <alignment horizontal="center" vertical="center" textRotation="90"/>
    </xf>
    <xf numFmtId="0" fontId="43" fillId="6" borderId="81" xfId="22" applyFont="1" applyFill="1" applyBorder="1" applyAlignment="1">
      <alignment horizontal="center" vertical="center"/>
    </xf>
    <xf numFmtId="0" fontId="43" fillId="6" borderId="50" xfId="22" applyFont="1" applyFill="1" applyBorder="1" applyAlignment="1">
      <alignment horizontal="center" vertical="center" textRotation="90" wrapText="1"/>
    </xf>
    <xf numFmtId="0" fontId="43" fillId="6" borderId="49" xfId="22" applyFont="1" applyFill="1" applyBorder="1" applyAlignment="1">
      <alignment horizontal="center" vertical="center" textRotation="90"/>
    </xf>
    <xf numFmtId="0" fontId="43" fillId="6" borderId="104" xfId="22" applyFont="1" applyFill="1" applyBorder="1" applyAlignment="1">
      <alignment horizontal="center" vertical="center" wrapText="1"/>
    </xf>
    <xf numFmtId="0" fontId="43" fillId="6" borderId="105" xfId="22" applyFont="1" applyFill="1" applyBorder="1" applyAlignment="1">
      <alignment horizontal="center" vertical="center" wrapText="1"/>
    </xf>
    <xf numFmtId="0" fontId="24" fillId="0" borderId="48" xfId="22" applyFont="1" applyBorder="1" applyAlignment="1">
      <alignment horizontal="center" vertical="center"/>
    </xf>
    <xf numFmtId="0" fontId="82" fillId="0" borderId="48" xfId="22" applyFont="1" applyBorder="1" applyAlignment="1" applyProtection="1">
      <alignment horizontal="center" vertical="center" wrapText="1"/>
      <protection locked="0"/>
    </xf>
    <xf numFmtId="0" fontId="83" fillId="0" borderId="48" xfId="22" applyFont="1" applyBorder="1" applyAlignment="1" applyProtection="1">
      <alignment horizontal="center" vertical="center" wrapText="1"/>
      <protection locked="0"/>
    </xf>
    <xf numFmtId="0" fontId="84" fillId="0" borderId="39" xfId="22" applyFont="1" applyBorder="1" applyAlignment="1" applyProtection="1">
      <alignment horizontal="center" vertical="center" wrapText="1"/>
      <protection locked="0"/>
    </xf>
    <xf numFmtId="0" fontId="24" fillId="0" borderId="47" xfId="22" applyFont="1" applyBorder="1" applyAlignment="1" applyProtection="1">
      <alignment horizontal="center" vertical="center" wrapText="1"/>
      <protection locked="0"/>
    </xf>
    <xf numFmtId="0" fontId="48" fillId="0" borderId="47" xfId="22" applyFont="1" applyBorder="1" applyAlignment="1" applyProtection="1">
      <alignment horizontal="center" vertical="center" wrapText="1"/>
      <protection locked="0"/>
    </xf>
    <xf numFmtId="0" fontId="48" fillId="0" borderId="54" xfId="22" applyFont="1" applyBorder="1" applyAlignment="1" applyProtection="1">
      <alignment horizontal="center" vertical="center" wrapText="1"/>
      <protection locked="0"/>
    </xf>
    <xf numFmtId="0" fontId="24" fillId="0" borderId="41" xfId="22" applyFont="1" applyBorder="1" applyAlignment="1" applyProtection="1">
      <alignment horizontal="center" vertical="center" wrapText="1"/>
      <protection locked="0"/>
    </xf>
    <xf numFmtId="0" fontId="24" fillId="0" borderId="48" xfId="22" applyFont="1" applyBorder="1" applyAlignment="1" applyProtection="1">
      <alignment horizontal="center" vertical="center"/>
      <protection locked="0"/>
    </xf>
    <xf numFmtId="0" fontId="43" fillId="0" borderId="48" xfId="22" applyFont="1" applyBorder="1" applyAlignment="1" applyProtection="1">
      <alignment horizontal="center" vertical="center" wrapText="1"/>
      <protection hidden="1"/>
    </xf>
    <xf numFmtId="9" fontId="24" fillId="0" borderId="48" xfId="22" applyNumberFormat="1" applyFont="1" applyBorder="1" applyAlignment="1" applyProtection="1">
      <alignment horizontal="center" vertical="center" wrapText="1"/>
      <protection hidden="1"/>
    </xf>
    <xf numFmtId="9" fontId="24" fillId="0" borderId="48" xfId="22" applyNumberFormat="1" applyFont="1" applyBorder="1" applyAlignment="1" applyProtection="1">
      <alignment horizontal="center" vertical="center" wrapText="1"/>
      <protection locked="0"/>
    </xf>
    <xf numFmtId="0" fontId="43" fillId="0" borderId="48" xfId="22" applyFont="1" applyBorder="1" applyAlignment="1" applyProtection="1">
      <alignment horizontal="center" vertical="center"/>
      <protection hidden="1"/>
    </xf>
    <xf numFmtId="0" fontId="24" fillId="0" borderId="49" xfId="22" applyFont="1" applyBorder="1" applyAlignment="1">
      <alignment horizontal="center" vertical="center"/>
    </xf>
    <xf numFmtId="0" fontId="24" fillId="0" borderId="49" xfId="22" applyFont="1" applyBorder="1" applyAlignment="1" applyProtection="1">
      <alignment horizontal="justify" vertical="center" wrapText="1"/>
      <protection locked="0"/>
    </xf>
    <xf numFmtId="0" fontId="24" fillId="0" borderId="49" xfId="22" applyFont="1" applyBorder="1" applyAlignment="1" applyProtection="1">
      <alignment horizontal="center" vertical="center"/>
      <protection hidden="1"/>
    </xf>
    <xf numFmtId="0" fontId="24" fillId="0" borderId="49" xfId="22" applyFont="1" applyBorder="1" applyAlignment="1" applyProtection="1">
      <alignment horizontal="center" vertical="center" textRotation="90"/>
      <protection locked="0"/>
    </xf>
    <xf numFmtId="9" fontId="24" fillId="0" borderId="49" xfId="22" applyNumberFormat="1" applyFont="1" applyBorder="1" applyAlignment="1" applyProtection="1">
      <alignment horizontal="center" vertical="center"/>
      <protection hidden="1"/>
    </xf>
    <xf numFmtId="164" fontId="24" fillId="0" borderId="49" xfId="24" applyNumberFormat="1" applyFont="1" applyBorder="1" applyAlignment="1">
      <alignment horizontal="center" vertical="center"/>
    </xf>
    <xf numFmtId="0" fontId="43" fillId="0" borderId="49" xfId="22" applyFont="1" applyBorder="1" applyAlignment="1" applyProtection="1">
      <alignment horizontal="center" vertical="center" textRotation="90" wrapText="1"/>
      <protection hidden="1"/>
    </xf>
    <xf numFmtId="9" fontId="24" fillId="0" borderId="48" xfId="22" applyNumberFormat="1" applyFont="1" applyBorder="1" applyAlignment="1" applyProtection="1">
      <alignment horizontal="center" vertical="center"/>
      <protection hidden="1"/>
    </xf>
    <xf numFmtId="0" fontId="43" fillId="0" borderId="49" xfId="22" applyFont="1" applyBorder="1" applyAlignment="1" applyProtection="1">
      <alignment horizontal="center" vertical="center" textRotation="90"/>
      <protection hidden="1"/>
    </xf>
    <xf numFmtId="0" fontId="24" fillId="0" borderId="48" xfId="22" applyFont="1" applyBorder="1" applyAlignment="1" applyProtection="1">
      <alignment horizontal="center" vertical="center" textRotation="90"/>
      <protection locked="0"/>
    </xf>
    <xf numFmtId="0" fontId="24" fillId="0" borderId="48" xfId="22" applyFont="1" applyBorder="1" applyAlignment="1" applyProtection="1">
      <alignment horizontal="center" vertical="center" wrapText="1"/>
      <protection locked="0"/>
    </xf>
    <xf numFmtId="14" fontId="24" fillId="0" borderId="48" xfId="22" applyNumberFormat="1" applyFont="1" applyBorder="1" applyAlignment="1" applyProtection="1">
      <alignment horizontal="center" vertical="center" wrapText="1"/>
      <protection locked="0"/>
    </xf>
    <xf numFmtId="14" fontId="24" fillId="0" borderId="48" xfId="22" applyNumberFormat="1" applyFont="1" applyBorder="1" applyAlignment="1" applyProtection="1">
      <alignment horizontal="center" vertical="center"/>
      <protection locked="0"/>
    </xf>
    <xf numFmtId="0" fontId="24" fillId="0" borderId="106" xfId="22" applyFont="1" applyBorder="1" applyAlignment="1" applyProtection="1">
      <alignment horizontal="center" vertical="center"/>
      <protection locked="0"/>
    </xf>
    <xf numFmtId="0" fontId="24" fillId="0" borderId="51" xfId="22" applyFont="1" applyBorder="1" applyAlignment="1">
      <alignment horizontal="center" vertical="center"/>
    </xf>
    <xf numFmtId="0" fontId="82" fillId="0" borderId="51" xfId="22" applyFont="1" applyBorder="1" applyAlignment="1" applyProtection="1">
      <alignment horizontal="center" vertical="center" wrapText="1"/>
      <protection locked="0"/>
    </xf>
    <xf numFmtId="0" fontId="83" fillId="0" borderId="51" xfId="22" applyFont="1" applyBorder="1" applyAlignment="1" applyProtection="1">
      <alignment horizontal="center" vertical="center" wrapText="1"/>
      <protection locked="0"/>
    </xf>
    <xf numFmtId="0" fontId="84" fillId="0" borderId="52" xfId="22" applyFont="1" applyBorder="1" applyAlignment="1" applyProtection="1">
      <alignment horizontal="center" vertical="center" wrapText="1"/>
      <protection locked="0"/>
    </xf>
    <xf numFmtId="0" fontId="48" fillId="0" borderId="55" xfId="22" applyFont="1" applyBorder="1" applyAlignment="1" applyProtection="1">
      <alignment horizontal="center" vertical="center" wrapText="1"/>
      <protection locked="0"/>
    </xf>
    <xf numFmtId="0" fontId="24" fillId="0" borderId="53" xfId="22" applyFont="1" applyBorder="1" applyAlignment="1" applyProtection="1">
      <alignment horizontal="center" vertical="center" wrapText="1"/>
      <protection locked="0"/>
    </xf>
    <xf numFmtId="0" fontId="24" fillId="0" borderId="51" xfId="22" applyFont="1" applyBorder="1" applyAlignment="1" applyProtection="1">
      <alignment horizontal="center" vertical="center"/>
      <protection locked="0"/>
    </xf>
    <xf numFmtId="0" fontId="43" fillId="0" borderId="51" xfId="22" applyFont="1" applyBorder="1" applyAlignment="1" applyProtection="1">
      <alignment horizontal="center" vertical="center" wrapText="1"/>
      <protection hidden="1"/>
    </xf>
    <xf numFmtId="9" fontId="24" fillId="0" borderId="51" xfId="22" applyNumberFormat="1" applyFont="1" applyBorder="1" applyAlignment="1" applyProtection="1">
      <alignment horizontal="center" vertical="center" wrapText="1"/>
      <protection hidden="1"/>
    </xf>
    <xf numFmtId="9" fontId="24" fillId="0" borderId="51" xfId="22" applyNumberFormat="1" applyFont="1" applyBorder="1" applyAlignment="1" applyProtection="1">
      <alignment horizontal="center" vertical="center" wrapText="1"/>
      <protection locked="0"/>
    </xf>
    <xf numFmtId="0" fontId="43" fillId="0" borderId="51" xfId="22" applyFont="1" applyBorder="1" applyAlignment="1" applyProtection="1">
      <alignment horizontal="center" vertical="center"/>
      <protection hidden="1"/>
    </xf>
    <xf numFmtId="0" fontId="48" fillId="0" borderId="49" xfId="22" applyFont="1" applyBorder="1" applyAlignment="1" applyProtection="1">
      <alignment horizontal="justify" vertical="center" wrapText="1"/>
      <protection locked="0"/>
    </xf>
    <xf numFmtId="0" fontId="24" fillId="0" borderId="51" xfId="22" applyFont="1" applyBorder="1" applyAlignment="1" applyProtection="1">
      <alignment horizontal="center" vertical="center" textRotation="90"/>
      <protection locked="0"/>
    </xf>
    <xf numFmtId="0" fontId="24" fillId="0" borderId="51" xfId="22" applyFont="1" applyBorder="1" applyAlignment="1" applyProtection="1">
      <alignment horizontal="center" vertical="center" wrapText="1"/>
      <protection locked="0"/>
    </xf>
    <xf numFmtId="14" fontId="24" fillId="0" borderId="51" xfId="22" applyNumberFormat="1" applyFont="1" applyBorder="1" applyAlignment="1" applyProtection="1">
      <alignment horizontal="center" vertical="center" wrapText="1"/>
      <protection locked="0"/>
    </xf>
    <xf numFmtId="14" fontId="24" fillId="0" borderId="51" xfId="22" applyNumberFormat="1" applyFont="1" applyBorder="1" applyAlignment="1" applyProtection="1">
      <alignment horizontal="center" vertical="center"/>
      <protection locked="0"/>
    </xf>
    <xf numFmtId="0" fontId="24" fillId="0" borderId="107" xfId="22" applyFont="1" applyBorder="1" applyAlignment="1" applyProtection="1">
      <alignment horizontal="center" vertical="center"/>
      <protection locked="0"/>
    </xf>
    <xf numFmtId="0" fontId="24" fillId="0" borderId="49" xfId="22" applyFont="1" applyBorder="1" applyAlignment="1" applyProtection="1">
      <alignment horizontal="justify" vertical="center"/>
      <protection locked="0"/>
    </xf>
    <xf numFmtId="0" fontId="48" fillId="0" borderId="47" xfId="22" applyFont="1" applyBorder="1" applyAlignment="1" applyProtection="1">
      <alignment horizontal="center" vertical="center" wrapText="1"/>
      <protection locked="0"/>
    </xf>
    <xf numFmtId="0" fontId="48" fillId="0" borderId="80" xfId="22" applyFont="1" applyBorder="1" applyAlignment="1" applyProtection="1">
      <alignment horizontal="center" vertical="center" wrapText="1"/>
      <protection locked="0"/>
    </xf>
    <xf numFmtId="0" fontId="24" fillId="0" borderId="50" xfId="22" applyFont="1" applyBorder="1" applyAlignment="1" applyProtection="1">
      <alignment horizontal="center" vertical="center" textRotation="90"/>
      <protection locked="0"/>
    </xf>
    <xf numFmtId="0" fontId="24" fillId="0" borderId="50" xfId="22" applyFont="1" applyBorder="1" applyAlignment="1" applyProtection="1">
      <alignment horizontal="center" vertical="center" wrapText="1"/>
      <protection locked="0"/>
    </xf>
    <xf numFmtId="14" fontId="24" fillId="0" borderId="50" xfId="22" applyNumberFormat="1" applyFont="1" applyBorder="1" applyAlignment="1" applyProtection="1">
      <alignment horizontal="center" vertical="center" wrapText="1"/>
      <protection locked="0"/>
    </xf>
    <xf numFmtId="14" fontId="24" fillId="0" borderId="50" xfId="22" applyNumberFormat="1" applyFont="1" applyBorder="1" applyAlignment="1" applyProtection="1">
      <alignment horizontal="center" vertical="center"/>
      <protection locked="0"/>
    </xf>
    <xf numFmtId="0" fontId="24" fillId="0" borderId="102" xfId="22" applyFont="1" applyBorder="1" applyAlignment="1" applyProtection="1">
      <alignment horizontal="center" vertical="center"/>
      <protection locked="0"/>
    </xf>
    <xf numFmtId="0" fontId="24" fillId="20" borderId="49" xfId="22" applyFont="1" applyFill="1" applyBorder="1" applyAlignment="1">
      <alignment horizontal="center" vertical="center"/>
    </xf>
    <xf numFmtId="0" fontId="24" fillId="20" borderId="49" xfId="22" applyFont="1" applyFill="1" applyBorder="1" applyAlignment="1" applyProtection="1">
      <alignment horizontal="justify" vertical="center" wrapText="1"/>
      <protection locked="0"/>
    </xf>
    <xf numFmtId="164" fontId="24" fillId="0" borderId="49" xfId="24" applyNumberFormat="1" applyFont="1" applyBorder="1" applyAlignment="1">
      <alignment horizontal="center" vertical="top"/>
    </xf>
    <xf numFmtId="0" fontId="43" fillId="0" borderId="49" xfId="22" applyFont="1" applyBorder="1" applyAlignment="1" applyProtection="1">
      <alignment horizontal="center" vertical="top" textRotation="90" wrapText="1"/>
      <protection hidden="1"/>
    </xf>
    <xf numFmtId="9" fontId="24" fillId="0" borderId="48" xfId="22" applyNumberFormat="1" applyFont="1" applyBorder="1" applyAlignment="1" applyProtection="1">
      <alignment horizontal="center" vertical="top"/>
      <protection hidden="1"/>
    </xf>
    <xf numFmtId="0" fontId="43" fillId="0" borderId="49" xfId="22" applyFont="1" applyBorder="1" applyAlignment="1" applyProtection="1">
      <alignment horizontal="center" vertical="top" textRotation="90"/>
      <protection hidden="1"/>
    </xf>
    <xf numFmtId="15" fontId="24" fillId="20" borderId="108" xfId="22" applyNumberFormat="1" applyFont="1" applyFill="1" applyBorder="1" applyAlignment="1">
      <alignment horizontal="center" vertical="center" wrapText="1"/>
    </xf>
    <xf numFmtId="0" fontId="24" fillId="20" borderId="108" xfId="22" applyFont="1" applyFill="1" applyBorder="1" applyAlignment="1">
      <alignment horizontal="center" vertical="center" wrapText="1"/>
    </xf>
    <xf numFmtId="15" fontId="24" fillId="20" borderId="103" xfId="22" applyNumberFormat="1" applyFont="1" applyFill="1" applyBorder="1" applyAlignment="1">
      <alignment horizontal="center" vertical="center" wrapText="1"/>
    </xf>
    <xf numFmtId="0" fontId="24" fillId="20" borderId="103" xfId="22" applyFont="1" applyFill="1" applyBorder="1" applyAlignment="1">
      <alignment horizontal="center" vertical="center" wrapText="1"/>
    </xf>
    <xf numFmtId="0" fontId="24" fillId="20" borderId="49" xfId="22" applyFont="1" applyFill="1" applyBorder="1" applyAlignment="1" applyProtection="1">
      <alignment horizontal="justify" vertical="center"/>
      <protection locked="0"/>
    </xf>
    <xf numFmtId="15" fontId="24" fillId="20" borderId="109" xfId="22" applyNumberFormat="1" applyFont="1" applyFill="1" applyBorder="1" applyAlignment="1">
      <alignment horizontal="center" vertical="center" wrapText="1"/>
    </xf>
    <xf numFmtId="0" fontId="24" fillId="20" borderId="109" xfId="22" applyFont="1" applyFill="1" applyBorder="1" applyAlignment="1">
      <alignment horizontal="center" vertical="center" wrapText="1"/>
    </xf>
    <xf numFmtId="0" fontId="11" fillId="0" borderId="63" xfId="22" applyFont="1" applyBorder="1" applyAlignment="1">
      <alignment horizontal="left"/>
    </xf>
    <xf numFmtId="0" fontId="11" fillId="0" borderId="64" xfId="22" applyFont="1" applyBorder="1" applyAlignment="1">
      <alignment horizontal="left"/>
    </xf>
    <xf numFmtId="0" fontId="13" fillId="0" borderId="63" xfId="22" applyFont="1" applyBorder="1" applyAlignment="1">
      <alignment horizontal="left" vertical="center"/>
    </xf>
    <xf numFmtId="0" fontId="13" fillId="0" borderId="57" xfId="22" applyFont="1" applyBorder="1" applyAlignment="1">
      <alignment horizontal="left" vertical="center"/>
    </xf>
    <xf numFmtId="0" fontId="11" fillId="0" borderId="57" xfId="22" applyFont="1" applyBorder="1"/>
    <xf numFmtId="0" fontId="11" fillId="0" borderId="58" xfId="22" applyFont="1" applyBorder="1"/>
    <xf numFmtId="0" fontId="28" fillId="8" borderId="56" xfId="22" applyFont="1" applyFill="1" applyBorder="1" applyAlignment="1">
      <alignment horizontal="center" vertical="center" wrapText="1"/>
    </xf>
    <xf numFmtId="0" fontId="27" fillId="10" borderId="70" xfId="22" applyFont="1" applyFill="1" applyBorder="1" applyAlignment="1">
      <alignment horizontal="left" vertical="top" wrapText="1"/>
    </xf>
    <xf numFmtId="0" fontId="26" fillId="0" borderId="70" xfId="22" applyFont="1" applyBorder="1" applyAlignment="1">
      <alignment vertical="top" wrapText="1"/>
    </xf>
    <xf numFmtId="0" fontId="26" fillId="0" borderId="58" xfId="22" applyFont="1" applyBorder="1" applyAlignment="1">
      <alignment vertical="top" wrapText="1"/>
    </xf>
    <xf numFmtId="0" fontId="15" fillId="0" borderId="65" xfId="22" applyFont="1" applyBorder="1" applyAlignment="1">
      <alignment horizontal="center" vertical="center" wrapText="1"/>
    </xf>
    <xf numFmtId="0" fontId="27" fillId="0" borderId="72" xfId="22" applyFont="1" applyBorder="1" applyAlignment="1">
      <alignment horizontal="center" vertical="top"/>
    </xf>
    <xf numFmtId="0" fontId="26" fillId="0" borderId="65" xfId="22" applyFont="1" applyBorder="1" applyAlignment="1">
      <alignment horizontal="center" vertical="top" textRotation="90"/>
    </xf>
    <xf numFmtId="9" fontId="26" fillId="0" borderId="65" xfId="22" applyNumberFormat="1" applyFont="1" applyBorder="1" applyAlignment="1">
      <alignment horizontal="center" vertical="top"/>
    </xf>
    <xf numFmtId="164" fontId="27" fillId="0" borderId="65" xfId="22" applyNumberFormat="1" applyFont="1" applyBorder="1" applyAlignment="1">
      <alignment horizontal="center" vertical="top"/>
    </xf>
    <xf numFmtId="0" fontId="37" fillId="0" borderId="65" xfId="22" applyFont="1" applyBorder="1" applyAlignment="1">
      <alignment horizontal="center" vertical="top" textRotation="90" wrapText="1"/>
    </xf>
    <xf numFmtId="0" fontId="37" fillId="0" borderId="65" xfId="22" applyFont="1" applyBorder="1" applyAlignment="1">
      <alignment horizontal="center" vertical="top" textRotation="90"/>
    </xf>
    <xf numFmtId="166" fontId="26" fillId="0" borderId="65" xfId="22" applyNumberFormat="1" applyFont="1" applyBorder="1" applyAlignment="1">
      <alignment horizontal="center" vertical="center" wrapText="1"/>
    </xf>
    <xf numFmtId="0" fontId="27" fillId="10" borderId="70" xfId="22" applyFont="1" applyFill="1" applyBorder="1" applyAlignment="1">
      <alignment vertical="center" wrapText="1"/>
    </xf>
    <xf numFmtId="0" fontId="26" fillId="0" borderId="73" xfId="22" applyFont="1" applyBorder="1" applyAlignment="1">
      <alignment vertical="top" wrapText="1"/>
    </xf>
    <xf numFmtId="9" fontId="26" fillId="0" borderId="66" xfId="22" applyNumberFormat="1" applyFont="1" applyBorder="1" applyAlignment="1">
      <alignment horizontal="center" vertical="top" wrapText="1"/>
    </xf>
    <xf numFmtId="0" fontId="15" fillId="0" borderId="69" xfId="22" applyFont="1" applyBorder="1" applyAlignment="1">
      <alignment horizontal="center" vertical="center" wrapText="1"/>
    </xf>
    <xf numFmtId="0" fontId="26" fillId="0" borderId="69" xfId="22" applyFont="1" applyBorder="1" applyAlignment="1">
      <alignment horizontal="center" vertical="center" wrapText="1"/>
    </xf>
    <xf numFmtId="166" fontId="26" fillId="0" borderId="69" xfId="22" applyNumberFormat="1" applyFont="1" applyBorder="1" applyAlignment="1">
      <alignment horizontal="center" vertical="center" wrapText="1"/>
    </xf>
    <xf numFmtId="0" fontId="27" fillId="0" borderId="66" xfId="22" applyFont="1" applyBorder="1" applyAlignment="1">
      <alignment vertical="center"/>
    </xf>
    <xf numFmtId="0" fontId="26" fillId="0" borderId="66" xfId="22" applyFont="1" applyBorder="1" applyAlignment="1">
      <alignment horizontal="center" vertical="top" wrapText="1"/>
    </xf>
    <xf numFmtId="0" fontId="26" fillId="11" borderId="70" xfId="22" applyFont="1" applyFill="1" applyBorder="1" applyAlignment="1">
      <alignment horizontal="left" vertical="top" wrapText="1"/>
    </xf>
    <xf numFmtId="0" fontId="26" fillId="0" borderId="65" xfId="22" applyFont="1" applyBorder="1" applyAlignment="1">
      <alignment horizontal="left" vertical="top" wrapText="1"/>
    </xf>
    <xf numFmtId="0" fontId="24" fillId="0" borderId="65" xfId="22" applyFont="1" applyBorder="1" applyAlignment="1">
      <alignment horizontal="left" vertical="top" wrapText="1"/>
    </xf>
    <xf numFmtId="0" fontId="26" fillId="0" borderId="66" xfId="22" applyFont="1" applyBorder="1" applyAlignment="1">
      <alignment horizontal="center" vertical="top"/>
    </xf>
    <xf numFmtId="9" fontId="26" fillId="0" borderId="66" xfId="22" applyNumberFormat="1" applyFont="1" applyBorder="1" applyAlignment="1">
      <alignment vertical="top" wrapText="1"/>
    </xf>
    <xf numFmtId="0" fontId="24" fillId="0" borderId="70" xfId="22" applyFont="1" applyBorder="1" applyAlignment="1">
      <alignment horizontal="left" vertical="top" wrapText="1"/>
    </xf>
    <xf numFmtId="0" fontId="27" fillId="0" borderId="65" xfId="22" applyFont="1" applyBorder="1" applyAlignment="1">
      <alignment horizontal="center" vertical="top"/>
    </xf>
    <xf numFmtId="0" fontId="26" fillId="0" borderId="65" xfId="22" applyFont="1" applyBorder="1" applyAlignment="1">
      <alignment horizontal="center" vertical="top" textRotation="90"/>
    </xf>
    <xf numFmtId="0" fontId="27" fillId="0" borderId="65" xfId="22" applyFont="1" applyBorder="1" applyAlignment="1">
      <alignment horizontal="left" vertical="top" wrapText="1"/>
    </xf>
    <xf numFmtId="0" fontId="27" fillId="0" borderId="65" xfId="22" applyFont="1" applyBorder="1" applyAlignment="1">
      <alignment horizontal="center" vertical="top" wrapText="1"/>
    </xf>
    <xf numFmtId="0" fontId="27" fillId="0" borderId="65" xfId="22" applyFont="1" applyBorder="1" applyAlignment="1">
      <alignment horizontal="center" vertical="center" wrapText="1"/>
    </xf>
    <xf numFmtId="0" fontId="27" fillId="0" borderId="69" xfId="22" applyFont="1" applyBorder="1" applyAlignment="1">
      <alignment horizontal="center" vertical="center" wrapText="1"/>
    </xf>
    <xf numFmtId="0" fontId="26" fillId="12" borderId="70" xfId="22" applyFont="1" applyFill="1" applyBorder="1" applyAlignment="1">
      <alignment horizontal="left" vertical="top" wrapText="1"/>
    </xf>
    <xf numFmtId="0" fontId="26" fillId="0" borderId="66" xfId="22" applyFont="1" applyBorder="1" applyAlignment="1">
      <alignment horizontal="center" vertical="center" wrapText="1"/>
    </xf>
    <xf numFmtId="0" fontId="27" fillId="0" borderId="70" xfId="22" applyFont="1" applyBorder="1" applyAlignment="1">
      <alignment horizontal="center" vertical="top" wrapText="1"/>
    </xf>
    <xf numFmtId="166" fontId="27" fillId="0" borderId="70" xfId="22" applyNumberFormat="1" applyFont="1" applyBorder="1" applyAlignment="1">
      <alignment horizontal="center" vertical="center" wrapText="1"/>
    </xf>
    <xf numFmtId="0" fontId="27" fillId="0" borderId="70" xfId="22" applyFont="1" applyBorder="1" applyAlignment="1">
      <alignment horizontal="center" vertical="center" wrapText="1"/>
    </xf>
    <xf numFmtId="0" fontId="27" fillId="0" borderId="69" xfId="22" applyFont="1" applyBorder="1" applyAlignment="1">
      <alignment vertical="center"/>
    </xf>
    <xf numFmtId="0" fontId="24" fillId="12" borderId="70" xfId="22" applyFont="1" applyFill="1" applyBorder="1" applyAlignment="1">
      <alignment horizontal="left" vertical="top" wrapText="1"/>
    </xf>
    <xf numFmtId="9" fontId="26" fillId="0" borderId="69" xfId="22" applyNumberFormat="1" applyFont="1" applyBorder="1" applyAlignment="1">
      <alignment vertical="top" wrapText="1"/>
    </xf>
    <xf numFmtId="166" fontId="27" fillId="0" borderId="70" xfId="22" applyNumberFormat="1" applyFont="1" applyBorder="1" applyAlignment="1">
      <alignment horizontal="center" vertical="top"/>
    </xf>
    <xf numFmtId="0" fontId="27" fillId="0" borderId="65" xfId="22" applyFont="1" applyBorder="1" applyAlignment="1">
      <alignment vertical="center"/>
    </xf>
    <xf numFmtId="0" fontId="27" fillId="12" borderId="70" xfId="22" applyFont="1" applyFill="1" applyBorder="1" applyAlignment="1">
      <alignment horizontal="left" vertical="top" wrapText="1"/>
    </xf>
    <xf numFmtId="9" fontId="27" fillId="0" borderId="65" xfId="22" applyNumberFormat="1" applyFont="1" applyBorder="1" applyAlignment="1">
      <alignment vertical="top" wrapText="1"/>
    </xf>
    <xf numFmtId="0" fontId="34" fillId="6" borderId="39" xfId="22" applyFont="1" applyFill="1" applyBorder="1" applyAlignment="1">
      <alignment horizontal="left" vertical="center"/>
    </xf>
    <xf numFmtId="0" fontId="34" fillId="6" borderId="40" xfId="22" applyFont="1" applyFill="1" applyBorder="1" applyAlignment="1">
      <alignment horizontal="left" vertical="center"/>
    </xf>
    <xf numFmtId="0" fontId="34" fillId="6" borderId="41" xfId="22" applyFont="1" applyFill="1" applyBorder="1" applyAlignment="1">
      <alignment horizontal="left" vertical="center"/>
    </xf>
    <xf numFmtId="0" fontId="34" fillId="6" borderId="42" xfId="22" applyFont="1" applyFill="1" applyBorder="1" applyAlignment="1">
      <alignment horizontal="left" vertical="center"/>
    </xf>
    <xf numFmtId="0" fontId="34" fillId="6" borderId="43" xfId="22" applyFont="1" applyFill="1" applyBorder="1" applyAlignment="1">
      <alignment horizontal="left" vertical="center"/>
    </xf>
    <xf numFmtId="0" fontId="34" fillId="6" borderId="44" xfId="22" applyFont="1" applyFill="1" applyBorder="1" applyAlignment="1">
      <alignment horizontal="left" vertical="center"/>
    </xf>
    <xf numFmtId="0" fontId="27" fillId="7" borderId="37" xfId="22" applyFont="1" applyFill="1" applyAlignment="1">
      <alignment horizontal="center" vertical="center"/>
    </xf>
    <xf numFmtId="0" fontId="27" fillId="7" borderId="37" xfId="22" applyFont="1" applyFill="1" applyAlignment="1">
      <alignment horizontal="left" vertical="center"/>
    </xf>
    <xf numFmtId="0" fontId="27" fillId="7" borderId="37" xfId="22" applyFont="1" applyFill="1"/>
    <xf numFmtId="0" fontId="27" fillId="7" borderId="37" xfId="22" applyFont="1" applyFill="1" applyAlignment="1">
      <alignment horizontal="center"/>
    </xf>
    <xf numFmtId="0" fontId="25" fillId="6" borderId="45" xfId="22" applyFont="1" applyFill="1" applyBorder="1" applyAlignment="1">
      <alignment horizontal="left" vertical="center"/>
    </xf>
    <xf numFmtId="0" fontId="25" fillId="6" borderId="46" xfId="22" applyFont="1" applyFill="1" applyBorder="1" applyAlignment="1">
      <alignment horizontal="left" vertical="center"/>
    </xf>
    <xf numFmtId="0" fontId="26" fillId="7" borderId="47" xfId="22" applyFont="1" applyFill="1" applyBorder="1" applyAlignment="1" applyProtection="1">
      <alignment horizontal="left" vertical="top"/>
      <protection locked="0"/>
    </xf>
    <xf numFmtId="0" fontId="26" fillId="7" borderId="47" xfId="22" applyFont="1" applyFill="1" applyBorder="1" applyAlignment="1" applyProtection="1">
      <alignment horizontal="left" vertical="top" wrapText="1"/>
      <protection locked="0"/>
    </xf>
    <xf numFmtId="0" fontId="28" fillId="6" borderId="45" xfId="22" applyFont="1" applyFill="1" applyBorder="1" applyAlignment="1">
      <alignment horizontal="center" vertical="center"/>
    </xf>
    <xf numFmtId="0" fontId="28" fillId="6" borderId="46" xfId="22" applyFont="1" applyFill="1" applyBorder="1" applyAlignment="1">
      <alignment horizontal="center" vertical="center"/>
    </xf>
    <xf numFmtId="0" fontId="28" fillId="6" borderId="43" xfId="22" applyFont="1" applyFill="1" applyBorder="1" applyAlignment="1">
      <alignment horizontal="center" vertical="center"/>
    </xf>
    <xf numFmtId="0" fontId="28" fillId="6" borderId="44" xfId="22" applyFont="1" applyFill="1" applyBorder="1" applyAlignment="1">
      <alignment horizontal="center" vertical="center"/>
    </xf>
    <xf numFmtId="0" fontId="28" fillId="6" borderId="42" xfId="22" applyFont="1" applyFill="1" applyBorder="1" applyAlignment="1">
      <alignment horizontal="center" vertical="center"/>
    </xf>
    <xf numFmtId="0" fontId="29" fillId="6" borderId="48" xfId="22" applyFont="1" applyFill="1" applyBorder="1" applyAlignment="1">
      <alignment horizontal="center" vertical="center" textRotation="90"/>
    </xf>
    <xf numFmtId="0" fontId="28" fillId="6" borderId="49" xfId="22" applyFont="1" applyFill="1" applyBorder="1" applyAlignment="1">
      <alignment horizontal="center" vertical="center"/>
    </xf>
    <xf numFmtId="0" fontId="28" fillId="6" borderId="50" xfId="22" applyFont="1" applyFill="1" applyBorder="1" applyAlignment="1">
      <alignment horizontal="center" vertical="center" wrapText="1"/>
    </xf>
    <xf numFmtId="0" fontId="28" fillId="6" borderId="48" xfId="22" applyFont="1" applyFill="1" applyBorder="1" applyAlignment="1">
      <alignment horizontal="center" vertical="center" wrapText="1"/>
    </xf>
    <xf numFmtId="0" fontId="28" fillId="6" borderId="50" xfId="22" applyFont="1" applyFill="1" applyBorder="1" applyAlignment="1">
      <alignment horizontal="center" vertical="center"/>
    </xf>
    <xf numFmtId="0" fontId="28" fillId="6" borderId="51" xfId="22" applyFont="1" applyFill="1" applyBorder="1" applyAlignment="1">
      <alignment horizontal="center" vertical="center"/>
    </xf>
    <xf numFmtId="0" fontId="28" fillId="6" borderId="51" xfId="22" applyFont="1" applyFill="1" applyBorder="1" applyAlignment="1">
      <alignment horizontal="center" vertical="center" wrapText="1"/>
    </xf>
    <xf numFmtId="0" fontId="28" fillId="6" borderId="52" xfId="22" applyFont="1" applyFill="1" applyBorder="1" applyAlignment="1">
      <alignment horizontal="center" vertical="center"/>
    </xf>
    <xf numFmtId="0" fontId="28" fillId="6" borderId="52" xfId="22" applyFont="1" applyFill="1" applyBorder="1" applyAlignment="1">
      <alignment horizontal="center" vertical="center" wrapText="1"/>
    </xf>
    <xf numFmtId="0" fontId="28" fillId="6" borderId="48" xfId="22" applyFont="1" applyFill="1" applyBorder="1" applyAlignment="1">
      <alignment horizontal="center" vertical="center" textRotation="90" wrapText="1"/>
    </xf>
    <xf numFmtId="0" fontId="28" fillId="6" borderId="49" xfId="22" applyFont="1" applyFill="1" applyBorder="1" applyAlignment="1">
      <alignment horizontal="center" vertical="center" wrapText="1"/>
    </xf>
    <xf numFmtId="0" fontId="28" fillId="6" borderId="49" xfId="22" applyFont="1" applyFill="1" applyBorder="1" applyAlignment="1">
      <alignment horizontal="center" vertical="center" textRotation="90" wrapText="1"/>
    </xf>
    <xf numFmtId="0" fontId="29" fillId="6" borderId="50" xfId="22" applyFont="1" applyFill="1" applyBorder="1" applyAlignment="1">
      <alignment horizontal="center" vertical="center" textRotation="90"/>
    </xf>
    <xf numFmtId="0" fontId="28" fillId="6" borderId="48" xfId="22" applyFont="1" applyFill="1" applyBorder="1" applyAlignment="1">
      <alignment horizontal="center" vertical="center"/>
    </xf>
    <xf numFmtId="0" fontId="28" fillId="6" borderId="50" xfId="22" applyFont="1" applyFill="1" applyBorder="1" applyAlignment="1">
      <alignment horizontal="center" vertical="center" textRotation="90" wrapText="1"/>
    </xf>
    <xf numFmtId="0" fontId="28" fillId="6" borderId="49" xfId="22" applyFont="1" applyFill="1" applyBorder="1" applyAlignment="1">
      <alignment horizontal="center" vertical="center" textRotation="90"/>
    </xf>
    <xf numFmtId="0" fontId="27" fillId="0" borderId="48" xfId="22" applyFont="1" applyBorder="1" applyAlignment="1">
      <alignment horizontal="center" vertical="center"/>
    </xf>
    <xf numFmtId="0" fontId="26" fillId="0" borderId="48" xfId="22" applyFont="1" applyBorder="1" applyAlignment="1" applyProtection="1">
      <alignment horizontal="center" vertical="center" wrapText="1"/>
      <protection locked="0"/>
    </xf>
    <xf numFmtId="0" fontId="26" fillId="0" borderId="39" xfId="22" applyFont="1" applyBorder="1" applyAlignment="1" applyProtection="1">
      <alignment horizontal="center" vertical="center" wrapText="1"/>
      <protection locked="0"/>
    </xf>
    <xf numFmtId="0" fontId="28" fillId="7" borderId="54" xfId="22" applyFont="1" applyFill="1" applyBorder="1" applyAlignment="1">
      <alignment horizontal="center" vertical="center" wrapText="1"/>
    </xf>
    <xf numFmtId="0" fontId="31" fillId="0" borderId="47" xfId="22" applyFont="1" applyBorder="1" applyAlignment="1" applyProtection="1">
      <alignment horizontal="center" vertical="center" wrapText="1"/>
      <protection locked="0"/>
    </xf>
    <xf numFmtId="0" fontId="26" fillId="0" borderId="55" xfId="22" applyFont="1" applyBorder="1" applyAlignment="1">
      <alignment horizontal="center" vertical="center" wrapText="1"/>
    </xf>
    <xf numFmtId="0" fontId="26" fillId="0" borderId="41" xfId="22" applyFont="1" applyBorder="1" applyAlignment="1" applyProtection="1">
      <alignment horizontal="center" vertical="center" wrapText="1"/>
      <protection locked="0"/>
    </xf>
    <xf numFmtId="0" fontId="26" fillId="0" borderId="48" xfId="22" applyFont="1" applyBorder="1" applyAlignment="1" applyProtection="1">
      <alignment horizontal="center" vertical="center"/>
      <protection locked="0"/>
    </xf>
    <xf numFmtId="0" fontId="37" fillId="0" borderId="48" xfId="22" applyFont="1" applyBorder="1" applyAlignment="1" applyProtection="1">
      <alignment horizontal="center" vertical="center" wrapText="1"/>
      <protection hidden="1"/>
    </xf>
    <xf numFmtId="9" fontId="26" fillId="0" borderId="48" xfId="22" applyNumberFormat="1" applyFont="1" applyBorder="1" applyAlignment="1" applyProtection="1">
      <alignment horizontal="center" vertical="center" wrapText="1"/>
      <protection hidden="1"/>
    </xf>
    <xf numFmtId="9" fontId="26" fillId="0" borderId="48" xfId="22" applyNumberFormat="1" applyFont="1" applyBorder="1" applyAlignment="1" applyProtection="1">
      <alignment horizontal="center" vertical="center" wrapText="1"/>
      <protection locked="0"/>
    </xf>
    <xf numFmtId="0" fontId="37" fillId="0" borderId="48" xfId="22" applyFont="1" applyBorder="1" applyAlignment="1" applyProtection="1">
      <alignment horizontal="center" vertical="center"/>
      <protection hidden="1"/>
    </xf>
    <xf numFmtId="0" fontId="27" fillId="0" borderId="49" xfId="22" applyFont="1" applyBorder="1" applyAlignment="1">
      <alignment horizontal="center" vertical="center"/>
    </xf>
    <xf numFmtId="0" fontId="27" fillId="0" borderId="49" xfId="22" applyFont="1" applyBorder="1" applyAlignment="1" applyProtection="1">
      <alignment horizontal="center" vertical="center" wrapText="1"/>
      <protection locked="0"/>
    </xf>
    <xf numFmtId="0" fontId="27" fillId="0" borderId="49" xfId="22" applyFont="1" applyBorder="1" applyAlignment="1" applyProtection="1">
      <alignment horizontal="center" vertical="center"/>
      <protection hidden="1"/>
    </xf>
    <xf numFmtId="0" fontId="26" fillId="0" borderId="49" xfId="22" applyFont="1" applyBorder="1" applyAlignment="1" applyProtection="1">
      <alignment horizontal="center" vertical="center" textRotation="90"/>
      <protection locked="0"/>
    </xf>
    <xf numFmtId="9" fontId="26" fillId="0" borderId="49" xfId="22" applyNumberFormat="1" applyFont="1" applyBorder="1" applyAlignment="1" applyProtection="1">
      <alignment horizontal="center" vertical="center"/>
      <protection hidden="1"/>
    </xf>
    <xf numFmtId="164" fontId="27" fillId="0" borderId="49" xfId="24" applyNumberFormat="1" applyFont="1" applyBorder="1" applyAlignment="1">
      <alignment horizontal="center" vertical="center"/>
    </xf>
    <xf numFmtId="0" fontId="37" fillId="0" borderId="49" xfId="22" applyFont="1" applyBorder="1" applyAlignment="1" applyProtection="1">
      <alignment horizontal="center" vertical="center" textRotation="90" wrapText="1"/>
      <protection hidden="1"/>
    </xf>
    <xf numFmtId="9" fontId="26" fillId="0" borderId="48" xfId="22" applyNumberFormat="1" applyFont="1" applyBorder="1" applyAlignment="1" applyProtection="1">
      <alignment horizontal="center" vertical="center"/>
      <protection hidden="1"/>
    </xf>
    <xf numFmtId="0" fontId="37" fillId="0" borderId="49" xfId="22" applyFont="1" applyBorder="1" applyAlignment="1" applyProtection="1">
      <alignment horizontal="center" vertical="center" textRotation="90"/>
      <protection hidden="1"/>
    </xf>
    <xf numFmtId="0" fontId="26" fillId="0" borderId="48" xfId="22" applyFont="1" applyBorder="1" applyAlignment="1" applyProtection="1">
      <alignment horizontal="center" vertical="center" textRotation="90"/>
      <protection locked="0"/>
    </xf>
    <xf numFmtId="14" fontId="26" fillId="0" borderId="48" xfId="22" applyNumberFormat="1" applyFont="1" applyBorder="1" applyAlignment="1" applyProtection="1">
      <alignment horizontal="center" vertical="center" wrapText="1"/>
      <protection locked="0"/>
    </xf>
    <xf numFmtId="0" fontId="26" fillId="7" borderId="49" xfId="22" applyFont="1" applyFill="1" applyBorder="1" applyAlignment="1" applyProtection="1">
      <alignment horizontal="center" vertical="center" wrapText="1"/>
      <protection locked="0"/>
    </xf>
    <xf numFmtId="0" fontId="26" fillId="0" borderId="49" xfId="22" applyFont="1" applyBorder="1" applyAlignment="1" applyProtection="1">
      <alignment horizontal="center" vertical="center"/>
      <protection locked="0"/>
    </xf>
    <xf numFmtId="0" fontId="27" fillId="0" borderId="51" xfId="22" applyFont="1" applyBorder="1" applyAlignment="1">
      <alignment horizontal="center" vertical="center"/>
    </xf>
    <xf numFmtId="0" fontId="26" fillId="0" borderId="51" xfId="22" applyFont="1" applyBorder="1" applyAlignment="1" applyProtection="1">
      <alignment horizontal="center" vertical="center" wrapText="1"/>
      <protection locked="0"/>
    </xf>
    <xf numFmtId="0" fontId="26" fillId="0" borderId="52" xfId="22" applyFont="1" applyBorder="1" applyAlignment="1" applyProtection="1">
      <alignment horizontal="center" vertical="center" wrapText="1"/>
      <protection locked="0"/>
    </xf>
    <xf numFmtId="0" fontId="28" fillId="7" borderId="80" xfId="22" applyFont="1" applyFill="1" applyBorder="1" applyAlignment="1">
      <alignment horizontal="center" vertical="center" wrapText="1"/>
    </xf>
    <xf numFmtId="0" fontId="26" fillId="0" borderId="53" xfId="22" applyFont="1" applyBorder="1" applyAlignment="1" applyProtection="1">
      <alignment horizontal="center" vertical="center" wrapText="1"/>
      <protection locked="0"/>
    </xf>
    <xf numFmtId="0" fontId="26" fillId="0" borderId="51" xfId="22" applyFont="1" applyBorder="1" applyAlignment="1" applyProtection="1">
      <alignment horizontal="center" vertical="center"/>
      <protection locked="0"/>
    </xf>
    <xf numFmtId="0" fontId="37" fillId="0" borderId="51" xfId="22" applyFont="1" applyBorder="1" applyAlignment="1" applyProtection="1">
      <alignment horizontal="center" vertical="center" wrapText="1"/>
      <protection hidden="1"/>
    </xf>
    <xf numFmtId="9" fontId="26" fillId="0" borderId="51" xfId="22" applyNumberFormat="1" applyFont="1" applyBorder="1" applyAlignment="1" applyProtection="1">
      <alignment horizontal="center" vertical="center" wrapText="1"/>
      <protection hidden="1"/>
    </xf>
    <xf numFmtId="9" fontId="26" fillId="0" borderId="51" xfId="22" applyNumberFormat="1" applyFont="1" applyBorder="1" applyAlignment="1" applyProtection="1">
      <alignment horizontal="center" vertical="center" wrapText="1"/>
      <protection locked="0"/>
    </xf>
    <xf numFmtId="0" fontId="37" fillId="0" borderId="51" xfId="22" applyFont="1" applyBorder="1" applyAlignment="1" applyProtection="1">
      <alignment horizontal="center" vertical="center"/>
      <protection hidden="1"/>
    </xf>
    <xf numFmtId="0" fontId="24" fillId="0" borderId="49" xfId="22" applyFont="1" applyBorder="1" applyAlignment="1" applyProtection="1">
      <alignment horizontal="center" vertical="center" wrapText="1"/>
      <protection locked="0"/>
    </xf>
    <xf numFmtId="0" fontId="28" fillId="0" borderId="49" xfId="22" applyFont="1" applyBorder="1" applyAlignment="1" applyProtection="1">
      <alignment horizontal="center" vertical="center" textRotation="90" wrapText="1"/>
      <protection hidden="1"/>
    </xf>
    <xf numFmtId="9" fontId="27" fillId="0" borderId="48" xfId="22" applyNumberFormat="1" applyFont="1" applyBorder="1" applyAlignment="1" applyProtection="1">
      <alignment horizontal="center" vertical="center"/>
      <protection hidden="1"/>
    </xf>
    <xf numFmtId="14" fontId="26" fillId="0" borderId="51" xfId="22" applyNumberFormat="1" applyFont="1" applyBorder="1" applyAlignment="1" applyProtection="1">
      <alignment horizontal="center" vertical="center" wrapText="1"/>
      <protection locked="0"/>
    </xf>
    <xf numFmtId="0" fontId="27" fillId="0" borderId="49" xfId="22" applyFont="1" applyBorder="1" applyAlignment="1" applyProtection="1">
      <alignment horizontal="center" vertical="center"/>
      <protection locked="0"/>
    </xf>
    <xf numFmtId="0" fontId="28" fillId="7" borderId="47" xfId="22" applyFont="1" applyFill="1" applyBorder="1" applyAlignment="1">
      <alignment horizontal="center" vertical="center" wrapText="1"/>
    </xf>
    <xf numFmtId="0" fontId="26" fillId="0" borderId="50" xfId="22" applyFont="1" applyBorder="1" applyAlignment="1" applyProtection="1">
      <alignment horizontal="center" vertical="center" wrapText="1"/>
      <protection locked="0"/>
    </xf>
    <xf numFmtId="0" fontId="26" fillId="0" borderId="50" xfId="22" applyFont="1" applyBorder="1" applyAlignment="1" applyProtection="1">
      <alignment horizontal="center" vertical="center"/>
      <protection locked="0"/>
    </xf>
    <xf numFmtId="14" fontId="26" fillId="0" borderId="50" xfId="22" applyNumberFormat="1" applyFont="1" applyBorder="1" applyAlignment="1" applyProtection="1">
      <alignment horizontal="center" vertical="center" wrapText="1"/>
      <protection locked="0"/>
    </xf>
    <xf numFmtId="0" fontId="24" fillId="7" borderId="49" xfId="22" applyFont="1" applyFill="1" applyBorder="1" applyAlignment="1" applyProtection="1">
      <alignment horizontal="center" vertical="center" wrapText="1"/>
      <protection locked="0"/>
    </xf>
    <xf numFmtId="0" fontId="26" fillId="0" borderId="49" xfId="22" applyFont="1" applyBorder="1" applyAlignment="1" applyProtection="1">
      <alignment horizontal="center" vertical="center" wrapText="1"/>
      <protection locked="0"/>
    </xf>
    <xf numFmtId="14" fontId="27" fillId="0" borderId="49" xfId="22" applyNumberFormat="1" applyFont="1" applyBorder="1" applyAlignment="1" applyProtection="1">
      <alignment horizontal="center" vertical="center"/>
      <protection locked="0"/>
    </xf>
    <xf numFmtId="14" fontId="27" fillId="0" borderId="49" xfId="22" applyNumberFormat="1" applyFont="1" applyBorder="1" applyAlignment="1" applyProtection="1">
      <alignment horizontal="center" vertical="center" wrapText="1"/>
      <protection locked="0"/>
    </xf>
    <xf numFmtId="0" fontId="26" fillId="0" borderId="47" xfId="22" applyFont="1" applyBorder="1" applyAlignment="1" applyProtection="1">
      <alignment horizontal="center" vertical="center" wrapText="1"/>
      <protection locked="0"/>
    </xf>
    <xf numFmtId="0" fontId="26" fillId="7" borderId="47" xfId="22" applyFont="1" applyFill="1" applyBorder="1" applyAlignment="1" applyProtection="1">
      <alignment horizontal="left" vertical="center"/>
      <protection locked="0"/>
    </xf>
    <xf numFmtId="0" fontId="26" fillId="7" borderId="47" xfId="22" applyFont="1" applyFill="1" applyBorder="1" applyAlignment="1" applyProtection="1">
      <alignment horizontal="left" vertical="center" wrapText="1"/>
      <protection locked="0"/>
    </xf>
    <xf numFmtId="0" fontId="26" fillId="0" borderId="48" xfId="22" applyFont="1" applyBorder="1" applyAlignment="1" applyProtection="1">
      <alignment horizontal="center" vertical="top" wrapText="1"/>
      <protection locked="0"/>
    </xf>
    <xf numFmtId="0" fontId="26" fillId="0" borderId="39" xfId="22" applyFont="1" applyBorder="1" applyAlignment="1" applyProtection="1">
      <alignment horizontal="center" vertical="top" wrapText="1"/>
      <protection locked="0"/>
    </xf>
    <xf numFmtId="0" fontId="26" fillId="7" borderId="47" xfId="22" applyFont="1" applyFill="1" applyBorder="1" applyAlignment="1">
      <alignment horizontal="center" vertical="center" wrapText="1"/>
    </xf>
    <xf numFmtId="0" fontId="31" fillId="0" borderId="47" xfId="22" applyFont="1" applyBorder="1" applyAlignment="1" applyProtection="1">
      <alignment horizontal="center" vertical="top" wrapText="1"/>
      <protection locked="0"/>
    </xf>
    <xf numFmtId="0" fontId="31" fillId="0" borderId="47" xfId="22" applyFont="1" applyBorder="1" applyAlignment="1" applyProtection="1">
      <alignment horizontal="center" vertical="top" wrapText="1"/>
      <protection locked="0"/>
    </xf>
    <xf numFmtId="0" fontId="26" fillId="0" borderId="41" xfId="22" applyFont="1" applyBorder="1" applyAlignment="1" applyProtection="1">
      <alignment horizontal="center" vertical="top" wrapText="1"/>
      <protection locked="0"/>
    </xf>
    <xf numFmtId="0" fontId="26" fillId="0" borderId="48" xfId="22" applyFont="1" applyBorder="1" applyAlignment="1" applyProtection="1">
      <alignment horizontal="center" vertical="top"/>
      <protection locked="0"/>
    </xf>
    <xf numFmtId="0" fontId="37" fillId="0" borderId="48" xfId="22" applyFont="1" applyBorder="1" applyAlignment="1" applyProtection="1">
      <alignment horizontal="center" vertical="top" wrapText="1"/>
      <protection hidden="1"/>
    </xf>
    <xf numFmtId="9" fontId="26" fillId="0" borderId="48" xfId="22" applyNumberFormat="1" applyFont="1" applyBorder="1" applyAlignment="1" applyProtection="1">
      <alignment horizontal="center" vertical="top" wrapText="1"/>
      <protection hidden="1"/>
    </xf>
    <xf numFmtId="9" fontId="26" fillId="0" borderId="48" xfId="22" applyNumberFormat="1" applyFont="1" applyBorder="1" applyAlignment="1" applyProtection="1">
      <alignment horizontal="center" vertical="top" wrapText="1"/>
      <protection locked="0"/>
    </xf>
    <xf numFmtId="0" fontId="37" fillId="0" borderId="48" xfId="22" applyFont="1" applyBorder="1" applyAlignment="1" applyProtection="1">
      <alignment horizontal="center" vertical="top"/>
      <protection hidden="1"/>
    </xf>
    <xf numFmtId="0" fontId="27" fillId="0" borderId="49" xfId="22" applyFont="1" applyBorder="1" applyAlignment="1">
      <alignment horizontal="center" vertical="top"/>
    </xf>
    <xf numFmtId="0" fontId="27" fillId="0" borderId="49" xfId="22" applyFont="1" applyBorder="1" applyAlignment="1" applyProtection="1">
      <alignment horizontal="justify" vertical="top" wrapText="1"/>
      <protection locked="0"/>
    </xf>
    <xf numFmtId="0" fontId="27" fillId="0" borderId="49" xfId="22" applyFont="1" applyBorder="1" applyAlignment="1" applyProtection="1">
      <alignment horizontal="center" vertical="top"/>
      <protection hidden="1"/>
    </xf>
    <xf numFmtId="0" fontId="26" fillId="0" borderId="49" xfId="22" applyFont="1" applyBorder="1" applyAlignment="1" applyProtection="1">
      <alignment horizontal="center" vertical="top" textRotation="90"/>
      <protection locked="0"/>
    </xf>
    <xf numFmtId="9" fontId="26" fillId="0" borderId="49" xfId="22" applyNumberFormat="1" applyFont="1" applyBorder="1" applyAlignment="1" applyProtection="1">
      <alignment horizontal="center" vertical="top"/>
      <protection hidden="1"/>
    </xf>
    <xf numFmtId="164" fontId="27" fillId="0" borderId="49" xfId="24" applyNumberFormat="1" applyFont="1" applyBorder="1" applyAlignment="1">
      <alignment horizontal="center" vertical="top"/>
    </xf>
    <xf numFmtId="0" fontId="37" fillId="0" borderId="49" xfId="22" applyFont="1" applyBorder="1" applyAlignment="1" applyProtection="1">
      <alignment horizontal="center" vertical="top" textRotation="90" wrapText="1"/>
      <protection hidden="1"/>
    </xf>
    <xf numFmtId="9" fontId="26" fillId="0" borderId="48" xfId="22" applyNumberFormat="1" applyFont="1" applyBorder="1" applyAlignment="1" applyProtection="1">
      <alignment horizontal="center" vertical="top"/>
      <protection hidden="1"/>
    </xf>
    <xf numFmtId="0" fontId="37" fillId="0" borderId="49" xfId="22" applyFont="1" applyBorder="1" applyAlignment="1" applyProtection="1">
      <alignment horizontal="center" vertical="top" textRotation="90"/>
      <protection hidden="1"/>
    </xf>
    <xf numFmtId="0" fontId="26" fillId="0" borderId="48" xfId="22" applyFont="1" applyBorder="1" applyAlignment="1" applyProtection="1">
      <alignment horizontal="center" vertical="center" textRotation="90" wrapText="1"/>
      <protection locked="0"/>
    </xf>
    <xf numFmtId="14" fontId="26" fillId="0" borderId="48" xfId="22" applyNumberFormat="1" applyFont="1" applyBorder="1" applyAlignment="1" applyProtection="1">
      <alignment horizontal="center" vertical="top"/>
      <protection locked="0"/>
    </xf>
    <xf numFmtId="14" fontId="26" fillId="0" borderId="97" xfId="22" applyNumberFormat="1" applyFont="1" applyBorder="1" applyAlignment="1" applyProtection="1">
      <alignment horizontal="center" vertical="center"/>
      <protection locked="0"/>
    </xf>
    <xf numFmtId="0" fontId="26" fillId="0" borderId="98" xfId="22" applyFont="1" applyBorder="1" applyAlignment="1" applyProtection="1">
      <alignment horizontal="center" vertical="top"/>
      <protection locked="0"/>
    </xf>
    <xf numFmtId="0" fontId="26" fillId="0" borderId="51" xfId="22" applyFont="1" applyBorder="1" applyAlignment="1" applyProtection="1">
      <alignment horizontal="center" vertical="top" wrapText="1"/>
      <protection locked="0"/>
    </xf>
    <xf numFmtId="0" fontId="26" fillId="0" borderId="52" xfId="22" applyFont="1" applyBorder="1" applyAlignment="1" applyProtection="1">
      <alignment horizontal="center" vertical="top" wrapText="1"/>
      <protection locked="0"/>
    </xf>
    <xf numFmtId="0" fontId="26" fillId="0" borderId="47" xfId="22" applyFont="1" applyBorder="1" applyAlignment="1" applyProtection="1">
      <alignment horizontal="center" vertical="top" wrapText="1"/>
      <protection locked="0"/>
    </xf>
    <xf numFmtId="0" fontId="26" fillId="0" borderId="53" xfId="22" applyFont="1" applyBorder="1" applyAlignment="1" applyProtection="1">
      <alignment horizontal="center" vertical="top" wrapText="1"/>
      <protection locked="0"/>
    </xf>
    <xf numFmtId="0" fontId="26" fillId="0" borderId="51" xfId="22" applyFont="1" applyBorder="1" applyAlignment="1" applyProtection="1">
      <alignment horizontal="center" vertical="top"/>
      <protection locked="0"/>
    </xf>
    <xf numFmtId="0" fontId="37" fillId="0" borderId="51" xfId="22" applyFont="1" applyBorder="1" applyAlignment="1" applyProtection="1">
      <alignment horizontal="center" vertical="top" wrapText="1"/>
      <protection hidden="1"/>
    </xf>
    <xf numFmtId="9" fontId="26" fillId="0" borderId="51" xfId="22" applyNumberFormat="1" applyFont="1" applyBorder="1" applyAlignment="1" applyProtection="1">
      <alignment horizontal="center" vertical="top" wrapText="1"/>
      <protection hidden="1"/>
    </xf>
    <xf numFmtId="9" fontId="26" fillId="0" borderId="51" xfId="22" applyNumberFormat="1" applyFont="1" applyBorder="1" applyAlignment="1" applyProtection="1">
      <alignment horizontal="center" vertical="top" wrapText="1"/>
      <protection locked="0"/>
    </xf>
    <xf numFmtId="0" fontId="37" fillId="0" borderId="51" xfId="22" applyFont="1" applyBorder="1" applyAlignment="1" applyProtection="1">
      <alignment horizontal="center" vertical="top"/>
      <protection hidden="1"/>
    </xf>
    <xf numFmtId="0" fontId="27" fillId="0" borderId="49" xfId="22" applyFont="1" applyBorder="1" applyAlignment="1" applyProtection="1">
      <alignment horizontal="justify" vertical="top"/>
      <protection locked="0"/>
    </xf>
    <xf numFmtId="0" fontId="26" fillId="0" borderId="51" xfId="22" applyFont="1" applyBorder="1" applyAlignment="1" applyProtection="1">
      <alignment horizontal="center" vertical="center" textRotation="90" wrapText="1"/>
      <protection locked="0"/>
    </xf>
    <xf numFmtId="0" fontId="26" fillId="0" borderId="50" xfId="22" applyFont="1" applyBorder="1" applyAlignment="1" applyProtection="1">
      <alignment horizontal="center" vertical="top" wrapText="1"/>
      <protection locked="0"/>
    </xf>
    <xf numFmtId="0" fontId="26" fillId="0" borderId="50" xfId="22" applyFont="1" applyBorder="1" applyAlignment="1" applyProtection="1">
      <alignment horizontal="center" vertical="top"/>
      <protection locked="0"/>
    </xf>
    <xf numFmtId="14" fontId="26" fillId="0" borderId="50" xfId="22" applyNumberFormat="1" applyFont="1" applyBorder="1" applyAlignment="1" applyProtection="1">
      <alignment horizontal="center" vertical="top"/>
      <protection locked="0"/>
    </xf>
    <xf numFmtId="14" fontId="26" fillId="0" borderId="99" xfId="22" applyNumberFormat="1" applyFont="1" applyBorder="1" applyAlignment="1" applyProtection="1">
      <alignment horizontal="center" vertical="center"/>
      <protection locked="0"/>
    </xf>
    <xf numFmtId="0" fontId="27" fillId="0" borderId="98" xfId="22" applyFont="1" applyBorder="1" applyAlignment="1" applyProtection="1">
      <alignment horizontal="center" vertical="top"/>
      <protection locked="0"/>
    </xf>
    <xf numFmtId="0" fontId="27" fillId="0" borderId="48" xfId="22" applyFont="1" applyBorder="1" applyAlignment="1" applyProtection="1">
      <alignment horizontal="center" vertical="top" wrapText="1"/>
      <protection locked="0"/>
    </xf>
    <xf numFmtId="0" fontId="27" fillId="0" borderId="39" xfId="22" applyFont="1" applyBorder="1" applyAlignment="1" applyProtection="1">
      <alignment horizontal="center" vertical="top" wrapText="1"/>
      <protection locked="0"/>
    </xf>
    <xf numFmtId="0" fontId="27" fillId="0" borderId="47" xfId="22" applyFont="1" applyBorder="1" applyAlignment="1" applyProtection="1">
      <alignment horizontal="center" vertical="top" wrapText="1"/>
      <protection locked="0"/>
    </xf>
    <xf numFmtId="0" fontId="30" fillId="0" borderId="47" xfId="22" applyFont="1" applyBorder="1" applyAlignment="1" applyProtection="1">
      <alignment horizontal="center" vertical="top" wrapText="1"/>
      <protection locked="0"/>
    </xf>
    <xf numFmtId="0" fontId="30" fillId="0" borderId="54" xfId="22" applyFont="1" applyBorder="1" applyAlignment="1" applyProtection="1">
      <alignment horizontal="center" vertical="top" wrapText="1"/>
      <protection locked="0"/>
    </xf>
    <xf numFmtId="0" fontId="30" fillId="0" borderId="54" xfId="22" applyFont="1" applyBorder="1" applyAlignment="1" applyProtection="1">
      <alignment horizontal="center" vertical="top" wrapText="1"/>
      <protection locked="0"/>
    </xf>
    <xf numFmtId="0" fontId="27" fillId="0" borderId="41" xfId="22" applyFont="1" applyBorder="1" applyAlignment="1" applyProtection="1">
      <alignment horizontal="center" vertical="top" wrapText="1"/>
      <protection locked="0"/>
    </xf>
    <xf numFmtId="0" fontId="27" fillId="0" borderId="48" xfId="22" applyFont="1" applyBorder="1" applyAlignment="1" applyProtection="1">
      <alignment horizontal="center" vertical="top"/>
      <protection locked="0"/>
    </xf>
    <xf numFmtId="0" fontId="28" fillId="0" borderId="48" xfId="22" applyFont="1" applyBorder="1" applyAlignment="1" applyProtection="1">
      <alignment horizontal="center" vertical="top" wrapText="1"/>
      <protection hidden="1"/>
    </xf>
    <xf numFmtId="9" fontId="27" fillId="0" borderId="48" xfId="22" applyNumberFormat="1" applyFont="1" applyBorder="1" applyAlignment="1" applyProtection="1">
      <alignment horizontal="center" vertical="top" wrapText="1"/>
      <protection hidden="1"/>
    </xf>
    <xf numFmtId="9" fontId="27" fillId="0" borderId="48" xfId="22" applyNumberFormat="1" applyFont="1" applyBorder="1" applyAlignment="1" applyProtection="1">
      <alignment horizontal="center" vertical="top" wrapText="1"/>
      <protection locked="0"/>
    </xf>
    <xf numFmtId="0" fontId="28" fillId="0" borderId="48" xfId="22" applyFont="1" applyBorder="1" applyAlignment="1" applyProtection="1">
      <alignment horizontal="center" vertical="top"/>
      <protection hidden="1"/>
    </xf>
    <xf numFmtId="0" fontId="48" fillId="0" borderId="49" xfId="22" applyFont="1" applyBorder="1" applyAlignment="1" applyProtection="1">
      <alignment horizontal="justify" vertical="top" wrapText="1"/>
      <protection locked="0"/>
    </xf>
    <xf numFmtId="0" fontId="26" fillId="0" borderId="48" xfId="22" applyFont="1" applyBorder="1" applyAlignment="1" applyProtection="1">
      <alignment horizontal="center" vertical="center" textRotation="90" wrapText="1"/>
      <protection locked="0"/>
    </xf>
    <xf numFmtId="0" fontId="27" fillId="0" borderId="49" xfId="22" applyFont="1" applyBorder="1" applyAlignment="1" applyProtection="1">
      <alignment horizontal="center" vertical="top" wrapText="1"/>
      <protection locked="0"/>
    </xf>
    <xf numFmtId="0" fontId="27" fillId="0" borderId="49" xfId="22" applyFont="1" applyBorder="1" applyAlignment="1" applyProtection="1">
      <alignment horizontal="center" vertical="top"/>
      <protection locked="0"/>
    </xf>
    <xf numFmtId="14" fontId="27" fillId="0" borderId="49" xfId="22" applyNumberFormat="1" applyFont="1" applyBorder="1" applyAlignment="1" applyProtection="1">
      <alignment horizontal="center" vertical="top"/>
      <protection locked="0"/>
    </xf>
    <xf numFmtId="14" fontId="27" fillId="0" borderId="45" xfId="22" applyNumberFormat="1" applyFont="1" applyBorder="1" applyAlignment="1" applyProtection="1">
      <alignment horizontal="center" vertical="top"/>
      <protection locked="0"/>
    </xf>
    <xf numFmtId="0" fontId="27" fillId="0" borderId="51" xfId="22" applyFont="1" applyBorder="1" applyAlignment="1" applyProtection="1">
      <alignment horizontal="center" vertical="top" wrapText="1"/>
      <protection locked="0"/>
    </xf>
    <xf numFmtId="0" fontId="27" fillId="0" borderId="52" xfId="22" applyFont="1" applyBorder="1" applyAlignment="1" applyProtection="1">
      <alignment horizontal="center" vertical="top" wrapText="1"/>
      <protection locked="0"/>
    </xf>
    <xf numFmtId="0" fontId="30" fillId="0" borderId="55" xfId="22" applyFont="1" applyBorder="1" applyAlignment="1" applyProtection="1">
      <alignment horizontal="center" vertical="top" wrapText="1"/>
      <protection locked="0"/>
    </xf>
    <xf numFmtId="0" fontId="30" fillId="0" borderId="55" xfId="22" applyFont="1" applyBorder="1" applyAlignment="1" applyProtection="1">
      <alignment horizontal="center" vertical="top" wrapText="1"/>
      <protection locked="0"/>
    </xf>
    <xf numFmtId="0" fontId="27" fillId="0" borderId="53" xfId="22" applyFont="1" applyBorder="1" applyAlignment="1" applyProtection="1">
      <alignment horizontal="center" vertical="top" wrapText="1"/>
      <protection locked="0"/>
    </xf>
    <xf numFmtId="0" fontId="27" fillId="0" borderId="51" xfId="22" applyFont="1" applyBorder="1" applyAlignment="1" applyProtection="1">
      <alignment horizontal="center" vertical="top"/>
      <protection locked="0"/>
    </xf>
    <xf numFmtId="0" fontId="28" fillId="0" borderId="51" xfId="22" applyFont="1" applyBorder="1" applyAlignment="1" applyProtection="1">
      <alignment horizontal="center" vertical="top" wrapText="1"/>
      <protection hidden="1"/>
    </xf>
    <xf numFmtId="9" fontId="27" fillId="0" borderId="51" xfId="22" applyNumberFormat="1" applyFont="1" applyBorder="1" applyAlignment="1" applyProtection="1">
      <alignment horizontal="center" vertical="top" wrapText="1"/>
      <protection hidden="1"/>
    </xf>
    <xf numFmtId="9" fontId="27" fillId="0" borderId="51" xfId="22" applyNumberFormat="1" applyFont="1" applyBorder="1" applyAlignment="1" applyProtection="1">
      <alignment horizontal="center" vertical="top" wrapText="1"/>
      <protection locked="0"/>
    </xf>
    <xf numFmtId="0" fontId="28" fillId="0" borderId="51" xfId="22" applyFont="1" applyBorder="1" applyAlignment="1" applyProtection="1">
      <alignment horizontal="center" vertical="top"/>
      <protection hidden="1"/>
    </xf>
    <xf numFmtId="0" fontId="34" fillId="6" borderId="52" xfId="22" applyFont="1" applyFill="1" applyBorder="1" applyAlignment="1">
      <alignment horizontal="left" vertical="center"/>
    </xf>
    <xf numFmtId="0" fontId="34" fillId="6" borderId="37" xfId="22" applyFont="1" applyFill="1" applyAlignment="1">
      <alignment horizontal="left" vertical="center"/>
    </xf>
    <xf numFmtId="0" fontId="28" fillId="6" borderId="45" xfId="22" applyFont="1" applyFill="1" applyBorder="1" applyAlignment="1">
      <alignment vertical="center"/>
    </xf>
    <xf numFmtId="0" fontId="28" fillId="6" borderId="46" xfId="22" applyFont="1" applyFill="1" applyBorder="1" applyAlignment="1">
      <alignment vertical="center"/>
    </xf>
    <xf numFmtId="0" fontId="28" fillId="6" borderId="43" xfId="22" applyFont="1" applyFill="1" applyBorder="1" applyAlignment="1">
      <alignment vertical="center"/>
    </xf>
    <xf numFmtId="0" fontId="28" fillId="6" borderId="44" xfId="22" applyFont="1" applyFill="1" applyBorder="1" applyAlignment="1">
      <alignment vertical="center"/>
    </xf>
    <xf numFmtId="0" fontId="28" fillId="6" borderId="42" xfId="22" applyFont="1" applyFill="1" applyBorder="1" applyAlignment="1">
      <alignment vertical="center"/>
    </xf>
    <xf numFmtId="0" fontId="28" fillId="6" borderId="42" xfId="22" applyFont="1" applyFill="1" applyBorder="1" applyAlignment="1">
      <alignment horizontal="center" vertical="center" wrapText="1"/>
    </xf>
    <xf numFmtId="0" fontId="26" fillId="7" borderId="47" xfId="22" applyFont="1" applyFill="1" applyBorder="1" applyAlignment="1">
      <alignment vertical="center" wrapText="1"/>
    </xf>
    <xf numFmtId="0" fontId="31" fillId="0" borderId="54" xfId="22" applyFont="1" applyBorder="1" applyAlignment="1" applyProtection="1">
      <alignment horizontal="center" vertical="top" wrapText="1"/>
      <protection locked="0"/>
    </xf>
    <xf numFmtId="0" fontId="26" fillId="0" borderId="49" xfId="22" applyFont="1" applyBorder="1" applyAlignment="1" applyProtection="1">
      <alignment horizontal="justify" vertical="top" wrapText="1"/>
      <protection locked="0"/>
    </xf>
    <xf numFmtId="0" fontId="26" fillId="0" borderId="48" xfId="22" applyFont="1" applyBorder="1" applyAlignment="1" applyProtection="1">
      <alignment horizontal="center" vertical="top" textRotation="90"/>
      <protection locked="0"/>
    </xf>
    <xf numFmtId="14" fontId="26" fillId="0" borderId="49" xfId="22" applyNumberFormat="1" applyFont="1" applyBorder="1" applyAlignment="1" applyProtection="1">
      <alignment horizontal="center" vertical="center"/>
      <protection locked="0"/>
    </xf>
    <xf numFmtId="0" fontId="26" fillId="0" borderId="45" xfId="22" applyFont="1" applyBorder="1" applyAlignment="1" applyProtection="1">
      <alignment horizontal="center" vertical="center"/>
      <protection locked="0"/>
    </xf>
    <xf numFmtId="0" fontId="26" fillId="7" borderId="54" xfId="22" applyFont="1" applyFill="1" applyBorder="1" applyAlignment="1">
      <alignment horizontal="center" vertical="center" wrapText="1"/>
    </xf>
    <xf numFmtId="0" fontId="31" fillId="0" borderId="55" xfId="22" applyFont="1" applyBorder="1" applyAlignment="1" applyProtection="1">
      <alignment horizontal="center" vertical="top" wrapText="1"/>
      <protection locked="0"/>
    </xf>
    <xf numFmtId="0" fontId="27" fillId="0" borderId="48" xfId="22" applyFont="1" applyBorder="1" applyAlignment="1">
      <alignment horizontal="center" vertical="top"/>
    </xf>
    <xf numFmtId="0" fontId="27" fillId="0" borderId="48" xfId="22" applyFont="1" applyBorder="1" applyAlignment="1" applyProtection="1">
      <alignment horizontal="center" vertical="top"/>
      <protection hidden="1"/>
    </xf>
    <xf numFmtId="0" fontId="26" fillId="0" borderId="48" xfId="22" applyFont="1" applyBorder="1" applyAlignment="1" applyProtection="1">
      <alignment horizontal="center" vertical="top" textRotation="90"/>
      <protection locked="0"/>
    </xf>
    <xf numFmtId="9" fontId="26" fillId="0" borderId="48" xfId="22" applyNumberFormat="1" applyFont="1" applyBorder="1" applyAlignment="1" applyProtection="1">
      <alignment horizontal="center" vertical="top"/>
      <protection hidden="1"/>
    </xf>
    <xf numFmtId="164" fontId="27" fillId="0" borderId="48" xfId="24" applyNumberFormat="1" applyFont="1" applyBorder="1" applyAlignment="1">
      <alignment horizontal="center" vertical="top"/>
    </xf>
    <xf numFmtId="0" fontId="37" fillId="0" borderId="48" xfId="22" applyFont="1" applyBorder="1" applyAlignment="1" applyProtection="1">
      <alignment horizontal="center" vertical="top" textRotation="90" wrapText="1"/>
      <protection hidden="1"/>
    </xf>
    <xf numFmtId="0" fontId="37" fillId="0" borderId="48" xfId="22" applyFont="1" applyBorder="1" applyAlignment="1" applyProtection="1">
      <alignment horizontal="center" vertical="top" textRotation="90"/>
      <protection hidden="1"/>
    </xf>
    <xf numFmtId="0" fontId="26" fillId="7" borderId="48" xfId="22" applyFont="1" applyFill="1" applyBorder="1" applyAlignment="1" applyProtection="1">
      <alignment horizontal="center" vertical="center" wrapText="1"/>
      <protection locked="0"/>
    </xf>
    <xf numFmtId="0" fontId="26" fillId="0" borderId="48" xfId="22" applyFont="1" applyBorder="1" applyAlignment="1" applyProtection="1">
      <alignment horizontal="center" vertical="center" wrapText="1"/>
      <protection locked="0"/>
    </xf>
    <xf numFmtId="14" fontId="26" fillId="0" borderId="48" xfId="22" applyNumberFormat="1" applyFont="1" applyBorder="1" applyAlignment="1" applyProtection="1">
      <alignment horizontal="center" vertical="center"/>
      <protection locked="0"/>
    </xf>
    <xf numFmtId="0" fontId="26" fillId="0" borderId="39" xfId="22" applyFont="1" applyBorder="1" applyAlignment="1" applyProtection="1">
      <alignment horizontal="center" vertical="center"/>
      <protection locked="0"/>
    </xf>
    <xf numFmtId="0" fontId="26" fillId="7" borderId="80" xfId="22" applyFont="1" applyFill="1" applyBorder="1" applyAlignment="1">
      <alignment horizontal="center" vertical="center" wrapText="1"/>
    </xf>
    <xf numFmtId="0" fontId="27" fillId="0" borderId="50" xfId="22" applyFont="1" applyBorder="1" applyAlignment="1">
      <alignment horizontal="center" vertical="top"/>
    </xf>
    <xf numFmtId="0" fontId="27" fillId="0" borderId="50" xfId="22" applyFont="1" applyBorder="1" applyAlignment="1" applyProtection="1">
      <alignment horizontal="center" vertical="top"/>
      <protection hidden="1"/>
    </xf>
    <xf numFmtId="0" fontId="26" fillId="0" borderId="50" xfId="22" applyFont="1" applyBorder="1" applyAlignment="1" applyProtection="1">
      <alignment horizontal="center" vertical="top" textRotation="90"/>
      <protection locked="0"/>
    </xf>
    <xf numFmtId="9" fontId="26" fillId="0" borderId="50" xfId="22" applyNumberFormat="1" applyFont="1" applyBorder="1" applyAlignment="1" applyProtection="1">
      <alignment horizontal="center" vertical="top"/>
      <protection hidden="1"/>
    </xf>
    <xf numFmtId="164" fontId="27" fillId="0" borderId="50" xfId="24" applyNumberFormat="1" applyFont="1" applyBorder="1" applyAlignment="1">
      <alignment horizontal="center" vertical="top"/>
    </xf>
    <xf numFmtId="0" fontId="37" fillId="0" borderId="50" xfId="22" applyFont="1" applyBorder="1" applyAlignment="1" applyProtection="1">
      <alignment horizontal="center" vertical="top" textRotation="90" wrapText="1"/>
      <protection hidden="1"/>
    </xf>
    <xf numFmtId="0" fontId="37" fillId="0" borderId="50" xfId="22" applyFont="1" applyBorder="1" applyAlignment="1" applyProtection="1">
      <alignment horizontal="center" vertical="top" textRotation="90"/>
      <protection hidden="1"/>
    </xf>
    <xf numFmtId="0" fontId="26" fillId="7" borderId="48" xfId="22" applyFont="1" applyFill="1" applyBorder="1" applyAlignment="1" applyProtection="1">
      <alignment horizontal="center" vertical="center" wrapText="1"/>
      <protection locked="0"/>
    </xf>
    <xf numFmtId="14" fontId="26" fillId="0" borderId="48" xfId="22" applyNumberFormat="1" applyFont="1" applyBorder="1" applyAlignment="1" applyProtection="1">
      <alignment horizontal="center" vertical="center"/>
      <protection locked="0"/>
    </xf>
    <xf numFmtId="14" fontId="27" fillId="0" borderId="48" xfId="22" applyNumberFormat="1" applyFont="1" applyBorder="1" applyAlignment="1" applyProtection="1">
      <alignment horizontal="center" vertical="center"/>
      <protection locked="0"/>
    </xf>
    <xf numFmtId="0" fontId="27" fillId="0" borderId="39" xfId="22" applyFont="1" applyBorder="1" applyAlignment="1" applyProtection="1">
      <alignment horizontal="center" vertical="center"/>
      <protection locked="0"/>
    </xf>
    <xf numFmtId="0" fontId="26" fillId="0" borderId="47" xfId="22" applyFont="1" applyBorder="1" applyAlignment="1" applyProtection="1">
      <alignment horizontal="left" vertical="top" wrapText="1"/>
      <protection locked="0"/>
    </xf>
    <xf numFmtId="0" fontId="26" fillId="0" borderId="49" xfId="22" applyFont="1" applyBorder="1" applyAlignment="1" applyProtection="1">
      <alignment horizontal="justify" vertical="top"/>
      <protection locked="0"/>
    </xf>
    <xf numFmtId="0" fontId="26" fillId="7" borderId="50" xfId="22" applyFont="1" applyFill="1" applyBorder="1" applyAlignment="1" applyProtection="1">
      <alignment horizontal="center" vertical="center" wrapText="1"/>
      <protection locked="0"/>
    </xf>
    <xf numFmtId="14" fontId="26" fillId="0" borderId="50" xfId="22" applyNumberFormat="1" applyFont="1" applyBorder="1" applyAlignment="1" applyProtection="1">
      <alignment horizontal="center" vertical="center"/>
      <protection locked="0"/>
    </xf>
    <xf numFmtId="14" fontId="27" fillId="0" borderId="50" xfId="22" applyNumberFormat="1" applyFont="1" applyBorder="1" applyAlignment="1" applyProtection="1">
      <alignment horizontal="center" vertical="center"/>
      <protection locked="0"/>
    </xf>
    <xf numFmtId="0" fontId="27" fillId="0" borderId="42" xfId="22" applyFont="1" applyBorder="1" applyAlignment="1" applyProtection="1">
      <alignment horizontal="center" vertical="center"/>
      <protection locked="0"/>
    </xf>
    <xf numFmtId="0" fontId="27" fillId="0" borderId="45" xfId="22" applyFont="1" applyBorder="1" applyAlignment="1" applyProtection="1">
      <alignment horizontal="center" vertical="center"/>
      <protection locked="0"/>
    </xf>
    <xf numFmtId="0" fontId="26" fillId="7" borderId="39" xfId="22" applyFont="1" applyFill="1" applyBorder="1" applyAlignment="1" applyProtection="1">
      <alignment horizontal="center" vertical="top" wrapText="1"/>
      <protection locked="0"/>
    </xf>
    <xf numFmtId="0" fontId="26" fillId="7" borderId="47" xfId="22" applyFont="1" applyFill="1" applyBorder="1" applyAlignment="1" applyProtection="1">
      <alignment horizontal="center" vertical="top" wrapText="1"/>
      <protection locked="0"/>
    </xf>
    <xf numFmtId="0" fontId="31" fillId="7" borderId="54" xfId="22" applyFont="1" applyFill="1" applyBorder="1" applyAlignment="1" applyProtection="1">
      <alignment horizontal="center" vertical="top" wrapText="1"/>
      <protection locked="0"/>
    </xf>
    <xf numFmtId="0" fontId="26" fillId="7" borderId="49" xfId="22" applyFont="1" applyFill="1" applyBorder="1" applyAlignment="1" applyProtection="1">
      <alignment horizontal="justify" vertical="top" wrapText="1"/>
      <protection locked="0"/>
    </xf>
    <xf numFmtId="0" fontId="27" fillId="0" borderId="48" xfId="22" applyFont="1" applyBorder="1" applyAlignment="1" applyProtection="1">
      <alignment horizontal="center" vertical="top" textRotation="90"/>
      <protection locked="0"/>
    </xf>
    <xf numFmtId="0" fontId="26" fillId="7" borderId="52" xfId="22" applyFont="1" applyFill="1" applyBorder="1" applyAlignment="1" applyProtection="1">
      <alignment horizontal="center" vertical="top" wrapText="1"/>
      <protection locked="0"/>
    </xf>
    <xf numFmtId="0" fontId="26" fillId="7" borderId="47" xfId="22" applyFont="1" applyFill="1" applyBorder="1" applyAlignment="1" applyProtection="1">
      <alignment horizontal="left" vertical="top" wrapText="1"/>
      <protection locked="0"/>
    </xf>
    <xf numFmtId="0" fontId="31" fillId="7" borderId="55" xfId="22" applyFont="1" applyFill="1" applyBorder="1" applyAlignment="1" applyProtection="1">
      <alignment horizontal="center" vertical="top" wrapText="1"/>
      <protection locked="0"/>
    </xf>
    <xf numFmtId="0" fontId="91" fillId="9" borderId="62" xfId="22" applyFont="1" applyFill="1" applyBorder="1" applyAlignment="1">
      <alignment horizontal="left" vertical="center" wrapText="1"/>
    </xf>
    <xf numFmtId="0" fontId="91" fillId="0" borderId="62" xfId="22" applyFont="1" applyBorder="1" applyAlignment="1">
      <alignment horizontal="left" vertical="center" wrapText="1"/>
    </xf>
    <xf numFmtId="0" fontId="27" fillId="0" borderId="65" xfId="22" applyFont="1" applyBorder="1" applyAlignment="1">
      <alignment horizontal="center" vertical="center" wrapText="1"/>
    </xf>
    <xf numFmtId="0" fontId="27" fillId="27" borderId="65" xfId="22" applyFont="1" applyFill="1" applyBorder="1" applyAlignment="1">
      <alignment horizontal="center" vertical="center" wrapText="1"/>
    </xf>
    <xf numFmtId="9" fontId="27" fillId="0" borderId="65" xfId="22" applyNumberFormat="1" applyFont="1" applyBorder="1" applyAlignment="1">
      <alignment horizontal="center" vertical="center" wrapText="1"/>
    </xf>
    <xf numFmtId="0" fontId="27" fillId="0" borderId="70" xfId="22" applyFont="1" applyBorder="1" applyAlignment="1">
      <alignment horizontal="center" vertical="center" textRotation="90" wrapText="1"/>
    </xf>
    <xf numFmtId="9" fontId="27" fillId="0" borderId="70" xfId="22" applyNumberFormat="1" applyFont="1" applyBorder="1" applyAlignment="1">
      <alignment horizontal="center" vertical="center" wrapText="1"/>
    </xf>
    <xf numFmtId="164" fontId="27" fillId="0" borderId="70" xfId="22" applyNumberFormat="1" applyFont="1" applyBorder="1" applyAlignment="1">
      <alignment horizontal="center" vertical="center" wrapText="1"/>
    </xf>
    <xf numFmtId="0" fontId="27" fillId="0" borderId="65" xfId="22" applyFont="1" applyBorder="1" applyAlignment="1">
      <alignment horizontal="center" vertical="center" textRotation="90" wrapText="1"/>
    </xf>
    <xf numFmtId="166" fontId="27" fillId="0" borderId="65" xfId="22" applyNumberFormat="1" applyFont="1" applyBorder="1" applyAlignment="1">
      <alignment horizontal="center" vertical="center" wrapText="1"/>
    </xf>
    <xf numFmtId="166" fontId="27" fillId="0" borderId="56" xfId="22" applyNumberFormat="1" applyFont="1" applyBorder="1" applyAlignment="1">
      <alignment horizontal="center" vertical="center" wrapText="1"/>
    </xf>
    <xf numFmtId="0" fontId="26" fillId="0" borderId="70" xfId="22" applyFont="1" applyBorder="1" applyAlignment="1">
      <alignment horizontal="center" vertical="center"/>
    </xf>
    <xf numFmtId="0" fontId="27" fillId="9" borderId="70" xfId="22" applyFont="1" applyFill="1" applyBorder="1" applyAlignment="1">
      <alignment horizontal="center" vertical="center" wrapText="1"/>
    </xf>
    <xf numFmtId="0" fontId="27" fillId="0" borderId="66" xfId="22" applyFont="1" applyBorder="1" applyAlignment="1">
      <alignment horizontal="center" vertical="center" wrapText="1"/>
    </xf>
    <xf numFmtId="0" fontId="27" fillId="9" borderId="65" xfId="22" applyFont="1" applyFill="1" applyBorder="1" applyAlignment="1">
      <alignment horizontal="center" vertical="center" wrapText="1"/>
    </xf>
    <xf numFmtId="164" fontId="27" fillId="0" borderId="65" xfId="22" applyNumberFormat="1" applyFont="1" applyBorder="1" applyAlignment="1">
      <alignment horizontal="center" vertical="center" wrapText="1"/>
    </xf>
    <xf numFmtId="0" fontId="27" fillId="0" borderId="62" xfId="22" applyFont="1" applyBorder="1" applyAlignment="1">
      <alignment horizontal="center" vertical="center" wrapText="1"/>
    </xf>
    <xf numFmtId="166" fontId="27" fillId="0" borderId="62" xfId="22" applyNumberFormat="1" applyFont="1" applyBorder="1" applyAlignment="1">
      <alignment horizontal="center" vertical="center" wrapText="1"/>
    </xf>
    <xf numFmtId="0" fontId="11" fillId="0" borderId="65" xfId="22" applyFont="1" applyBorder="1" applyAlignment="1">
      <alignment horizontal="center"/>
    </xf>
    <xf numFmtId="0" fontId="27" fillId="25" borderId="65" xfId="22" applyFont="1" applyFill="1" applyBorder="1" applyAlignment="1">
      <alignment horizontal="center" vertical="center" wrapText="1"/>
    </xf>
    <xf numFmtId="0" fontId="11" fillId="0" borderId="69" xfId="22" applyFont="1" applyBorder="1"/>
    <xf numFmtId="0" fontId="11" fillId="0" borderId="65" xfId="22" applyFont="1" applyBorder="1" applyAlignment="1">
      <alignment vertical="center" wrapText="1"/>
    </xf>
    <xf numFmtId="0" fontId="27" fillId="0" borderId="65" xfId="22" applyFont="1" applyBorder="1" applyAlignment="1">
      <alignment vertical="center" wrapText="1"/>
    </xf>
    <xf numFmtId="0" fontId="27" fillId="0" borderId="65" xfId="22" applyFont="1" applyBorder="1" applyAlignment="1">
      <alignment vertical="center" textRotation="90" wrapText="1"/>
    </xf>
    <xf numFmtId="164" fontId="27" fillId="0" borderId="65" xfId="22" applyNumberFormat="1" applyFont="1" applyBorder="1" applyAlignment="1">
      <alignment vertical="center" wrapText="1"/>
    </xf>
    <xf numFmtId="9" fontId="27" fillId="0" borderId="65" xfId="22" applyNumberFormat="1" applyFont="1" applyBorder="1" applyAlignment="1">
      <alignment vertical="center" wrapText="1"/>
    </xf>
    <xf numFmtId="0" fontId="27" fillId="0" borderId="69" xfId="22" applyFont="1" applyBorder="1" applyAlignment="1">
      <alignment horizontal="center" vertical="center" wrapText="1"/>
    </xf>
    <xf numFmtId="166" fontId="27" fillId="0" borderId="69" xfId="22" applyNumberFormat="1" applyFont="1" applyBorder="1" applyAlignment="1">
      <alignment horizontal="center" vertical="center" wrapText="1"/>
    </xf>
    <xf numFmtId="166" fontId="27" fillId="0" borderId="59" xfId="22" applyNumberFormat="1" applyFont="1" applyBorder="1" applyAlignment="1">
      <alignment horizontal="center" vertical="center" wrapText="1"/>
    </xf>
    <xf numFmtId="0" fontId="26" fillId="0" borderId="69" xfId="22" applyFont="1" applyBorder="1" applyAlignment="1">
      <alignment horizontal="center" vertical="center"/>
    </xf>
    <xf numFmtId="0" fontId="11" fillId="0" borderId="69" xfId="22" applyFont="1" applyBorder="1" applyAlignment="1">
      <alignment horizontal="center"/>
    </xf>
    <xf numFmtId="0" fontId="27" fillId="9" borderId="69" xfId="22" applyFont="1" applyFill="1" applyBorder="1" applyAlignment="1">
      <alignment horizontal="center" vertical="center" wrapText="1"/>
    </xf>
    <xf numFmtId="0" fontId="27" fillId="25" borderId="69" xfId="22" applyFont="1" applyFill="1" applyBorder="1" applyAlignment="1">
      <alignment horizontal="center" vertical="center" wrapText="1"/>
    </xf>
    <xf numFmtId="9" fontId="27" fillId="0" borderId="69" xfId="22" applyNumberFormat="1" applyFont="1" applyBorder="1" applyAlignment="1">
      <alignment horizontal="center" vertical="center" wrapText="1"/>
    </xf>
    <xf numFmtId="9" fontId="27" fillId="0" borderId="69" xfId="22" applyNumberFormat="1" applyFont="1" applyBorder="1" applyAlignment="1">
      <alignment horizontal="center" vertical="center" wrapText="1"/>
    </xf>
    <xf numFmtId="0" fontId="11" fillId="0" borderId="69" xfId="22" applyFont="1" applyBorder="1" applyAlignment="1">
      <alignment horizontal="center" vertical="center" wrapText="1"/>
    </xf>
    <xf numFmtId="0" fontId="34" fillId="6" borderId="39" xfId="22" applyFont="1" applyFill="1" applyBorder="1" applyAlignment="1">
      <alignment horizontal="center" vertical="center"/>
    </xf>
    <xf numFmtId="0" fontId="34" fillId="6" borderId="40" xfId="22" applyFont="1" applyFill="1" applyBorder="1" applyAlignment="1">
      <alignment horizontal="center" vertical="center"/>
    </xf>
    <xf numFmtId="0" fontId="34" fillId="6" borderId="41" xfId="22" applyFont="1" applyFill="1" applyBorder="1" applyAlignment="1">
      <alignment horizontal="center" vertical="center"/>
    </xf>
    <xf numFmtId="0" fontId="34" fillId="6" borderId="42" xfId="22" applyFont="1" applyFill="1" applyBorder="1" applyAlignment="1">
      <alignment horizontal="center" vertical="center"/>
    </xf>
    <xf numFmtId="0" fontId="34" fillId="6" borderId="43" xfId="22" applyFont="1" applyFill="1" applyBorder="1" applyAlignment="1">
      <alignment horizontal="center" vertical="center"/>
    </xf>
    <xf numFmtId="0" fontId="34" fillId="6" borderId="44" xfId="22" applyFont="1" applyFill="1" applyBorder="1" applyAlignment="1">
      <alignment horizontal="center" vertical="center"/>
    </xf>
    <xf numFmtId="0" fontId="27" fillId="7" borderId="37" xfId="22" applyFont="1" applyFill="1" applyAlignment="1">
      <alignment horizontal="left" vertical="top"/>
    </xf>
    <xf numFmtId="0" fontId="27" fillId="7" borderId="37" xfId="22" applyFont="1" applyFill="1" applyAlignment="1">
      <alignment horizontal="left"/>
    </xf>
    <xf numFmtId="0" fontId="27" fillId="7" borderId="37" xfId="22" applyFont="1" applyFill="1" applyAlignment="1">
      <alignment textRotation="180"/>
    </xf>
    <xf numFmtId="0" fontId="28" fillId="6" borderId="50" xfId="22" applyFont="1" applyFill="1" applyBorder="1" applyAlignment="1">
      <alignment horizontal="left" vertical="center" wrapText="1"/>
    </xf>
    <xf numFmtId="0" fontId="28" fillId="6" borderId="48" xfId="22" applyFont="1" applyFill="1" applyBorder="1" applyAlignment="1">
      <alignment horizontal="left" vertical="top" wrapText="1"/>
    </xf>
    <xf numFmtId="0" fontId="28" fillId="6" borderId="50" xfId="22" applyFont="1" applyFill="1" applyBorder="1" applyAlignment="1">
      <alignment horizontal="left" vertical="center"/>
    </xf>
    <xf numFmtId="0" fontId="28" fillId="6" borderId="51" xfId="22" applyFont="1" applyFill="1" applyBorder="1" applyAlignment="1">
      <alignment horizontal="center" vertical="center" textRotation="180"/>
    </xf>
    <xf numFmtId="0" fontId="28" fillId="6" borderId="51" xfId="22" applyFont="1" applyFill="1" applyBorder="1" applyAlignment="1">
      <alignment horizontal="center" vertical="center" textRotation="180" wrapText="1"/>
    </xf>
    <xf numFmtId="0" fontId="28" fillId="6" borderId="52" xfId="22" applyFont="1" applyFill="1" applyBorder="1" applyAlignment="1">
      <alignment horizontal="center" vertical="center" textRotation="180" wrapText="1"/>
    </xf>
    <xf numFmtId="0" fontId="28" fillId="6" borderId="50" xfId="22" applyFont="1" applyFill="1" applyBorder="1" applyAlignment="1">
      <alignment horizontal="center" vertical="center" textRotation="180" wrapText="1"/>
    </xf>
    <xf numFmtId="0" fontId="28" fillId="6" borderId="45" xfId="22" applyFont="1" applyFill="1" applyBorder="1" applyAlignment="1">
      <alignment horizontal="center" vertical="center" wrapText="1"/>
    </xf>
    <xf numFmtId="0" fontId="27" fillId="0" borderId="37" xfId="23" applyFont="1" applyAlignment="1">
      <alignment horizontal="center" vertical="center" wrapText="1"/>
    </xf>
    <xf numFmtId="0" fontId="28" fillId="6" borderId="49" xfId="22" applyFont="1" applyFill="1" applyBorder="1" applyAlignment="1">
      <alignment horizontal="left" vertical="center" wrapText="1"/>
    </xf>
    <xf numFmtId="0" fontId="28" fillId="6" borderId="51" xfId="22" applyFont="1" applyFill="1" applyBorder="1" applyAlignment="1">
      <alignment horizontal="left" vertical="top" wrapText="1"/>
    </xf>
    <xf numFmtId="0" fontId="28" fillId="6" borderId="48" xfId="22" applyFont="1" applyFill="1" applyBorder="1" applyAlignment="1">
      <alignment horizontal="left" vertical="center"/>
    </xf>
    <xf numFmtId="0" fontId="28" fillId="6" borderId="42" xfId="22" applyFont="1" applyFill="1" applyBorder="1" applyAlignment="1">
      <alignment horizontal="center" vertical="center" textRotation="180"/>
    </xf>
    <xf numFmtId="0" fontId="28" fillId="6" borderId="49" xfId="22" applyFont="1" applyFill="1" applyBorder="1" applyAlignment="1">
      <alignment horizontal="center" vertical="center" textRotation="180" wrapText="1"/>
    </xf>
    <xf numFmtId="0" fontId="24" fillId="0" borderId="48" xfId="22" applyFont="1" applyBorder="1" applyAlignment="1">
      <alignment horizontal="center" vertical="center"/>
    </xf>
    <xf numFmtId="0" fontId="24" fillId="13" borderId="48" xfId="22" applyFont="1" applyFill="1" applyBorder="1" applyAlignment="1" applyProtection="1">
      <alignment horizontal="center" vertical="center" wrapText="1"/>
      <protection locked="0"/>
    </xf>
    <xf numFmtId="0" fontId="41" fillId="13" borderId="48" xfId="22" applyFont="1" applyFill="1" applyBorder="1" applyAlignment="1" applyProtection="1">
      <alignment horizontal="center" vertical="center" wrapText="1"/>
      <protection locked="0"/>
    </xf>
    <xf numFmtId="0" fontId="42" fillId="13" borderId="76" xfId="22" applyFont="1" applyFill="1" applyBorder="1" applyAlignment="1" applyProtection="1">
      <alignment horizontal="center" vertical="center" wrapText="1"/>
      <protection locked="0"/>
    </xf>
    <xf numFmtId="0" fontId="43" fillId="14" borderId="54" xfId="22" applyFont="1" applyFill="1" applyBorder="1" applyAlignment="1">
      <alignment horizontal="center" vertical="center" wrapText="1"/>
    </xf>
    <xf numFmtId="0" fontId="44" fillId="13" borderId="54" xfId="22" applyFont="1" applyFill="1" applyBorder="1" applyAlignment="1" applyProtection="1">
      <alignment horizontal="center" vertical="center" wrapText="1"/>
      <protection locked="0"/>
    </xf>
    <xf numFmtId="0" fontId="48" fillId="14" borderId="54" xfId="22" applyFont="1" applyFill="1" applyBorder="1" applyAlignment="1" applyProtection="1">
      <alignment horizontal="center" vertical="center" wrapText="1"/>
      <protection locked="0"/>
    </xf>
    <xf numFmtId="0" fontId="48" fillId="14" borderId="54" xfId="22" applyFont="1" applyFill="1" applyBorder="1" applyAlignment="1" applyProtection="1">
      <alignment horizontal="justify" vertical="top" wrapText="1"/>
      <protection locked="0"/>
    </xf>
    <xf numFmtId="0" fontId="24" fillId="14" borderId="77" xfId="22" applyFont="1" applyFill="1" applyBorder="1" applyAlignment="1" applyProtection="1">
      <alignment horizontal="justify" vertical="top" wrapText="1"/>
      <protection locked="0"/>
    </xf>
    <xf numFmtId="0" fontId="24" fillId="14" borderId="48" xfId="22" applyFont="1" applyFill="1" applyBorder="1" applyAlignment="1" applyProtection="1">
      <alignment horizontal="justify" vertical="top"/>
      <protection locked="0"/>
    </xf>
    <xf numFmtId="0" fontId="43" fillId="0" borderId="48" xfId="22" applyFont="1" applyBorder="1" applyAlignment="1" applyProtection="1">
      <alignment horizontal="justify" vertical="top" textRotation="180" wrapText="1"/>
      <protection hidden="1"/>
    </xf>
    <xf numFmtId="9" fontId="24" fillId="14" borderId="48" xfId="22" applyNumberFormat="1" applyFont="1" applyFill="1" applyBorder="1" applyAlignment="1" applyProtection="1">
      <alignment horizontal="justify" vertical="top" wrapText="1"/>
      <protection hidden="1"/>
    </xf>
    <xf numFmtId="9" fontId="24" fillId="14" borderId="48" xfId="22" applyNumberFormat="1" applyFont="1" applyFill="1" applyBorder="1" applyAlignment="1" applyProtection="1">
      <alignment horizontal="justify" vertical="top" wrapText="1"/>
      <protection locked="0"/>
    </xf>
    <xf numFmtId="9" fontId="24" fillId="0" borderId="48" xfId="22" applyNumberFormat="1" applyFont="1" applyBorder="1" applyAlignment="1" applyProtection="1">
      <alignment horizontal="justify" vertical="top" wrapText="1"/>
      <protection hidden="1"/>
    </xf>
    <xf numFmtId="0" fontId="43" fillId="0" borderId="48" xfId="22" applyFont="1" applyBorder="1" applyAlignment="1" applyProtection="1">
      <alignment horizontal="justify" vertical="top" textRotation="180"/>
      <protection hidden="1"/>
    </xf>
    <xf numFmtId="0" fontId="24" fillId="0" borderId="49" xfId="22" applyFont="1" applyBorder="1" applyAlignment="1">
      <alignment horizontal="justify" vertical="top"/>
    </xf>
    <xf numFmtId="0" fontId="24" fillId="14" borderId="49" xfId="22" applyFont="1" applyFill="1" applyBorder="1" applyAlignment="1" applyProtection="1">
      <alignment horizontal="center" vertical="center" wrapText="1"/>
      <protection locked="0"/>
    </xf>
    <xf numFmtId="0" fontId="24" fillId="14" borderId="49" xfId="22" applyFont="1" applyFill="1" applyBorder="1" applyAlignment="1" applyProtection="1">
      <alignment horizontal="justify" vertical="top"/>
      <protection hidden="1"/>
    </xf>
    <xf numFmtId="0" fontId="24" fillId="14" borderId="49" xfId="22" applyFont="1" applyFill="1" applyBorder="1" applyAlignment="1" applyProtection="1">
      <alignment horizontal="justify" vertical="top" textRotation="90"/>
      <protection locked="0"/>
    </xf>
    <xf numFmtId="9" fontId="24" fillId="14" borderId="49" xfId="22" applyNumberFormat="1" applyFont="1" applyFill="1" applyBorder="1" applyAlignment="1" applyProtection="1">
      <alignment horizontal="justify" vertical="top"/>
      <protection hidden="1"/>
    </xf>
    <xf numFmtId="164" fontId="24" fillId="14" borderId="49" xfId="24" applyNumberFormat="1" applyFont="1" applyFill="1" applyBorder="1" applyAlignment="1">
      <alignment horizontal="justify" vertical="top"/>
    </xf>
    <xf numFmtId="0" fontId="43" fillId="0" borderId="49" xfId="22" applyFont="1" applyBorder="1" applyAlignment="1" applyProtection="1">
      <alignment horizontal="justify" vertical="top" textRotation="90" wrapText="1"/>
      <protection hidden="1"/>
    </xf>
    <xf numFmtId="9" fontId="24" fillId="14" borderId="48" xfId="22" applyNumberFormat="1" applyFont="1" applyFill="1" applyBorder="1" applyAlignment="1" applyProtection="1">
      <alignment horizontal="justify" vertical="top"/>
      <protection hidden="1"/>
    </xf>
    <xf numFmtId="0" fontId="43" fillId="0" borderId="49" xfId="22" applyFont="1" applyBorder="1" applyAlignment="1" applyProtection="1">
      <alignment horizontal="justify" vertical="top" textRotation="90"/>
      <protection hidden="1"/>
    </xf>
    <xf numFmtId="0" fontId="24" fillId="14" borderId="48" xfId="22" applyFont="1" applyFill="1" applyBorder="1" applyAlignment="1" applyProtection="1">
      <alignment horizontal="justify" vertical="top" textRotation="90"/>
      <protection locked="0"/>
    </xf>
    <xf numFmtId="0" fontId="24" fillId="14" borderId="49" xfId="22" applyFont="1" applyFill="1" applyBorder="1" applyAlignment="1" applyProtection="1">
      <alignment horizontal="justify" vertical="top" wrapText="1"/>
      <protection locked="0"/>
    </xf>
    <xf numFmtId="14" fontId="24" fillId="14" borderId="49" xfId="22" applyNumberFormat="1" applyFont="1" applyFill="1" applyBorder="1" applyAlignment="1" applyProtection="1">
      <alignment horizontal="justify" vertical="top" textRotation="180"/>
      <protection locked="0"/>
    </xf>
    <xf numFmtId="14" fontId="24" fillId="14" borderId="49" xfId="22" applyNumberFormat="1" applyFont="1" applyFill="1" applyBorder="1" applyAlignment="1" applyProtection="1">
      <alignment horizontal="justify" vertical="top"/>
      <protection locked="0"/>
    </xf>
    <xf numFmtId="0" fontId="24" fillId="14" borderId="45" xfId="22" applyFont="1" applyFill="1" applyBorder="1" applyAlignment="1" applyProtection="1">
      <alignment horizontal="center" vertical="center"/>
      <protection locked="0"/>
    </xf>
    <xf numFmtId="0" fontId="27" fillId="0" borderId="37" xfId="23" applyFont="1" applyAlignment="1">
      <alignment wrapText="1"/>
    </xf>
    <xf numFmtId="0" fontId="24" fillId="15" borderId="48" xfId="22" applyFont="1" applyFill="1" applyBorder="1" applyAlignment="1" applyProtection="1">
      <alignment horizontal="justify" vertical="top" wrapText="1"/>
      <protection locked="0"/>
    </xf>
    <xf numFmtId="0" fontId="47" fillId="15" borderId="48" xfId="22" applyFont="1" applyFill="1" applyBorder="1" applyAlignment="1" applyProtection="1">
      <alignment horizontal="justify" vertical="top" wrapText="1"/>
      <protection locked="0"/>
    </xf>
    <xf numFmtId="0" fontId="24" fillId="15" borderId="39" xfId="22" applyFont="1" applyFill="1" applyBorder="1" applyAlignment="1" applyProtection="1">
      <alignment horizontal="justify" vertical="top" wrapText="1"/>
      <protection locked="0"/>
    </xf>
    <xf numFmtId="0" fontId="43" fillId="16" borderId="47" xfId="22" applyFont="1" applyFill="1" applyBorder="1" applyAlignment="1" applyProtection="1">
      <alignment horizontal="justify" vertical="top" wrapText="1"/>
      <protection locked="0"/>
    </xf>
    <xf numFmtId="0" fontId="44" fillId="15" borderId="47" xfId="22" applyFont="1" applyFill="1" applyBorder="1" applyAlignment="1" applyProtection="1">
      <alignment horizontal="justify" vertical="top" wrapText="1"/>
      <protection locked="0"/>
    </xf>
    <xf numFmtId="0" fontId="48" fillId="16" borderId="54" xfId="22" applyFont="1" applyFill="1" applyBorder="1" applyAlignment="1" applyProtection="1">
      <alignment horizontal="center" vertical="center" wrapText="1"/>
      <protection locked="0"/>
    </xf>
    <xf numFmtId="0" fontId="44" fillId="16" borderId="47" xfId="22" applyFont="1" applyFill="1" applyBorder="1" applyAlignment="1" applyProtection="1">
      <alignment horizontal="justify" vertical="top" wrapText="1"/>
      <protection locked="0"/>
    </xf>
    <xf numFmtId="0" fontId="24" fillId="16" borderId="41" xfId="22" applyFont="1" applyFill="1" applyBorder="1" applyAlignment="1" applyProtection="1">
      <alignment horizontal="justify" vertical="top" wrapText="1"/>
      <protection locked="0"/>
    </xf>
    <xf numFmtId="0" fontId="24" fillId="16" borderId="48" xfId="22" applyFont="1" applyFill="1" applyBorder="1" applyAlignment="1" applyProtection="1">
      <alignment horizontal="justify" vertical="top"/>
      <protection locked="0"/>
    </xf>
    <xf numFmtId="9" fontId="24" fillId="16" borderId="48" xfId="22" applyNumberFormat="1" applyFont="1" applyFill="1" applyBorder="1" applyAlignment="1" applyProtection="1">
      <alignment horizontal="justify" vertical="top" wrapText="1"/>
      <protection hidden="1"/>
    </xf>
    <xf numFmtId="9" fontId="24" fillId="16" borderId="48" xfId="22" applyNumberFormat="1" applyFont="1" applyFill="1" applyBorder="1" applyAlignment="1" applyProtection="1">
      <alignment horizontal="justify" vertical="top" wrapText="1"/>
      <protection locked="0"/>
    </xf>
    <xf numFmtId="0" fontId="24" fillId="16" borderId="49" xfId="22" applyFont="1" applyFill="1" applyBorder="1" applyAlignment="1">
      <alignment horizontal="justify" vertical="top"/>
    </xf>
    <xf numFmtId="0" fontId="24" fillId="16" borderId="49" xfId="22" applyFont="1" applyFill="1" applyBorder="1" applyAlignment="1" applyProtection="1">
      <alignment horizontal="center" vertical="center" wrapText="1"/>
      <protection locked="0"/>
    </xf>
    <xf numFmtId="0" fontId="24" fillId="16" borderId="49" xfId="22" applyFont="1" applyFill="1" applyBorder="1" applyAlignment="1" applyProtection="1">
      <alignment horizontal="justify" vertical="top"/>
      <protection hidden="1"/>
    </xf>
    <xf numFmtId="0" fontId="24" fillId="16" borderId="49" xfId="22" applyFont="1" applyFill="1" applyBorder="1" applyAlignment="1" applyProtection="1">
      <alignment horizontal="justify" vertical="top" textRotation="90"/>
      <protection locked="0"/>
    </xf>
    <xf numFmtId="9" fontId="24" fillId="16" borderId="49" xfId="22" applyNumberFormat="1" applyFont="1" applyFill="1" applyBorder="1" applyAlignment="1" applyProtection="1">
      <alignment horizontal="justify" vertical="top"/>
      <protection hidden="1"/>
    </xf>
    <xf numFmtId="164" fontId="24" fillId="16" borderId="49" xfId="24" applyNumberFormat="1" applyFont="1" applyFill="1" applyBorder="1" applyAlignment="1">
      <alignment horizontal="justify" vertical="top"/>
    </xf>
    <xf numFmtId="9" fontId="24" fillId="16" borderId="48" xfId="22" applyNumberFormat="1" applyFont="1" applyFill="1" applyBorder="1" applyAlignment="1" applyProtection="1">
      <alignment horizontal="justify" vertical="top"/>
      <protection hidden="1"/>
    </xf>
    <xf numFmtId="0" fontId="24" fillId="16" borderId="48" xfId="22" applyFont="1" applyFill="1" applyBorder="1" applyAlignment="1" applyProtection="1">
      <alignment horizontal="justify" vertical="top" textRotation="90"/>
      <protection locked="0"/>
    </xf>
    <xf numFmtId="0" fontId="24" fillId="16" borderId="49" xfId="22" applyFont="1" applyFill="1" applyBorder="1" applyAlignment="1" applyProtection="1">
      <alignment horizontal="justify" vertical="top" wrapText="1"/>
      <protection locked="0"/>
    </xf>
    <xf numFmtId="14" fontId="24" fillId="16" borderId="49" xfId="22" applyNumberFormat="1" applyFont="1" applyFill="1" applyBorder="1" applyAlignment="1" applyProtection="1">
      <alignment horizontal="justify" vertical="top" textRotation="180"/>
      <protection locked="0"/>
    </xf>
    <xf numFmtId="14" fontId="24" fillId="16" borderId="49" xfId="22" applyNumberFormat="1" applyFont="1" applyFill="1" applyBorder="1" applyAlignment="1" applyProtection="1">
      <alignment horizontal="justify" vertical="top"/>
      <protection locked="0"/>
    </xf>
    <xf numFmtId="0" fontId="24" fillId="16" borderId="45" xfId="22" applyFont="1" applyFill="1" applyBorder="1" applyAlignment="1" applyProtection="1">
      <alignment horizontal="center" vertical="center"/>
      <protection locked="0"/>
    </xf>
    <xf numFmtId="0" fontId="27" fillId="0" borderId="37" xfId="23" applyFont="1" applyAlignment="1">
      <alignment vertical="center" wrapText="1"/>
    </xf>
    <xf numFmtId="0" fontId="27" fillId="0" borderId="37" xfId="23" applyFont="1" applyAlignment="1">
      <alignment horizontal="center" vertical="center"/>
    </xf>
    <xf numFmtId="0" fontId="24" fillId="13" borderId="48" xfId="22" applyFont="1" applyFill="1" applyBorder="1" applyAlignment="1" applyProtection="1">
      <alignment horizontal="justify" vertical="top" wrapText="1"/>
      <protection locked="0"/>
    </xf>
    <xf numFmtId="0" fontId="49" fillId="13" borderId="48" xfId="22" applyFont="1" applyFill="1" applyBorder="1" applyAlignment="1" applyProtection="1">
      <alignment horizontal="justify" vertical="top" wrapText="1"/>
      <protection locked="0"/>
    </xf>
    <xf numFmtId="0" fontId="42" fillId="13" borderId="39" xfId="22" applyFont="1" applyFill="1" applyBorder="1" applyAlignment="1" applyProtection="1">
      <alignment horizontal="justify" vertical="top" wrapText="1"/>
      <protection locked="0"/>
    </xf>
    <xf numFmtId="0" fontId="43" fillId="17" borderId="47" xfId="22" applyFont="1" applyFill="1" applyBorder="1" applyAlignment="1" applyProtection="1">
      <alignment horizontal="justify" vertical="top" wrapText="1"/>
      <protection locked="0"/>
    </xf>
    <xf numFmtId="0" fontId="44" fillId="13" borderId="47" xfId="22" applyFont="1" applyFill="1" applyBorder="1" applyAlignment="1" applyProtection="1">
      <alignment horizontal="justify" vertical="top" wrapText="1"/>
      <protection locked="0"/>
    </xf>
    <xf numFmtId="0" fontId="48" fillId="17" borderId="54" xfId="22" applyFont="1" applyFill="1" applyBorder="1" applyAlignment="1" applyProtection="1">
      <alignment horizontal="center" vertical="center" wrapText="1"/>
      <protection locked="0"/>
    </xf>
    <xf numFmtId="0" fontId="44" fillId="17" borderId="47" xfId="22" applyFont="1" applyFill="1" applyBorder="1" applyAlignment="1" applyProtection="1">
      <alignment horizontal="justify" vertical="top" wrapText="1"/>
      <protection locked="0"/>
    </xf>
    <xf numFmtId="0" fontId="24" fillId="17" borderId="41" xfId="22" applyFont="1" applyFill="1" applyBorder="1" applyAlignment="1" applyProtection="1">
      <alignment horizontal="justify" vertical="top" wrapText="1"/>
      <protection locked="0"/>
    </xf>
    <xf numFmtId="0" fontId="24" fillId="17" borderId="48" xfId="22" applyFont="1" applyFill="1" applyBorder="1" applyAlignment="1" applyProtection="1">
      <alignment horizontal="justify" vertical="top"/>
      <protection locked="0"/>
    </xf>
    <xf numFmtId="9" fontId="24" fillId="17" borderId="48" xfId="22" applyNumberFormat="1" applyFont="1" applyFill="1" applyBorder="1" applyAlignment="1" applyProtection="1">
      <alignment horizontal="justify" vertical="top" wrapText="1"/>
      <protection hidden="1"/>
    </xf>
    <xf numFmtId="9" fontId="24" fillId="17" borderId="48" xfId="22" applyNumberFormat="1" applyFont="1" applyFill="1" applyBorder="1" applyAlignment="1" applyProtection="1">
      <alignment horizontal="justify" vertical="top" wrapText="1"/>
      <protection locked="0"/>
    </xf>
    <xf numFmtId="0" fontId="24" fillId="17" borderId="49" xfId="22" applyFont="1" applyFill="1" applyBorder="1" applyAlignment="1">
      <alignment horizontal="justify" vertical="top"/>
    </xf>
    <xf numFmtId="0" fontId="24" fillId="17" borderId="49" xfId="22" applyFont="1" applyFill="1" applyBorder="1" applyAlignment="1" applyProtection="1">
      <alignment horizontal="center" vertical="center" wrapText="1"/>
      <protection locked="0"/>
    </xf>
    <xf numFmtId="0" fontId="24" fillId="17" borderId="49" xfId="22" applyFont="1" applyFill="1" applyBorder="1" applyAlignment="1" applyProtection="1">
      <alignment horizontal="justify" vertical="top"/>
      <protection hidden="1"/>
    </xf>
    <xf numFmtId="0" fontId="24" fillId="17" borderId="49" xfId="22" applyFont="1" applyFill="1" applyBorder="1" applyAlignment="1" applyProtection="1">
      <alignment horizontal="justify" vertical="top" textRotation="90"/>
      <protection locked="0"/>
    </xf>
    <xf numFmtId="9" fontId="24" fillId="17" borderId="49" xfId="22" applyNumberFormat="1" applyFont="1" applyFill="1" applyBorder="1" applyAlignment="1" applyProtection="1">
      <alignment horizontal="justify" vertical="top"/>
      <protection hidden="1"/>
    </xf>
    <xf numFmtId="164" fontId="24" fillId="17" borderId="49" xfId="24" applyNumberFormat="1" applyFont="1" applyFill="1" applyBorder="1" applyAlignment="1">
      <alignment horizontal="justify" vertical="top"/>
    </xf>
    <xf numFmtId="9" fontId="24" fillId="17" borderId="48" xfId="22" applyNumberFormat="1" applyFont="1" applyFill="1" applyBorder="1" applyAlignment="1" applyProtection="1">
      <alignment horizontal="justify" vertical="top"/>
      <protection hidden="1"/>
    </xf>
    <xf numFmtId="0" fontId="24" fillId="17" borderId="48" xfId="22" applyFont="1" applyFill="1" applyBorder="1" applyAlignment="1" applyProtection="1">
      <alignment horizontal="justify" vertical="top" textRotation="90"/>
      <protection locked="0"/>
    </xf>
    <xf numFmtId="0" fontId="24" fillId="17" borderId="49" xfId="22" applyFont="1" applyFill="1" applyBorder="1" applyAlignment="1" applyProtection="1">
      <alignment horizontal="justify" vertical="top" wrapText="1"/>
      <protection locked="0"/>
    </xf>
    <xf numFmtId="14" fontId="24" fillId="17" borderId="49" xfId="22" applyNumberFormat="1" applyFont="1" applyFill="1" applyBorder="1" applyAlignment="1" applyProtection="1">
      <alignment horizontal="justify" vertical="top" textRotation="180"/>
      <protection locked="0"/>
    </xf>
    <xf numFmtId="14" fontId="24" fillId="17" borderId="49" xfId="22" applyNumberFormat="1" applyFont="1" applyFill="1" applyBorder="1" applyAlignment="1" applyProtection="1">
      <alignment horizontal="justify" vertical="top"/>
      <protection locked="0"/>
    </xf>
    <xf numFmtId="0" fontId="24" fillId="17" borderId="45" xfId="22" applyFont="1" applyFill="1" applyBorder="1" applyAlignment="1" applyProtection="1">
      <alignment horizontal="center" vertical="center"/>
      <protection locked="0"/>
    </xf>
    <xf numFmtId="0" fontId="24" fillId="15" borderId="48" xfId="22" applyFont="1" applyFill="1" applyBorder="1" applyAlignment="1" applyProtection="1">
      <alignment vertical="top" wrapText="1"/>
      <protection locked="0"/>
    </xf>
    <xf numFmtId="0" fontId="49" fillId="15" borderId="48" xfId="22" applyFont="1" applyFill="1" applyBorder="1" applyAlignment="1" applyProtection="1">
      <alignment vertical="top" wrapText="1"/>
      <protection locked="0"/>
    </xf>
    <xf numFmtId="0" fontId="24" fillId="15" borderId="39" xfId="22" applyFont="1" applyFill="1" applyBorder="1" applyAlignment="1" applyProtection="1">
      <alignment vertical="top" wrapText="1"/>
      <protection locked="0"/>
    </xf>
    <xf numFmtId="0" fontId="44" fillId="15" borderId="47" xfId="22" applyFont="1" applyFill="1" applyBorder="1" applyAlignment="1" applyProtection="1">
      <alignment vertical="top" wrapText="1"/>
      <protection locked="0"/>
    </xf>
    <xf numFmtId="0" fontId="24" fillId="16" borderId="41" xfId="22" applyFont="1" applyFill="1" applyBorder="1" applyAlignment="1" applyProtection="1">
      <alignment vertical="top" wrapText="1"/>
      <protection locked="0"/>
    </xf>
    <xf numFmtId="0" fontId="24" fillId="16" borderId="48" xfId="22" applyFont="1" applyFill="1" applyBorder="1" applyAlignment="1" applyProtection="1">
      <alignment vertical="top"/>
      <protection locked="0"/>
    </xf>
    <xf numFmtId="0" fontId="43" fillId="0" borderId="48" xfId="22" applyFont="1" applyBorder="1" applyAlignment="1" applyProtection="1">
      <alignment vertical="top" textRotation="180" wrapText="1"/>
      <protection hidden="1"/>
    </xf>
    <xf numFmtId="9" fontId="24" fillId="16" borderId="48" xfId="22" applyNumberFormat="1" applyFont="1" applyFill="1" applyBorder="1" applyAlignment="1" applyProtection="1">
      <alignment vertical="top" wrapText="1"/>
      <protection hidden="1"/>
    </xf>
    <xf numFmtId="9" fontId="24" fillId="16" borderId="48" xfId="22" applyNumberFormat="1" applyFont="1" applyFill="1" applyBorder="1" applyAlignment="1" applyProtection="1">
      <alignment vertical="top" wrapText="1"/>
      <protection locked="0"/>
    </xf>
    <xf numFmtId="9" fontId="24" fillId="0" borderId="48" xfId="22" applyNumberFormat="1" applyFont="1" applyBorder="1" applyAlignment="1" applyProtection="1">
      <alignment vertical="top" wrapText="1"/>
      <protection hidden="1"/>
    </xf>
    <xf numFmtId="0" fontId="43" fillId="0" borderId="48" xfId="22" applyFont="1" applyBorder="1" applyAlignment="1" applyProtection="1">
      <alignment vertical="top" textRotation="180"/>
      <protection hidden="1"/>
    </xf>
    <xf numFmtId="0" fontId="24" fillId="16" borderId="49" xfId="22" applyFont="1" applyFill="1" applyBorder="1" applyAlignment="1" applyProtection="1">
      <alignment horizontal="justify" vertical="top"/>
      <protection locked="0"/>
    </xf>
    <xf numFmtId="0" fontId="27" fillId="0" borderId="37" xfId="23" applyFont="1" applyAlignment="1">
      <alignment horizontal="center" vertical="center"/>
    </xf>
    <xf numFmtId="0" fontId="24" fillId="13" borderId="48" xfId="22" applyFont="1" applyFill="1" applyBorder="1" applyAlignment="1" applyProtection="1">
      <alignment horizontal="justify" vertical="top" wrapText="1"/>
      <protection locked="0"/>
    </xf>
    <xf numFmtId="0" fontId="49" fillId="13" borderId="48" xfId="22" applyFont="1" applyFill="1" applyBorder="1" applyAlignment="1" applyProtection="1">
      <alignment horizontal="justify" vertical="top" wrapText="1"/>
      <protection locked="0"/>
    </xf>
    <xf numFmtId="0" fontId="42" fillId="13" borderId="39" xfId="22" applyFont="1" applyFill="1" applyBorder="1" applyAlignment="1" applyProtection="1">
      <alignment horizontal="justify" vertical="top" wrapText="1"/>
      <protection locked="0"/>
    </xf>
    <xf numFmtId="0" fontId="43" fillId="18" borderId="47" xfId="22" applyFont="1" applyFill="1" applyBorder="1" applyAlignment="1" applyProtection="1">
      <alignment horizontal="justify" vertical="top" wrapText="1"/>
      <protection locked="0"/>
    </xf>
    <xf numFmtId="0" fontId="44" fillId="13" borderId="47" xfId="22" applyFont="1" applyFill="1" applyBorder="1" applyAlignment="1" applyProtection="1">
      <alignment horizontal="justify" vertical="top" wrapText="1"/>
      <protection locked="0"/>
    </xf>
    <xf numFmtId="0" fontId="44" fillId="13" borderId="54" xfId="22" applyFont="1" applyFill="1" applyBorder="1" applyAlignment="1" applyProtection="1">
      <alignment horizontal="center" vertical="center" wrapText="1"/>
      <protection locked="0"/>
    </xf>
    <xf numFmtId="0" fontId="44" fillId="18" borderId="47" xfId="22" applyFont="1" applyFill="1" applyBorder="1" applyAlignment="1" applyProtection="1">
      <alignment horizontal="justify" vertical="top" wrapText="1"/>
      <protection locked="0"/>
    </xf>
    <xf numFmtId="0" fontId="24" fillId="13" borderId="41" xfId="22" applyFont="1" applyFill="1" applyBorder="1" applyAlignment="1" applyProtection="1">
      <alignment horizontal="justify" vertical="top" wrapText="1"/>
      <protection locked="0"/>
    </xf>
    <xf numFmtId="0" fontId="24" fillId="18" borderId="48" xfId="22" applyFont="1" applyFill="1" applyBorder="1" applyAlignment="1" applyProtection="1">
      <alignment horizontal="justify" vertical="top"/>
      <protection locked="0"/>
    </xf>
    <xf numFmtId="9" fontId="24" fillId="18" borderId="48" xfId="22" applyNumberFormat="1" applyFont="1" applyFill="1" applyBorder="1" applyAlignment="1" applyProtection="1">
      <alignment horizontal="justify" vertical="top" wrapText="1"/>
      <protection hidden="1"/>
    </xf>
    <xf numFmtId="9" fontId="24" fillId="18" borderId="48" xfId="22" applyNumberFormat="1" applyFont="1" applyFill="1" applyBorder="1" applyAlignment="1" applyProtection="1">
      <alignment horizontal="justify" vertical="top" wrapText="1"/>
      <protection locked="0"/>
    </xf>
    <xf numFmtId="9" fontId="24" fillId="0" borderId="48" xfId="22" applyNumberFormat="1" applyFont="1" applyBorder="1" applyAlignment="1" applyProtection="1">
      <alignment horizontal="justify" vertical="top" wrapText="1"/>
      <protection hidden="1"/>
    </xf>
    <xf numFmtId="0" fontId="24" fillId="18" borderId="49" xfId="22" applyFont="1" applyFill="1" applyBorder="1" applyAlignment="1">
      <alignment horizontal="justify" vertical="top"/>
    </xf>
    <xf numFmtId="0" fontId="24" fillId="18" borderId="49" xfId="22" applyFont="1" applyFill="1" applyBorder="1" applyAlignment="1" applyProtection="1">
      <alignment horizontal="justify" vertical="top" wrapText="1"/>
      <protection locked="0"/>
    </xf>
    <xf numFmtId="0" fontId="24" fillId="18" borderId="49" xfId="22" applyFont="1" applyFill="1" applyBorder="1" applyAlignment="1" applyProtection="1">
      <alignment horizontal="justify" vertical="top"/>
      <protection hidden="1"/>
    </xf>
    <xf numFmtId="0" fontId="24" fillId="18" borderId="49" xfId="22" applyFont="1" applyFill="1" applyBorder="1" applyAlignment="1" applyProtection="1">
      <alignment horizontal="justify" vertical="top" textRotation="90"/>
      <protection locked="0"/>
    </xf>
    <xf numFmtId="9" fontId="24" fillId="18" borderId="49" xfId="22" applyNumberFormat="1" applyFont="1" applyFill="1" applyBorder="1" applyAlignment="1" applyProtection="1">
      <alignment horizontal="justify" vertical="top"/>
      <protection hidden="1"/>
    </xf>
    <xf numFmtId="164" fontId="24" fillId="18" borderId="49" xfId="24" applyNumberFormat="1" applyFont="1" applyFill="1" applyBorder="1" applyAlignment="1">
      <alignment horizontal="justify" vertical="top"/>
    </xf>
    <xf numFmtId="9" fontId="24" fillId="18" borderId="48" xfId="22" applyNumberFormat="1" applyFont="1" applyFill="1" applyBorder="1" applyAlignment="1" applyProtection="1">
      <alignment horizontal="justify" vertical="top"/>
      <protection hidden="1"/>
    </xf>
    <xf numFmtId="0" fontId="24" fillId="18" borderId="48" xfId="22" applyFont="1" applyFill="1" applyBorder="1" applyAlignment="1" applyProtection="1">
      <alignment horizontal="justify" vertical="top" textRotation="90"/>
      <protection locked="0"/>
    </xf>
    <xf numFmtId="0" fontId="24" fillId="18" borderId="49" xfId="22" applyFont="1" applyFill="1" applyBorder="1" applyAlignment="1" applyProtection="1">
      <alignment horizontal="justify" vertical="top"/>
      <protection locked="0"/>
    </xf>
    <xf numFmtId="14" fontId="24" fillId="18" borderId="49" xfId="22" applyNumberFormat="1" applyFont="1" applyFill="1" applyBorder="1" applyAlignment="1" applyProtection="1">
      <alignment horizontal="justify" vertical="top" textRotation="180"/>
      <protection locked="0"/>
    </xf>
    <xf numFmtId="14" fontId="24" fillId="18" borderId="49" xfId="22" applyNumberFormat="1" applyFont="1" applyFill="1" applyBorder="1" applyAlignment="1" applyProtection="1">
      <alignment horizontal="justify" vertical="top"/>
      <protection locked="0"/>
    </xf>
    <xf numFmtId="0" fontId="24" fillId="18" borderId="45" xfId="22" applyFont="1" applyFill="1" applyBorder="1" applyAlignment="1" applyProtection="1">
      <alignment horizontal="center" vertical="center"/>
      <protection locked="0"/>
    </xf>
    <xf numFmtId="0" fontId="27" fillId="0" borderId="37" xfId="23" applyFont="1" applyAlignment="1">
      <alignment horizontal="left" vertical="center" wrapText="1"/>
    </xf>
    <xf numFmtId="0" fontId="24" fillId="0" borderId="51" xfId="22" applyFont="1" applyBorder="1" applyAlignment="1">
      <alignment horizontal="center" vertical="center"/>
    </xf>
    <xf numFmtId="0" fontId="24" fillId="13" borderId="51" xfId="22" applyFont="1" applyFill="1" applyBorder="1" applyAlignment="1" applyProtection="1">
      <alignment horizontal="justify" vertical="top" wrapText="1"/>
      <protection locked="0"/>
    </xf>
    <xf numFmtId="0" fontId="24" fillId="13" borderId="52" xfId="22" applyFont="1" applyFill="1" applyBorder="1" applyAlignment="1" applyProtection="1">
      <alignment horizontal="justify" vertical="top" wrapText="1"/>
      <protection locked="0"/>
    </xf>
    <xf numFmtId="0" fontId="24" fillId="19" borderId="47" xfId="22" applyFont="1" applyFill="1" applyBorder="1" applyAlignment="1" applyProtection="1">
      <alignment horizontal="justify" vertical="top" wrapText="1"/>
      <protection locked="0"/>
    </xf>
    <xf numFmtId="0" fontId="44" fillId="13" borderId="55" xfId="22" applyFont="1" applyFill="1" applyBorder="1" applyAlignment="1" applyProtection="1">
      <alignment horizontal="center" vertical="center" wrapText="1"/>
      <protection locked="0"/>
    </xf>
    <xf numFmtId="0" fontId="48" fillId="19" borderId="47" xfId="22" applyFont="1" applyFill="1" applyBorder="1" applyAlignment="1" applyProtection="1">
      <alignment horizontal="justify" vertical="top" wrapText="1"/>
      <protection locked="0"/>
    </xf>
    <xf numFmtId="0" fontId="24" fillId="13" borderId="53" xfId="22" applyFont="1" applyFill="1" applyBorder="1" applyAlignment="1" applyProtection="1">
      <alignment horizontal="justify" vertical="top" wrapText="1"/>
      <protection locked="0"/>
    </xf>
    <xf numFmtId="0" fontId="24" fillId="6" borderId="48" xfId="22" applyFont="1" applyFill="1" applyBorder="1" applyAlignment="1" applyProtection="1">
      <alignment horizontal="justify" vertical="top"/>
      <protection locked="0"/>
    </xf>
    <xf numFmtId="9" fontId="24" fillId="6" borderId="48" xfId="22" applyNumberFormat="1" applyFont="1" applyFill="1" applyBorder="1" applyAlignment="1" applyProtection="1">
      <alignment horizontal="justify" vertical="top" wrapText="1"/>
      <protection hidden="1"/>
    </xf>
    <xf numFmtId="9" fontId="24" fillId="6" borderId="51" xfId="22" applyNumberFormat="1" applyFont="1" applyFill="1" applyBorder="1" applyAlignment="1" applyProtection="1">
      <alignment horizontal="justify" vertical="top" wrapText="1"/>
      <protection locked="0"/>
    </xf>
    <xf numFmtId="9" fontId="24" fillId="0" borderId="51" xfId="22" applyNumberFormat="1" applyFont="1" applyBorder="1" applyAlignment="1" applyProtection="1">
      <alignment horizontal="justify" vertical="top" wrapText="1"/>
      <protection hidden="1"/>
    </xf>
    <xf numFmtId="0" fontId="24" fillId="6" borderId="49" xfId="22" applyFont="1" applyFill="1" applyBorder="1" applyAlignment="1">
      <alignment horizontal="justify" vertical="top"/>
    </xf>
    <xf numFmtId="0" fontId="24" fillId="6" borderId="49" xfId="22" applyFont="1" applyFill="1" applyBorder="1" applyAlignment="1" applyProtection="1">
      <alignment horizontal="justify" vertical="top" wrapText="1"/>
      <protection locked="0"/>
    </xf>
    <xf numFmtId="0" fontId="24" fillId="6" borderId="49" xfId="22" applyFont="1" applyFill="1" applyBorder="1" applyAlignment="1" applyProtection="1">
      <alignment horizontal="justify" vertical="top"/>
      <protection hidden="1"/>
    </xf>
    <xf numFmtId="0" fontId="24" fillId="6" borderId="49" xfId="22" applyFont="1" applyFill="1" applyBorder="1" applyAlignment="1" applyProtection="1">
      <alignment horizontal="justify" vertical="top" textRotation="90"/>
      <protection locked="0"/>
    </xf>
    <xf numFmtId="9" fontId="24" fillId="6" borderId="49" xfId="22" applyNumberFormat="1" applyFont="1" applyFill="1" applyBorder="1" applyAlignment="1" applyProtection="1">
      <alignment horizontal="justify" vertical="top"/>
      <protection hidden="1"/>
    </xf>
    <xf numFmtId="164" fontId="24" fillId="6" borderId="49" xfId="24" applyNumberFormat="1" applyFont="1" applyFill="1" applyBorder="1" applyAlignment="1">
      <alignment horizontal="justify" vertical="top"/>
    </xf>
    <xf numFmtId="9" fontId="24" fillId="6" borderId="48" xfId="22" applyNumberFormat="1" applyFont="1" applyFill="1" applyBorder="1" applyAlignment="1" applyProtection="1">
      <alignment horizontal="justify" vertical="top"/>
      <protection hidden="1"/>
    </xf>
    <xf numFmtId="0" fontId="43" fillId="6" borderId="49" xfId="22" applyFont="1" applyFill="1" applyBorder="1" applyAlignment="1" applyProtection="1">
      <alignment horizontal="justify" vertical="top" textRotation="90" wrapText="1"/>
      <protection hidden="1"/>
    </xf>
    <xf numFmtId="0" fontId="24" fillId="6" borderId="48" xfId="22" applyFont="1" applyFill="1" applyBorder="1" applyAlignment="1" applyProtection="1">
      <alignment horizontal="justify" vertical="top" textRotation="90"/>
      <protection locked="0"/>
    </xf>
    <xf numFmtId="0" fontId="24" fillId="6" borderId="49" xfId="22" applyFont="1" applyFill="1" applyBorder="1" applyAlignment="1" applyProtection="1">
      <alignment horizontal="justify" vertical="top"/>
      <protection locked="0"/>
    </xf>
    <xf numFmtId="14" fontId="24" fillId="6" borderId="49" xfId="22" applyNumberFormat="1" applyFont="1" applyFill="1" applyBorder="1" applyAlignment="1" applyProtection="1">
      <alignment horizontal="justify" vertical="top" textRotation="180"/>
      <protection locked="0"/>
    </xf>
    <xf numFmtId="14" fontId="24" fillId="6" borderId="49" xfId="22" applyNumberFormat="1" applyFont="1" applyFill="1" applyBorder="1" applyAlignment="1" applyProtection="1">
      <alignment horizontal="justify" vertical="top"/>
      <protection locked="0"/>
    </xf>
    <xf numFmtId="0" fontId="24" fillId="6" borderId="49" xfId="22" applyFont="1" applyFill="1" applyBorder="1" applyAlignment="1" applyProtection="1">
      <alignment horizontal="center" vertical="center"/>
      <protection locked="0"/>
    </xf>
    <xf numFmtId="0" fontId="27" fillId="0" borderId="48" xfId="22" applyFont="1" applyBorder="1" applyAlignment="1">
      <alignment horizontal="center" vertical="center"/>
    </xf>
    <xf numFmtId="0" fontId="27" fillId="15" borderId="48" xfId="22" applyFont="1" applyFill="1" applyBorder="1" applyAlignment="1" applyProtection="1">
      <alignment horizontal="center" vertical="top" wrapText="1"/>
      <protection locked="0"/>
    </xf>
    <xf numFmtId="0" fontId="52" fillId="15" borderId="48" xfId="22" applyFont="1" applyFill="1" applyBorder="1" applyAlignment="1" applyProtection="1">
      <alignment horizontal="left" vertical="top" wrapText="1"/>
      <protection locked="0"/>
    </xf>
    <xf numFmtId="0" fontId="53" fillId="15" borderId="39" xfId="22" applyFont="1" applyFill="1" applyBorder="1" applyAlignment="1" applyProtection="1">
      <alignment horizontal="left" vertical="top" wrapText="1"/>
      <protection locked="0"/>
    </xf>
    <xf numFmtId="0" fontId="43" fillId="14" borderId="47" xfId="22" applyFont="1" applyFill="1" applyBorder="1" applyAlignment="1" applyProtection="1">
      <alignment horizontal="justify" vertical="top" wrapText="1"/>
      <protection locked="0"/>
    </xf>
    <xf numFmtId="0" fontId="30" fillId="15" borderId="47" xfId="22" applyFont="1" applyFill="1" applyBorder="1" applyAlignment="1" applyProtection="1">
      <alignment horizontal="left" vertical="top" wrapText="1"/>
      <protection locked="0"/>
    </xf>
    <xf numFmtId="0" fontId="31" fillId="14" borderId="54" xfId="22" applyFont="1" applyFill="1" applyBorder="1" applyAlignment="1" applyProtection="1">
      <alignment horizontal="center" vertical="center" wrapText="1"/>
      <protection locked="0"/>
    </xf>
    <xf numFmtId="0" fontId="48" fillId="14" borderId="47" xfId="22" applyFont="1" applyFill="1" applyBorder="1" applyAlignment="1" applyProtection="1">
      <alignment horizontal="justify" vertical="top" wrapText="1"/>
      <protection locked="0"/>
    </xf>
    <xf numFmtId="0" fontId="27" fillId="14" borderId="41" xfId="22" applyFont="1" applyFill="1" applyBorder="1" applyAlignment="1" applyProtection="1">
      <alignment horizontal="center" vertical="top" wrapText="1"/>
      <protection locked="0"/>
    </xf>
    <xf numFmtId="0" fontId="27" fillId="14" borderId="48" xfId="22" applyFont="1" applyFill="1" applyBorder="1" applyAlignment="1" applyProtection="1">
      <alignment horizontal="center" vertical="top"/>
      <protection locked="0"/>
    </xf>
    <xf numFmtId="0" fontId="28" fillId="0" borderId="48" xfId="22" applyFont="1" applyBorder="1" applyAlignment="1" applyProtection="1">
      <alignment horizontal="center" vertical="top" textRotation="180" wrapText="1"/>
      <protection hidden="1"/>
    </xf>
    <xf numFmtId="9" fontId="27" fillId="14" borderId="48" xfId="22" applyNumberFormat="1" applyFont="1" applyFill="1" applyBorder="1" applyAlignment="1" applyProtection="1">
      <alignment horizontal="center" vertical="top" wrapText="1"/>
      <protection hidden="1"/>
    </xf>
    <xf numFmtId="9" fontId="27" fillId="14" borderId="48" xfId="22" applyNumberFormat="1" applyFont="1" applyFill="1" applyBorder="1" applyAlignment="1" applyProtection="1">
      <alignment horizontal="center" vertical="top" wrapText="1"/>
      <protection locked="0"/>
    </xf>
    <xf numFmtId="9" fontId="27" fillId="0" borderId="48" xfId="22" applyNumberFormat="1" applyFont="1" applyBorder="1" applyAlignment="1" applyProtection="1">
      <alignment horizontal="center" vertical="top" wrapText="1"/>
      <protection hidden="1"/>
    </xf>
    <xf numFmtId="0" fontId="28" fillId="0" borderId="48" xfId="22" applyFont="1" applyBorder="1" applyAlignment="1" applyProtection="1">
      <alignment horizontal="center" vertical="top" textRotation="180"/>
      <protection hidden="1"/>
    </xf>
    <xf numFmtId="0" fontId="24" fillId="14" borderId="49" xfId="22" applyFont="1" applyFill="1" applyBorder="1" applyAlignment="1">
      <alignment horizontal="justify" vertical="top"/>
    </xf>
    <xf numFmtId="0" fontId="24" fillId="14" borderId="49" xfId="22" applyFont="1" applyFill="1" applyBorder="1" applyAlignment="1" applyProtection="1">
      <alignment horizontal="justify" vertical="top"/>
      <protection locked="0"/>
    </xf>
    <xf numFmtId="0" fontId="24" fillId="14" borderId="49" xfId="22" applyFont="1" applyFill="1" applyBorder="1" applyAlignment="1" applyProtection="1">
      <alignment horizontal="center" vertical="center"/>
      <protection locked="0"/>
    </xf>
    <xf numFmtId="0" fontId="26" fillId="0" borderId="76" xfId="22" applyFont="1" applyBorder="1" applyAlignment="1" applyProtection="1">
      <alignment horizontal="center" vertical="top" wrapText="1"/>
      <protection locked="0"/>
    </xf>
    <xf numFmtId="0" fontId="26" fillId="7" borderId="47" xfId="22" applyFont="1" applyFill="1" applyBorder="1" applyAlignment="1">
      <alignment horizontal="left" vertical="center" wrapText="1"/>
    </xf>
    <xf numFmtId="0" fontId="26" fillId="0" borderId="77" xfId="22" applyFont="1" applyBorder="1" applyAlignment="1" applyProtection="1">
      <alignment horizontal="center" vertical="top" wrapText="1"/>
      <protection locked="0"/>
    </xf>
    <xf numFmtId="0" fontId="26" fillId="0" borderId="49" xfId="22" applyFont="1" applyBorder="1" applyAlignment="1" applyProtection="1">
      <alignment horizontal="left" vertical="top" wrapText="1"/>
      <protection locked="0"/>
    </xf>
    <xf numFmtId="0" fontId="26" fillId="0" borderId="49" xfId="22" applyFont="1" applyBorder="1" applyAlignment="1" applyProtection="1">
      <alignment horizontal="center" vertical="top"/>
      <protection locked="0"/>
    </xf>
    <xf numFmtId="14" fontId="26" fillId="0" borderId="49" xfId="22" applyNumberFormat="1" applyFont="1" applyBorder="1" applyAlignment="1" applyProtection="1">
      <alignment horizontal="center" vertical="top" wrapText="1"/>
      <protection locked="0"/>
    </xf>
    <xf numFmtId="14" fontId="26" fillId="0" borderId="49" xfId="22" applyNumberFormat="1" applyFont="1" applyBorder="1" applyAlignment="1" applyProtection="1">
      <alignment horizontal="center" vertical="top"/>
      <protection locked="0"/>
    </xf>
    <xf numFmtId="0" fontId="26" fillId="0" borderId="78" xfId="22" applyFont="1" applyBorder="1" applyAlignment="1" applyProtection="1">
      <alignment horizontal="center" vertical="top" wrapText="1"/>
      <protection locked="0"/>
    </xf>
    <xf numFmtId="0" fontId="26" fillId="0" borderId="79" xfId="22" applyFont="1" applyBorder="1" applyAlignment="1" applyProtection="1">
      <alignment horizontal="center" vertical="top" wrapText="1"/>
      <protection locked="0"/>
    </xf>
    <xf numFmtId="0" fontId="27" fillId="0" borderId="49" xfId="22" applyFont="1" applyBorder="1" applyAlignment="1" applyProtection="1">
      <alignment horizontal="left" vertical="top" wrapText="1"/>
      <protection locked="0"/>
    </xf>
    <xf numFmtId="14" fontId="27" fillId="0" borderId="49" xfId="22" applyNumberFormat="1" applyFont="1" applyBorder="1" applyAlignment="1" applyProtection="1">
      <alignment horizontal="center" vertical="top" wrapText="1"/>
      <protection locked="0"/>
    </xf>
    <xf numFmtId="0" fontId="24" fillId="0" borderId="49" xfId="22" applyFont="1" applyBorder="1" applyAlignment="1" applyProtection="1">
      <alignment horizontal="justify" vertical="top" wrapText="1"/>
      <protection locked="0"/>
    </xf>
    <xf numFmtId="0" fontId="27" fillId="0" borderId="51" xfId="22" applyFont="1" applyBorder="1" applyAlignment="1">
      <alignment horizontal="center" vertical="center"/>
    </xf>
    <xf numFmtId="0" fontId="26" fillId="0" borderId="51" xfId="22" applyFont="1" applyBorder="1" applyAlignment="1" applyProtection="1">
      <alignment horizontal="center" vertical="top" wrapText="1"/>
      <protection locked="0"/>
    </xf>
    <xf numFmtId="0" fontId="26" fillId="0" borderId="52" xfId="22" applyFont="1" applyBorder="1" applyAlignment="1" applyProtection="1">
      <alignment horizontal="center" vertical="top" wrapText="1"/>
      <protection locked="0"/>
    </xf>
    <xf numFmtId="0" fontId="31" fillId="0" borderId="80" xfId="22" applyFont="1" applyBorder="1" applyAlignment="1" applyProtection="1">
      <alignment horizontal="center" vertical="top" wrapText="1"/>
      <protection locked="0"/>
    </xf>
    <xf numFmtId="0" fontId="26" fillId="0" borderId="53" xfId="22" applyFont="1" applyBorder="1" applyAlignment="1" applyProtection="1">
      <alignment horizontal="center" vertical="top" wrapText="1"/>
      <protection locked="0"/>
    </xf>
    <xf numFmtId="0" fontId="37" fillId="0" borderId="50" xfId="22" applyFont="1" applyBorder="1" applyAlignment="1" applyProtection="1">
      <alignment horizontal="center" vertical="top" wrapText="1"/>
      <protection hidden="1"/>
    </xf>
    <xf numFmtId="9" fontId="26" fillId="0" borderId="50" xfId="22" applyNumberFormat="1" applyFont="1" applyBorder="1" applyAlignment="1" applyProtection="1">
      <alignment horizontal="center" vertical="top" wrapText="1"/>
      <protection hidden="1"/>
    </xf>
    <xf numFmtId="9" fontId="26" fillId="0" borderId="50" xfId="22" applyNumberFormat="1" applyFont="1" applyBorder="1" applyAlignment="1" applyProtection="1">
      <alignment horizontal="center" vertical="top" wrapText="1"/>
      <protection locked="0"/>
    </xf>
    <xf numFmtId="9" fontId="26" fillId="0" borderId="51" xfId="22" applyNumberFormat="1" applyFont="1" applyBorder="1" applyAlignment="1" applyProtection="1">
      <alignment horizontal="center" vertical="top" wrapText="1"/>
      <protection hidden="1"/>
    </xf>
    <xf numFmtId="0" fontId="37" fillId="0" borderId="50" xfId="22" applyFont="1" applyBorder="1" applyAlignment="1" applyProtection="1">
      <alignment horizontal="center" vertical="top"/>
      <protection hidden="1"/>
    </xf>
    <xf numFmtId="0" fontId="27" fillId="7" borderId="37" xfId="22" applyFont="1" applyFill="1" applyAlignment="1">
      <alignment wrapText="1"/>
    </xf>
    <xf numFmtId="0" fontId="27" fillId="7" borderId="47" xfId="22" applyFont="1" applyFill="1" applyBorder="1" applyAlignment="1">
      <alignment horizontal="center" vertical="center" wrapText="1"/>
    </xf>
    <xf numFmtId="0" fontId="26" fillId="0" borderId="49" xfId="22" applyFont="1" applyBorder="1" applyAlignment="1" applyProtection="1">
      <alignment horizontal="left" vertical="center" wrapText="1"/>
      <protection locked="0"/>
    </xf>
    <xf numFmtId="0" fontId="26" fillId="0" borderId="49" xfId="22" applyFont="1" applyBorder="1" applyAlignment="1" applyProtection="1">
      <alignment horizontal="center" vertical="top" wrapText="1"/>
      <protection locked="0"/>
    </xf>
    <xf numFmtId="0" fontId="24" fillId="0" borderId="49" xfId="22" applyFont="1" applyBorder="1" applyAlignment="1" applyProtection="1">
      <alignment horizontal="justify" vertical="top"/>
      <protection locked="0"/>
    </xf>
    <xf numFmtId="0" fontId="27" fillId="0" borderId="37" xfId="22" applyFont="1" applyAlignment="1">
      <alignment horizontal="justify" vertical="center"/>
    </xf>
    <xf numFmtId="0" fontId="34" fillId="6" borderId="37" xfId="22" applyFont="1" applyFill="1" applyAlignment="1">
      <alignment horizontal="center" vertical="center"/>
    </xf>
    <xf numFmtId="0" fontId="27" fillId="7" borderId="113" xfId="22" applyFont="1" applyFill="1" applyBorder="1"/>
    <xf numFmtId="0" fontId="27" fillId="7" borderId="114" xfId="22" applyFont="1" applyFill="1" applyBorder="1"/>
    <xf numFmtId="0" fontId="27" fillId="7" borderId="115" xfId="22" applyFont="1" applyFill="1" applyBorder="1"/>
    <xf numFmtId="0" fontId="26" fillId="7" borderId="37" xfId="22" applyFont="1" applyFill="1" applyAlignment="1" applyProtection="1">
      <alignment horizontal="left" vertical="center"/>
      <protection locked="0"/>
    </xf>
    <xf numFmtId="0" fontId="26" fillId="7" borderId="82" xfId="22" applyFont="1" applyFill="1" applyBorder="1" applyAlignment="1" applyProtection="1">
      <alignment horizontal="left" vertical="center" wrapText="1"/>
      <protection locked="0"/>
    </xf>
    <xf numFmtId="0" fontId="27" fillId="7" borderId="116" xfId="22" applyFont="1" applyFill="1" applyBorder="1"/>
    <xf numFmtId="0" fontId="26" fillId="7" borderId="54" xfId="22" applyFont="1" applyFill="1" applyBorder="1" applyAlignment="1" applyProtection="1">
      <alignment horizontal="left" vertical="center" wrapText="1"/>
      <protection locked="0"/>
    </xf>
    <xf numFmtId="0" fontId="28" fillId="20" borderId="117" xfId="22" applyFont="1" applyFill="1" applyBorder="1" applyAlignment="1">
      <alignment horizontal="center" vertical="center"/>
    </xf>
    <xf numFmtId="0" fontId="28" fillId="20" borderId="118" xfId="22" applyFont="1" applyFill="1" applyBorder="1" applyAlignment="1">
      <alignment horizontal="center" vertical="center"/>
    </xf>
    <xf numFmtId="0" fontId="28" fillId="20" borderId="119" xfId="22" applyFont="1" applyFill="1" applyBorder="1" applyAlignment="1">
      <alignment horizontal="center" vertical="center"/>
    </xf>
    <xf numFmtId="0" fontId="28" fillId="6" borderId="39" xfId="22" applyFont="1" applyFill="1" applyBorder="1" applyAlignment="1">
      <alignment horizontal="center" vertical="center" textRotation="90" wrapText="1"/>
    </xf>
    <xf numFmtId="0" fontId="28" fillId="6" borderId="38" xfId="22" applyFont="1" applyFill="1" applyBorder="1" applyAlignment="1">
      <alignment horizontal="center" vertical="center" wrapText="1"/>
    </xf>
    <xf numFmtId="0" fontId="28" fillId="26" borderId="38" xfId="22" applyFont="1" applyFill="1" applyBorder="1" applyAlignment="1">
      <alignment horizontal="center" vertical="center" wrapText="1"/>
    </xf>
    <xf numFmtId="0" fontId="28" fillId="6" borderId="42" xfId="22" applyFont="1" applyFill="1" applyBorder="1" applyAlignment="1">
      <alignment horizontal="center" vertical="center" textRotation="90" wrapText="1"/>
    </xf>
    <xf numFmtId="0" fontId="27" fillId="0" borderId="106" xfId="22" applyFont="1" applyBorder="1" applyAlignment="1">
      <alignment horizontal="center" vertical="center"/>
    </xf>
    <xf numFmtId="0" fontId="26" fillId="0" borderId="38" xfId="22" applyFont="1" applyBorder="1" applyAlignment="1" applyProtection="1">
      <alignment horizontal="center" vertical="center" wrapText="1"/>
      <protection locked="0"/>
    </xf>
    <xf numFmtId="0" fontId="27" fillId="0" borderId="38" xfId="22" applyFont="1" applyBorder="1" applyAlignment="1" applyProtection="1">
      <alignment horizontal="center" vertical="center" wrapText="1"/>
      <protection locked="0"/>
    </xf>
    <xf numFmtId="0" fontId="27" fillId="0" borderId="38" xfId="22" applyFont="1" applyBorder="1" applyAlignment="1" applyProtection="1">
      <alignment horizontal="center" vertical="center" wrapText="1"/>
      <protection locked="0"/>
    </xf>
    <xf numFmtId="0" fontId="31" fillId="0" borderId="38" xfId="22" applyFont="1" applyBorder="1" applyAlignment="1" applyProtection="1">
      <alignment horizontal="center" vertical="center" wrapText="1"/>
      <protection locked="0"/>
    </xf>
    <xf numFmtId="0" fontId="26" fillId="0" borderId="38" xfId="22" applyFont="1" applyBorder="1" applyAlignment="1" applyProtection="1">
      <alignment horizontal="center" vertical="center"/>
      <protection locked="0"/>
    </xf>
    <xf numFmtId="0" fontId="37" fillId="0" borderId="38" xfId="22" applyFont="1" applyBorder="1" applyAlignment="1" applyProtection="1">
      <alignment horizontal="center" vertical="center" wrapText="1"/>
      <protection hidden="1"/>
    </xf>
    <xf numFmtId="9" fontId="26" fillId="0" borderId="38" xfId="22" applyNumberFormat="1" applyFont="1" applyBorder="1" applyAlignment="1" applyProtection="1">
      <alignment horizontal="center" vertical="center" wrapText="1"/>
      <protection hidden="1"/>
    </xf>
    <xf numFmtId="9" fontId="26" fillId="0" borderId="38" xfId="22" applyNumberFormat="1" applyFont="1" applyBorder="1" applyAlignment="1" applyProtection="1">
      <alignment horizontal="center" vertical="center" wrapText="1"/>
      <protection locked="0"/>
    </xf>
    <xf numFmtId="0" fontId="37" fillId="0" borderId="39" xfId="22" applyFont="1" applyBorder="1" applyAlignment="1" applyProtection="1">
      <alignment horizontal="center" vertical="center" wrapText="1"/>
      <protection hidden="1"/>
    </xf>
    <xf numFmtId="0" fontId="37" fillId="0" borderId="38" xfId="22" applyFont="1" applyBorder="1" applyAlignment="1" applyProtection="1">
      <alignment horizontal="center" vertical="center"/>
      <protection hidden="1"/>
    </xf>
    <xf numFmtId="0" fontId="27" fillId="0" borderId="120" xfId="22" applyFont="1" applyBorder="1" applyAlignment="1">
      <alignment horizontal="center" vertical="center"/>
    </xf>
    <xf numFmtId="0" fontId="26" fillId="0" borderId="48" xfId="22" applyFont="1" applyBorder="1" applyAlignment="1" applyProtection="1">
      <alignment horizontal="center" vertical="center" textRotation="90"/>
      <protection locked="0"/>
    </xf>
    <xf numFmtId="0" fontId="26" fillId="0" borderId="121" xfId="22" applyFont="1" applyBorder="1" applyAlignment="1" applyProtection="1">
      <alignment vertical="center" wrapText="1"/>
      <protection locked="0"/>
    </xf>
    <xf numFmtId="0" fontId="26" fillId="0" borderId="51" xfId="22" applyFont="1" applyBorder="1" applyAlignment="1" applyProtection="1">
      <alignment vertical="center" wrapText="1"/>
      <protection locked="0"/>
    </xf>
    <xf numFmtId="14" fontId="26" fillId="0" borderId="122" xfId="22" applyNumberFormat="1" applyFont="1" applyBorder="1" applyAlignment="1" applyProtection="1">
      <alignment horizontal="center" vertical="center" wrapText="1"/>
      <protection locked="0"/>
    </xf>
    <xf numFmtId="14" fontId="26" fillId="0" borderId="123" xfId="22" applyNumberFormat="1" applyFont="1" applyBorder="1" applyAlignment="1" applyProtection="1">
      <alignment horizontal="center" vertical="center" wrapText="1"/>
      <protection locked="0"/>
    </xf>
    <xf numFmtId="0" fontId="27" fillId="0" borderId="53" xfId="22" applyFont="1" applyBorder="1" applyAlignment="1" applyProtection="1">
      <alignment horizontal="center" vertical="center" wrapText="1"/>
      <protection locked="0"/>
    </xf>
    <xf numFmtId="0" fontId="26" fillId="0" borderId="50" xfId="22" applyFont="1" applyBorder="1" applyAlignment="1" applyProtection="1">
      <alignment horizontal="center" vertical="center"/>
      <protection locked="0"/>
    </xf>
    <xf numFmtId="0" fontId="27" fillId="7" borderId="124" xfId="22" applyFont="1" applyFill="1" applyBorder="1" applyAlignment="1">
      <alignment vertical="center" wrapText="1"/>
    </xf>
    <xf numFmtId="0" fontId="27" fillId="0" borderId="107" xfId="22" applyFont="1" applyBorder="1" applyAlignment="1">
      <alignment horizontal="center" vertical="center"/>
    </xf>
    <xf numFmtId="0" fontId="37" fillId="0" borderId="52" xfId="22" applyFont="1" applyBorder="1" applyAlignment="1" applyProtection="1">
      <alignment horizontal="center" vertical="center" wrapText="1"/>
      <protection hidden="1"/>
    </xf>
    <xf numFmtId="0" fontId="26" fillId="0" borderId="51" xfId="22" applyFont="1" applyBorder="1" applyAlignment="1" applyProtection="1">
      <alignment horizontal="center" vertical="center" textRotation="90"/>
      <protection locked="0"/>
    </xf>
    <xf numFmtId="0" fontId="26" fillId="0" borderId="125" xfId="22" applyFont="1" applyBorder="1" applyAlignment="1" applyProtection="1">
      <alignment vertical="center" wrapText="1"/>
      <protection locked="0"/>
    </xf>
    <xf numFmtId="0" fontId="26" fillId="0" borderId="48" xfId="22" applyFont="1" applyBorder="1" applyAlignment="1" applyProtection="1">
      <alignment vertical="center" wrapText="1"/>
      <protection locked="0"/>
    </xf>
    <xf numFmtId="14" fontId="26" fillId="0" borderId="126" xfId="22" applyNumberFormat="1" applyFont="1" applyBorder="1" applyAlignment="1" applyProtection="1">
      <alignment horizontal="center" vertical="center" wrapText="1"/>
      <protection locked="0"/>
    </xf>
    <xf numFmtId="14" fontId="26" fillId="0" borderId="127" xfId="22" applyNumberFormat="1" applyFont="1" applyBorder="1" applyAlignment="1" applyProtection="1">
      <alignment horizontal="center" vertical="center" wrapText="1"/>
      <protection locked="0"/>
    </xf>
    <xf numFmtId="0" fontId="27" fillId="0" borderId="120" xfId="22" applyFont="1" applyBorder="1" applyAlignment="1" applyProtection="1">
      <alignment horizontal="center" vertical="center" wrapText="1"/>
      <protection locked="0"/>
    </xf>
    <xf numFmtId="0" fontId="26" fillId="0" borderId="50" xfId="22" applyFont="1" applyBorder="1" applyAlignment="1" applyProtection="1">
      <alignment horizontal="center" vertical="center" textRotation="90"/>
      <protection locked="0"/>
    </xf>
    <xf numFmtId="0" fontId="26" fillId="0" borderId="56" xfId="22" applyFont="1" applyBorder="1" applyAlignment="1">
      <alignment horizontal="center" vertical="center" wrapText="1"/>
    </xf>
    <xf numFmtId="0" fontId="26" fillId="0" borderId="58" xfId="22" applyFont="1" applyBorder="1" applyAlignment="1">
      <alignment horizontal="center" vertical="center" wrapText="1"/>
    </xf>
    <xf numFmtId="0" fontId="37" fillId="0" borderId="65" xfId="22" applyFont="1" applyBorder="1" applyAlignment="1">
      <alignment horizontal="center" vertical="center" wrapText="1"/>
    </xf>
    <xf numFmtId="9" fontId="26" fillId="0" borderId="65" xfId="22" applyNumberFormat="1" applyFont="1" applyBorder="1" applyAlignment="1">
      <alignment horizontal="center" vertical="center" wrapText="1"/>
    </xf>
    <xf numFmtId="0" fontId="37" fillId="0" borderId="65" xfId="22" applyFont="1" applyBorder="1" applyAlignment="1">
      <alignment horizontal="center" vertical="center"/>
    </xf>
    <xf numFmtId="0" fontId="27" fillId="0" borderId="70" xfId="22" applyFont="1" applyBorder="1" applyAlignment="1">
      <alignment horizontal="center" vertical="center"/>
    </xf>
    <xf numFmtId="0" fontId="27" fillId="0" borderId="70" xfId="22" applyFont="1" applyBorder="1" applyAlignment="1">
      <alignment horizontal="left" vertical="center" wrapText="1"/>
    </xf>
    <xf numFmtId="0" fontId="26" fillId="0" borderId="70" xfId="22" applyFont="1" applyBorder="1" applyAlignment="1">
      <alignment horizontal="center" vertical="center" textRotation="90"/>
    </xf>
    <xf numFmtId="9" fontId="26" fillId="0" borderId="70" xfId="22" applyNumberFormat="1" applyFont="1" applyBorder="1" applyAlignment="1">
      <alignment horizontal="center" vertical="center"/>
    </xf>
    <xf numFmtId="164" fontId="27" fillId="0" borderId="70" xfId="22" applyNumberFormat="1" applyFont="1" applyBorder="1" applyAlignment="1">
      <alignment horizontal="center" vertical="center"/>
    </xf>
    <xf numFmtId="0" fontId="37" fillId="0" borderId="70" xfId="22" applyFont="1" applyBorder="1" applyAlignment="1">
      <alignment horizontal="center" vertical="center" textRotation="90" wrapText="1"/>
    </xf>
    <xf numFmtId="9" fontId="26" fillId="0" borderId="65" xfId="22" applyNumberFormat="1" applyFont="1" applyBorder="1" applyAlignment="1">
      <alignment horizontal="center" vertical="center"/>
    </xf>
    <xf numFmtId="0" fontId="37" fillId="0" borderId="70" xfId="22" applyFont="1" applyBorder="1" applyAlignment="1">
      <alignment horizontal="center" vertical="center" textRotation="90"/>
    </xf>
    <xf numFmtId="0" fontId="26" fillId="0" borderId="65" xfId="22" applyFont="1" applyBorder="1" applyAlignment="1">
      <alignment horizontal="center" vertical="center" textRotation="90"/>
    </xf>
    <xf numFmtId="0" fontId="26" fillId="0" borderId="70" xfId="22" applyFont="1" applyBorder="1" applyAlignment="1">
      <alignment horizontal="center" vertical="center" wrapText="1"/>
    </xf>
    <xf numFmtId="166" fontId="26" fillId="0" borderId="70" xfId="22" applyNumberFormat="1" applyFont="1" applyBorder="1" applyAlignment="1">
      <alignment horizontal="center" vertical="center"/>
    </xf>
    <xf numFmtId="0" fontId="26" fillId="0" borderId="70" xfId="22" applyFont="1" applyBorder="1" applyAlignment="1">
      <alignment horizontal="center" vertical="top"/>
    </xf>
    <xf numFmtId="0" fontId="27" fillId="0" borderId="56" xfId="22" applyFont="1" applyBorder="1" applyAlignment="1">
      <alignment horizontal="center" vertical="center" wrapText="1"/>
    </xf>
    <xf numFmtId="0" fontId="27" fillId="0" borderId="58" xfId="22" applyFont="1" applyBorder="1" applyAlignment="1">
      <alignment horizontal="center" vertical="center" wrapText="1"/>
    </xf>
    <xf numFmtId="0" fontId="28" fillId="0" borderId="65" xfId="22" applyFont="1" applyBorder="1" applyAlignment="1">
      <alignment horizontal="center" vertical="top" wrapText="1"/>
    </xf>
    <xf numFmtId="9" fontId="27" fillId="0" borderId="65" xfId="22" applyNumberFormat="1" applyFont="1" applyBorder="1" applyAlignment="1">
      <alignment horizontal="center" vertical="top" wrapText="1"/>
    </xf>
    <xf numFmtId="0" fontId="28" fillId="0" borderId="65" xfId="22" applyFont="1" applyBorder="1" applyAlignment="1">
      <alignment horizontal="center" vertical="top"/>
    </xf>
    <xf numFmtId="0" fontId="27" fillId="0" borderId="37" xfId="22" applyFont="1" applyAlignment="1">
      <alignment vertical="center" wrapText="1"/>
    </xf>
    <xf numFmtId="0" fontId="27" fillId="0" borderId="37" xfId="22" applyFont="1" applyAlignment="1">
      <alignment horizontal="center" vertical="center" wrapText="1"/>
    </xf>
    <xf numFmtId="0" fontId="24" fillId="0" borderId="65" xfId="22" applyFont="1" applyBorder="1" applyAlignment="1">
      <alignment vertical="center" wrapText="1"/>
    </xf>
    <xf numFmtId="0" fontId="11" fillId="0" borderId="66" xfId="22" applyFont="1" applyBorder="1" applyAlignment="1">
      <alignment vertical="center"/>
    </xf>
    <xf numFmtId="0" fontId="27" fillId="0" borderId="65" xfId="22" applyFont="1" applyBorder="1" applyAlignment="1">
      <alignment vertical="top" wrapText="1"/>
    </xf>
    <xf numFmtId="0" fontId="24" fillId="0" borderId="66" xfId="22" applyFont="1" applyBorder="1" applyAlignment="1">
      <alignment vertical="center" wrapText="1"/>
    </xf>
    <xf numFmtId="0" fontId="27" fillId="0" borderId="70" xfId="22" applyFont="1" applyBorder="1" applyAlignment="1">
      <alignment horizontal="left" vertical="top"/>
    </xf>
    <xf numFmtId="166" fontId="27" fillId="0" borderId="70" xfId="22" applyNumberFormat="1" applyFont="1" applyBorder="1" applyAlignment="1">
      <alignment horizontal="center" vertical="center"/>
    </xf>
    <xf numFmtId="0" fontId="24" fillId="0" borderId="69" xfId="22" applyFont="1" applyBorder="1" applyAlignment="1">
      <alignment vertical="center" wrapText="1"/>
    </xf>
    <xf numFmtId="0" fontId="27" fillId="0" borderId="56" xfId="22" applyFont="1" applyBorder="1" applyAlignment="1">
      <alignment horizontal="center" vertical="top" wrapText="1"/>
    </xf>
    <xf numFmtId="0" fontId="28" fillId="0" borderId="65" xfId="22" applyFont="1" applyBorder="1" applyAlignment="1">
      <alignment horizontal="center" vertical="center" wrapText="1"/>
    </xf>
    <xf numFmtId="0" fontId="28" fillId="0" borderId="65" xfId="22" applyFont="1" applyBorder="1" applyAlignment="1">
      <alignment horizontal="center" vertical="center"/>
    </xf>
    <xf numFmtId="9" fontId="26" fillId="0" borderId="65" xfId="22" applyNumberFormat="1" applyFont="1" applyBorder="1" applyAlignment="1">
      <alignment horizontal="center" vertical="center"/>
    </xf>
    <xf numFmtId="164" fontId="27" fillId="0" borderId="65" xfId="22" applyNumberFormat="1" applyFont="1" applyBorder="1" applyAlignment="1">
      <alignment horizontal="center" vertical="center"/>
    </xf>
    <xf numFmtId="0" fontId="37" fillId="0" borderId="65" xfId="22" applyFont="1" applyBorder="1" applyAlignment="1">
      <alignment horizontal="center" vertical="center" textRotation="90" wrapText="1"/>
    </xf>
    <xf numFmtId="0" fontId="37" fillId="0" borderId="65" xfId="22" applyFont="1" applyBorder="1" applyAlignment="1">
      <alignment horizontal="center" vertical="center" textRotation="90"/>
    </xf>
    <xf numFmtId="0" fontId="24" fillId="0" borderId="69" xfId="22" applyFont="1" applyBorder="1" applyAlignment="1">
      <alignment vertical="top" wrapText="1"/>
    </xf>
    <xf numFmtId="0" fontId="34" fillId="8" borderId="56" xfId="22" applyFont="1" applyFill="1" applyBorder="1" applyAlignment="1">
      <alignment horizontal="center" vertical="center"/>
    </xf>
    <xf numFmtId="0" fontId="26" fillId="0" borderId="65" xfId="22" applyFont="1" applyBorder="1" applyAlignment="1">
      <alignment horizontal="center" vertical="center" wrapText="1"/>
    </xf>
    <xf numFmtId="0" fontId="26" fillId="0" borderId="70" xfId="22" applyFont="1" applyBorder="1" applyAlignment="1">
      <alignment horizontal="center" vertical="top" wrapText="1"/>
    </xf>
    <xf numFmtId="166" fontId="26" fillId="3" borderId="70" xfId="22" applyNumberFormat="1" applyFont="1" applyFill="1" applyBorder="1" applyAlignment="1">
      <alignment horizontal="center" vertical="top" wrapText="1"/>
    </xf>
    <xf numFmtId="166" fontId="26" fillId="0" borderId="70" xfId="22" applyNumberFormat="1" applyFont="1" applyBorder="1" applyAlignment="1">
      <alignment horizontal="center" vertical="top" wrapText="1"/>
    </xf>
    <xf numFmtId="0" fontId="11" fillId="0" borderId="66" xfId="22" applyFont="1" applyBorder="1" applyAlignment="1">
      <alignment horizontal="center" vertical="center"/>
    </xf>
    <xf numFmtId="0" fontId="11" fillId="0" borderId="67" xfId="22" applyFont="1" applyBorder="1" applyAlignment="1">
      <alignment horizontal="center" vertical="center"/>
    </xf>
    <xf numFmtId="0" fontId="28" fillId="0" borderId="70" xfId="22" applyFont="1" applyBorder="1" applyAlignment="1">
      <alignment horizontal="center" vertical="center" wrapText="1"/>
    </xf>
    <xf numFmtId="0" fontId="13" fillId="0" borderId="66" xfId="22" applyFont="1" applyBorder="1" applyAlignment="1">
      <alignment horizontal="center" vertical="center" wrapText="1"/>
    </xf>
    <xf numFmtId="0" fontId="11" fillId="0" borderId="73" xfId="22" applyFont="1" applyBorder="1" applyAlignment="1">
      <alignment horizontal="center" vertical="center"/>
    </xf>
    <xf numFmtId="0" fontId="28" fillId="0" borderId="70" xfId="22" applyFont="1" applyBorder="1" applyAlignment="1">
      <alignment horizontal="center" vertical="top" wrapText="1"/>
    </xf>
    <xf numFmtId="0" fontId="95" fillId="7" borderId="47" xfId="22" applyFont="1" applyFill="1" applyBorder="1" applyAlignment="1" applyProtection="1">
      <alignment horizontal="left" vertical="center"/>
      <protection locked="0"/>
    </xf>
    <xf numFmtId="0" fontId="26" fillId="7" borderId="47" xfId="22" applyFont="1" applyFill="1" applyBorder="1" applyAlignment="1" applyProtection="1">
      <alignment horizontal="justify" vertical="center" wrapText="1"/>
      <protection locked="0"/>
    </xf>
    <xf numFmtId="0" fontId="26" fillId="0" borderId="48" xfId="22" applyFont="1" applyBorder="1" applyAlignment="1" applyProtection="1">
      <alignment horizontal="justify" vertical="top" wrapText="1"/>
      <protection locked="0"/>
    </xf>
    <xf numFmtId="0" fontId="26" fillId="0" borderId="39" xfId="22" applyFont="1" applyBorder="1" applyAlignment="1" applyProtection="1">
      <alignment horizontal="justify" vertical="top" wrapText="1"/>
      <protection locked="0"/>
    </xf>
    <xf numFmtId="0" fontId="27" fillId="7" borderId="47" xfId="22" applyFont="1" applyFill="1" applyBorder="1" applyAlignment="1">
      <alignment horizontal="justify" vertical="top" wrapText="1"/>
    </xf>
    <xf numFmtId="0" fontId="31" fillId="0" borderId="47" xfId="22" applyFont="1" applyBorder="1" applyAlignment="1" applyProtection="1">
      <alignment horizontal="justify" vertical="top" wrapText="1"/>
      <protection locked="0"/>
    </xf>
    <xf numFmtId="0" fontId="31" fillId="0" borderId="54" xfId="22" applyFont="1" applyBorder="1" applyAlignment="1" applyProtection="1">
      <alignment horizontal="justify" vertical="top" wrapText="1"/>
      <protection locked="0"/>
    </xf>
    <xf numFmtId="0" fontId="31" fillId="0" borderId="86" xfId="22" applyFont="1" applyBorder="1" applyAlignment="1" applyProtection="1">
      <alignment horizontal="justify" vertical="top" wrapText="1"/>
      <protection locked="0"/>
    </xf>
    <xf numFmtId="0" fontId="26" fillId="0" borderId="128" xfId="22" applyFont="1" applyBorder="1" applyAlignment="1" applyProtection="1">
      <alignment horizontal="center" vertical="top" wrapText="1"/>
      <protection locked="0"/>
    </xf>
    <xf numFmtId="0" fontId="26" fillId="0" borderId="128" xfId="22" applyFont="1" applyBorder="1" applyAlignment="1" applyProtection="1">
      <alignment horizontal="center" vertical="top"/>
      <protection locked="0"/>
    </xf>
    <xf numFmtId="0" fontId="37" fillId="0" borderId="128" xfId="22" applyFont="1" applyBorder="1" applyAlignment="1" applyProtection="1">
      <alignment horizontal="center" vertical="top" wrapText="1"/>
      <protection hidden="1"/>
    </xf>
    <xf numFmtId="9" fontId="26" fillId="0" borderId="128" xfId="22" applyNumberFormat="1" applyFont="1" applyBorder="1" applyAlignment="1" applyProtection="1">
      <alignment horizontal="center" vertical="top" wrapText="1"/>
      <protection hidden="1"/>
    </xf>
    <xf numFmtId="9" fontId="26" fillId="0" borderId="129" xfId="22" applyNumberFormat="1" applyFont="1" applyBorder="1" applyAlignment="1" applyProtection="1">
      <alignment horizontal="center" vertical="top" wrapText="1"/>
      <protection locked="0"/>
    </xf>
    <xf numFmtId="0" fontId="26" fillId="0" borderId="45" xfId="22" applyFont="1" applyBorder="1" applyAlignment="1" applyProtection="1">
      <alignment horizontal="center" vertical="top" textRotation="90"/>
      <protection locked="0"/>
    </xf>
    <xf numFmtId="164" fontId="27" fillId="0" borderId="38" xfId="24" applyNumberFormat="1" applyFont="1" applyFill="1" applyBorder="1" applyAlignment="1">
      <alignment horizontal="center" vertical="top"/>
    </xf>
    <xf numFmtId="0" fontId="37" fillId="0" borderId="41" xfId="22" applyFont="1" applyBorder="1" applyAlignment="1" applyProtection="1">
      <alignment horizontal="center" vertical="top" textRotation="90" wrapText="1"/>
      <protection hidden="1"/>
    </xf>
    <xf numFmtId="0" fontId="37" fillId="0" borderId="48" xfId="22" applyFont="1" applyBorder="1" applyAlignment="1" applyProtection="1">
      <alignment horizontal="center" vertical="top" textRotation="90"/>
      <protection hidden="1"/>
    </xf>
    <xf numFmtId="14" fontId="26" fillId="0" borderId="49" xfId="22" applyNumberFormat="1" applyFont="1" applyBorder="1" applyAlignment="1" applyProtection="1">
      <alignment horizontal="justify" vertical="top" wrapText="1"/>
      <protection locked="0"/>
    </xf>
    <xf numFmtId="0" fontId="26" fillId="0" borderId="51" xfId="22" applyFont="1" applyBorder="1" applyAlignment="1" applyProtection="1">
      <alignment horizontal="justify" vertical="top" wrapText="1"/>
      <protection locked="0"/>
    </xf>
    <xf numFmtId="0" fontId="26" fillId="0" borderId="52" xfId="22" applyFont="1" applyBorder="1" applyAlignment="1" applyProtection="1">
      <alignment horizontal="justify" vertical="top" wrapText="1"/>
      <protection locked="0"/>
    </xf>
    <xf numFmtId="0" fontId="31" fillId="0" borderId="55" xfId="22" applyFont="1" applyBorder="1" applyAlignment="1" applyProtection="1">
      <alignment horizontal="justify" vertical="top" wrapText="1"/>
      <protection locked="0"/>
    </xf>
    <xf numFmtId="0" fontId="26" fillId="0" borderId="130" xfId="22" applyFont="1" applyBorder="1" applyAlignment="1" applyProtection="1">
      <alignment horizontal="center" vertical="top" wrapText="1"/>
      <protection locked="0"/>
    </xf>
    <xf numFmtId="0" fontId="26" fillId="0" borderId="130" xfId="22" applyFont="1" applyBorder="1" applyAlignment="1" applyProtection="1">
      <alignment horizontal="center" vertical="top"/>
      <protection locked="0"/>
    </xf>
    <xf numFmtId="0" fontId="37" fillId="0" borderId="131" xfId="22" applyFont="1" applyBorder="1" applyAlignment="1" applyProtection="1">
      <alignment horizontal="center" vertical="top" wrapText="1"/>
      <protection hidden="1"/>
    </xf>
    <xf numFmtId="9" fontId="26" fillId="0" borderId="130" xfId="22" applyNumberFormat="1" applyFont="1" applyBorder="1" applyAlignment="1" applyProtection="1">
      <alignment horizontal="center" vertical="top" wrapText="1"/>
      <protection hidden="1"/>
    </xf>
    <xf numFmtId="9" fontId="26" fillId="0" borderId="132" xfId="22" applyNumberFormat="1" applyFont="1" applyBorder="1" applyAlignment="1" applyProtection="1">
      <alignment horizontal="center" vertical="top" wrapText="1"/>
      <protection locked="0"/>
    </xf>
    <xf numFmtId="0" fontId="1" fillId="0" borderId="51" xfId="22" applyBorder="1" applyAlignment="1">
      <alignment horizontal="center" vertical="top" textRotation="90"/>
    </xf>
    <xf numFmtId="0" fontId="26" fillId="0" borderId="47" xfId="22" applyFont="1" applyBorder="1" applyAlignment="1" applyProtection="1">
      <alignment horizontal="justify" vertical="top" wrapText="1"/>
      <protection locked="0"/>
    </xf>
    <xf numFmtId="0" fontId="26" fillId="0" borderId="131" xfId="22" applyFont="1" applyBorder="1" applyAlignment="1" applyProtection="1">
      <alignment horizontal="center" vertical="top" wrapText="1"/>
      <protection locked="0"/>
    </xf>
    <xf numFmtId="0" fontId="26" fillId="0" borderId="131" xfId="22" applyFont="1" applyBorder="1" applyAlignment="1" applyProtection="1">
      <alignment horizontal="center" vertical="top"/>
      <protection locked="0"/>
    </xf>
    <xf numFmtId="0" fontId="37" fillId="0" borderId="130" xfId="22" applyFont="1" applyBorder="1" applyAlignment="1" applyProtection="1">
      <alignment horizontal="center" vertical="top" wrapText="1"/>
      <protection hidden="1"/>
    </xf>
    <xf numFmtId="9" fontId="26" fillId="0" borderId="133" xfId="22" applyNumberFormat="1" applyFont="1" applyBorder="1" applyAlignment="1" applyProtection="1">
      <alignment horizontal="center" vertical="top" wrapText="1"/>
      <protection hidden="1"/>
    </xf>
    <xf numFmtId="0" fontId="26" fillId="0" borderId="134" xfId="22" applyFont="1" applyBorder="1" applyAlignment="1" applyProtection="1">
      <alignment horizontal="center" vertical="top" wrapText="1"/>
      <protection locked="0"/>
    </xf>
    <xf numFmtId="0" fontId="26" fillId="0" borderId="134" xfId="22" applyFont="1" applyBorder="1" applyAlignment="1" applyProtection="1">
      <alignment horizontal="center" vertical="top"/>
      <protection locked="0"/>
    </xf>
    <xf numFmtId="0" fontId="37" fillId="0" borderId="134" xfId="22" applyFont="1" applyBorder="1" applyAlignment="1" applyProtection="1">
      <alignment horizontal="center" vertical="top" wrapText="1"/>
      <protection hidden="1"/>
    </xf>
    <xf numFmtId="9" fontId="26" fillId="0" borderId="135" xfId="22" applyNumberFormat="1" applyFont="1" applyBorder="1" applyAlignment="1" applyProtection="1">
      <alignment horizontal="center" vertical="top" wrapText="1"/>
      <protection hidden="1"/>
    </xf>
    <xf numFmtId="0" fontId="1" fillId="0" borderId="50" xfId="22" applyBorder="1" applyAlignment="1">
      <alignment horizontal="center" vertical="top" textRotation="90"/>
    </xf>
    <xf numFmtId="0" fontId="27" fillId="0" borderId="48" xfId="22" applyFont="1" applyBorder="1" applyAlignment="1" applyProtection="1">
      <alignment horizontal="justify" vertical="top" wrapText="1"/>
      <protection locked="0"/>
    </xf>
    <xf numFmtId="0" fontId="27" fillId="0" borderId="39" xfId="22" applyFont="1" applyBorder="1" applyAlignment="1" applyProtection="1">
      <alignment horizontal="justify" vertical="top" wrapText="1"/>
      <protection locked="0"/>
    </xf>
    <xf numFmtId="0" fontId="27" fillId="0" borderId="47" xfId="22" applyFont="1" applyBorder="1" applyAlignment="1" applyProtection="1">
      <alignment horizontal="justify" vertical="top" wrapText="1"/>
      <protection locked="0"/>
    </xf>
    <xf numFmtId="0" fontId="30" fillId="0" borderId="47" xfId="22" applyFont="1" applyBorder="1" applyAlignment="1" applyProtection="1">
      <alignment horizontal="justify" vertical="top" wrapText="1"/>
      <protection locked="0"/>
    </xf>
    <xf numFmtId="0" fontId="31" fillId="0" borderId="54" xfId="22" applyFont="1" applyBorder="1" applyAlignment="1" applyProtection="1">
      <alignment horizontal="justify" vertical="top" wrapText="1"/>
      <protection locked="0"/>
    </xf>
    <xf numFmtId="0" fontId="27" fillId="0" borderId="136" xfId="22" applyFont="1" applyBorder="1" applyAlignment="1" applyProtection="1">
      <alignment horizontal="center" vertical="top" wrapText="1"/>
      <protection locked="0"/>
    </xf>
    <xf numFmtId="0" fontId="27" fillId="0" borderId="137" xfId="22" applyFont="1" applyBorder="1" applyAlignment="1" applyProtection="1">
      <alignment horizontal="center" vertical="top"/>
      <protection locked="0"/>
    </xf>
    <xf numFmtId="0" fontId="28" fillId="0" borderId="137" xfId="22" applyFont="1" applyBorder="1" applyAlignment="1" applyProtection="1">
      <alignment horizontal="center" vertical="top" wrapText="1"/>
      <protection hidden="1"/>
    </xf>
    <xf numFmtId="9" fontId="27" fillId="0" borderId="51" xfId="22" applyNumberFormat="1" applyFont="1" applyBorder="1" applyAlignment="1" applyProtection="1">
      <alignment horizontal="center" vertical="top" wrapText="1"/>
      <protection hidden="1"/>
    </xf>
    <xf numFmtId="9" fontId="27" fillId="0" borderId="48" xfId="22" applyNumberFormat="1" applyFont="1" applyBorder="1" applyAlignment="1" applyProtection="1">
      <alignment horizontal="center" vertical="top" wrapText="1"/>
      <protection locked="0"/>
    </xf>
    <xf numFmtId="0" fontId="28" fillId="0" borderId="48" xfId="22" applyFont="1" applyBorder="1" applyAlignment="1" applyProtection="1">
      <alignment horizontal="center" vertical="top" wrapText="1"/>
      <protection hidden="1"/>
    </xf>
    <xf numFmtId="0" fontId="28" fillId="0" borderId="48" xfId="22" applyFont="1" applyBorder="1" applyAlignment="1" applyProtection="1">
      <alignment horizontal="center" vertical="top"/>
      <protection hidden="1"/>
    </xf>
    <xf numFmtId="164" fontId="27" fillId="0" borderId="49" xfId="24" applyNumberFormat="1" applyFont="1" applyFill="1" applyBorder="1" applyAlignment="1">
      <alignment horizontal="center" vertical="top"/>
    </xf>
    <xf numFmtId="0" fontId="24" fillId="0" borderId="48" xfId="22" applyFont="1" applyBorder="1" applyAlignment="1" applyProtection="1">
      <alignment vertical="center" wrapText="1"/>
      <protection locked="0"/>
    </xf>
    <xf numFmtId="0" fontId="24" fillId="0" borderId="49" xfId="22" applyFont="1" applyBorder="1" applyAlignment="1" applyProtection="1">
      <alignment horizontal="center" vertical="top" wrapText="1"/>
      <protection locked="0"/>
    </xf>
    <xf numFmtId="0" fontId="26" fillId="0" borderId="45" xfId="22" applyFont="1" applyBorder="1" applyAlignment="1" applyProtection="1">
      <alignment horizontal="center" vertical="top"/>
      <protection locked="0"/>
    </xf>
    <xf numFmtId="0" fontId="15" fillId="7" borderId="38" xfId="22" applyFont="1" applyFill="1" applyBorder="1" applyAlignment="1">
      <alignment vertical="center" wrapText="1"/>
    </xf>
    <xf numFmtId="0" fontId="24" fillId="0" borderId="51" xfId="22" applyFont="1" applyBorder="1" applyAlignment="1" applyProtection="1">
      <alignment vertical="center" wrapText="1"/>
      <protection locked="0"/>
    </xf>
    <xf numFmtId="0" fontId="27" fillId="0" borderId="45" xfId="22" applyFont="1" applyBorder="1" applyAlignment="1" applyProtection="1">
      <alignment horizontal="center" vertical="top"/>
      <protection locked="0"/>
    </xf>
    <xf numFmtId="0" fontId="15" fillId="7" borderId="38" xfId="22" applyFont="1" applyFill="1" applyBorder="1"/>
    <xf numFmtId="0" fontId="24" fillId="0" borderId="51" xfId="22" applyFont="1" applyBorder="1" applyAlignment="1" applyProtection="1">
      <alignment horizontal="center" vertical="top" wrapText="1"/>
      <protection locked="0"/>
    </xf>
    <xf numFmtId="0" fontId="24" fillId="0" borderId="81" xfId="22" applyFont="1" applyBorder="1" applyAlignment="1" applyProtection="1">
      <alignment horizontal="center" vertical="top" wrapText="1"/>
      <protection locked="0"/>
    </xf>
    <xf numFmtId="0" fontId="58" fillId="0" borderId="47" xfId="22" applyFont="1" applyBorder="1" applyAlignment="1" applyProtection="1">
      <alignment horizontal="center" vertical="top" wrapText="1"/>
      <protection locked="0"/>
    </xf>
    <xf numFmtId="0" fontId="24" fillId="0" borderId="48" xfId="22" applyFont="1" applyBorder="1" applyAlignment="1" applyProtection="1">
      <alignment horizontal="center" vertical="top" wrapText="1"/>
      <protection locked="0"/>
    </xf>
    <xf numFmtId="0" fontId="27" fillId="0" borderId="48" xfId="22" applyFont="1" applyBorder="1" applyAlignment="1" applyProtection="1">
      <alignment horizontal="center" vertical="center"/>
      <protection locked="0"/>
    </xf>
    <xf numFmtId="0" fontId="15" fillId="7" borderId="38" xfId="22" applyFont="1" applyFill="1" applyBorder="1" applyAlignment="1">
      <alignment wrapText="1"/>
    </xf>
    <xf numFmtId="0" fontId="24" fillId="0" borderId="50" xfId="22" applyFont="1" applyBorder="1" applyAlignment="1" applyProtection="1">
      <alignment horizontal="center" vertical="top" wrapText="1"/>
      <protection locked="0"/>
    </xf>
    <xf numFmtId="0" fontId="27" fillId="0" borderId="50" xfId="22" applyFont="1" applyBorder="1" applyAlignment="1" applyProtection="1">
      <alignment horizontal="center" vertical="center"/>
      <protection locked="0"/>
    </xf>
    <xf numFmtId="0" fontId="27" fillId="0" borderId="48" xfId="22" applyFont="1" applyBorder="1" applyAlignment="1" applyProtection="1">
      <alignment horizontal="center" vertical="top" wrapText="1"/>
      <protection locked="0"/>
    </xf>
    <xf numFmtId="0" fontId="27" fillId="0" borderId="76" xfId="22" applyFont="1" applyBorder="1" applyAlignment="1" applyProtection="1">
      <alignment horizontal="center" vertical="top" wrapText="1"/>
      <protection locked="0"/>
    </xf>
    <xf numFmtId="0" fontId="24" fillId="0" borderId="47" xfId="22" applyFont="1" applyBorder="1" applyAlignment="1" applyProtection="1">
      <alignment horizontal="center" vertical="top" wrapText="1"/>
      <protection locked="0"/>
    </xf>
    <xf numFmtId="0" fontId="30" fillId="0" borderId="47" xfId="22" applyFont="1" applyBorder="1" applyAlignment="1" applyProtection="1">
      <alignment horizontal="center" vertical="top" wrapText="1"/>
      <protection locked="0"/>
    </xf>
    <xf numFmtId="0" fontId="31" fillId="0" borderId="54" xfId="22" applyFont="1" applyBorder="1" applyAlignment="1" applyProtection="1">
      <alignment horizontal="center" vertical="center" wrapText="1"/>
      <protection locked="0"/>
    </xf>
    <xf numFmtId="0" fontId="30" fillId="0" borderId="54" xfId="22" applyFont="1" applyBorder="1" applyAlignment="1" applyProtection="1">
      <alignment horizontal="center" vertical="center" wrapText="1"/>
      <protection locked="0"/>
    </xf>
    <xf numFmtId="0" fontId="27" fillId="0" borderId="41" xfId="22" applyFont="1" applyBorder="1" applyAlignment="1" applyProtection="1">
      <alignment horizontal="center" vertical="top" wrapText="1"/>
      <protection locked="0"/>
    </xf>
    <xf numFmtId="0" fontId="27" fillId="0" borderId="48" xfId="22" applyFont="1" applyBorder="1" applyAlignment="1" applyProtection="1">
      <alignment horizontal="center" vertical="top"/>
      <protection locked="0"/>
    </xf>
    <xf numFmtId="0" fontId="59" fillId="0" borderId="39" xfId="22" applyFont="1" applyBorder="1" applyAlignment="1" applyProtection="1">
      <alignment vertical="center" wrapText="1"/>
      <protection locked="0"/>
    </xf>
    <xf numFmtId="0" fontId="27" fillId="0" borderId="38" xfId="22" applyFont="1" applyBorder="1" applyAlignment="1" applyProtection="1">
      <alignment vertical="center" wrapText="1"/>
      <protection locked="0"/>
    </xf>
    <xf numFmtId="14" fontId="27" fillId="0" borderId="38" xfId="22" applyNumberFormat="1" applyFont="1" applyBorder="1" applyAlignment="1" applyProtection="1">
      <alignment vertical="center" wrapText="1"/>
      <protection locked="0"/>
    </xf>
    <xf numFmtId="0" fontId="27" fillId="0" borderId="38" xfId="22" applyFont="1" applyBorder="1" applyAlignment="1" applyProtection="1">
      <alignment vertical="top" wrapText="1"/>
      <protection locked="0"/>
    </xf>
    <xf numFmtId="0" fontId="27" fillId="0" borderId="38" xfId="22" applyFont="1" applyBorder="1" applyAlignment="1" applyProtection="1">
      <alignment vertical="top"/>
      <protection locked="0"/>
    </xf>
    <xf numFmtId="0" fontId="15" fillId="7" borderId="38" xfId="22" applyFont="1" applyFill="1" applyBorder="1" applyAlignment="1">
      <alignment horizontal="left" vertical="center" wrapText="1"/>
    </xf>
    <xf numFmtId="0" fontId="27" fillId="0" borderId="39" xfId="22" applyFont="1" applyBorder="1" applyAlignment="1" applyProtection="1">
      <alignment horizontal="center" vertical="top" wrapText="1"/>
      <protection locked="0"/>
    </xf>
    <xf numFmtId="0" fontId="31" fillId="0" borderId="54" xfId="22" applyFont="1" applyBorder="1" applyAlignment="1" applyProtection="1">
      <alignment horizontal="center" vertical="top" wrapText="1"/>
      <protection locked="0"/>
    </xf>
    <xf numFmtId="164" fontId="27" fillId="0" borderId="38" xfId="24" applyNumberFormat="1" applyFont="1" applyBorder="1" applyAlignment="1">
      <alignment horizontal="center" vertical="top"/>
    </xf>
    <xf numFmtId="0" fontId="37" fillId="0" borderId="38" xfId="22" applyFont="1" applyBorder="1" applyAlignment="1" applyProtection="1">
      <alignment horizontal="center" vertical="top" textRotation="90" wrapText="1"/>
      <protection hidden="1"/>
    </xf>
    <xf numFmtId="9" fontId="26" fillId="0" borderId="38" xfId="22" applyNumberFormat="1" applyFont="1" applyBorder="1" applyAlignment="1" applyProtection="1">
      <alignment horizontal="center" vertical="top"/>
      <protection hidden="1"/>
    </xf>
    <xf numFmtId="0" fontId="37" fillId="0" borderId="38" xfId="22" applyFont="1" applyBorder="1" applyAlignment="1" applyProtection="1">
      <alignment horizontal="center" vertical="top" textRotation="90"/>
      <protection hidden="1"/>
    </xf>
    <xf numFmtId="0" fontId="26" fillId="0" borderId="38" xfId="22" applyFont="1" applyBorder="1" applyAlignment="1" applyProtection="1">
      <alignment horizontal="center" vertical="top" textRotation="90"/>
      <protection locked="0"/>
    </xf>
    <xf numFmtId="0" fontId="24" fillId="0" borderId="38" xfId="22" applyFont="1" applyBorder="1" applyAlignment="1" applyProtection="1">
      <alignment vertical="top" wrapText="1"/>
      <protection locked="0"/>
    </xf>
    <xf numFmtId="0" fontId="24" fillId="0" borderId="37" xfId="25" applyFont="1"/>
    <xf numFmtId="0" fontId="31" fillId="7" borderId="86" xfId="22" applyFont="1" applyFill="1" applyBorder="1" applyAlignment="1" applyProtection="1">
      <alignment horizontal="left" vertical="center"/>
      <protection locked="0"/>
    </xf>
    <xf numFmtId="0" fontId="31" fillId="7" borderId="87" xfId="22" applyFont="1" applyFill="1" applyBorder="1" applyAlignment="1" applyProtection="1">
      <alignment horizontal="left" vertical="center"/>
      <protection locked="0"/>
    </xf>
    <xf numFmtId="0" fontId="31" fillId="7" borderId="88" xfId="22" applyFont="1" applyFill="1" applyBorder="1" applyAlignment="1" applyProtection="1">
      <alignment horizontal="left" vertical="center"/>
      <protection locked="0"/>
    </xf>
    <xf numFmtId="0" fontId="28" fillId="25" borderId="38" xfId="22" applyFont="1" applyFill="1" applyBorder="1" applyAlignment="1">
      <alignment horizontal="center" vertical="center" wrapText="1"/>
    </xf>
    <xf numFmtId="0" fontId="27" fillId="7" borderId="47" xfId="22" applyFont="1" applyFill="1" applyBorder="1" applyAlignment="1">
      <alignment vertical="center" wrapText="1"/>
    </xf>
    <xf numFmtId="0" fontId="31" fillId="0" borderId="54" xfId="22" applyFont="1" applyBorder="1" applyAlignment="1" applyProtection="1">
      <alignment horizontal="center" vertical="center" wrapText="1"/>
      <protection locked="0"/>
    </xf>
    <xf numFmtId="0" fontId="27" fillId="0" borderId="49" xfId="22" applyFont="1" applyBorder="1" applyAlignment="1" applyProtection="1">
      <alignment horizontal="justify" vertical="center" wrapText="1"/>
      <protection locked="0"/>
    </xf>
    <xf numFmtId="164" fontId="27" fillId="0" borderId="48" xfId="24" applyNumberFormat="1" applyFont="1" applyBorder="1" applyAlignment="1">
      <alignment horizontal="center" vertical="center"/>
    </xf>
    <xf numFmtId="0" fontId="37" fillId="0" borderId="48" xfId="22" applyFont="1" applyBorder="1" applyAlignment="1" applyProtection="1">
      <alignment horizontal="center" vertical="center" textRotation="90" wrapText="1"/>
      <protection hidden="1"/>
    </xf>
    <xf numFmtId="9" fontId="26" fillId="0" borderId="48" xfId="22" applyNumberFormat="1" applyFont="1" applyBorder="1" applyAlignment="1" applyProtection="1">
      <alignment horizontal="center" vertical="center"/>
      <protection hidden="1"/>
    </xf>
    <xf numFmtId="0" fontId="37" fillId="0" borderId="48" xfId="22" applyFont="1" applyBorder="1" applyAlignment="1" applyProtection="1">
      <alignment horizontal="center" vertical="center" textRotation="90"/>
      <protection hidden="1"/>
    </xf>
    <xf numFmtId="0" fontId="31" fillId="0" borderId="55" xfId="22" applyFont="1" applyBorder="1" applyAlignment="1" applyProtection="1">
      <alignment horizontal="center" vertical="center" wrapText="1"/>
      <protection locked="0"/>
    </xf>
    <xf numFmtId="164" fontId="27" fillId="0" borderId="51" xfId="24" applyNumberFormat="1" applyFont="1" applyBorder="1" applyAlignment="1">
      <alignment horizontal="center" vertical="center"/>
    </xf>
    <xf numFmtId="0" fontId="37" fillId="0" borderId="51" xfId="22" applyFont="1" applyBorder="1" applyAlignment="1" applyProtection="1">
      <alignment horizontal="center" vertical="center" textRotation="90" wrapText="1"/>
      <protection hidden="1"/>
    </xf>
    <xf numFmtId="9" fontId="26" fillId="0" borderId="51" xfId="22" applyNumberFormat="1" applyFont="1" applyBorder="1" applyAlignment="1" applyProtection="1">
      <alignment horizontal="center" vertical="center"/>
      <protection hidden="1"/>
    </xf>
    <xf numFmtId="0" fontId="37" fillId="0" borderId="51" xfId="22" applyFont="1" applyBorder="1" applyAlignment="1" applyProtection="1">
      <alignment horizontal="center" vertical="center" textRotation="90"/>
      <protection hidden="1"/>
    </xf>
    <xf numFmtId="0" fontId="27" fillId="0" borderId="50" xfId="22" applyFont="1" applyBorder="1" applyAlignment="1">
      <alignment horizontal="center" vertical="center"/>
    </xf>
    <xf numFmtId="0" fontId="26" fillId="0" borderId="42" xfId="22" applyFont="1" applyBorder="1" applyAlignment="1" applyProtection="1">
      <alignment horizontal="center" vertical="center" wrapText="1"/>
      <protection locked="0"/>
    </xf>
    <xf numFmtId="0" fontId="31" fillId="0" borderId="80" xfId="22" applyFont="1" applyBorder="1" applyAlignment="1" applyProtection="1">
      <alignment horizontal="center" vertical="center" wrapText="1"/>
      <protection locked="0"/>
    </xf>
    <xf numFmtId="0" fontId="26" fillId="0" borderId="44" xfId="22" applyFont="1" applyBorder="1" applyAlignment="1" applyProtection="1">
      <alignment horizontal="center" vertical="center" wrapText="1"/>
      <protection locked="0"/>
    </xf>
    <xf numFmtId="0" fontId="37" fillId="0" borderId="50" xfId="22" applyFont="1" applyBorder="1" applyAlignment="1" applyProtection="1">
      <alignment horizontal="center" vertical="center" wrapText="1"/>
      <protection hidden="1"/>
    </xf>
    <xf numFmtId="9" fontId="26" fillId="0" borderId="50" xfId="22" applyNumberFormat="1" applyFont="1" applyBorder="1" applyAlignment="1" applyProtection="1">
      <alignment horizontal="center" vertical="center" wrapText="1"/>
      <protection hidden="1"/>
    </xf>
    <xf numFmtId="9" fontId="26" fillId="0" borderId="50" xfId="22" applyNumberFormat="1" applyFont="1" applyBorder="1" applyAlignment="1" applyProtection="1">
      <alignment horizontal="center" vertical="center" wrapText="1"/>
      <protection locked="0"/>
    </xf>
    <xf numFmtId="0" fontId="37" fillId="0" borderId="50" xfId="22" applyFont="1" applyBorder="1" applyAlignment="1" applyProtection="1">
      <alignment horizontal="center" vertical="center"/>
      <protection hidden="1"/>
    </xf>
    <xf numFmtId="164" fontId="27" fillId="0" borderId="50" xfId="24" applyNumberFormat="1" applyFont="1" applyBorder="1" applyAlignment="1">
      <alignment horizontal="center" vertical="center"/>
    </xf>
    <xf numFmtId="0" fontId="37" fillId="0" borderId="50" xfId="22" applyFont="1" applyBorder="1" applyAlignment="1" applyProtection="1">
      <alignment horizontal="center" vertical="center" textRotation="90" wrapText="1"/>
      <protection hidden="1"/>
    </xf>
    <xf numFmtId="9" fontId="26" fillId="0" borderId="50" xfId="22" applyNumberFormat="1" applyFont="1" applyBorder="1" applyAlignment="1" applyProtection="1">
      <alignment horizontal="center" vertical="center"/>
      <protection hidden="1"/>
    </xf>
    <xf numFmtId="0" fontId="37" fillId="0" borderId="50" xfId="22" applyFont="1" applyBorder="1" applyAlignment="1" applyProtection="1">
      <alignment horizontal="center" vertical="center" textRotation="90"/>
      <protection hidden="1"/>
    </xf>
    <xf numFmtId="0" fontId="18" fillId="6" borderId="39" xfId="22" applyFont="1" applyFill="1" applyBorder="1" applyAlignment="1">
      <alignment horizontal="center" vertical="center"/>
    </xf>
    <xf numFmtId="0" fontId="18" fillId="6" borderId="40" xfId="22" applyFont="1" applyFill="1" applyBorder="1" applyAlignment="1">
      <alignment horizontal="center" vertical="center"/>
    </xf>
    <xf numFmtId="0" fontId="18" fillId="6" borderId="42" xfId="22" applyFont="1" applyFill="1" applyBorder="1" applyAlignment="1">
      <alignment horizontal="center" vertical="center"/>
    </xf>
    <xf numFmtId="0" fontId="18" fillId="6" borderId="43" xfId="22" applyFont="1" applyFill="1" applyBorder="1" applyAlignment="1">
      <alignment horizontal="center" vertical="center"/>
    </xf>
    <xf numFmtId="0" fontId="63" fillId="7" borderId="37" xfId="22" applyFont="1" applyFill="1" applyAlignment="1">
      <alignment horizontal="center" vertical="center"/>
    </xf>
    <xf numFmtId="0" fontId="63" fillId="7" borderId="37" xfId="22" applyFont="1" applyFill="1" applyAlignment="1">
      <alignment horizontal="left" vertical="center"/>
    </xf>
    <xf numFmtId="0" fontId="63" fillId="7" borderId="37" xfId="22" applyFont="1" applyFill="1"/>
    <xf numFmtId="0" fontId="63" fillId="7" borderId="37" xfId="22" applyFont="1" applyFill="1" applyAlignment="1">
      <alignment horizontal="center"/>
    </xf>
    <xf numFmtId="0" fontId="18" fillId="6" borderId="45" xfId="22" applyFont="1" applyFill="1" applyBorder="1" applyAlignment="1">
      <alignment horizontal="left" vertical="center"/>
    </xf>
    <xf numFmtId="0" fontId="18" fillId="6" borderId="46" xfId="22" applyFont="1" applyFill="1" applyBorder="1" applyAlignment="1">
      <alignment horizontal="left" vertical="center"/>
    </xf>
    <xf numFmtId="0" fontId="18" fillId="7" borderId="47" xfId="22" applyFont="1" applyFill="1" applyBorder="1" applyAlignment="1" applyProtection="1">
      <alignment horizontal="left" vertical="top"/>
      <protection locked="0"/>
    </xf>
    <xf numFmtId="0" fontId="63" fillId="7" borderId="47" xfId="22" applyFont="1" applyFill="1" applyBorder="1" applyAlignment="1" applyProtection="1">
      <alignment horizontal="left" vertical="top"/>
      <protection locked="0"/>
    </xf>
    <xf numFmtId="0" fontId="63" fillId="7" borderId="47" xfId="22" applyFont="1" applyFill="1" applyBorder="1" applyAlignment="1" applyProtection="1">
      <alignment horizontal="left" vertical="top" wrapText="1"/>
      <protection locked="0"/>
    </xf>
    <xf numFmtId="0" fontId="63" fillId="7" borderId="47" xfId="22" applyFont="1" applyFill="1" applyBorder="1" applyAlignment="1" applyProtection="1">
      <alignment horizontal="left" vertical="center" wrapText="1"/>
      <protection locked="0"/>
    </xf>
    <xf numFmtId="0" fontId="18" fillId="6" borderId="45" xfId="22" applyFont="1" applyFill="1" applyBorder="1" applyAlignment="1">
      <alignment horizontal="center" vertical="center"/>
    </xf>
    <xf numFmtId="0" fontId="18" fillId="6" borderId="46" xfId="22" applyFont="1" applyFill="1" applyBorder="1" applyAlignment="1">
      <alignment horizontal="center" vertical="center"/>
    </xf>
    <xf numFmtId="0" fontId="18" fillId="6" borderId="44" xfId="22" applyFont="1" applyFill="1" applyBorder="1" applyAlignment="1">
      <alignment horizontal="center" vertical="center"/>
    </xf>
    <xf numFmtId="0" fontId="18" fillId="6" borderId="84" xfId="22" applyFont="1" applyFill="1" applyBorder="1" applyAlignment="1">
      <alignment horizontal="center" vertical="center"/>
    </xf>
    <xf numFmtId="0" fontId="18" fillId="6" borderId="85" xfId="22" applyFont="1" applyFill="1" applyBorder="1" applyAlignment="1">
      <alignment horizontal="center" vertical="center"/>
    </xf>
    <xf numFmtId="0" fontId="18" fillId="6" borderId="48" xfId="22" applyFont="1" applyFill="1" applyBorder="1" applyAlignment="1">
      <alignment horizontal="center" vertical="center" textRotation="90"/>
    </xf>
    <xf numFmtId="0" fontId="18" fillId="6" borderId="49" xfId="22" applyFont="1" applyFill="1" applyBorder="1" applyAlignment="1">
      <alignment horizontal="center" vertical="center"/>
    </xf>
    <xf numFmtId="0" fontId="18" fillId="6" borderId="50" xfId="22" applyFont="1" applyFill="1" applyBorder="1" applyAlignment="1">
      <alignment horizontal="center" vertical="center" wrapText="1"/>
    </xf>
    <xf numFmtId="0" fontId="18" fillId="6" borderId="48" xfId="22" applyFont="1" applyFill="1" applyBorder="1" applyAlignment="1">
      <alignment horizontal="center" vertical="center" wrapText="1"/>
    </xf>
    <xf numFmtId="0" fontId="18" fillId="6" borderId="50" xfId="22" applyFont="1" applyFill="1" applyBorder="1" applyAlignment="1">
      <alignment horizontal="center" vertical="center"/>
    </xf>
    <xf numFmtId="0" fontId="18" fillId="6" borderId="51" xfId="22" applyFont="1" applyFill="1" applyBorder="1" applyAlignment="1">
      <alignment horizontal="center" vertical="center"/>
    </xf>
    <xf numFmtId="0" fontId="18" fillId="6" borderId="51" xfId="22" applyFont="1" applyFill="1" applyBorder="1" applyAlignment="1">
      <alignment horizontal="center" vertical="center" wrapText="1"/>
    </xf>
    <xf numFmtId="0" fontId="18" fillId="6" borderId="52" xfId="22" applyFont="1" applyFill="1" applyBorder="1" applyAlignment="1">
      <alignment horizontal="center" vertical="center"/>
    </xf>
    <xf numFmtId="0" fontId="18" fillId="6" borderId="52" xfId="22" applyFont="1" applyFill="1" applyBorder="1" applyAlignment="1">
      <alignment horizontal="center" vertical="center" wrapText="1"/>
    </xf>
    <xf numFmtId="0" fontId="18" fillId="6" borderId="48" xfId="22" applyFont="1" applyFill="1" applyBorder="1" applyAlignment="1">
      <alignment horizontal="center" vertical="center" textRotation="90" wrapText="1"/>
    </xf>
    <xf numFmtId="0" fontId="18" fillId="6" borderId="49" xfId="22" applyFont="1" applyFill="1" applyBorder="1" applyAlignment="1">
      <alignment horizontal="center" vertical="center" wrapText="1"/>
    </xf>
    <xf numFmtId="0" fontId="18" fillId="6" borderId="49" xfId="22" applyFont="1" applyFill="1" applyBorder="1" applyAlignment="1">
      <alignment horizontal="center" vertical="center" textRotation="90" wrapText="1"/>
    </xf>
    <xf numFmtId="0" fontId="18" fillId="6" borderId="50" xfId="22" applyFont="1" applyFill="1" applyBorder="1" applyAlignment="1">
      <alignment horizontal="center" vertical="center" textRotation="90"/>
    </xf>
    <xf numFmtId="0" fontId="18" fillId="6" borderId="48" xfId="22" applyFont="1" applyFill="1" applyBorder="1" applyAlignment="1">
      <alignment horizontal="center" vertical="center"/>
    </xf>
    <xf numFmtId="0" fontId="18" fillId="6" borderId="50" xfId="22" applyFont="1" applyFill="1" applyBorder="1" applyAlignment="1">
      <alignment horizontal="center" vertical="center" textRotation="90" wrapText="1"/>
    </xf>
    <xf numFmtId="0" fontId="18" fillId="6" borderId="49" xfId="22" applyFont="1" applyFill="1" applyBorder="1" applyAlignment="1">
      <alignment horizontal="center" vertical="center" textRotation="90"/>
    </xf>
    <xf numFmtId="0" fontId="63" fillId="0" borderId="48" xfId="22" applyFont="1" applyBorder="1" applyAlignment="1">
      <alignment horizontal="center" vertical="center"/>
    </xf>
    <xf numFmtId="0" fontId="63" fillId="0" borderId="48" xfId="22" applyFont="1" applyBorder="1" applyAlignment="1" applyProtection="1">
      <alignment horizontal="center" vertical="center" wrapText="1"/>
      <protection locked="0"/>
    </xf>
    <xf numFmtId="0" fontId="64" fillId="0" borderId="48" xfId="22" applyFont="1" applyBorder="1" applyAlignment="1" applyProtection="1">
      <alignment horizontal="center" vertical="center" wrapText="1"/>
      <protection locked="0"/>
    </xf>
    <xf numFmtId="0" fontId="63" fillId="0" borderId="48" xfId="22" applyFont="1" applyBorder="1" applyAlignment="1" applyProtection="1">
      <alignment horizontal="center" vertical="center"/>
      <protection locked="0"/>
    </xf>
    <xf numFmtId="0" fontId="18" fillId="0" borderId="48" xfId="22" applyFont="1" applyBorder="1" applyAlignment="1" applyProtection="1">
      <alignment horizontal="center" vertical="center" wrapText="1"/>
      <protection hidden="1"/>
    </xf>
    <xf numFmtId="9" fontId="63" fillId="0" borderId="48" xfId="22" applyNumberFormat="1" applyFont="1" applyBorder="1" applyAlignment="1" applyProtection="1">
      <alignment horizontal="center" vertical="center" wrapText="1"/>
      <protection hidden="1"/>
    </xf>
    <xf numFmtId="9" fontId="63" fillId="0" borderId="48" xfId="22" applyNumberFormat="1" applyFont="1" applyBorder="1" applyAlignment="1" applyProtection="1">
      <alignment horizontal="center" vertical="center" wrapText="1"/>
      <protection locked="0"/>
    </xf>
    <xf numFmtId="0" fontId="18" fillId="0" borderId="48" xfId="22" applyFont="1" applyBorder="1" applyAlignment="1" applyProtection="1">
      <alignment horizontal="center" vertical="center"/>
      <protection hidden="1"/>
    </xf>
    <xf numFmtId="0" fontId="63" fillId="0" borderId="49" xfId="22" applyFont="1" applyBorder="1" applyAlignment="1">
      <alignment horizontal="center" vertical="center"/>
    </xf>
    <xf numFmtId="0" fontId="63" fillId="0" borderId="49" xfId="22" applyFont="1" applyBorder="1" applyAlignment="1" applyProtection="1">
      <alignment horizontal="justify" vertical="center" wrapText="1"/>
      <protection locked="0"/>
    </xf>
    <xf numFmtId="0" fontId="65" fillId="0" borderId="49" xfId="22" applyFont="1" applyBorder="1" applyAlignment="1" applyProtection="1">
      <alignment horizontal="center" vertical="center"/>
      <protection hidden="1"/>
    </xf>
    <xf numFmtId="0" fontId="63" fillId="0" borderId="49" xfId="22" applyFont="1" applyBorder="1" applyAlignment="1" applyProtection="1">
      <alignment horizontal="center" vertical="center" textRotation="90"/>
      <protection locked="0"/>
    </xf>
    <xf numFmtId="9" fontId="63" fillId="0" borderId="49" xfId="22" applyNumberFormat="1" applyFont="1" applyBorder="1" applyAlignment="1" applyProtection="1">
      <alignment horizontal="center" vertical="center"/>
      <protection hidden="1"/>
    </xf>
    <xf numFmtId="164" fontId="63" fillId="0" borderId="49" xfId="24" applyNumberFormat="1" applyFont="1" applyFill="1" applyBorder="1" applyAlignment="1">
      <alignment horizontal="center" vertical="center"/>
    </xf>
    <xf numFmtId="0" fontId="18" fillId="0" borderId="49" xfId="22" applyFont="1" applyBorder="1" applyAlignment="1" applyProtection="1">
      <alignment horizontal="center" vertical="center" textRotation="90" wrapText="1"/>
      <protection hidden="1"/>
    </xf>
    <xf numFmtId="9" fontId="63" fillId="0" borderId="48" xfId="22" applyNumberFormat="1" applyFont="1" applyBorder="1" applyAlignment="1" applyProtection="1">
      <alignment horizontal="center" vertical="center"/>
      <protection hidden="1"/>
    </xf>
    <xf numFmtId="0" fontId="18" fillId="0" borderId="49" xfId="22" applyFont="1" applyBorder="1" applyAlignment="1" applyProtection="1">
      <alignment horizontal="center" vertical="center" textRotation="90"/>
      <protection hidden="1"/>
    </xf>
    <xf numFmtId="0" fontId="63" fillId="0" borderId="48" xfId="22" applyFont="1" applyBorder="1" applyAlignment="1" applyProtection="1">
      <alignment horizontal="center" vertical="center" textRotation="90"/>
      <protection locked="0"/>
    </xf>
    <xf numFmtId="0" fontId="63" fillId="0" borderId="37" xfId="22" applyFont="1" applyAlignment="1">
      <alignment horizontal="justify" vertical="center"/>
    </xf>
    <xf numFmtId="0" fontId="63" fillId="0" borderId="48" xfId="22" applyFont="1" applyBorder="1" applyAlignment="1" applyProtection="1">
      <alignment horizontal="center" vertical="center" wrapText="1"/>
      <protection locked="0"/>
    </xf>
    <xf numFmtId="0" fontId="63" fillId="0" borderId="51" xfId="22" applyFont="1" applyBorder="1" applyAlignment="1">
      <alignment horizontal="center" vertical="center"/>
    </xf>
    <xf numFmtId="0" fontId="63" fillId="0" borderId="51" xfId="22" applyFont="1" applyBorder="1" applyAlignment="1" applyProtection="1">
      <alignment horizontal="center" vertical="center" wrapText="1"/>
      <protection locked="0"/>
    </xf>
    <xf numFmtId="0" fontId="64" fillId="0" borderId="51" xfId="22" applyFont="1" applyBorder="1" applyAlignment="1" applyProtection="1">
      <alignment horizontal="center" vertical="center" wrapText="1"/>
      <protection locked="0"/>
    </xf>
    <xf numFmtId="0" fontId="63" fillId="0" borderId="51" xfId="22" applyFont="1" applyBorder="1" applyAlignment="1" applyProtection="1">
      <alignment horizontal="center" vertical="center"/>
      <protection locked="0"/>
    </xf>
    <xf numFmtId="0" fontId="18" fillId="0" borderId="51" xfId="22" applyFont="1" applyBorder="1" applyAlignment="1" applyProtection="1">
      <alignment horizontal="center" vertical="center" wrapText="1"/>
      <protection hidden="1"/>
    </xf>
    <xf numFmtId="9" fontId="63" fillId="0" borderId="51" xfId="22" applyNumberFormat="1" applyFont="1" applyBorder="1" applyAlignment="1" applyProtection="1">
      <alignment horizontal="center" vertical="center" wrapText="1"/>
      <protection hidden="1"/>
    </xf>
    <xf numFmtId="9" fontId="63" fillId="0" borderId="51" xfId="22" applyNumberFormat="1" applyFont="1" applyBorder="1" applyAlignment="1" applyProtection="1">
      <alignment horizontal="center" vertical="center" wrapText="1"/>
      <protection locked="0"/>
    </xf>
    <xf numFmtId="0" fontId="18" fillId="0" borderId="51" xfId="22" applyFont="1" applyBorder="1" applyAlignment="1" applyProtection="1">
      <alignment horizontal="center" vertical="center"/>
      <protection hidden="1"/>
    </xf>
    <xf numFmtId="0" fontId="65" fillId="0" borderId="48" xfId="22" applyFont="1" applyBorder="1" applyAlignment="1" applyProtection="1">
      <alignment horizontal="center" vertical="center"/>
      <protection hidden="1"/>
    </xf>
    <xf numFmtId="0" fontId="63" fillId="0" borderId="48" xfId="22" applyFont="1" applyBorder="1" applyAlignment="1" applyProtection="1">
      <alignment horizontal="center" vertical="center" textRotation="90"/>
      <protection locked="0"/>
    </xf>
    <xf numFmtId="9" fontId="63" fillId="0" borderId="48" xfId="22" applyNumberFormat="1" applyFont="1" applyBorder="1" applyAlignment="1" applyProtection="1">
      <alignment horizontal="center" vertical="center"/>
      <protection hidden="1"/>
    </xf>
    <xf numFmtId="164" fontId="63" fillId="0" borderId="48" xfId="24" applyNumberFormat="1" applyFont="1" applyFill="1" applyBorder="1" applyAlignment="1">
      <alignment horizontal="center" vertical="center"/>
    </xf>
    <xf numFmtId="9" fontId="63" fillId="0" borderId="48" xfId="22" applyNumberFormat="1" applyFont="1" applyBorder="1" applyAlignment="1" applyProtection="1">
      <alignment vertical="center"/>
      <protection hidden="1"/>
    </xf>
    <xf numFmtId="0" fontId="18" fillId="0" borderId="48" xfId="22" applyFont="1" applyBorder="1" applyAlignment="1" applyProtection="1">
      <alignment horizontal="center" vertical="center" textRotation="90" wrapText="1"/>
      <protection hidden="1"/>
    </xf>
    <xf numFmtId="0" fontId="18" fillId="0" borderId="48" xfId="22" applyFont="1" applyBorder="1" applyAlignment="1" applyProtection="1">
      <alignment horizontal="center" vertical="center" textRotation="90"/>
      <protection hidden="1"/>
    </xf>
    <xf numFmtId="0" fontId="63" fillId="7" borderId="51" xfId="22" applyFont="1" applyFill="1" applyBorder="1" applyAlignment="1" applyProtection="1">
      <alignment horizontal="left" vertical="center" wrapText="1"/>
      <protection locked="0"/>
    </xf>
    <xf numFmtId="0" fontId="65" fillId="0" borderId="51" xfId="22" applyFont="1" applyBorder="1" applyAlignment="1" applyProtection="1">
      <alignment horizontal="center" vertical="center"/>
      <protection hidden="1"/>
    </xf>
    <xf numFmtId="0" fontId="63" fillId="0" borderId="51" xfId="22" applyFont="1" applyBorder="1" applyAlignment="1" applyProtection="1">
      <alignment horizontal="center" vertical="center" textRotation="90"/>
      <protection locked="0"/>
    </xf>
    <xf numFmtId="9" fontId="63" fillId="0" borderId="51" xfId="22" applyNumberFormat="1" applyFont="1" applyBorder="1" applyAlignment="1" applyProtection="1">
      <alignment horizontal="center" vertical="center"/>
      <protection hidden="1"/>
    </xf>
    <xf numFmtId="164" fontId="63" fillId="0" borderId="51" xfId="24" applyNumberFormat="1" applyFont="1" applyFill="1" applyBorder="1" applyAlignment="1">
      <alignment horizontal="center" vertical="center"/>
    </xf>
    <xf numFmtId="9" fontId="63" fillId="0" borderId="51" xfId="22" applyNumberFormat="1" applyFont="1" applyBorder="1" applyAlignment="1" applyProtection="1">
      <alignment vertical="center"/>
      <protection hidden="1"/>
    </xf>
    <xf numFmtId="0" fontId="18" fillId="0" borderId="51" xfId="22" applyFont="1" applyBorder="1" applyAlignment="1" applyProtection="1">
      <alignment horizontal="center" vertical="center" textRotation="90" wrapText="1"/>
      <protection hidden="1"/>
    </xf>
    <xf numFmtId="0" fontId="18" fillId="0" borderId="51" xfId="22" applyFont="1" applyBorder="1" applyAlignment="1" applyProtection="1">
      <alignment horizontal="center" vertical="center" textRotation="90"/>
      <protection hidden="1"/>
    </xf>
    <xf numFmtId="0" fontId="63" fillId="0" borderId="50" xfId="22" applyFont="1" applyBorder="1" applyAlignment="1" applyProtection="1">
      <alignment horizontal="center" vertical="center" wrapText="1"/>
      <protection locked="0"/>
    </xf>
    <xf numFmtId="0" fontId="64" fillId="0" borderId="50" xfId="22" applyFont="1" applyBorder="1" applyAlignment="1" applyProtection="1">
      <alignment horizontal="center" vertical="center" wrapText="1"/>
      <protection locked="0"/>
    </xf>
    <xf numFmtId="0" fontId="63" fillId="0" borderId="50" xfId="22" applyFont="1" applyBorder="1" applyAlignment="1">
      <alignment horizontal="center" vertical="center"/>
    </xf>
    <xf numFmtId="0" fontId="65" fillId="0" borderId="50" xfId="22" applyFont="1" applyBorder="1" applyAlignment="1" applyProtection="1">
      <alignment horizontal="center" vertical="center"/>
      <protection hidden="1"/>
    </xf>
    <xf numFmtId="0" fontId="63" fillId="0" borderId="50" xfId="22" applyFont="1" applyBorder="1" applyAlignment="1" applyProtection="1">
      <alignment horizontal="center" vertical="center" textRotation="90"/>
      <protection locked="0"/>
    </xf>
    <xf numFmtId="9" fontId="63" fillId="0" borderId="50" xfId="22" applyNumberFormat="1" applyFont="1" applyBorder="1" applyAlignment="1" applyProtection="1">
      <alignment horizontal="center" vertical="center"/>
      <protection hidden="1"/>
    </xf>
    <xf numFmtId="164" fontId="63" fillId="0" borderId="50" xfId="24" applyNumberFormat="1" applyFont="1" applyFill="1" applyBorder="1" applyAlignment="1">
      <alignment horizontal="center" vertical="center"/>
    </xf>
    <xf numFmtId="0" fontId="18" fillId="0" borderId="50" xfId="22" applyFont="1" applyBorder="1" applyAlignment="1" applyProtection="1">
      <alignment horizontal="center" vertical="center"/>
      <protection hidden="1"/>
    </xf>
    <xf numFmtId="9" fontId="63" fillId="0" borderId="50" xfId="22" applyNumberFormat="1" applyFont="1" applyBorder="1" applyAlignment="1" applyProtection="1">
      <alignment vertical="center"/>
      <protection hidden="1"/>
    </xf>
    <xf numFmtId="0" fontId="18" fillId="0" borderId="50" xfId="22" applyFont="1" applyBorder="1" applyAlignment="1" applyProtection="1">
      <alignment horizontal="center" vertical="center" textRotation="90" wrapText="1"/>
      <protection hidden="1"/>
    </xf>
    <xf numFmtId="0" fontId="18" fillId="0" borderId="50" xfId="22" applyFont="1" applyBorder="1" applyAlignment="1" applyProtection="1">
      <alignment horizontal="center" vertical="center" textRotation="90"/>
      <protection hidden="1"/>
    </xf>
    <xf numFmtId="0" fontId="63" fillId="7" borderId="50" xfId="22" applyFont="1" applyFill="1" applyBorder="1" applyAlignment="1" applyProtection="1">
      <alignment horizontal="left" vertical="center" wrapText="1"/>
      <protection locked="0"/>
    </xf>
    <xf numFmtId="0" fontId="63" fillId="0" borderId="48" xfId="22" applyFont="1" applyBorder="1" applyAlignment="1">
      <alignment vertical="center"/>
    </xf>
    <xf numFmtId="0" fontId="64" fillId="0" borderId="48" xfId="22" applyFont="1" applyBorder="1" applyAlignment="1" applyProtection="1">
      <alignment horizontal="center" vertical="center" wrapText="1"/>
      <protection locked="0"/>
    </xf>
    <xf numFmtId="0" fontId="63" fillId="0" borderId="48" xfId="22" applyFont="1" applyBorder="1" applyAlignment="1" applyProtection="1">
      <alignment vertical="center" wrapText="1"/>
      <protection locked="0"/>
    </xf>
    <xf numFmtId="0" fontId="65" fillId="0" borderId="48" xfId="22" applyFont="1" applyBorder="1" applyAlignment="1" applyProtection="1">
      <alignment vertical="center" wrapText="1"/>
      <protection locked="0"/>
    </xf>
    <xf numFmtId="0" fontId="63" fillId="0" borderId="48" xfId="22" applyFont="1" applyBorder="1" applyAlignment="1" applyProtection="1">
      <alignment vertical="center" textRotation="90"/>
      <protection locked="0"/>
    </xf>
    <xf numFmtId="0" fontId="18" fillId="0" borderId="48" xfId="22" applyFont="1" applyBorder="1" applyAlignment="1" applyProtection="1">
      <alignment vertical="center" textRotation="90" wrapText="1"/>
      <protection hidden="1"/>
    </xf>
    <xf numFmtId="9" fontId="63" fillId="0" borderId="48" xfId="22" applyNumberFormat="1" applyFont="1" applyBorder="1" applyAlignment="1" applyProtection="1">
      <alignment vertical="center"/>
      <protection hidden="1"/>
    </xf>
    <xf numFmtId="0" fontId="18" fillId="0" borderId="48" xfId="22" applyFont="1" applyBorder="1" applyAlignment="1" applyProtection="1">
      <alignment vertical="center" textRotation="90"/>
      <protection hidden="1"/>
    </xf>
    <xf numFmtId="0" fontId="63" fillId="0" borderId="51" xfId="22" applyFont="1" applyBorder="1" applyAlignment="1">
      <alignment vertical="center"/>
    </xf>
    <xf numFmtId="0" fontId="63" fillId="0" borderId="50" xfId="22" applyFont="1" applyBorder="1" applyAlignment="1" applyProtection="1">
      <alignment vertical="center" wrapText="1"/>
      <protection locked="0"/>
    </xf>
    <xf numFmtId="0" fontId="65" fillId="0" borderId="48" xfId="22" applyFont="1" applyBorder="1" applyAlignment="1" applyProtection="1">
      <alignment horizontal="center" vertical="center" wrapText="1"/>
      <protection locked="0"/>
    </xf>
    <xf numFmtId="0" fontId="63" fillId="0" borderId="51" xfId="22" applyFont="1" applyBorder="1" applyAlignment="1">
      <alignment horizontal="center" vertical="center"/>
    </xf>
    <xf numFmtId="9" fontId="63" fillId="0" borderId="51" xfId="22" applyNumberFormat="1" applyFont="1" applyBorder="1" applyAlignment="1" applyProtection="1">
      <alignment horizontal="center" vertical="center" wrapText="1"/>
      <protection hidden="1"/>
    </xf>
    <xf numFmtId="0" fontId="63" fillId="0" borderId="48" xfId="22" applyFont="1" applyBorder="1" applyAlignment="1">
      <alignment horizontal="center" vertical="center"/>
    </xf>
    <xf numFmtId="0" fontId="65" fillId="0" borderId="51" xfId="22" applyFont="1" applyBorder="1" applyAlignment="1" applyProtection="1">
      <alignment horizontal="center" vertical="center" wrapText="1"/>
      <protection locked="0"/>
    </xf>
    <xf numFmtId="0" fontId="63" fillId="7" borderId="48" xfId="22" applyFont="1" applyFill="1" applyBorder="1" applyAlignment="1" applyProtection="1">
      <alignment horizontal="center" vertical="center" wrapText="1"/>
      <protection locked="0"/>
    </xf>
    <xf numFmtId="0" fontId="64" fillId="0" borderId="81" xfId="22" applyFont="1" applyBorder="1" applyAlignment="1" applyProtection="1">
      <alignment horizontal="center" vertical="center" wrapText="1"/>
      <protection locked="0"/>
    </xf>
    <xf numFmtId="0" fontId="63" fillId="0" borderId="50" xfId="22" applyFont="1" applyBorder="1" applyAlignment="1" applyProtection="1">
      <alignment horizontal="center" vertical="center"/>
      <protection locked="0"/>
    </xf>
    <xf numFmtId="0" fontId="18" fillId="0" borderId="50" xfId="22" applyFont="1" applyBorder="1" applyAlignment="1" applyProtection="1">
      <alignment horizontal="center" vertical="center" wrapText="1"/>
      <protection hidden="1"/>
    </xf>
    <xf numFmtId="9" fontId="63" fillId="0" borderId="50" xfId="22" applyNumberFormat="1" applyFont="1" applyBorder="1" applyAlignment="1" applyProtection="1">
      <alignment horizontal="center" vertical="center" wrapText="1"/>
      <protection hidden="1"/>
    </xf>
    <xf numFmtId="9" fontId="63" fillId="0" borderId="50" xfId="22" applyNumberFormat="1" applyFont="1" applyBorder="1" applyAlignment="1" applyProtection="1">
      <alignment horizontal="center" vertical="center" wrapText="1"/>
      <protection locked="0"/>
    </xf>
    <xf numFmtId="0" fontId="65" fillId="0" borderId="50" xfId="22" applyFont="1" applyBorder="1" applyAlignment="1" applyProtection="1">
      <alignment horizontal="center" vertical="center" wrapText="1"/>
      <protection locked="0"/>
    </xf>
    <xf numFmtId="0" fontId="63" fillId="7" borderId="50" xfId="22" applyFont="1" applyFill="1" applyBorder="1" applyAlignment="1" applyProtection="1">
      <alignment horizontal="center" vertical="center" wrapText="1"/>
      <protection locked="0"/>
    </xf>
    <xf numFmtId="0" fontId="27" fillId="7" borderId="54" xfId="22" applyFont="1" applyFill="1" applyBorder="1" applyAlignment="1">
      <alignment horizontal="center" vertical="center" wrapText="1"/>
    </xf>
    <xf numFmtId="14" fontId="26" fillId="0" borderId="65" xfId="22" applyNumberFormat="1" applyFont="1" applyBorder="1" applyAlignment="1">
      <alignment horizontal="center" vertical="top"/>
    </xf>
    <xf numFmtId="0" fontId="24" fillId="0" borderId="138" xfId="22" applyFont="1" applyBorder="1" applyAlignment="1">
      <alignment horizontal="center" vertical="top" wrapText="1"/>
    </xf>
    <xf numFmtId="0" fontId="26" fillId="0" borderId="83" xfId="22" applyFont="1" applyBorder="1" applyAlignment="1">
      <alignment horizontal="center" vertical="top"/>
    </xf>
    <xf numFmtId="0" fontId="27" fillId="7" borderId="55" xfId="22" applyFont="1" applyFill="1" applyBorder="1" applyAlignment="1">
      <alignment horizontal="center" vertical="center" wrapText="1"/>
    </xf>
    <xf numFmtId="0" fontId="27" fillId="0" borderId="51" xfId="22" applyFont="1" applyBorder="1" applyAlignment="1">
      <alignment horizontal="center" vertical="top"/>
    </xf>
    <xf numFmtId="0" fontId="27" fillId="0" borderId="51" xfId="22" applyFont="1" applyBorder="1" applyAlignment="1" applyProtection="1">
      <alignment horizontal="center" vertical="top"/>
      <protection hidden="1"/>
    </xf>
    <xf numFmtId="0" fontId="26" fillId="0" borderId="51" xfId="22" applyFont="1" applyBorder="1" applyAlignment="1" applyProtection="1">
      <alignment horizontal="center" vertical="top" textRotation="90"/>
      <protection locked="0"/>
    </xf>
    <xf numFmtId="9" fontId="26" fillId="0" borderId="51" xfId="22" applyNumberFormat="1" applyFont="1" applyBorder="1" applyAlignment="1" applyProtection="1">
      <alignment horizontal="center" vertical="top"/>
      <protection hidden="1"/>
    </xf>
    <xf numFmtId="164" fontId="27" fillId="0" borderId="51" xfId="24" applyNumberFormat="1" applyFont="1" applyBorder="1" applyAlignment="1">
      <alignment horizontal="center" vertical="top"/>
    </xf>
    <xf numFmtId="0" fontId="37" fillId="0" borderId="51" xfId="22" applyFont="1" applyBorder="1" applyAlignment="1" applyProtection="1">
      <alignment horizontal="center" vertical="top" textRotation="90" wrapText="1"/>
      <protection hidden="1"/>
    </xf>
    <xf numFmtId="0" fontId="37" fillId="0" borderId="51" xfId="22" applyFont="1" applyBorder="1" applyAlignment="1" applyProtection="1">
      <alignment horizontal="center" vertical="top" textRotation="90"/>
      <protection hidden="1"/>
    </xf>
    <xf numFmtId="14" fontId="26" fillId="0" borderId="51" xfId="22" applyNumberFormat="1" applyFont="1" applyBorder="1" applyAlignment="1" applyProtection="1">
      <alignment horizontal="center" vertical="top"/>
      <protection locked="0"/>
    </xf>
    <xf numFmtId="14" fontId="26" fillId="0" borderId="66" xfId="22" applyNumberFormat="1" applyFont="1" applyBorder="1" applyAlignment="1">
      <alignment horizontal="center" vertical="top"/>
    </xf>
    <xf numFmtId="0" fontId="24" fillId="0" borderId="139" xfId="22" applyFont="1" applyBorder="1" applyAlignment="1">
      <alignment horizontal="center" vertical="top" wrapText="1"/>
    </xf>
    <xf numFmtId="0" fontId="26" fillId="0" borderId="103" xfId="22" applyFont="1" applyBorder="1" applyAlignment="1">
      <alignment horizontal="center" vertical="top"/>
    </xf>
    <xf numFmtId="0" fontId="27" fillId="7" borderId="80" xfId="22" applyFont="1" applyFill="1" applyBorder="1" applyAlignment="1">
      <alignment horizontal="center" vertical="center" wrapText="1"/>
    </xf>
    <xf numFmtId="0" fontId="27" fillId="0" borderId="50" xfId="22" applyFont="1" applyBorder="1" applyAlignment="1" applyProtection="1">
      <alignment horizontal="center" vertical="top" wrapText="1"/>
      <protection locked="0"/>
    </xf>
    <xf numFmtId="14" fontId="26" fillId="0" borderId="140" xfId="22" applyNumberFormat="1" applyFont="1" applyBorder="1" applyAlignment="1">
      <alignment horizontal="center" vertical="top"/>
    </xf>
    <xf numFmtId="0" fontId="24" fillId="0" borderId="141" xfId="22" applyFont="1" applyBorder="1" applyAlignment="1">
      <alignment horizontal="center" vertical="top" wrapText="1"/>
    </xf>
    <xf numFmtId="0" fontId="26" fillId="0" borderId="109" xfId="22" applyFont="1" applyBorder="1" applyAlignment="1">
      <alignment horizontal="center" vertical="top"/>
    </xf>
    <xf numFmtId="0" fontId="26" fillId="0" borderId="54" xfId="22" applyFont="1" applyBorder="1" applyAlignment="1" applyProtection="1">
      <alignment horizontal="center" vertical="top" wrapText="1"/>
      <protection locked="0"/>
    </xf>
    <xf numFmtId="14" fontId="27" fillId="0" borderId="48" xfId="22" applyNumberFormat="1" applyFont="1" applyBorder="1" applyAlignment="1" applyProtection="1">
      <alignment horizontal="center" vertical="top"/>
      <protection locked="0"/>
    </xf>
    <xf numFmtId="0" fontId="31" fillId="0" borderId="142" xfId="22" applyFont="1" applyBorder="1" applyAlignment="1">
      <alignment horizontal="center" vertical="top"/>
    </xf>
    <xf numFmtId="0" fontId="48" fillId="0" borderId="143" xfId="22" applyFont="1" applyBorder="1" applyAlignment="1">
      <alignment horizontal="center" vertical="top" wrapText="1"/>
    </xf>
    <xf numFmtId="0" fontId="27" fillId="0" borderId="38" xfId="22" applyFont="1" applyBorder="1" applyAlignment="1" applyProtection="1">
      <alignment horizontal="center" vertical="top"/>
      <protection locked="0"/>
    </xf>
    <xf numFmtId="0" fontId="26" fillId="0" borderId="42" xfId="22" applyFont="1" applyBorder="1" applyAlignment="1" applyProtection="1">
      <alignment horizontal="center" vertical="top" wrapText="1"/>
      <protection locked="0"/>
    </xf>
    <xf numFmtId="0" fontId="26" fillId="0" borderId="80" xfId="22" applyFont="1" applyBorder="1" applyAlignment="1" applyProtection="1">
      <alignment horizontal="center" vertical="top" wrapText="1"/>
      <protection locked="0"/>
    </xf>
    <xf numFmtId="0" fontId="26" fillId="0" borderId="44" xfId="22" applyFont="1" applyBorder="1" applyAlignment="1" applyProtection="1">
      <alignment horizontal="center" vertical="top" wrapText="1"/>
      <protection locked="0"/>
    </xf>
    <xf numFmtId="14" fontId="27" fillId="0" borderId="50" xfId="22" applyNumberFormat="1" applyFont="1" applyBorder="1" applyAlignment="1" applyProtection="1">
      <alignment horizontal="center" vertical="top"/>
      <protection locked="0"/>
    </xf>
    <xf numFmtId="0" fontId="31" fillId="0" borderId="144" xfId="22" applyFont="1" applyBorder="1" applyAlignment="1">
      <alignment horizontal="center" vertical="top"/>
    </xf>
    <xf numFmtId="0" fontId="48" fillId="0" borderId="145" xfId="22" applyFont="1" applyBorder="1" applyAlignment="1">
      <alignment horizontal="center" vertical="top" wrapText="1"/>
    </xf>
    <xf numFmtId="0" fontId="27" fillId="0" borderId="48" xfId="22" applyFont="1" applyBorder="1" applyAlignment="1" applyProtection="1">
      <alignment horizontal="center" vertical="center" wrapText="1"/>
      <protection locked="0"/>
    </xf>
    <xf numFmtId="0" fontId="27" fillId="0" borderId="39" xfId="22" applyFont="1" applyBorder="1" applyAlignment="1" applyProtection="1">
      <alignment horizontal="center" vertical="center" wrapText="1"/>
      <protection locked="0"/>
    </xf>
    <xf numFmtId="0" fontId="27" fillId="0" borderId="54" xfId="22" applyFont="1" applyBorder="1" applyAlignment="1" applyProtection="1">
      <alignment horizontal="center" vertical="top" wrapText="1"/>
      <protection locked="0"/>
    </xf>
    <xf numFmtId="14" fontId="27" fillId="0" borderId="146" xfId="22" applyNumberFormat="1" applyFont="1" applyBorder="1" applyAlignment="1">
      <alignment horizontal="center" vertical="top"/>
    </xf>
    <xf numFmtId="14" fontId="31" fillId="0" borderId="65" xfId="22" applyNumberFormat="1" applyFont="1" applyBorder="1" applyAlignment="1">
      <alignment horizontal="center" vertical="top"/>
    </xf>
    <xf numFmtId="0" fontId="48" fillId="0" borderId="147" xfId="22" applyFont="1" applyBorder="1" applyAlignment="1">
      <alignment horizontal="center" vertical="top" wrapText="1"/>
    </xf>
    <xf numFmtId="0" fontId="27" fillId="0" borderId="51" xfId="22" applyFont="1" applyBorder="1" applyAlignment="1" applyProtection="1">
      <alignment horizontal="center" vertical="center" wrapText="1"/>
      <protection locked="0"/>
    </xf>
    <xf numFmtId="0" fontId="27" fillId="0" borderId="52" xfId="22" applyFont="1" applyBorder="1" applyAlignment="1" applyProtection="1">
      <alignment horizontal="center" vertical="center" wrapText="1"/>
      <protection locked="0"/>
    </xf>
    <xf numFmtId="0" fontId="27" fillId="0" borderId="80" xfId="22" applyFont="1" applyBorder="1" applyAlignment="1" applyProtection="1">
      <alignment horizontal="center" vertical="top" wrapText="1"/>
      <protection locked="0"/>
    </xf>
    <xf numFmtId="14" fontId="27" fillId="0" borderId="148" xfId="22" applyNumberFormat="1" applyFont="1" applyBorder="1" applyAlignment="1">
      <alignment horizontal="center" vertical="top"/>
    </xf>
    <xf numFmtId="14" fontId="31" fillId="0" borderId="66" xfId="22" applyNumberFormat="1" applyFont="1" applyBorder="1" applyAlignment="1">
      <alignment horizontal="center" vertical="top"/>
    </xf>
    <xf numFmtId="0" fontId="48" fillId="0" borderId="139" xfId="22" applyFont="1" applyBorder="1" applyAlignment="1">
      <alignment horizontal="center" vertical="top" wrapText="1"/>
    </xf>
    <xf numFmtId="0" fontId="27" fillId="0" borderId="55" xfId="22" applyFont="1" applyBorder="1" applyAlignment="1" applyProtection="1">
      <alignment horizontal="center" vertical="top" wrapText="1"/>
      <protection locked="0"/>
    </xf>
    <xf numFmtId="0" fontId="27" fillId="0" borderId="50" xfId="22" applyFont="1" applyBorder="1" applyAlignment="1" applyProtection="1">
      <alignment horizontal="center" vertical="center" wrapText="1"/>
      <protection locked="0"/>
    </xf>
    <xf numFmtId="0" fontId="27" fillId="0" borderId="42" xfId="22" applyFont="1" applyBorder="1" applyAlignment="1" applyProtection="1">
      <alignment horizontal="center" vertical="center" wrapText="1"/>
      <protection locked="0"/>
    </xf>
    <xf numFmtId="0" fontId="30" fillId="0" borderId="80" xfId="22" applyFont="1" applyBorder="1" applyAlignment="1" applyProtection="1">
      <alignment horizontal="center" vertical="top" wrapText="1"/>
      <protection locked="0"/>
    </xf>
    <xf numFmtId="0" fontId="27" fillId="0" borderId="44" xfId="22" applyFont="1" applyBorder="1" applyAlignment="1" applyProtection="1">
      <alignment horizontal="center" vertical="top" wrapText="1"/>
      <protection locked="0"/>
    </xf>
    <xf numFmtId="0" fontId="27" fillId="0" borderId="50" xfId="22" applyFont="1" applyBorder="1" applyAlignment="1" applyProtection="1">
      <alignment horizontal="center" vertical="top"/>
      <protection locked="0"/>
    </xf>
    <xf numFmtId="0" fontId="28" fillId="0" borderId="50" xfId="22" applyFont="1" applyBorder="1" applyAlignment="1" applyProtection="1">
      <alignment horizontal="center" vertical="top" wrapText="1"/>
      <protection hidden="1"/>
    </xf>
    <xf numFmtId="9" fontId="27" fillId="0" borderId="50" xfId="22" applyNumberFormat="1" applyFont="1" applyBorder="1" applyAlignment="1" applyProtection="1">
      <alignment horizontal="center" vertical="top" wrapText="1"/>
      <protection hidden="1"/>
    </xf>
    <xf numFmtId="9" fontId="27" fillId="0" borderId="50" xfId="22" applyNumberFormat="1" applyFont="1" applyBorder="1" applyAlignment="1" applyProtection="1">
      <alignment horizontal="center" vertical="top" wrapText="1"/>
      <protection locked="0"/>
    </xf>
    <xf numFmtId="0" fontId="28" fillId="0" borderId="50" xfId="22" applyFont="1" applyBorder="1" applyAlignment="1" applyProtection="1">
      <alignment horizontal="center" vertical="top"/>
      <protection hidden="1"/>
    </xf>
    <xf numFmtId="14" fontId="27" fillId="0" borderId="149" xfId="22" applyNumberFormat="1" applyFont="1" applyBorder="1" applyAlignment="1">
      <alignment horizontal="center" vertical="top"/>
    </xf>
    <xf numFmtId="14" fontId="31" fillId="0" borderId="69" xfId="22" applyNumberFormat="1" applyFont="1" applyBorder="1" applyAlignment="1">
      <alignment horizontal="center" vertical="top"/>
    </xf>
    <xf numFmtId="0" fontId="48" fillId="0" borderId="150" xfId="22" applyFont="1" applyBorder="1" applyAlignment="1">
      <alignment horizontal="center" vertical="top" wrapText="1"/>
    </xf>
    <xf numFmtId="0" fontId="34" fillId="20" borderId="37" xfId="22" applyFont="1" applyFill="1" applyAlignment="1">
      <alignment horizontal="center" vertical="center"/>
    </xf>
    <xf numFmtId="0" fontId="27" fillId="20" borderId="37" xfId="22" applyFont="1" applyFill="1"/>
    <xf numFmtId="0" fontId="26" fillId="20" borderId="37" xfId="22" applyFont="1" applyFill="1" applyAlignment="1" applyProtection="1">
      <alignment horizontal="center" vertical="center"/>
      <protection locked="0"/>
    </xf>
    <xf numFmtId="0" fontId="26" fillId="20" borderId="37" xfId="22" applyFont="1" applyFill="1" applyAlignment="1" applyProtection="1">
      <alignment horizontal="center" vertical="center" wrapText="1"/>
      <protection locked="0"/>
    </xf>
    <xf numFmtId="0" fontId="28" fillId="20" borderId="42" xfId="22" applyFont="1" applyFill="1" applyBorder="1" applyAlignment="1">
      <alignment horizontal="center" vertical="center"/>
    </xf>
    <xf numFmtId="0" fontId="28" fillId="20" borderId="43" xfId="22" applyFont="1" applyFill="1" applyBorder="1" applyAlignment="1">
      <alignment horizontal="center" vertical="center"/>
    </xf>
    <xf numFmtId="0" fontId="28" fillId="20" borderId="44" xfId="22" applyFont="1" applyFill="1" applyBorder="1" applyAlignment="1">
      <alignment horizontal="center" vertical="center"/>
    </xf>
    <xf numFmtId="0" fontId="28" fillId="20" borderId="37" xfId="22" applyFont="1" applyFill="1" applyAlignment="1">
      <alignment horizontal="center" vertical="center"/>
    </xf>
    <xf numFmtId="0" fontId="28" fillId="20" borderId="49" xfId="22" applyFont="1" applyFill="1" applyBorder="1" applyAlignment="1">
      <alignment horizontal="center" vertical="center" wrapText="1"/>
    </xf>
    <xf numFmtId="0" fontId="30" fillId="7" borderId="47" xfId="22" applyFont="1" applyFill="1" applyBorder="1" applyAlignment="1">
      <alignment vertical="center" wrapText="1"/>
    </xf>
    <xf numFmtId="0" fontId="31" fillId="0" borderId="47" xfId="22" applyFont="1" applyBorder="1" applyAlignment="1" applyProtection="1">
      <alignment vertical="center" wrapText="1"/>
      <protection locked="0"/>
    </xf>
    <xf numFmtId="0" fontId="30" fillId="0" borderId="49" xfId="22" applyFont="1" applyBorder="1" applyAlignment="1" applyProtection="1">
      <alignment horizontal="justify" vertical="top" wrapText="1"/>
      <protection locked="0"/>
    </xf>
    <xf numFmtId="0" fontId="26" fillId="0" borderId="48" xfId="22" applyFont="1" applyBorder="1" applyAlignment="1" applyProtection="1">
      <alignment vertical="top" wrapText="1"/>
      <protection locked="0"/>
    </xf>
    <xf numFmtId="14" fontId="26" fillId="0" borderId="48" xfId="22" applyNumberFormat="1" applyFont="1" applyBorder="1" applyAlignment="1" applyProtection="1">
      <alignment vertical="top" wrapText="1"/>
      <protection locked="0"/>
    </xf>
    <xf numFmtId="0" fontId="26" fillId="0" borderId="48" xfId="22" applyFont="1" applyBorder="1" applyAlignment="1" applyProtection="1">
      <alignment vertical="top"/>
      <protection locked="0"/>
    </xf>
    <xf numFmtId="0" fontId="26" fillId="20" borderId="48" xfId="22" applyFont="1" applyFill="1" applyBorder="1" applyAlignment="1" applyProtection="1">
      <alignment vertical="top" wrapText="1"/>
      <protection locked="0"/>
    </xf>
    <xf numFmtId="14" fontId="26" fillId="20" borderId="48" xfId="22" applyNumberFormat="1" applyFont="1" applyFill="1" applyBorder="1" applyAlignment="1" applyProtection="1">
      <alignment vertical="top" wrapText="1"/>
      <protection locked="0"/>
    </xf>
    <xf numFmtId="0" fontId="26" fillId="20" borderId="48" xfId="22" applyFont="1" applyFill="1" applyBorder="1" applyAlignment="1" applyProtection="1">
      <alignment vertical="top"/>
      <protection locked="0"/>
    </xf>
    <xf numFmtId="14" fontId="31" fillId="20" borderId="48" xfId="22" applyNumberFormat="1" applyFont="1" applyFill="1" applyBorder="1" applyAlignment="1" applyProtection="1">
      <alignment vertical="top" wrapText="1"/>
      <protection locked="0"/>
    </xf>
    <xf numFmtId="0" fontId="31" fillId="20" borderId="48" xfId="22" applyFont="1" applyFill="1" applyBorder="1" applyAlignment="1" applyProtection="1">
      <alignment vertical="top" wrapText="1"/>
      <protection locked="0"/>
    </xf>
    <xf numFmtId="0" fontId="31" fillId="20" borderId="48" xfId="22" applyFont="1" applyFill="1" applyBorder="1" applyAlignment="1" applyProtection="1">
      <alignment vertical="top"/>
      <protection locked="0"/>
    </xf>
    <xf numFmtId="0" fontId="30" fillId="0" borderId="49" xfId="22" applyFont="1" applyBorder="1" applyAlignment="1" applyProtection="1">
      <alignment horizontal="center" vertical="top" wrapText="1"/>
      <protection locked="0"/>
    </xf>
    <xf numFmtId="0" fontId="30" fillId="20" borderId="49" xfId="22" applyFont="1" applyFill="1" applyBorder="1" applyAlignment="1" applyProtection="1">
      <alignment horizontal="center" vertical="top" wrapText="1"/>
      <protection locked="0"/>
    </xf>
    <xf numFmtId="0" fontId="30" fillId="0" borderId="49" xfId="22" applyFont="1" applyBorder="1" applyAlignment="1" applyProtection="1">
      <alignment horizontal="justify" vertical="top"/>
      <protection locked="0"/>
    </xf>
    <xf numFmtId="0" fontId="31" fillId="0" borderId="48" xfId="22" applyFont="1" applyBorder="1" applyAlignment="1" applyProtection="1">
      <alignment horizontal="center" vertical="top" wrapText="1"/>
      <protection locked="0"/>
    </xf>
    <xf numFmtId="0" fontId="27" fillId="20" borderId="37" xfId="22" applyFont="1" applyFill="1" applyAlignment="1">
      <alignment vertical="center" wrapText="1"/>
    </xf>
    <xf numFmtId="0" fontId="31" fillId="20" borderId="48" xfId="22" applyFont="1" applyFill="1" applyBorder="1" applyAlignment="1" applyProtection="1">
      <alignment horizontal="center" vertical="top" wrapText="1"/>
      <protection locked="0"/>
    </xf>
    <xf numFmtId="0" fontId="30" fillId="0" borderId="47" xfId="22" applyFont="1" applyBorder="1" applyAlignment="1">
      <alignment vertical="center" wrapText="1"/>
    </xf>
    <xf numFmtId="0" fontId="27" fillId="20" borderId="49" xfId="22" applyFont="1" applyFill="1" applyBorder="1" applyAlignment="1" applyProtection="1">
      <alignment horizontal="center" vertical="top" wrapText="1"/>
      <protection locked="0"/>
    </xf>
    <xf numFmtId="0" fontId="27" fillId="20" borderId="49" xfId="22" applyFont="1" applyFill="1" applyBorder="1" applyAlignment="1" applyProtection="1">
      <alignment horizontal="center" vertical="top"/>
      <protection locked="0"/>
    </xf>
    <xf numFmtId="14" fontId="27" fillId="20" borderId="49" xfId="22" applyNumberFormat="1" applyFont="1" applyFill="1" applyBorder="1" applyAlignment="1" applyProtection="1">
      <alignment horizontal="center" vertical="top"/>
      <protection locked="0"/>
    </xf>
    <xf numFmtId="0" fontId="25" fillId="6" borderId="52" xfId="22" applyFont="1" applyFill="1" applyBorder="1" applyAlignment="1">
      <alignment horizontal="center" vertical="center"/>
    </xf>
    <xf numFmtId="0" fontId="25" fillId="6" borderId="37" xfId="22" applyFont="1" applyFill="1" applyAlignment="1">
      <alignment horizontal="center" vertical="center"/>
    </xf>
    <xf numFmtId="0" fontId="25" fillId="6" borderId="151" xfId="22" applyFont="1" applyFill="1" applyBorder="1" applyAlignment="1">
      <alignment horizontal="center" vertical="center"/>
    </xf>
    <xf numFmtId="0" fontId="25" fillId="6" borderId="84" xfId="22" applyFont="1" applyFill="1" applyBorder="1" applyAlignment="1">
      <alignment horizontal="center" vertical="center"/>
    </xf>
    <xf numFmtId="0" fontId="25" fillId="6" borderId="85" xfId="22" applyFont="1" applyFill="1" applyBorder="1" applyAlignment="1">
      <alignment horizontal="center" vertical="center"/>
    </xf>
    <xf numFmtId="0" fontId="25" fillId="6" borderId="152" xfId="22" applyFont="1" applyFill="1" applyBorder="1" applyAlignment="1">
      <alignment horizontal="center" vertical="center"/>
    </xf>
    <xf numFmtId="0" fontId="14" fillId="7" borderId="48" xfId="22" applyFont="1" applyFill="1" applyBorder="1" applyAlignment="1">
      <alignment horizontal="justify" vertical="center" textRotation="90"/>
    </xf>
    <xf numFmtId="0" fontId="14" fillId="7" borderId="49" xfId="22" applyFont="1" applyFill="1" applyBorder="1" applyAlignment="1">
      <alignment horizontal="center" vertical="center"/>
    </xf>
    <xf numFmtId="0" fontId="14" fillId="7" borderId="50" xfId="22" applyFont="1" applyFill="1" applyBorder="1" applyAlignment="1">
      <alignment horizontal="center" vertical="center" wrapText="1"/>
    </xf>
    <xf numFmtId="0" fontId="14" fillId="7" borderId="48" xfId="22" applyFont="1" applyFill="1" applyBorder="1" applyAlignment="1">
      <alignment horizontal="center" vertical="center" wrapText="1"/>
    </xf>
    <xf numFmtId="0" fontId="14" fillId="7" borderId="50" xfId="22" applyFont="1" applyFill="1" applyBorder="1" applyAlignment="1">
      <alignment horizontal="center" vertical="center"/>
    </xf>
    <xf numFmtId="0" fontId="14" fillId="7" borderId="51" xfId="22" applyFont="1" applyFill="1" applyBorder="1" applyAlignment="1">
      <alignment horizontal="center" vertical="center"/>
    </xf>
    <xf numFmtId="0" fontId="14" fillId="7" borderId="51" xfId="22" applyFont="1" applyFill="1" applyBorder="1" applyAlignment="1">
      <alignment horizontal="center" vertical="center" wrapText="1"/>
    </xf>
    <xf numFmtId="0" fontId="14" fillId="7" borderId="52" xfId="22" applyFont="1" applyFill="1" applyBorder="1" applyAlignment="1">
      <alignment horizontal="center" vertical="center"/>
    </xf>
    <xf numFmtId="0" fontId="14" fillId="7" borderId="52" xfId="22" applyFont="1" applyFill="1" applyBorder="1" applyAlignment="1">
      <alignment horizontal="center" vertical="center" wrapText="1"/>
    </xf>
    <xf numFmtId="0" fontId="14" fillId="7" borderId="48" xfId="22" applyFont="1" applyFill="1" applyBorder="1" applyAlignment="1">
      <alignment horizontal="center" vertical="center" textRotation="90" wrapText="1"/>
    </xf>
    <xf numFmtId="0" fontId="14" fillId="7" borderId="49" xfId="22" applyFont="1" applyFill="1" applyBorder="1" applyAlignment="1">
      <alignment horizontal="center" vertical="center" wrapText="1"/>
    </xf>
    <xf numFmtId="0" fontId="14" fillId="7" borderId="48" xfId="22" applyFont="1" applyFill="1" applyBorder="1" applyAlignment="1">
      <alignment horizontal="justify" vertical="center" wrapText="1"/>
    </xf>
    <xf numFmtId="0" fontId="14" fillId="7" borderId="49" xfId="22" applyFont="1" applyFill="1" applyBorder="1" applyAlignment="1">
      <alignment horizontal="justify" vertical="center" wrapText="1"/>
    </xf>
    <xf numFmtId="0" fontId="14" fillId="7" borderId="49" xfId="22" applyFont="1" applyFill="1" applyBorder="1" applyAlignment="1">
      <alignment horizontal="justify" vertical="center" textRotation="90" wrapText="1"/>
    </xf>
    <xf numFmtId="0" fontId="14" fillId="7" borderId="48" xfId="22" applyFont="1" applyFill="1" applyBorder="1" applyAlignment="1">
      <alignment horizontal="justify" vertical="center" textRotation="90" wrapText="1"/>
    </xf>
    <xf numFmtId="0" fontId="14" fillId="7" borderId="50" xfId="22" applyFont="1" applyFill="1" applyBorder="1" applyAlignment="1">
      <alignment horizontal="justify" vertical="center" textRotation="90"/>
    </xf>
    <xf numFmtId="0" fontId="14" fillId="7" borderId="48" xfId="22" applyFont="1" applyFill="1" applyBorder="1" applyAlignment="1">
      <alignment horizontal="center" vertical="center"/>
    </xf>
    <xf numFmtId="0" fontId="14" fillId="7" borderId="42" xfId="22" applyFont="1" applyFill="1" applyBorder="1" applyAlignment="1">
      <alignment horizontal="center" vertical="center"/>
    </xf>
    <xf numFmtId="0" fontId="14" fillId="7" borderId="50" xfId="22" applyFont="1" applyFill="1" applyBorder="1" applyAlignment="1">
      <alignment horizontal="center" vertical="center" textRotation="90" wrapText="1"/>
    </xf>
    <xf numFmtId="0" fontId="14" fillId="7" borderId="50" xfId="22" applyFont="1" applyFill="1" applyBorder="1" applyAlignment="1">
      <alignment horizontal="justify" vertical="center" wrapText="1"/>
    </xf>
    <xf numFmtId="0" fontId="14" fillId="7" borderId="49" xfId="22" applyFont="1" applyFill="1" applyBorder="1" applyAlignment="1">
      <alignment horizontal="justify" vertical="center" textRotation="90"/>
    </xf>
    <xf numFmtId="0" fontId="14" fillId="7" borderId="50" xfId="22" applyFont="1" applyFill="1" applyBorder="1" applyAlignment="1">
      <alignment horizontal="justify" vertical="center" textRotation="90" wrapText="1"/>
    </xf>
    <xf numFmtId="0" fontId="17" fillId="7" borderId="48" xfId="22" applyFont="1" applyFill="1" applyBorder="1" applyAlignment="1">
      <alignment horizontal="center" vertical="center"/>
    </xf>
    <xf numFmtId="0" fontId="17" fillId="7" borderId="48" xfId="22" applyFont="1" applyFill="1" applyBorder="1" applyAlignment="1" applyProtection="1">
      <alignment horizontal="center" vertical="center" wrapText="1"/>
      <protection locked="0"/>
    </xf>
    <xf numFmtId="0" fontId="17" fillId="7" borderId="76" xfId="22" applyFont="1" applyFill="1" applyBorder="1" applyAlignment="1" applyProtection="1">
      <alignment horizontal="center" vertical="center" wrapText="1"/>
      <protection locked="0"/>
    </xf>
    <xf numFmtId="0" fontId="17" fillId="7" borderId="47" xfId="22" applyFont="1" applyFill="1" applyBorder="1" applyAlignment="1">
      <alignment horizontal="center" vertical="center" wrapText="1"/>
    </xf>
    <xf numFmtId="0" fontId="96" fillId="7" borderId="54" xfId="22" applyFont="1" applyFill="1" applyBorder="1" applyAlignment="1" applyProtection="1">
      <alignment horizontal="center" vertical="center" wrapText="1"/>
      <protection locked="0"/>
    </xf>
    <xf numFmtId="0" fontId="17" fillId="7" borderId="77" xfId="22" applyFont="1" applyFill="1" applyBorder="1" applyAlignment="1" applyProtection="1">
      <alignment horizontal="center" vertical="center" wrapText="1"/>
      <protection locked="0"/>
    </xf>
    <xf numFmtId="0" fontId="17" fillId="7" borderId="48" xfId="22" applyFont="1" applyFill="1" applyBorder="1" applyAlignment="1" applyProtection="1">
      <alignment horizontal="center" vertical="center"/>
      <protection locked="0"/>
    </xf>
    <xf numFmtId="0" fontId="14" fillId="7" borderId="48" xfId="22" applyFont="1" applyFill="1" applyBorder="1" applyAlignment="1" applyProtection="1">
      <alignment horizontal="center" vertical="center" wrapText="1"/>
      <protection hidden="1"/>
    </xf>
    <xf numFmtId="9" fontId="17" fillId="7" borderId="48" xfId="22" applyNumberFormat="1" applyFont="1" applyFill="1" applyBorder="1" applyAlignment="1" applyProtection="1">
      <alignment horizontal="justify" vertical="center" wrapText="1"/>
      <protection hidden="1"/>
    </xf>
    <xf numFmtId="9" fontId="17" fillId="7" borderId="48" xfId="22" applyNumberFormat="1" applyFont="1" applyFill="1" applyBorder="1" applyAlignment="1" applyProtection="1">
      <alignment horizontal="justify" vertical="center" wrapText="1"/>
      <protection locked="0"/>
    </xf>
    <xf numFmtId="9" fontId="17" fillId="7" borderId="48" xfId="22" applyNumberFormat="1" applyFont="1" applyFill="1" applyBorder="1" applyAlignment="1" applyProtection="1">
      <alignment horizontal="justify" vertical="center" wrapText="1"/>
      <protection hidden="1"/>
    </xf>
    <xf numFmtId="0" fontId="14" fillId="7" borderId="48" xfId="22" applyFont="1" applyFill="1" applyBorder="1" applyAlignment="1" applyProtection="1">
      <alignment horizontal="center" vertical="center"/>
      <protection hidden="1"/>
    </xf>
    <xf numFmtId="0" fontId="17" fillId="7" borderId="48" xfId="22" applyFont="1" applyFill="1" applyBorder="1" applyAlignment="1" applyProtection="1">
      <alignment horizontal="justify" vertical="center" wrapText="1"/>
      <protection locked="0"/>
    </xf>
    <xf numFmtId="0" fontId="17" fillId="7" borderId="48" xfId="22" applyFont="1" applyFill="1" applyBorder="1" applyAlignment="1" applyProtection="1">
      <alignment horizontal="justify" vertical="center"/>
      <protection hidden="1"/>
    </xf>
    <xf numFmtId="0" fontId="17" fillId="7" borderId="48" xfId="22" applyFont="1" applyFill="1" applyBorder="1" applyAlignment="1" applyProtection="1">
      <alignment horizontal="justify" vertical="center" textRotation="90"/>
      <protection locked="0"/>
    </xf>
    <xf numFmtId="9" fontId="17" fillId="7" borderId="48" xfId="22" applyNumberFormat="1" applyFont="1" applyFill="1" applyBorder="1" applyAlignment="1" applyProtection="1">
      <alignment horizontal="justify" vertical="center"/>
      <protection hidden="1"/>
    </xf>
    <xf numFmtId="9" fontId="17" fillId="7" borderId="48" xfId="24" applyFont="1" applyFill="1" applyBorder="1" applyAlignment="1">
      <alignment horizontal="center" vertical="center"/>
    </xf>
    <xf numFmtId="0" fontId="14" fillId="7" borderId="48" xfId="22" applyFont="1" applyFill="1" applyBorder="1" applyAlignment="1" applyProtection="1">
      <alignment horizontal="justify" vertical="center" textRotation="90" wrapText="1"/>
      <protection hidden="1"/>
    </xf>
    <xf numFmtId="9" fontId="17" fillId="7" borderId="48" xfId="22" applyNumberFormat="1" applyFont="1" applyFill="1" applyBorder="1" applyAlignment="1" applyProtection="1">
      <alignment horizontal="center" vertical="center"/>
      <protection hidden="1"/>
    </xf>
    <xf numFmtId="0" fontId="14" fillId="7" borderId="48" xfId="22" applyFont="1" applyFill="1" applyBorder="1" applyAlignment="1" applyProtection="1">
      <alignment horizontal="justify" vertical="center" textRotation="90"/>
      <protection hidden="1"/>
    </xf>
    <xf numFmtId="14" fontId="17" fillId="7" borderId="48" xfId="22" applyNumberFormat="1" applyFont="1" applyFill="1" applyBorder="1" applyAlignment="1" applyProtection="1">
      <alignment horizontal="justify" vertical="center"/>
      <protection locked="0"/>
    </xf>
    <xf numFmtId="14" fontId="17" fillId="7" borderId="48" xfId="22" applyNumberFormat="1" applyFont="1" applyFill="1" applyBorder="1" applyAlignment="1" applyProtection="1">
      <alignment horizontal="center" vertical="center"/>
      <protection locked="0"/>
    </xf>
    <xf numFmtId="0" fontId="17" fillId="7" borderId="50" xfId="22" applyFont="1" applyFill="1" applyBorder="1" applyAlignment="1">
      <alignment horizontal="center" vertical="center"/>
    </xf>
    <xf numFmtId="0" fontId="17" fillId="7" borderId="51" xfId="22" applyFont="1" applyFill="1" applyBorder="1" applyAlignment="1" applyProtection="1">
      <alignment horizontal="center" vertical="center" wrapText="1"/>
      <protection locked="0"/>
    </xf>
    <xf numFmtId="0" fontId="17" fillId="7" borderId="50" xfId="22" applyFont="1" applyFill="1" applyBorder="1" applyAlignment="1" applyProtection="1">
      <alignment horizontal="center" vertical="center" wrapText="1"/>
      <protection locked="0"/>
    </xf>
    <xf numFmtId="0" fontId="17" fillId="7" borderId="153" xfId="22" applyFont="1" applyFill="1" applyBorder="1" applyAlignment="1" applyProtection="1">
      <alignment horizontal="center" vertical="center" wrapText="1"/>
      <protection locked="0"/>
    </xf>
    <xf numFmtId="0" fontId="96" fillId="7" borderId="80" xfId="22" applyFont="1" applyFill="1" applyBorder="1" applyAlignment="1" applyProtection="1">
      <alignment horizontal="center" vertical="center" wrapText="1"/>
      <protection locked="0"/>
    </xf>
    <xf numFmtId="0" fontId="17" fillId="7" borderId="154" xfId="22" applyFont="1" applyFill="1" applyBorder="1" applyAlignment="1" applyProtection="1">
      <alignment horizontal="center" vertical="center" wrapText="1"/>
      <protection locked="0"/>
    </xf>
    <xf numFmtId="0" fontId="17" fillId="7" borderId="50" xfId="22" applyFont="1" applyFill="1" applyBorder="1" applyAlignment="1" applyProtection="1">
      <alignment horizontal="center" vertical="center"/>
      <protection locked="0"/>
    </xf>
    <xf numFmtId="0" fontId="14" fillId="7" borderId="50" xfId="22" applyFont="1" applyFill="1" applyBorder="1" applyAlignment="1" applyProtection="1">
      <alignment horizontal="center" vertical="center" wrapText="1"/>
      <protection hidden="1"/>
    </xf>
    <xf numFmtId="9" fontId="17" fillId="7" borderId="50" xfId="22" applyNumberFormat="1" applyFont="1" applyFill="1" applyBorder="1" applyAlignment="1" applyProtection="1">
      <alignment horizontal="justify" vertical="center" wrapText="1"/>
      <protection hidden="1"/>
    </xf>
    <xf numFmtId="9" fontId="17" fillId="7" borderId="50" xfId="22" applyNumberFormat="1" applyFont="1" applyFill="1" applyBorder="1" applyAlignment="1" applyProtection="1">
      <alignment horizontal="justify" vertical="center" wrapText="1"/>
      <protection locked="0"/>
    </xf>
    <xf numFmtId="0" fontId="14" fillId="7" borderId="50" xfId="22" applyFont="1" applyFill="1" applyBorder="1" applyAlignment="1" applyProtection="1">
      <alignment horizontal="center" vertical="center"/>
      <protection hidden="1"/>
    </xf>
    <xf numFmtId="0" fontId="17" fillId="7" borderId="50" xfId="22" applyFont="1" applyFill="1" applyBorder="1" applyAlignment="1" applyProtection="1">
      <alignment horizontal="justify" vertical="center" wrapText="1"/>
      <protection locked="0"/>
    </xf>
    <xf numFmtId="0" fontId="17" fillId="7" borderId="50" xfId="22" applyFont="1" applyFill="1" applyBorder="1" applyAlignment="1" applyProtection="1">
      <alignment horizontal="justify" vertical="center"/>
      <protection hidden="1"/>
    </xf>
    <xf numFmtId="0" fontId="17" fillId="7" borderId="50" xfId="22" applyFont="1" applyFill="1" applyBorder="1" applyAlignment="1" applyProtection="1">
      <alignment horizontal="justify" vertical="center" textRotation="90"/>
      <protection locked="0"/>
    </xf>
    <xf numFmtId="9" fontId="17" fillId="7" borderId="50" xfId="22" applyNumberFormat="1" applyFont="1" applyFill="1" applyBorder="1" applyAlignment="1" applyProtection="1">
      <alignment horizontal="justify" vertical="center"/>
      <protection hidden="1"/>
    </xf>
    <xf numFmtId="9" fontId="17" fillId="7" borderId="50" xfId="24" applyFont="1" applyFill="1" applyBorder="1" applyAlignment="1">
      <alignment horizontal="center" vertical="center"/>
    </xf>
    <xf numFmtId="0" fontId="14" fillId="7" borderId="50" xfId="22" applyFont="1" applyFill="1" applyBorder="1" applyAlignment="1" applyProtection="1">
      <alignment horizontal="justify" vertical="center" textRotation="90" wrapText="1"/>
      <protection hidden="1"/>
    </xf>
    <xf numFmtId="9" fontId="17" fillId="7" borderId="50" xfId="22" applyNumberFormat="1" applyFont="1" applyFill="1" applyBorder="1" applyAlignment="1" applyProtection="1">
      <alignment horizontal="center" vertical="center"/>
      <protection hidden="1"/>
    </xf>
    <xf numFmtId="0" fontId="14" fillId="7" borderId="50" xfId="22" applyFont="1" applyFill="1" applyBorder="1" applyAlignment="1" applyProtection="1">
      <alignment horizontal="justify" vertical="center" textRotation="90"/>
      <protection hidden="1"/>
    </xf>
    <xf numFmtId="14" fontId="17" fillId="7" borderId="50" xfId="22" applyNumberFormat="1" applyFont="1" applyFill="1" applyBorder="1" applyAlignment="1" applyProtection="1">
      <alignment horizontal="justify" vertical="center"/>
      <protection locked="0"/>
    </xf>
    <xf numFmtId="14" fontId="17" fillId="7" borderId="50" xfId="22" applyNumberFormat="1" applyFont="1" applyFill="1" applyBorder="1" applyAlignment="1" applyProtection="1">
      <alignment horizontal="center" vertical="center"/>
      <protection locked="0"/>
    </xf>
    <xf numFmtId="0" fontId="17" fillId="7" borderId="39" xfId="22" applyFont="1" applyFill="1" applyBorder="1" applyAlignment="1" applyProtection="1">
      <alignment horizontal="center" vertical="center" wrapText="1"/>
      <protection locked="0"/>
    </xf>
    <xf numFmtId="0" fontId="17" fillId="7" borderId="47" xfId="22" applyFont="1" applyFill="1" applyBorder="1" applyAlignment="1" applyProtection="1">
      <alignment horizontal="center" vertical="center" wrapText="1"/>
      <protection locked="0"/>
    </xf>
    <xf numFmtId="0" fontId="96" fillId="7" borderId="47" xfId="22" applyFont="1" applyFill="1" applyBorder="1" applyAlignment="1" applyProtection="1">
      <alignment horizontal="center" vertical="center" wrapText="1"/>
      <protection locked="0"/>
    </xf>
    <xf numFmtId="0" fontId="17" fillId="7" borderId="41" xfId="22" applyFont="1" applyFill="1" applyBorder="1" applyAlignment="1" applyProtection="1">
      <alignment horizontal="center" vertical="center" wrapText="1"/>
      <protection locked="0"/>
    </xf>
    <xf numFmtId="0" fontId="14" fillId="7" borderId="48" xfId="22" applyFont="1" applyFill="1" applyBorder="1" applyAlignment="1" applyProtection="1">
      <alignment horizontal="justify" vertical="center"/>
      <protection hidden="1"/>
    </xf>
    <xf numFmtId="0" fontId="17" fillId="7" borderId="48" xfId="22" applyFont="1" applyFill="1" applyBorder="1" applyAlignment="1" applyProtection="1">
      <alignment horizontal="center" vertical="center"/>
      <protection hidden="1"/>
    </xf>
    <xf numFmtId="0" fontId="17" fillId="7" borderId="48" xfId="22" applyFont="1" applyFill="1" applyBorder="1" applyAlignment="1" applyProtection="1">
      <alignment horizontal="center" vertical="center" textRotation="90"/>
      <protection locked="0"/>
    </xf>
    <xf numFmtId="164" fontId="17" fillId="7" borderId="48" xfId="24" applyNumberFormat="1" applyFont="1" applyFill="1" applyBorder="1" applyAlignment="1">
      <alignment horizontal="center" vertical="center"/>
    </xf>
    <xf numFmtId="0" fontId="14" fillId="7" borderId="48" xfId="22" applyFont="1" applyFill="1" applyBorder="1" applyAlignment="1" applyProtection="1">
      <alignment horizontal="center" vertical="center" textRotation="90" wrapText="1"/>
      <protection hidden="1"/>
    </xf>
    <xf numFmtId="0" fontId="14" fillId="7" borderId="48" xfId="22" applyFont="1" applyFill="1" applyBorder="1" applyAlignment="1" applyProtection="1">
      <alignment horizontal="center" vertical="center" textRotation="90"/>
      <protection hidden="1"/>
    </xf>
    <xf numFmtId="0" fontId="17" fillId="7" borderId="51" xfId="22" applyFont="1" applyFill="1" applyBorder="1" applyAlignment="1">
      <alignment horizontal="center" vertical="center"/>
    </xf>
    <xf numFmtId="0" fontId="17" fillId="7" borderId="52" xfId="22" applyFont="1" applyFill="1" applyBorder="1" applyAlignment="1" applyProtection="1">
      <alignment horizontal="center" vertical="center" wrapText="1"/>
      <protection locked="0"/>
    </xf>
    <xf numFmtId="0" fontId="17" fillId="7" borderId="54" xfId="22" applyFont="1" applyFill="1" applyBorder="1" applyAlignment="1" applyProtection="1">
      <alignment horizontal="center" vertical="center" wrapText="1"/>
      <protection locked="0"/>
    </xf>
    <xf numFmtId="0" fontId="96" fillId="7" borderId="55" xfId="22" applyFont="1" applyFill="1" applyBorder="1" applyAlignment="1" applyProtection="1">
      <alignment horizontal="center" vertical="center" wrapText="1"/>
      <protection locked="0"/>
    </xf>
    <xf numFmtId="0" fontId="17" fillId="7" borderId="53" xfId="22" applyFont="1" applyFill="1" applyBorder="1" applyAlignment="1" applyProtection="1">
      <alignment horizontal="center" vertical="center" wrapText="1"/>
      <protection locked="0"/>
    </xf>
    <xf numFmtId="9" fontId="17" fillId="7" borderId="51" xfId="22" applyNumberFormat="1" applyFont="1" applyFill="1" applyBorder="1" applyAlignment="1" applyProtection="1">
      <alignment horizontal="justify" vertical="center" wrapText="1"/>
      <protection hidden="1"/>
    </xf>
    <xf numFmtId="9" fontId="17" fillId="7" borderId="51" xfId="22" applyNumberFormat="1" applyFont="1" applyFill="1" applyBorder="1" applyAlignment="1" applyProtection="1">
      <alignment horizontal="justify" vertical="center" wrapText="1"/>
      <protection locked="0"/>
    </xf>
    <xf numFmtId="0" fontId="14" fillId="7" borderId="51" xfId="22" applyFont="1" applyFill="1" applyBorder="1" applyAlignment="1" applyProtection="1">
      <alignment horizontal="center" vertical="center" wrapText="1"/>
      <protection hidden="1"/>
    </xf>
    <xf numFmtId="0" fontId="14" fillId="7" borderId="51" xfId="22" applyFont="1" applyFill="1" applyBorder="1" applyAlignment="1" applyProtection="1">
      <alignment horizontal="justify" vertical="center"/>
      <protection hidden="1"/>
    </xf>
    <xf numFmtId="0" fontId="17" fillId="7" borderId="50" xfId="22" applyFont="1" applyFill="1" applyBorder="1" applyAlignment="1" applyProtection="1">
      <alignment horizontal="center" vertical="center"/>
      <protection hidden="1"/>
    </xf>
    <xf numFmtId="0" fontId="17" fillId="7" borderId="50" xfId="22" applyFont="1" applyFill="1" applyBorder="1" applyAlignment="1" applyProtection="1">
      <alignment horizontal="center" vertical="center" textRotation="90"/>
      <protection locked="0"/>
    </xf>
    <xf numFmtId="164" fontId="17" fillId="7" borderId="50" xfId="24" applyNumberFormat="1" applyFont="1" applyFill="1" applyBorder="1" applyAlignment="1">
      <alignment horizontal="center" vertical="center"/>
    </xf>
    <xf numFmtId="0" fontId="14" fillId="7" borderId="50" xfId="22" applyFont="1" applyFill="1" applyBorder="1" applyAlignment="1" applyProtection="1">
      <alignment horizontal="center" vertical="center" textRotation="90" wrapText="1"/>
      <protection hidden="1"/>
    </xf>
    <xf numFmtId="0" fontId="14" fillId="7" borderId="50" xfId="22" applyFont="1" applyFill="1" applyBorder="1" applyAlignment="1" applyProtection="1">
      <alignment horizontal="center" vertical="center" textRotation="90"/>
      <protection hidden="1"/>
    </xf>
    <xf numFmtId="0" fontId="17" fillId="7" borderId="38" xfId="22" applyFont="1" applyFill="1" applyBorder="1" applyAlignment="1" applyProtection="1">
      <alignment horizontal="center" vertical="center" wrapText="1"/>
      <protection locked="0"/>
    </xf>
    <xf numFmtId="0" fontId="96" fillId="7" borderId="53" xfId="22" applyFont="1" applyFill="1" applyBorder="1" applyAlignment="1" applyProtection="1">
      <alignment horizontal="center" vertical="center" wrapText="1"/>
      <protection locked="0"/>
    </xf>
    <xf numFmtId="0" fontId="96" fillId="7" borderId="155" xfId="22" applyFont="1" applyFill="1" applyBorder="1" applyAlignment="1" applyProtection="1">
      <alignment horizontal="center" vertical="center" wrapText="1"/>
      <protection locked="0"/>
    </xf>
    <xf numFmtId="0" fontId="17" fillId="7" borderId="156" xfId="22" applyFont="1" applyFill="1" applyBorder="1" applyAlignment="1">
      <alignment horizontal="center" vertical="center"/>
    </xf>
    <xf numFmtId="0" fontId="17" fillId="7" borderId="156" xfId="22" applyFont="1" applyFill="1" applyBorder="1" applyAlignment="1" applyProtection="1">
      <alignment horizontal="center" vertical="center" wrapText="1"/>
      <protection locked="0"/>
    </xf>
    <xf numFmtId="0" fontId="17" fillId="7" borderId="156" xfId="22" applyFont="1" applyFill="1" applyBorder="1" applyAlignment="1" applyProtection="1">
      <alignment horizontal="center" vertical="center" wrapText="1"/>
      <protection locked="0"/>
    </xf>
    <xf numFmtId="0" fontId="96" fillId="7" borderId="156" xfId="22" applyFont="1" applyFill="1" applyBorder="1" applyAlignment="1" applyProtection="1">
      <alignment horizontal="center" vertical="center" wrapText="1"/>
      <protection locked="0"/>
    </xf>
    <xf numFmtId="0" fontId="96" fillId="7" borderId="81" xfId="22" applyFont="1" applyFill="1" applyBorder="1" applyAlignment="1" applyProtection="1">
      <alignment horizontal="center" vertical="center" wrapText="1"/>
      <protection locked="0"/>
    </xf>
    <xf numFmtId="0" fontId="17" fillId="7" borderId="51" xfId="22" applyFont="1" applyFill="1" applyBorder="1" applyAlignment="1" applyProtection="1">
      <alignment horizontal="center" vertical="center"/>
      <protection locked="0"/>
    </xf>
    <xf numFmtId="0" fontId="24" fillId="0" borderId="37" xfId="25" applyFont="1" applyAlignment="1">
      <alignment horizontal="center" vertical="center"/>
    </xf>
    <xf numFmtId="0" fontId="24" fillId="0" borderId="37" xfId="25" applyFont="1" applyAlignment="1">
      <alignment horizontal="center"/>
    </xf>
  </cellXfs>
  <cellStyles count="26">
    <cellStyle name="Excel Built-in Currency [0]" xfId="9" xr:uid="{FABAE853-1D2A-47CF-9121-0A06B10A31D0}"/>
    <cellStyle name="Hipervínculo 2" xfId="13" xr:uid="{7936C37B-FBD2-43EF-9FA1-16C2E1A2A185}"/>
    <cellStyle name="Moneda 2" xfId="6" xr:uid="{A70F239C-0687-4026-B631-59EE897BE17D}"/>
    <cellStyle name="Normal" xfId="0" builtinId="0"/>
    <cellStyle name="Normal 10" xfId="17" xr:uid="{3BDCE15E-3447-42F9-B475-F097EFEB374A}"/>
    <cellStyle name="Normal 10 2" xfId="23" xr:uid="{9760F46A-F613-4DDD-BD69-42CB6CD2CFE9}"/>
    <cellStyle name="Normal 11" xfId="19" xr:uid="{F1C2DAE2-3105-425D-969C-32259E01308A}"/>
    <cellStyle name="Normal 12" xfId="20" xr:uid="{6915762A-67FD-48E2-B4C8-92E88B96C094}"/>
    <cellStyle name="Normal 13" xfId="22" xr:uid="{881DC2E2-0DDC-4635-BBC6-1B0ED23CDAB2}"/>
    <cellStyle name="Normal 2" xfId="1" xr:uid="{00000000-0005-0000-0000-000001000000}"/>
    <cellStyle name="Normal 2 2" xfId="12" xr:uid="{D32F50AE-52CD-4911-8381-AA8F172F2179}"/>
    <cellStyle name="Normal 3" xfId="2" xr:uid="{9F39DA74-3561-45AB-A9F8-F0F1DF7F9137}"/>
    <cellStyle name="Normal 4" xfId="3" xr:uid="{39EBC8F5-15EC-4354-ACC3-AF6C96B4C436}"/>
    <cellStyle name="Normal 5" xfId="4" xr:uid="{3EB035AA-B078-4D8A-88F1-3F03164FF781}"/>
    <cellStyle name="Normal 6" xfId="5" xr:uid="{0EF03569-8475-465A-AB7F-2E2DEFC00DF7}"/>
    <cellStyle name="Normal 7" xfId="7" xr:uid="{277702CE-93D5-419F-B438-6F475D47B794}"/>
    <cellStyle name="Normal 7 2" xfId="25" xr:uid="{145765B0-5173-42A3-98CC-B0D8314DD09D}"/>
    <cellStyle name="Normal 8" xfId="10" xr:uid="{2E7E319C-D974-4499-B8DB-15470B08EFE5}"/>
    <cellStyle name="Normal 9" xfId="14" xr:uid="{B7C11B45-55AC-4D3C-A7AE-ED9CD5DD1CCA}"/>
    <cellStyle name="Porcentaje" xfId="16" builtinId="5"/>
    <cellStyle name="Porcentaje 2" xfId="8" xr:uid="{D5C6F6A0-1A75-4F98-B3F9-47CA5C193AAB}"/>
    <cellStyle name="Porcentaje 3" xfId="11" xr:uid="{96A515F3-A793-43AB-9A6A-E6B96DDDEA64}"/>
    <cellStyle name="Porcentaje 4" xfId="15" xr:uid="{3F965C8F-76B0-4B2E-86E8-5588F8CACA07}"/>
    <cellStyle name="Porcentaje 5" xfId="18" xr:uid="{11045511-3AF2-4F81-93D0-444188FD140D}"/>
    <cellStyle name="Porcentaje 6" xfId="21" xr:uid="{1071F6F4-E11D-402A-982F-53678D5AC56F}"/>
    <cellStyle name="Porcentaje 7" xfId="24" xr:uid="{8DF09490-9FE0-4B1C-9C76-B7A1AB1EB376}"/>
  </cellStyles>
  <dxfs count="1065">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bgColor rgb="FF92D050"/>
        </patternFill>
      </fill>
    </dxf>
    <dxf>
      <fill>
        <patternFill>
          <bgColor rgb="FFFFFF00"/>
        </patternFill>
      </fill>
    </dxf>
    <dxf>
      <fill>
        <patternFill>
          <bgColor rgb="FFE46C0A"/>
        </patternFill>
      </fill>
    </dxf>
    <dxf>
      <fill>
        <patternFill>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ont>
        <color rgb="FFFFFFFF"/>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FFFF00"/>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E46C0A"/>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rgb="FFE46C0A"/>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FFFFFF"/>
      </font>
      <fill>
        <patternFill>
          <bgColor rgb="FF92D050"/>
        </patternFill>
      </fill>
    </dxf>
    <dxf>
      <fill>
        <patternFill>
          <bgColor rgb="FFFF0000"/>
        </patternFill>
      </fill>
    </dxf>
    <dxf>
      <fill>
        <patternFill>
          <bgColor rgb="FFFFC000"/>
        </patternFill>
      </fill>
    </dxf>
    <dxf>
      <fill>
        <patternFill>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0000"/>
        </patternFill>
      </fill>
    </dxf>
    <dxf>
      <font>
        <color rgb="FFFFFFFF"/>
      </font>
      <fill>
        <patternFill>
          <bgColor rgb="FF92D050"/>
        </patternFill>
      </fill>
    </dxf>
    <dxf>
      <fill>
        <patternFill>
          <bgColor rgb="FFFFC000"/>
        </patternFill>
      </fill>
    </dxf>
    <dxf>
      <fill>
        <patternFill>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E46C0A"/>
        </patternFill>
      </fill>
    </dxf>
    <dxf>
      <fill>
        <patternFill>
          <bgColor rgb="FFFFFF00"/>
        </patternFill>
      </fill>
    </dxf>
    <dxf>
      <fill>
        <patternFill>
          <bgColor rgb="FFE46C0A"/>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3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1.%20SEC%20HACIENDA\MRG%20HACIENDA.xlsx" TargetMode="External"/><Relationship Id="rId1" Type="http://schemas.openxmlformats.org/officeDocument/2006/relationships/externalLinkPath" Target="1.%20BIM%20(EN-FEB-25)/1.%20SEC%20HACIENDA/MRG%20HACIEND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2.%20SEC%20SALUD\MAP%20RX%20GEST%20SALUD.xlsx" TargetMode="External"/><Relationship Id="rId1" Type="http://schemas.openxmlformats.org/officeDocument/2006/relationships/externalLinkPath" Target="1.%20BIM%20(EN-FEB-25)/2.%20SEC%20SALUD/MAP%20RX%20GEST%20SALU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3.%20GEST%20JURIDICA\MAP%20GEST%20JURIDICA.xlsx" TargetMode="External"/><Relationship Id="rId1" Type="http://schemas.openxmlformats.org/officeDocument/2006/relationships/externalLinkPath" Target="1.%20BIM%20(EN-FEB-25)/3.%20GEST%20JURIDICA/MAP%20GEST%20JURIDIC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4.%20GEST%20SS%20AT%20CIUDADANO\MRG%20ATCIU.xlsx" TargetMode="External"/><Relationship Id="rId1" Type="http://schemas.openxmlformats.org/officeDocument/2006/relationships/externalLinkPath" Target="1.%20BIM%20(EN-FEB-25)/4.%20GEST%20SS%20AT%20CIUDADANO/MRG%20ATCI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Marcela/Downloads/MARCELA%20MAPA%20GESTION.xlsx%20a&#241;o%202023%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ORIS\Documents\riesgos\2024\MAPA%20RIESGOS%20GI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6.%20GEST%20INFRA%20TECNOL\MR%20GIT%20GESTFISC.xlsx" TargetMode="External"/><Relationship Id="rId1" Type="http://schemas.openxmlformats.org/officeDocument/2006/relationships/externalLinkPath" Target="1.%20BIM%20(EN-FEB-25)/6.%20GEST%20INFRA%20TECNOL/MR%20GIT%20GESTFISC.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7.%20CONTROL%20INTERNO\MR%20GEST%20CTRINTER.xlsx" TargetMode="External"/><Relationship Id="rId1" Type="http://schemas.openxmlformats.org/officeDocument/2006/relationships/externalLinkPath" Target="1.%20BIM%20(EN-FEB-25)/7.%20CONTROL%20INTERNO/MR%20GEST%20CTRINTER.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8.%20GEST%20ESTRAT%20COMUNIC\MR%20GEST%20GEC.xlsx" TargetMode="External"/><Relationship Id="rId1" Type="http://schemas.openxmlformats.org/officeDocument/2006/relationships/externalLinkPath" Target="1.%20BIM%20(EN-FEB-25)/8.%20GEST%20ESTRAT%20COMUNIC/MR%20GEST%20GEC.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9.%20GEST%20CTRL%20DICIPLINARIO\MRG%20CTRL%20DISCIPL.xlsx" TargetMode="External"/><Relationship Id="rId1" Type="http://schemas.openxmlformats.org/officeDocument/2006/relationships/externalLinkPath" Target="1.%20BIM%20(EN-FEB-25)/9.%20GEST%20CTRL%20DICIPLINARIO/MRG%20CTRL%20DISCIPL.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10.%20GEST%20CATASTRAL\MRG%20CATASTRO.xlsx" TargetMode="External"/><Relationship Id="rId1" Type="http://schemas.openxmlformats.org/officeDocument/2006/relationships/externalLinkPath" Target="1.%20BIM%20(EN-FEB-25)/10.%20GEST%20CATASTRAL/MRG%20CATASTRO.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12.%20TRANSITO%20Y%20MOVIL\MRG%20TRANSITO.xlsx" TargetMode="External"/><Relationship Id="rId1" Type="http://schemas.openxmlformats.org/officeDocument/2006/relationships/externalLinkPath" Target="1.%20BIM%20(EN-FEB-25)/12.%20TRANSITO%20Y%20MOVIL/MRG%20TRANSITO.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19.%20RECURSO%20FISICO\MRG%20RECFIS.xlsx" TargetMode="External"/><Relationship Id="rId1" Type="http://schemas.openxmlformats.org/officeDocument/2006/relationships/externalLinkPath" Target="1.%20BIM%20(EN-FEB-25)/19.%20RECURSO%20FISICO/MRG%20RECFIS.xlsx" TargetMode="External"/></Relationships>
</file>

<file path=xl/externalLinks/_rels/externalLink14.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7.%20SIG%20Y%20MIPG\GESTION%20SIG.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7.%20SIG%20Y%20MIPG\GESTION%20SIG.xlsx?2B1115FA" TargetMode="External"/><Relationship Id="rId1" Type="http://schemas.openxmlformats.org/officeDocument/2006/relationships/externalLinkPath" Target="file:///\\2B1115FA\GESTION%20SIG.xlsx" TargetMode="External"/></Relationships>
</file>

<file path=xl/externalLinks/_rels/externalLink15.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5\2.%20INFORME%20DE%20ACTIVIDADES\REVISION%20DEPENDENCIAS\MAPA%20RIESGOS%202025\1.%20MONITOREO\1.%20REV%20SIGAMI%20RIESGOS%20GEST-CORRUPCION\1.%20BIM%20(EN-FEB-25)\2.%20SEC%20SALUD\MAP%20RX%20GEST%20SALUD.xlsx" TargetMode="External"/><Relationship Id="rId2" Type="http://schemas.microsoft.com/office/2019/04/relationships/externalLinkLongPath" Target="file:///C:\Users\EDUARDO%20HERNANDEZ\OneDrive\Documentos\SECRETARIA%20DE%20PLANEACION%20MPAL\2025\2.%20INFORME%20DE%20ACTIVIDADES\REVISION%20DEPENDENCIAS\MAPA%20RIESGOS%202025\1.%20MONITOREO\1.%20REV%20SIGAMI%20RIESGOS%20GEST-CORRUPCION\1.%20BIM%20(EN-FEB-25)\2.%20SEC%20SALUD\MAP%20RX%20GEST%20SALUD.xlsx?4EC67560" TargetMode="External"/><Relationship Id="rId1" Type="http://schemas.openxmlformats.org/officeDocument/2006/relationships/externalLinkPath" Target="file:///\\4EC67560\MAP%20RX%20GEST%20SALUD.xlsx" TargetMode="External"/></Relationships>
</file>

<file path=xl/externalLinks/_rels/externalLink16.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5\2.%20INFORME%20DE%20ACTIVIDADES\REVISION%20DEPENDENCIAS\MAPA%20RIESGOS%202025\1.%20MONITOREO\1.%20REV%20SIGAMI%20RIESGOS%20GEST-CORRUPCION\1.%20BIM%20(EN-FEB-25)\7.%20CONTROL%20INTERNO\MR%20GEST%20CTRINTER.xlsx" TargetMode="External"/><Relationship Id="rId2" Type="http://schemas.microsoft.com/office/2019/04/relationships/externalLinkLongPath" Target="file:///C:\Users\EDUARDO%20HERNANDEZ\OneDrive\Documentos\SECRETARIA%20DE%20PLANEACION%20MPAL\2025\2.%20INFORME%20DE%20ACTIVIDADES\REVISION%20DEPENDENCIAS\MAPA%20RIESGOS%202025\1.%20MONITOREO\1.%20REV%20SIGAMI%20RIESGOS%20GEST-CORRUPCION\1.%20BIM%20(EN-FEB-25)\7.%20CONTROL%20INTERNO\MR%20GEST%20CTRINTER.xlsx?2AD2F16A" TargetMode="External"/><Relationship Id="rId1" Type="http://schemas.openxmlformats.org/officeDocument/2006/relationships/externalLinkPath" Target="file:///\\2AD2F16A\MR%20GEST%20CTRINTER.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2.%20BIM%20(MARZ-ABRIL-25)\3.%20ESTRAT%20COMUNICACIONES\MRG%20GEC%20MARZO.xlsx" TargetMode="External"/><Relationship Id="rId1" Type="http://schemas.openxmlformats.org/officeDocument/2006/relationships/externalLinkPath" Target="2.%20BIM%20(MARZ-ABRIL-25)/3.%20ESTRAT%20COMUNICACIONES/MRG%20GEC%20MARZO.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2.%20BIM%20(MARZ-ABRIL-25)\4.%20HACIENDA%20PUBLICA\MRG%20HACIENDA.xlsx" TargetMode="External"/><Relationship Id="rId1" Type="http://schemas.openxmlformats.org/officeDocument/2006/relationships/externalLinkPath" Target="2.%20BIM%20(MARZ-ABRIL-25)/4.%20HACIENDA%20PUBLICA/MRG%20HACIENDA.xlsx" TargetMode="External"/></Relationships>
</file>

<file path=xl/externalLinks/_rels/externalLink19.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20GEST%20ESTRA%20COMUNICA\MRG%20GEST%20EST%20COMUNIC.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2.%20GEST%20ESTRA%20COMUNICA\MRG%20GEST%20EST%20COMUNIC.xlsx?BC6F5D80" TargetMode="External"/><Relationship Id="rId1" Type="http://schemas.openxmlformats.org/officeDocument/2006/relationships/externalLinkPath" Target="file:///\\BC6F5D80\MRG%20GEST%20EST%20COMUNIC.xlsx" TargetMode="External"/></Relationships>
</file>

<file path=xl/externalLinks/_rels/externalLink20.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3.%20GEST%20CONTROL%20DISCIPL\MRG%20CTRL%20DISCIPL.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3.%20GEST%20CONTROL%20DISCIPL\MRG%20CTRL%20DISCIPL.xlsx?D9BBAD62" TargetMode="External"/><Relationship Id="rId1" Type="http://schemas.openxmlformats.org/officeDocument/2006/relationships/externalLinkPath" Target="file:///\\D9BBAD62\MRG%20CTRL%20DISCIPL.xlsx" TargetMode="External"/></Relationships>
</file>

<file path=xl/externalLinks/_rels/externalLink21.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4.%20GEST%20SALUD\MRG%20GEST%20SALUD.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4.%20GEST%20SALUD\MRG%20GEST%20SALUD.xlsx?518DCBAB" TargetMode="External"/><Relationship Id="rId1" Type="http://schemas.openxmlformats.org/officeDocument/2006/relationships/externalLinkPath" Target="file:///\\518DCBAB\MRG%20GEST%20SALUD.xlsx" TargetMode="External"/></Relationships>
</file>

<file path=xl/externalLinks/_rels/externalLink22.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7.%20GEST%20ARTIS%20Y%20CULTURAL\MRG%20ARTIS%20Y%20CULT.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7.%20GEST%20ARTIS%20Y%20CULTURAL\MRG%20ARTIS%20Y%20CULT.xlsx?857A34BB" TargetMode="External"/><Relationship Id="rId1" Type="http://schemas.openxmlformats.org/officeDocument/2006/relationships/externalLinkPath" Target="file:///\\857A34BB\MRG%20ARTIS%20Y%20CULT.xlsx" TargetMode="External"/></Relationships>
</file>

<file path=xl/externalLinks/_rels/externalLink23.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8.%20TRANSITO%20Y%20MOVILIDAD\MAPA%20GESTION.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8.%20TRANSITO%20Y%20MOVILIDAD\MAPA%20GESTION.xlsx?1B551487" TargetMode="External"/><Relationship Id="rId1" Type="http://schemas.openxmlformats.org/officeDocument/2006/relationships/externalLinkPath" Target="file:///\\1B551487\MAPA%20GESTION.xlsx" TargetMode="External"/></Relationships>
</file>

<file path=xl/externalLinks/_rels/externalLink24.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9.%20GEST%20SS%20Y%20ATEN%20CIUD\MRG%20GEST%20SS%20ATEN%20CIUD.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9.%20GEST%20SS%20Y%20ATEN%20CIUD\MRG%20GEST%20SS%20ATEN%20CIUD.xlsx?583256A3" TargetMode="External"/><Relationship Id="rId1" Type="http://schemas.openxmlformats.org/officeDocument/2006/relationships/externalLinkPath" Target="file:///\\583256A3\MRG%20GEST%20SS%20ATEN%20CIUD.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CRISTIAN\Downloads\03%20Mapa%20de%20Riesgos%20de%20Gesti&#243;n%20PET%20May-Jun%202024.xlsx" TargetMode="External"/></Relationships>
</file>

<file path=xl/externalLinks/_rels/externalLink26.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3.%20HACIENDA%20PUBLICA\MRGF%20HACIENDA.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13.%20HACIENDA%20PUBLICA\MRGF%20HACIENDA.xlsx?0C727B8D" TargetMode="External"/><Relationship Id="rId1" Type="http://schemas.openxmlformats.org/officeDocument/2006/relationships/externalLinkPath" Target="file:///\\0C727B8D\MRGF%20HACIENDA.xlsx" TargetMode="External"/></Relationships>
</file>

<file path=xl/externalLinks/_rels/externalLink27.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4.%20GIT\MRGF%20GIT.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14.%20GIT\MRGF%20GIT.xlsx?5268AD97" TargetMode="External"/><Relationship Id="rId1" Type="http://schemas.openxmlformats.org/officeDocument/2006/relationships/externalLinkPath" Target="file:///\\5268AD97\MRGF%20GIT.xlsx" TargetMode="External"/></Relationships>
</file>

<file path=xl/externalLinks/_rels/externalLink28.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5.%20GITIC\MRG%20GITIC.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15.%20GITIC\MRG%20GITIC.xlsx?304FCF28" TargetMode="External"/><Relationship Id="rId1" Type="http://schemas.openxmlformats.org/officeDocument/2006/relationships/externalLinkPath" Target="file:///\\304FCF28\MRG%20GITIC.xlsx"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6.%20DES%20ECON%20Y%20COMPET\MRG%20DES%20ECON%20COMPET.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16.%20DES%20ECON%20Y%20COMPET\MRG%20DES%20ECON%20COMPET.xlsx?1BF391BF" TargetMode="External"/><Relationship Id="rId1" Type="http://schemas.openxmlformats.org/officeDocument/2006/relationships/externalLinkPath" Target="file:///\\1BF391BF\MRG%20DES%20ECON%20COMPET.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C:\Users\EDUARDO%20HERNANDEZ\OneDrive\DOCUME~1\SECRET~1\2024\INFORM~1\REVISI~1\MATRIZ\13C66~1.MON\10-8-2~1\67900~1.BIM\DESPAC~1\GESTRE~1\MRG%20REC%20FISIC.xlsx" TargetMode="External"/><Relationship Id="rId1" Type="http://schemas.openxmlformats.org/officeDocument/2006/relationships/externalLinkPath" Target="file:///C:\Users\EDUARDO%20HERNANDEZ\OneDrive\DOCUME~1\SECRET~1\2024\INFORM~1\REVISI~1\MATRIZ\13C66~1.MON\10-8-2~1\67900~1.BIM\DESPAC~1\GESTRE~1\MRG%20REC%20FISIC.xlsx" TargetMode="External"/></Relationships>
</file>

<file path=xl/externalLinks/_rels/externalLink31.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DESPACHO%20ADMTVO\19%20GESTI&#211;N%20DOCUMENTAL\MRG%20GD.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DESPACHO%20ADMTVO\19%20GESTI&#211;N%20DOCUMENTAL\MRG%20GD.xlsx?CB80AC71" TargetMode="External"/><Relationship Id="rId1" Type="http://schemas.openxmlformats.org/officeDocument/2006/relationships/externalLinkPath" Target="file:///\\CB80AC71\MRG%20GD.xlsx" TargetMode="External"/></Relationships>
</file>

<file path=xl/externalLinks/_rels/externalLink32.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0.%20CONTROL%20INTERNO\MRG%20CTRL%20INTERNO.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20.%20CONTROL%20INTERNO\MRG%20CTRL%20INTERNO.xlsx?04E661D5" TargetMode="External"/><Relationship Id="rId1" Type="http://schemas.openxmlformats.org/officeDocument/2006/relationships/externalLinkPath" Target="file:///\\04E661D5\MRG%20CTRL%20INTERNO.xlsx" TargetMode="External"/></Relationships>
</file>

<file path=xl/externalLinks/_rels/externalLink33.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1.%20GEST%20JURIDICA\MRG%20GEST%20JURIDICA.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21.%20GEST%20JURIDICA\MRG%20GEST%20JURIDICA.xlsx?749CBCBE" TargetMode="External"/><Relationship Id="rId1" Type="http://schemas.openxmlformats.org/officeDocument/2006/relationships/externalLinkPath" Target="file:///\\749CBCBE\MRG%20GEST%20JURIDICA.xlsx" TargetMode="External"/></Relationships>
</file>

<file path=xl/externalLinks/_rels/externalLink34.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2.%20GEST%20PART%20CIUDADANA\MRG%20GEST%20PART%20CIUD.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22.%20GEST%20PART%20CIUDADANA\MRG%20GEST%20PART%20CIUD.xlsx?56BB0D4B" TargetMode="External"/><Relationship Id="rId1" Type="http://schemas.openxmlformats.org/officeDocument/2006/relationships/externalLinkPath" Target="file:///\\56BB0D4B\MRG%20GEST%20PART%20CIUD.xlsx" TargetMode="External"/></Relationships>
</file>

<file path=xl/externalLinks/_rels/externalLink35.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4.%20GEST%20GOBER%20CONV%20CIUDAD\MRG%20GOBERN.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24.%20GEST%20GOBER%20CONV%20CIUDAD\MRG%20GOBERN.xlsx?7028F70C" TargetMode="External"/><Relationship Id="rId1" Type="http://schemas.openxmlformats.org/officeDocument/2006/relationships/externalLinkPath" Target="file:///\\7028F70C\MRG%20GOBERN.xlsx" TargetMode="External"/></Relationships>
</file>

<file path=xl/externalLinks/_rels/externalLink36.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0.%20CATASTRO\MRG%20CATASTRO.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10.%20CATASTRO\MRG%20CATASTRO.xlsx?4F0EA01D" TargetMode="External"/><Relationship Id="rId1" Type="http://schemas.openxmlformats.org/officeDocument/2006/relationships/externalLinkPath" Target="file:///\\4F0EA01D\MRG%20CATASTRO.xlsx" TargetMode="External"/></Relationships>
</file>

<file path=xl/externalLinks/_rels/externalLink37.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5.%20GEST%20AMBIENTAL\MRG%20AMBIENTAL.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25.%20GEST%20AMBIENTAL\MRG%20AMBIENTAL.xlsx?61984430" TargetMode="External"/><Relationship Id="rId1" Type="http://schemas.openxmlformats.org/officeDocument/2006/relationships/externalLinkPath" Target="file:///\\61984430\MRG%20AMBI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Mapa final"/>
      <sheetName val="DOFA"/>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ow r="19">
          <cell r="B19" t="str">
            <v xml:space="preserve"> falta de actualización de los documentos de los procesos de gestión de la Secretaría de Hacienda.</v>
          </cell>
        </row>
        <row r="20">
          <cell r="B20" t="str">
            <v>Inconsistencia en los cruces entre bancos y las certificaciones</v>
          </cell>
        </row>
        <row r="34">
          <cell r="B34" t="str">
            <v>Inadecuada deducción de impuestos, tasas o contribuciones al contratista</v>
          </cell>
        </row>
        <row r="35">
          <cell r="B35" t="str">
            <v>Deficiente seguimiento por parte de los ordenadores del gasto  en la ejecución presupuestal</v>
          </cell>
        </row>
        <row r="36">
          <cell r="B36" t="str">
            <v>Falta de aplicación de las políticas del proceso de gestión docuemntal en el control y préstamo de la documentación.</v>
          </cell>
        </row>
        <row r="37">
          <cell r="B37" t="str">
            <v>1, Retraso en la entrega de información relacionada con actualización y/o conservación catastral por parte del Gestor catastral.  Notificación indebida y/o extemporanea</v>
          </cell>
        </row>
        <row r="38">
          <cell r="B38" t="str">
            <v xml:space="preserve">Debilidad de la Dirección de Tesorería-grupo Cobro Coactivo para efectuar el control de  los impulsos procesales de la cartera de cobro.  </v>
          </cell>
        </row>
      </sheetData>
      <sheetData sheetId="3" refreshError="1"/>
      <sheetData sheetId="4">
        <row r="39">
          <cell r="E39" t="str">
            <v>D3, O4-El director (a) de Presupuesto por medio de su equipo de trabajo, realizará seguimiento a la ejecución presupuestal elaborando y presentando de manera mensual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
Dejando como evidencia los correos electrónicos institucionales. (MANUAL  PRESUPUESTO: MAN-GHP-01- ELABORACIÓN DEL INFORME EJECUTIVO DE EJECUCIÓN PRESUPUESTAL DE GASTOS //CARACTERIZACION DEL PROCESO: CAR-GHP-001 )</v>
          </cell>
        </row>
        <row r="40">
          <cell r="E40" t="str">
            <v>D1, D3, D12, O4, O7, F7 El Profesional Universitado y/o técnico Operativo cada vez que se requiera controla el prestamo y devolución de expedientes   deacuerdo a los lineamientos establecidos por Gestión Documental, dejando como Evidencia Planillas de control.
(GESTION DOCUMENTAL: FORMATO CONTROL PRESTAMO: PRO-GD-03)</v>
          </cell>
        </row>
        <row r="41">
          <cell r="E41" t="str">
            <v>D2, D6,  F2, O5 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
(GESTION DOCUMENTAL: POLITICA GESTION DOCUMENTAL: POL-GD-001-PRO-SIG-001 CONTROL DE DOCUMENTOS DEL SIGAMI)</v>
          </cell>
        </row>
        <row r="42">
          <cell r="E42" t="str">
            <v>D 13, D14. O10, F11 , A4. El Director de Tesoreria , anualmente, emitirá Certificado de superávit o déficit fiscal, dejando como evidencia dicha certificación. 
(PRO-GHP-010: PROCEDIMIENTO: CIERRE DEL EJERCICIO FISCAL)</v>
          </cell>
        </row>
        <row r="43">
          <cell r="E43" t="str">
            <v>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PRO-GHP-05 FACTURACION  Impuesto Predial Unificado.</v>
          </cell>
        </row>
        <row r="44">
          <cell r="E44" t="str">
            <v>F10, A4, D5, O10 , El director de Tesorería trimestralmente,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dejando como evidencia los informes trimestrales presentados al Director de Tesoreria
MANUAL ESPECÍFICO DE FUNCIONES Y COMPETENCIAS
LABORALES (MAN-GHS-003) ( DESCRIPCION DE FUNCIONES ESENCIALES y Página: 491 de 731)</v>
          </cell>
        </row>
        <row r="45">
          <cell r="E45" t="str">
            <v>El técnico, los profesionales y el Grupo de Apoyo cada vez que llegue al correo documentos y órdenes de pago para tramite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PROCEDIMIENTO: ÓRDENES DE PAGO Código: PRO-GHP-008</v>
          </cell>
        </row>
      </sheetData>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Matriz Calor Inherente"/>
      <sheetName val="Matriz Calor Residual"/>
      <sheetName val="Tabla probabilidad"/>
      <sheetName val="Tabla Valoración controles"/>
      <sheetName val="Opciones Tratamiento"/>
      <sheetName val="Hoja1"/>
    </sheetNames>
    <sheetDataSet>
      <sheetData sheetId="0" refreshError="1"/>
      <sheetData sheetId="1"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sheetName val="PRIORIZACIÓN DE CAUSA"/>
      <sheetName val="DOFA "/>
      <sheetName val="Mapa final 2025"/>
      <sheetName val="Matriz Calor Inherente"/>
      <sheetName val="Matriz Calor Residual"/>
      <sheetName val="Tabla probabilidad"/>
      <sheetName val="Tabla Impacto"/>
      <sheetName val="Tabla Valoración controles"/>
      <sheetName val="Opciones Tratamiento"/>
      <sheetName val="Hoja1"/>
      <sheetName val="Mapa final"/>
    </sheetNames>
    <sheetDataSet>
      <sheetData sheetId="0" refreshError="1"/>
      <sheetData sheetId="1"/>
      <sheetData sheetId="2"/>
      <sheetData sheetId="3"/>
      <sheetData sheetId="4"/>
      <sheetData sheetId="5" refreshError="1"/>
      <sheetData sheetId="6" refreshError="1"/>
      <sheetData sheetId="7" refreshError="1"/>
      <sheetData sheetId="8"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ÓN DE CAUSA"/>
      <sheetName val="DOFA "/>
      <sheetName val="Mapa final 2025"/>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
      <sheetName val="DOFA"/>
      <sheetName val="Mapa final"/>
      <sheetName val="Matriz Calor Inherente"/>
      <sheetName val="Matriz Calor Residual"/>
      <sheetName val="Tabla probabilidad"/>
      <sheetName val="Tabla Impacto"/>
      <sheetName val="Tabla Valoración controles"/>
      <sheetName val="Hoja2"/>
      <sheetName val="Hoja3"/>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PRIORIZ CAUSA R CORUP TRÁMITE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ò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
      <sheetName val="DOFA"/>
      <sheetName val="Mapa final"/>
      <sheetName val="Matriz Calor Inherente"/>
      <sheetName val="Matriz Calor Residual"/>
      <sheetName val="Tabla probabilidad"/>
      <sheetName val="Tabla Impacto"/>
      <sheetName val="Tabla Valoración controles"/>
      <sheetName val="Hoja2"/>
      <sheetName val="Hoja3"/>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ow r="36">
          <cell r="E36" t="str">
            <v>D14,O5 El jefe de la Oficina de Comunicaciones, regularmente de manera semanal realiza el seguimiento de las actividades programadas por las dependencias de la Administración Municipal, definiendo responsabilidades  comunicacionales a cada uno de los periodistas de la Oficina de Comunicaciones, dejando como evidencia el informe mensual de actividades por equipos de trabajo en una matriz que deben diligenciar mensualmenete. Si se presenta desviación de la actividad el jefe de oficina toma los correctivos necesarios</v>
          </cell>
        </row>
        <row r="37">
          <cell r="E37" t="str">
            <v>D18,O5 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directriz en las actas de que nada podrá ser publicado sin la debida revisión y corrección y adicional la publicación en el portal web y perfiles institucionales de las  redes sociales de la Alcaldía de Ibagué. si los textos requieren ser corregidos se devulven a su redactor.</v>
          </cell>
        </row>
      </sheetData>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Hoja2"/>
      <sheetName val="Hoja3"/>
      <sheetName val="Hoja4"/>
      <sheetName val="Hoja5"/>
      <sheetName val="Hoja6"/>
      <sheetName val="Hoja7"/>
      <sheetName val="Matriz Calor Inherente"/>
      <sheetName val="Matriz Calor Residual"/>
      <sheetName val="Tabla probabilidad"/>
      <sheetName val="Tabla Impacto"/>
      <sheetName val="Tabla Valoración controles"/>
      <sheetName val="Hoja8"/>
      <sheetName val="Hoja9"/>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ò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Matriz Calor Residual"/>
      <sheetName val="Tabla probabilidad"/>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
      <sheetName val="Mapa final 2024"/>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3">
          <cell r="F223" t="str">
            <v>❌</v>
          </cell>
        </row>
      </sheetData>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
      <sheetName val="DOFA"/>
      <sheetName val="Mapa final"/>
      <sheetName val="Matriz Calor Inherente"/>
      <sheetName val="Matriz Calor Residual"/>
      <sheetName val="Tabla probabilidad"/>
      <sheetName val="Tabla Impacto"/>
      <sheetName val="Tabla Valoración controles"/>
      <sheetName val="Hoja2"/>
      <sheetName val="Hoja3"/>
      <sheetName val="Opciones Tratamiento"/>
      <sheetName val="Hoja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s"/>
      <sheetName val="PRIORIZ CAUSA R CORUP TRÁMITES"/>
      <sheetName val="DOFA (2)"/>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0</v>
      </c>
    </row>
    <row r="2" spans="1:1" ht="14.25" customHeight="1" x14ac:dyDescent="0.3">
      <c r="A2" s="1" t="s">
        <v>1</v>
      </c>
    </row>
    <row r="3" spans="1:1" ht="14.25" customHeight="1" x14ac:dyDescent="0.3">
      <c r="A3" s="1" t="s">
        <v>2</v>
      </c>
    </row>
    <row r="4" spans="1:1" ht="14.25" customHeight="1" x14ac:dyDescent="0.3">
      <c r="A4" s="1" t="s">
        <v>3</v>
      </c>
    </row>
    <row r="5" spans="1:1" ht="14.25" customHeight="1" x14ac:dyDescent="0.3"/>
    <row r="6" spans="1:1" ht="14.25" customHeight="1" x14ac:dyDescent="0.3">
      <c r="A6" s="1" t="s">
        <v>4</v>
      </c>
    </row>
    <row r="7" spans="1:1" ht="14.25" customHeight="1" x14ac:dyDescent="0.3">
      <c r="A7" s="1" t="s">
        <v>5</v>
      </c>
    </row>
    <row r="8" spans="1:1" ht="14.25" customHeight="1" x14ac:dyDescent="0.3">
      <c r="A8" s="1" t="s">
        <v>6</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25" customHeight="1" x14ac:dyDescent="0.3">
      <c r="A1" s="1" t="s">
        <v>7</v>
      </c>
      <c r="B1" s="1" t="s">
        <v>8</v>
      </c>
      <c r="C1" s="1" t="s">
        <v>9</v>
      </c>
    </row>
    <row r="2" spans="1:3" ht="14.25" customHeight="1" x14ac:dyDescent="0.3">
      <c r="A2" s="1" t="s">
        <v>10</v>
      </c>
      <c r="B2" s="1" t="s">
        <v>11</v>
      </c>
      <c r="C2" s="1" t="s">
        <v>12</v>
      </c>
    </row>
    <row r="3" spans="1:3" ht="14.25" customHeight="1" x14ac:dyDescent="0.3">
      <c r="A3" s="1" t="s">
        <v>13</v>
      </c>
      <c r="B3" s="1" t="s">
        <v>14</v>
      </c>
      <c r="C3" s="1" t="s">
        <v>15</v>
      </c>
    </row>
    <row r="4" spans="1:3" ht="14.25" customHeight="1" x14ac:dyDescent="0.3">
      <c r="A4" s="1" t="s">
        <v>16</v>
      </c>
      <c r="B4" s="1" t="s">
        <v>17</v>
      </c>
      <c r="C4" s="1" t="s">
        <v>18</v>
      </c>
    </row>
    <row r="5" spans="1:3" ht="14.25" customHeight="1" x14ac:dyDescent="0.3">
      <c r="A5" s="1" t="s">
        <v>19</v>
      </c>
      <c r="B5" s="1" t="s">
        <v>20</v>
      </c>
      <c r="C5" s="1" t="s">
        <v>21</v>
      </c>
    </row>
    <row r="6" spans="1:3" ht="14.25" customHeight="1" x14ac:dyDescent="0.3">
      <c r="A6" s="1" t="s">
        <v>22</v>
      </c>
      <c r="B6" s="1" t="s">
        <v>22</v>
      </c>
      <c r="C6" s="1" t="s">
        <v>22</v>
      </c>
    </row>
    <row r="7" spans="1:3" ht="14.25" customHeight="1" x14ac:dyDescent="0.3">
      <c r="A7" s="1" t="s">
        <v>23</v>
      </c>
      <c r="B7" s="1" t="s">
        <v>24</v>
      </c>
      <c r="C7" s="1" t="s">
        <v>25</v>
      </c>
    </row>
    <row r="8" spans="1:3" ht="14.25" customHeight="1" x14ac:dyDescent="0.3">
      <c r="B8" s="1" t="s">
        <v>26</v>
      </c>
      <c r="C8" s="1" t="s">
        <v>27</v>
      </c>
    </row>
    <row r="9" spans="1:3" ht="14.25" customHeight="1" x14ac:dyDescent="0.3">
      <c r="C9" s="1" t="s">
        <v>28</v>
      </c>
    </row>
    <row r="10" spans="1:3" ht="14.25" customHeight="1" x14ac:dyDescent="0.3">
      <c r="C10" s="1" t="s">
        <v>29</v>
      </c>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44140625" customWidth="1"/>
    <col min="5" max="5" width="21.44140625" customWidth="1"/>
    <col min="6" max="26" width="11.44140625" customWidth="1"/>
  </cols>
  <sheetData>
    <row r="1" spans="1:5" ht="15" customHeight="1" x14ac:dyDescent="0.3">
      <c r="A1" s="532"/>
      <c r="B1" s="535" t="s">
        <v>30</v>
      </c>
      <c r="C1" s="536"/>
      <c r="D1" s="2" t="s">
        <v>31</v>
      </c>
      <c r="E1" s="539"/>
    </row>
    <row r="2" spans="1:5" ht="15" customHeight="1" x14ac:dyDescent="0.3">
      <c r="A2" s="533"/>
      <c r="B2" s="537"/>
      <c r="C2" s="538"/>
      <c r="D2" s="2" t="s">
        <v>32</v>
      </c>
      <c r="E2" s="540"/>
    </row>
    <row r="3" spans="1:5" ht="30" customHeight="1" x14ac:dyDescent="0.3">
      <c r="A3" s="533"/>
      <c r="B3" s="535" t="s">
        <v>33</v>
      </c>
      <c r="C3" s="536"/>
      <c r="D3" s="2" t="s">
        <v>34</v>
      </c>
      <c r="E3" s="540"/>
    </row>
    <row r="4" spans="1:5" ht="15" customHeight="1" x14ac:dyDescent="0.3">
      <c r="A4" s="534"/>
      <c r="B4" s="537"/>
      <c r="C4" s="538"/>
      <c r="D4" s="2" t="s">
        <v>35</v>
      </c>
      <c r="E4" s="540"/>
    </row>
    <row r="5" spans="1:5" ht="14.25" customHeight="1" x14ac:dyDescent="0.3"/>
    <row r="6" spans="1:5" ht="14.25" customHeight="1" x14ac:dyDescent="0.3">
      <c r="A6" s="541" t="s">
        <v>36</v>
      </c>
      <c r="B6" s="542"/>
      <c r="C6" s="542"/>
      <c r="D6" s="542"/>
      <c r="E6" s="543"/>
    </row>
    <row r="7" spans="1:5" ht="14.25" customHeight="1" x14ac:dyDescent="0.3">
      <c r="A7" s="3" t="s">
        <v>37</v>
      </c>
      <c r="B7" s="4" t="s">
        <v>38</v>
      </c>
      <c r="C7" s="4" t="s">
        <v>39</v>
      </c>
      <c r="D7" s="5" t="s">
        <v>40</v>
      </c>
      <c r="E7" s="4" t="s">
        <v>41</v>
      </c>
    </row>
    <row r="8" spans="1:5" ht="14.25" customHeight="1" x14ac:dyDescent="0.3">
      <c r="A8" s="6" t="s">
        <v>42</v>
      </c>
      <c r="B8" s="7" t="s">
        <v>43</v>
      </c>
      <c r="C8" s="7" t="s">
        <v>43</v>
      </c>
      <c r="D8" s="7" t="s">
        <v>43</v>
      </c>
      <c r="E8" s="8" t="s">
        <v>43</v>
      </c>
    </row>
    <row r="9" spans="1:5" ht="14.25" customHeight="1" x14ac:dyDescent="0.3">
      <c r="A9" s="9" t="s">
        <v>44</v>
      </c>
      <c r="B9" s="10" t="s">
        <v>43</v>
      </c>
      <c r="C9" s="10" t="s">
        <v>43</v>
      </c>
      <c r="D9" s="10" t="s">
        <v>43</v>
      </c>
      <c r="E9" s="11" t="s">
        <v>43</v>
      </c>
    </row>
    <row r="10" spans="1:5" ht="14.25" customHeight="1" x14ac:dyDescent="0.3">
      <c r="A10" s="12" t="s">
        <v>45</v>
      </c>
      <c r="B10" s="10" t="s">
        <v>43</v>
      </c>
      <c r="C10" s="10" t="s">
        <v>43</v>
      </c>
      <c r="D10" s="10" t="s">
        <v>43</v>
      </c>
      <c r="E10" s="11" t="s">
        <v>43</v>
      </c>
    </row>
    <row r="11" spans="1:5" ht="14.25" customHeight="1" x14ac:dyDescent="0.3">
      <c r="A11" s="9" t="s">
        <v>46</v>
      </c>
      <c r="B11" s="10" t="s">
        <v>43</v>
      </c>
      <c r="C11" s="10" t="s">
        <v>43</v>
      </c>
      <c r="D11" s="10" t="s">
        <v>43</v>
      </c>
      <c r="E11" s="11" t="s">
        <v>43</v>
      </c>
    </row>
    <row r="12" spans="1:5" ht="14.25" customHeight="1" x14ac:dyDescent="0.3">
      <c r="A12" s="9" t="s">
        <v>47</v>
      </c>
      <c r="B12" s="13" t="s">
        <v>43</v>
      </c>
      <c r="C12" s="13" t="s">
        <v>43</v>
      </c>
      <c r="D12" s="13" t="s">
        <v>43</v>
      </c>
      <c r="E12" s="14" t="s">
        <v>43</v>
      </c>
    </row>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G18"/>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7" ht="14.25" customHeight="1" x14ac:dyDescent="0.3">
      <c r="A1" s="547"/>
      <c r="B1" s="548" t="s">
        <v>48</v>
      </c>
      <c r="C1" s="549"/>
      <c r="D1" s="549"/>
      <c r="E1" s="549"/>
      <c r="F1" s="15" t="s">
        <v>49</v>
      </c>
      <c r="G1" s="551"/>
    </row>
    <row r="2" spans="1:7" ht="14.25" customHeight="1" x14ac:dyDescent="0.3">
      <c r="A2" s="545"/>
      <c r="B2" s="537"/>
      <c r="C2" s="550"/>
      <c r="D2" s="550"/>
      <c r="E2" s="550"/>
      <c r="F2" s="16" t="s">
        <v>50</v>
      </c>
      <c r="G2" s="552"/>
    </row>
    <row r="3" spans="1:7" ht="14.25" customHeight="1" x14ac:dyDescent="0.3">
      <c r="A3" s="545"/>
      <c r="B3" s="554" t="s">
        <v>51</v>
      </c>
      <c r="C3" s="555"/>
      <c r="D3" s="555"/>
      <c r="E3" s="555"/>
      <c r="F3" s="16" t="s">
        <v>52</v>
      </c>
      <c r="G3" s="552"/>
    </row>
    <row r="4" spans="1:7" ht="14.25" customHeight="1" x14ac:dyDescent="0.3">
      <c r="A4" s="546"/>
      <c r="B4" s="556"/>
      <c r="C4" s="557"/>
      <c r="D4" s="557"/>
      <c r="E4" s="557"/>
      <c r="F4" s="17" t="s">
        <v>35</v>
      </c>
      <c r="G4" s="553"/>
    </row>
    <row r="5" spans="1:7" ht="14.25" customHeight="1" x14ac:dyDescent="0.3"/>
    <row r="6" spans="1:7" ht="14.25" customHeight="1" x14ac:dyDescent="0.3">
      <c r="A6" s="558" t="s">
        <v>53</v>
      </c>
      <c r="B6" s="542"/>
      <c r="C6" s="542"/>
      <c r="D6" s="542"/>
      <c r="E6" s="542"/>
      <c r="F6" s="542"/>
      <c r="G6" s="559"/>
    </row>
    <row r="7" spans="1:7" ht="31.5" customHeight="1" x14ac:dyDescent="0.3">
      <c r="A7" s="18" t="s">
        <v>54</v>
      </c>
      <c r="B7" s="19" t="s">
        <v>55</v>
      </c>
      <c r="C7" s="20" t="s">
        <v>56</v>
      </c>
      <c r="D7" s="21" t="s">
        <v>57</v>
      </c>
      <c r="E7" s="19" t="s">
        <v>58</v>
      </c>
      <c r="F7" s="22" t="s">
        <v>59</v>
      </c>
      <c r="G7" s="22" t="s">
        <v>60</v>
      </c>
    </row>
    <row r="8" spans="1:7" ht="33" customHeight="1" x14ac:dyDescent="0.3">
      <c r="A8" s="544"/>
      <c r="B8" s="10"/>
      <c r="C8" s="10"/>
      <c r="D8" s="10"/>
      <c r="E8" s="10"/>
      <c r="F8" s="10"/>
      <c r="G8" s="11"/>
    </row>
    <row r="9" spans="1:7" ht="33" customHeight="1" x14ac:dyDescent="0.3">
      <c r="A9" s="545"/>
      <c r="B9" s="10"/>
      <c r="C9" s="10"/>
      <c r="D9" s="10"/>
      <c r="E9" s="10"/>
      <c r="F9" s="10"/>
      <c r="G9" s="11"/>
    </row>
    <row r="10" spans="1:7" ht="33" customHeight="1" x14ac:dyDescent="0.3">
      <c r="A10" s="545"/>
      <c r="B10" s="10"/>
      <c r="C10" s="10"/>
      <c r="D10" s="10"/>
      <c r="E10" s="10"/>
      <c r="F10" s="10"/>
      <c r="G10" s="11"/>
    </row>
    <row r="11" spans="1:7" ht="33" customHeight="1" x14ac:dyDescent="0.3">
      <c r="A11" s="545"/>
      <c r="B11" s="10"/>
      <c r="C11" s="10"/>
      <c r="D11" s="10"/>
      <c r="E11" s="10"/>
      <c r="F11" s="10"/>
      <c r="G11" s="11"/>
    </row>
    <row r="12" spans="1:7" ht="33" customHeight="1" x14ac:dyDescent="0.3">
      <c r="A12" s="545"/>
      <c r="B12" s="10"/>
      <c r="C12" s="10"/>
      <c r="D12" s="10"/>
      <c r="E12" s="10"/>
      <c r="F12" s="10"/>
      <c r="G12" s="11"/>
    </row>
    <row r="13" spans="1:7" ht="33" customHeight="1" x14ac:dyDescent="0.3">
      <c r="A13" s="545"/>
      <c r="B13" s="10"/>
      <c r="C13" s="10"/>
      <c r="D13" s="10"/>
      <c r="E13" s="10"/>
      <c r="F13" s="10"/>
      <c r="G13" s="11"/>
    </row>
    <row r="14" spans="1:7" ht="33" customHeight="1" x14ac:dyDescent="0.3">
      <c r="A14" s="545"/>
      <c r="B14" s="10"/>
      <c r="C14" s="10"/>
      <c r="D14" s="10"/>
      <c r="E14" s="10"/>
      <c r="F14" s="10"/>
      <c r="G14" s="11"/>
    </row>
    <row r="15" spans="1:7" ht="33" customHeight="1" x14ac:dyDescent="0.3">
      <c r="A15" s="545"/>
      <c r="B15" s="10"/>
      <c r="C15" s="10"/>
      <c r="D15" s="10"/>
      <c r="E15" s="10"/>
      <c r="F15" s="10"/>
      <c r="G15" s="11"/>
    </row>
    <row r="16" spans="1:7" ht="33" customHeight="1" x14ac:dyDescent="0.3">
      <c r="A16" s="545"/>
      <c r="B16" s="10"/>
      <c r="C16" s="10"/>
      <c r="D16" s="10"/>
      <c r="E16" s="10"/>
      <c r="F16" s="10"/>
      <c r="G16" s="11"/>
    </row>
    <row r="17" spans="1:1" ht="33" customHeight="1" x14ac:dyDescent="0.3">
      <c r="A17" s="545"/>
    </row>
    <row r="18" spans="1:1" ht="33" customHeight="1" x14ac:dyDescent="0.3">
      <c r="A18" s="546"/>
    </row>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5"/>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61</v>
      </c>
    </row>
    <row r="2" spans="1:1" ht="14.25" customHeight="1" x14ac:dyDescent="0.3">
      <c r="A2" s="1" t="s">
        <v>62</v>
      </c>
    </row>
    <row r="3" spans="1:1" ht="14.25" customHeight="1" x14ac:dyDescent="0.3">
      <c r="A3" s="1" t="s">
        <v>63</v>
      </c>
    </row>
    <row r="4" spans="1:1" ht="14.25" customHeight="1" x14ac:dyDescent="0.3">
      <c r="A4" s="1" t="s">
        <v>64</v>
      </c>
    </row>
    <row r="5" spans="1:1" ht="14.25" customHeight="1" x14ac:dyDescent="0.3">
      <c r="A5" s="1" t="s">
        <v>65</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C190"/>
  <sheetViews>
    <sheetView workbookViewId="0"/>
  </sheetViews>
  <sheetFormatPr baseColWidth="10" defaultColWidth="14.44140625" defaultRowHeight="15" customHeight="1" x14ac:dyDescent="0.3"/>
  <cols>
    <col min="1" max="1" width="37.44140625" customWidth="1"/>
    <col min="2" max="2" width="72.33203125" customWidth="1"/>
    <col min="3" max="3" width="59.88671875" customWidth="1"/>
    <col min="4" max="26" width="11.44140625" customWidth="1"/>
  </cols>
  <sheetData>
    <row r="1" spans="1:1" ht="14.25" customHeight="1" x14ac:dyDescent="0.3">
      <c r="A1" s="23" t="s">
        <v>66</v>
      </c>
    </row>
    <row r="2" spans="1:1" ht="14.25" customHeight="1" x14ac:dyDescent="0.3">
      <c r="A2" s="10"/>
    </row>
    <row r="3" spans="1:1" ht="14.25" customHeight="1" x14ac:dyDescent="0.3">
      <c r="A3" s="10" t="s">
        <v>67</v>
      </c>
    </row>
    <row r="4" spans="1:1" ht="14.25" customHeight="1" x14ac:dyDescent="0.3">
      <c r="A4" s="10" t="s">
        <v>68</v>
      </c>
    </row>
    <row r="5" spans="1:1" ht="14.25" customHeight="1" x14ac:dyDescent="0.3"/>
    <row r="6" spans="1:1" ht="14.25" customHeight="1" x14ac:dyDescent="0.3">
      <c r="A6" s="23" t="s">
        <v>69</v>
      </c>
    </row>
    <row r="7" spans="1:1" ht="14.25" customHeight="1" x14ac:dyDescent="0.3">
      <c r="A7" s="1" t="s">
        <v>70</v>
      </c>
    </row>
    <row r="8" spans="1:1" ht="14.25" customHeight="1" x14ac:dyDescent="0.3">
      <c r="A8" s="1" t="s">
        <v>71</v>
      </c>
    </row>
    <row r="9" spans="1:1" ht="14.25" customHeight="1" x14ac:dyDescent="0.3">
      <c r="A9" s="1" t="s">
        <v>72</v>
      </c>
    </row>
    <row r="10" spans="1:1" ht="14.25" customHeight="1" x14ac:dyDescent="0.3">
      <c r="A10" s="1" t="s">
        <v>73</v>
      </c>
    </row>
    <row r="11" spans="1:1" ht="14.25" customHeight="1" x14ac:dyDescent="0.3">
      <c r="A11" s="1" t="s">
        <v>74</v>
      </c>
    </row>
    <row r="12" spans="1:1" ht="14.25" customHeight="1" x14ac:dyDescent="0.3">
      <c r="A12" s="1" t="s">
        <v>75</v>
      </c>
    </row>
    <row r="13" spans="1:1" ht="14.25" customHeight="1" x14ac:dyDescent="0.3">
      <c r="A13" s="1" t="s">
        <v>76</v>
      </c>
    </row>
    <row r="14" spans="1:1" ht="14.25" customHeight="1" x14ac:dyDescent="0.3">
      <c r="A14" s="1" t="s">
        <v>77</v>
      </c>
    </row>
    <row r="15" spans="1:1" ht="14.25" customHeight="1" x14ac:dyDescent="0.3">
      <c r="A15" s="1" t="s">
        <v>78</v>
      </c>
    </row>
    <row r="16" spans="1:1" ht="14.25" customHeight="1" x14ac:dyDescent="0.3">
      <c r="A16" s="1" t="s">
        <v>79</v>
      </c>
    </row>
    <row r="19" spans="1:3" ht="14.25" customHeight="1" x14ac:dyDescent="0.3">
      <c r="A19" s="23" t="s">
        <v>80</v>
      </c>
      <c r="C19" s="24"/>
    </row>
    <row r="20" spans="1:3" ht="14.25" customHeight="1" x14ac:dyDescent="0.3">
      <c r="A20" s="1" t="s">
        <v>81</v>
      </c>
      <c r="C20" s="24"/>
    </row>
    <row r="21" spans="1:3" ht="14.25" customHeight="1" x14ac:dyDescent="0.3">
      <c r="A21" s="1" t="s">
        <v>82</v>
      </c>
      <c r="C21" s="24"/>
    </row>
    <row r="22" spans="1:3" ht="14.25" customHeight="1" x14ac:dyDescent="0.3">
      <c r="A22" s="1" t="s">
        <v>83</v>
      </c>
      <c r="C22" s="24"/>
    </row>
    <row r="23" spans="1:3" ht="14.25" customHeight="1" x14ac:dyDescent="0.3">
      <c r="A23" s="1" t="s">
        <v>84</v>
      </c>
      <c r="C23" s="24"/>
    </row>
    <row r="24" spans="1:3" ht="14.25" customHeight="1" x14ac:dyDescent="0.3">
      <c r="A24" s="1" t="s">
        <v>85</v>
      </c>
      <c r="C24" s="24"/>
    </row>
    <row r="25" spans="1:3" ht="14.25" customHeight="1" x14ac:dyDescent="0.3">
      <c r="A25" s="1" t="s">
        <v>86</v>
      </c>
      <c r="C25" s="24"/>
    </row>
    <row r="26" spans="1:3" ht="14.25" customHeight="1" x14ac:dyDescent="0.3">
      <c r="C26" s="24"/>
    </row>
    <row r="27" spans="1:3" ht="14.25" customHeight="1" x14ac:dyDescent="0.3">
      <c r="C27" s="24"/>
    </row>
    <row r="28" spans="1:3" ht="141" customHeight="1" x14ac:dyDescent="0.3">
      <c r="A28" s="25" t="s">
        <v>87</v>
      </c>
      <c r="B28" s="26" t="s">
        <v>88</v>
      </c>
      <c r="C28" s="26" t="s">
        <v>89</v>
      </c>
    </row>
    <row r="29" spans="1:3" ht="144" customHeight="1" x14ac:dyDescent="0.3">
      <c r="A29" s="1" t="s">
        <v>90</v>
      </c>
      <c r="B29" s="27" t="s">
        <v>91</v>
      </c>
      <c r="C29" s="28" t="s">
        <v>92</v>
      </c>
    </row>
    <row r="30" spans="1:3" ht="14.25" customHeight="1" x14ac:dyDescent="0.3">
      <c r="A30" s="29" t="s">
        <v>93</v>
      </c>
      <c r="B30" s="30" t="s">
        <v>94</v>
      </c>
      <c r="C30" s="28" t="s">
        <v>95</v>
      </c>
    </row>
    <row r="31" spans="1:3" ht="14.25" customHeight="1" x14ac:dyDescent="0.3">
      <c r="A31" s="1" t="s">
        <v>96</v>
      </c>
      <c r="B31" s="30" t="s">
        <v>97</v>
      </c>
      <c r="C31" s="28" t="s">
        <v>98</v>
      </c>
    </row>
    <row r="32" spans="1:3" ht="14.25" customHeight="1" x14ac:dyDescent="0.3">
      <c r="A32" s="1" t="s">
        <v>99</v>
      </c>
      <c r="B32" s="30" t="s">
        <v>100</v>
      </c>
      <c r="C32" s="28" t="s">
        <v>101</v>
      </c>
    </row>
    <row r="34" spans="1:3" ht="14.25" customHeight="1" x14ac:dyDescent="0.3">
      <c r="A34" s="1" t="s">
        <v>102</v>
      </c>
      <c r="C34" s="31" t="s">
        <v>103</v>
      </c>
    </row>
    <row r="35" spans="1:3" ht="14.25" customHeight="1" x14ac:dyDescent="0.3">
      <c r="A35" s="1">
        <v>1</v>
      </c>
      <c r="B35" s="1" t="e">
        <f t="shared" ref="B35:B53" si="0">IF(#REF!="X",1,0)</f>
        <v>#REF!</v>
      </c>
      <c r="C35" s="24"/>
    </row>
    <row r="36" spans="1:3" ht="14.25" customHeight="1" x14ac:dyDescent="0.3">
      <c r="A36" s="1">
        <v>2</v>
      </c>
      <c r="B36" s="1" t="e">
        <f t="shared" si="0"/>
        <v>#REF!</v>
      </c>
      <c r="C36" s="24" t="s">
        <v>67</v>
      </c>
    </row>
    <row r="37" spans="1:3" ht="14.25" customHeight="1" x14ac:dyDescent="0.3">
      <c r="A37" s="1">
        <v>3</v>
      </c>
      <c r="B37" s="1" t="e">
        <f t="shared" si="0"/>
        <v>#REF!</v>
      </c>
      <c r="C37" s="24"/>
    </row>
    <row r="38" spans="1:3" ht="14.25" customHeight="1" x14ac:dyDescent="0.3">
      <c r="A38" s="1">
        <v>4</v>
      </c>
      <c r="B38" s="1" t="e">
        <f t="shared" si="0"/>
        <v>#REF!</v>
      </c>
      <c r="C38" s="24"/>
    </row>
    <row r="39" spans="1:3" ht="14.25" customHeight="1" x14ac:dyDescent="0.3">
      <c r="A39" s="1">
        <v>5</v>
      </c>
      <c r="B39" s="1" t="e">
        <f t="shared" si="0"/>
        <v>#REF!</v>
      </c>
      <c r="C39" s="24"/>
    </row>
    <row r="40" spans="1:3" ht="14.25" customHeight="1" x14ac:dyDescent="0.3">
      <c r="A40" s="1">
        <v>6</v>
      </c>
      <c r="B40" s="1" t="e">
        <f t="shared" si="0"/>
        <v>#REF!</v>
      </c>
      <c r="C40" s="24"/>
    </row>
    <row r="41" spans="1:3" ht="14.25" customHeight="1" x14ac:dyDescent="0.3">
      <c r="A41" s="1">
        <v>7</v>
      </c>
      <c r="B41" s="1" t="e">
        <f t="shared" si="0"/>
        <v>#REF!</v>
      </c>
      <c r="C41" s="24"/>
    </row>
    <row r="42" spans="1:3" ht="14.25" customHeight="1" x14ac:dyDescent="0.3">
      <c r="A42" s="1">
        <v>8</v>
      </c>
      <c r="B42" s="1" t="e">
        <f t="shared" si="0"/>
        <v>#REF!</v>
      </c>
      <c r="C42" s="24"/>
    </row>
    <row r="43" spans="1:3" ht="14.25" customHeight="1" x14ac:dyDescent="0.3">
      <c r="A43" s="1">
        <v>9</v>
      </c>
      <c r="B43" s="1" t="e">
        <f t="shared" si="0"/>
        <v>#REF!</v>
      </c>
      <c r="C43" s="24"/>
    </row>
    <row r="44" spans="1:3" ht="14.25" customHeight="1" x14ac:dyDescent="0.3">
      <c r="A44" s="1">
        <v>10</v>
      </c>
      <c r="B44" s="1" t="e">
        <f t="shared" si="0"/>
        <v>#REF!</v>
      </c>
      <c r="C44" s="24"/>
    </row>
    <row r="45" spans="1:3" ht="14.25" customHeight="1" x14ac:dyDescent="0.3">
      <c r="A45" s="1">
        <v>11</v>
      </c>
      <c r="B45" s="1" t="e">
        <f t="shared" si="0"/>
        <v>#REF!</v>
      </c>
      <c r="C45" s="24"/>
    </row>
    <row r="46" spans="1:3" ht="14.25" customHeight="1" x14ac:dyDescent="0.3">
      <c r="A46" s="1">
        <v>12</v>
      </c>
      <c r="B46" s="1" t="e">
        <f t="shared" si="0"/>
        <v>#REF!</v>
      </c>
      <c r="C46" s="24"/>
    </row>
    <row r="47" spans="1:3" ht="14.25" customHeight="1" x14ac:dyDescent="0.3">
      <c r="A47" s="1">
        <v>13</v>
      </c>
      <c r="B47" s="1" t="e">
        <f t="shared" si="0"/>
        <v>#REF!</v>
      </c>
      <c r="C47" s="24"/>
    </row>
    <row r="48" spans="1:3" ht="14.25" customHeight="1" x14ac:dyDescent="0.3">
      <c r="A48" s="1">
        <v>14</v>
      </c>
      <c r="B48" s="1" t="e">
        <f t="shared" si="0"/>
        <v>#REF!</v>
      </c>
      <c r="C48" s="24"/>
    </row>
    <row r="49" spans="1:3" ht="14.25" customHeight="1" x14ac:dyDescent="0.3">
      <c r="A49" s="1">
        <v>15</v>
      </c>
      <c r="B49" s="1" t="e">
        <f t="shared" si="0"/>
        <v>#REF!</v>
      </c>
      <c r="C49" s="24"/>
    </row>
    <row r="50" spans="1:3" ht="14.25" customHeight="1" x14ac:dyDescent="0.3">
      <c r="A50" s="1">
        <v>16</v>
      </c>
      <c r="B50" s="1" t="e">
        <f t="shared" si="0"/>
        <v>#REF!</v>
      </c>
      <c r="C50" s="24"/>
    </row>
    <row r="51" spans="1:3" ht="14.25" customHeight="1" x14ac:dyDescent="0.3">
      <c r="A51" s="1">
        <v>17</v>
      </c>
      <c r="B51" s="1" t="e">
        <f t="shared" si="0"/>
        <v>#REF!</v>
      </c>
      <c r="C51" s="24"/>
    </row>
    <row r="52" spans="1:3" ht="14.25" customHeight="1" x14ac:dyDescent="0.3">
      <c r="A52" s="1">
        <v>18</v>
      </c>
      <c r="B52" s="1" t="e">
        <f t="shared" si="0"/>
        <v>#REF!</v>
      </c>
      <c r="C52" s="24"/>
    </row>
    <row r="53" spans="1:3" ht="14.25" customHeight="1" x14ac:dyDescent="0.3">
      <c r="A53" s="1">
        <v>19</v>
      </c>
      <c r="B53" s="1" t="e">
        <f t="shared" si="0"/>
        <v>#REF!</v>
      </c>
      <c r="C53" s="24"/>
    </row>
    <row r="54" spans="1:3" ht="14.25" customHeight="1" x14ac:dyDescent="0.3">
      <c r="A54" s="1" t="s">
        <v>104</v>
      </c>
      <c r="B54" s="1" t="e">
        <f>SUM(B35:B53)</f>
        <v>#REF!</v>
      </c>
      <c r="C54" s="24"/>
    </row>
    <row r="55" spans="1:3" ht="14.25" customHeight="1" x14ac:dyDescent="0.3">
      <c r="C55" s="24"/>
    </row>
    <row r="56" spans="1:3" ht="14.25" customHeight="1" x14ac:dyDescent="0.3">
      <c r="C56" s="24"/>
    </row>
    <row r="57" spans="1:3" ht="14.25" customHeight="1" x14ac:dyDescent="0.3">
      <c r="A57" s="1" t="s">
        <v>105</v>
      </c>
      <c r="C57" s="24"/>
    </row>
    <row r="58" spans="1:3" ht="14.25" customHeight="1" x14ac:dyDescent="0.3">
      <c r="A58" s="1">
        <v>1</v>
      </c>
      <c r="B58" s="1" t="e">
        <f t="shared" ref="B58:B76" si="1">IF(#REF!="X",1,0)</f>
        <v>#REF!</v>
      </c>
      <c r="C58" s="24"/>
    </row>
    <row r="59" spans="1:3" ht="14.25" customHeight="1" x14ac:dyDescent="0.3">
      <c r="A59" s="1">
        <v>2</v>
      </c>
      <c r="B59" s="1" t="e">
        <f t="shared" si="1"/>
        <v>#REF!</v>
      </c>
      <c r="C59" s="24"/>
    </row>
    <row r="60" spans="1:3" ht="14.25" customHeight="1" x14ac:dyDescent="0.3">
      <c r="A60" s="1">
        <v>3</v>
      </c>
      <c r="B60" s="1" t="e">
        <f t="shared" si="1"/>
        <v>#REF!</v>
      </c>
      <c r="C60" s="24"/>
    </row>
    <row r="61" spans="1:3" ht="14.25" customHeight="1" x14ac:dyDescent="0.3">
      <c r="A61" s="1">
        <v>4</v>
      </c>
      <c r="B61" s="1" t="e">
        <f t="shared" si="1"/>
        <v>#REF!</v>
      </c>
      <c r="C61" s="24"/>
    </row>
    <row r="62" spans="1:3" ht="14.25" customHeight="1" x14ac:dyDescent="0.3">
      <c r="A62" s="1">
        <v>5</v>
      </c>
      <c r="B62" s="1" t="e">
        <f t="shared" si="1"/>
        <v>#REF!</v>
      </c>
      <c r="C62" s="24"/>
    </row>
    <row r="63" spans="1:3" ht="14.25" customHeight="1" x14ac:dyDescent="0.3">
      <c r="A63" s="1">
        <v>6</v>
      </c>
      <c r="B63" s="1" t="e">
        <f t="shared" si="1"/>
        <v>#REF!</v>
      </c>
      <c r="C63" s="24"/>
    </row>
    <row r="64" spans="1:3" ht="14.25" customHeight="1" x14ac:dyDescent="0.3">
      <c r="A64" s="1">
        <v>7</v>
      </c>
      <c r="B64" s="1" t="e">
        <f t="shared" si="1"/>
        <v>#REF!</v>
      </c>
      <c r="C64" s="24"/>
    </row>
    <row r="65" spans="1:2" ht="14.25" customHeight="1" x14ac:dyDescent="0.3">
      <c r="A65" s="1">
        <v>8</v>
      </c>
      <c r="B65" s="1" t="e">
        <f t="shared" si="1"/>
        <v>#REF!</v>
      </c>
    </row>
    <row r="66" spans="1:2" ht="14.25" customHeight="1" x14ac:dyDescent="0.3">
      <c r="A66" s="1">
        <v>9</v>
      </c>
      <c r="B66" s="1" t="e">
        <f t="shared" si="1"/>
        <v>#REF!</v>
      </c>
    </row>
    <row r="67" spans="1:2" ht="14.25" customHeight="1" x14ac:dyDescent="0.3">
      <c r="A67" s="1">
        <v>10</v>
      </c>
      <c r="B67" s="1" t="e">
        <f t="shared" si="1"/>
        <v>#REF!</v>
      </c>
    </row>
    <row r="68" spans="1:2" ht="14.25" customHeight="1" x14ac:dyDescent="0.3">
      <c r="A68" s="1">
        <v>11</v>
      </c>
      <c r="B68" s="1" t="e">
        <f t="shared" si="1"/>
        <v>#REF!</v>
      </c>
    </row>
    <row r="69" spans="1:2" ht="14.25" customHeight="1" x14ac:dyDescent="0.3">
      <c r="A69" s="1">
        <v>12</v>
      </c>
      <c r="B69" s="1" t="e">
        <f t="shared" si="1"/>
        <v>#REF!</v>
      </c>
    </row>
    <row r="70" spans="1:2" ht="14.25" customHeight="1" x14ac:dyDescent="0.3">
      <c r="A70" s="1">
        <v>13</v>
      </c>
      <c r="B70" s="1" t="e">
        <f t="shared" si="1"/>
        <v>#REF!</v>
      </c>
    </row>
    <row r="71" spans="1:2" ht="14.25" customHeight="1" x14ac:dyDescent="0.3">
      <c r="A71" s="1">
        <v>14</v>
      </c>
      <c r="B71" s="1" t="e">
        <f t="shared" si="1"/>
        <v>#REF!</v>
      </c>
    </row>
    <row r="72" spans="1:2" ht="14.25" customHeight="1" x14ac:dyDescent="0.3">
      <c r="A72" s="1">
        <v>15</v>
      </c>
      <c r="B72" s="1" t="e">
        <f t="shared" si="1"/>
        <v>#REF!</v>
      </c>
    </row>
    <row r="73" spans="1:2" ht="14.25" customHeight="1" x14ac:dyDescent="0.3">
      <c r="A73" s="1">
        <v>16</v>
      </c>
      <c r="B73" s="1" t="e">
        <f t="shared" si="1"/>
        <v>#REF!</v>
      </c>
    </row>
    <row r="74" spans="1:2" ht="14.25" customHeight="1" x14ac:dyDescent="0.3">
      <c r="A74" s="1">
        <v>17</v>
      </c>
      <c r="B74" s="1" t="e">
        <f t="shared" si="1"/>
        <v>#REF!</v>
      </c>
    </row>
    <row r="75" spans="1:2" ht="14.25" customHeight="1" x14ac:dyDescent="0.3">
      <c r="A75" s="1">
        <v>18</v>
      </c>
      <c r="B75" s="1" t="e">
        <f t="shared" si="1"/>
        <v>#REF!</v>
      </c>
    </row>
    <row r="76" spans="1:2" ht="14.25" customHeight="1" x14ac:dyDescent="0.3">
      <c r="A76" s="1">
        <v>19</v>
      </c>
      <c r="B76" s="1" t="e">
        <f t="shared" si="1"/>
        <v>#REF!</v>
      </c>
    </row>
    <row r="77" spans="1:2" ht="14.25" customHeight="1" x14ac:dyDescent="0.3">
      <c r="A77" s="1" t="s">
        <v>104</v>
      </c>
      <c r="B77" s="1" t="e">
        <f>SUM(B58:B76)</f>
        <v>#REF!</v>
      </c>
    </row>
    <row r="78" spans="1:2" ht="14.25" customHeight="1" x14ac:dyDescent="0.3"/>
    <row r="79" spans="1:2" ht="14.25" customHeight="1" x14ac:dyDescent="0.3"/>
    <row r="80" spans="1:2" ht="14.25" customHeight="1" x14ac:dyDescent="0.3">
      <c r="A80" s="1" t="s">
        <v>106</v>
      </c>
    </row>
    <row r="81" spans="1:2" ht="14.25" customHeight="1" x14ac:dyDescent="0.3">
      <c r="A81" s="1">
        <v>1</v>
      </c>
      <c r="B81" s="1" t="e">
        <f t="shared" ref="B81:B99" si="2">IF(#REF!="X",1,0)</f>
        <v>#REF!</v>
      </c>
    </row>
    <row r="82" spans="1:2" ht="14.25" customHeight="1" x14ac:dyDescent="0.3">
      <c r="A82" s="1">
        <v>2</v>
      </c>
      <c r="B82" s="1" t="e">
        <f t="shared" si="2"/>
        <v>#REF!</v>
      </c>
    </row>
    <row r="83" spans="1:2" ht="14.25" customHeight="1" x14ac:dyDescent="0.3">
      <c r="A83" s="1">
        <v>3</v>
      </c>
      <c r="B83" s="1" t="e">
        <f t="shared" si="2"/>
        <v>#REF!</v>
      </c>
    </row>
    <row r="84" spans="1:2" ht="14.25" customHeight="1" x14ac:dyDescent="0.3">
      <c r="A84" s="1">
        <v>4</v>
      </c>
      <c r="B84" s="1" t="e">
        <f t="shared" si="2"/>
        <v>#REF!</v>
      </c>
    </row>
    <row r="85" spans="1:2" ht="14.25" customHeight="1" x14ac:dyDescent="0.3">
      <c r="A85" s="1">
        <v>5</v>
      </c>
      <c r="B85" s="1" t="e">
        <f t="shared" si="2"/>
        <v>#REF!</v>
      </c>
    </row>
    <row r="86" spans="1:2" ht="14.25" customHeight="1" x14ac:dyDescent="0.3">
      <c r="A86" s="1">
        <v>6</v>
      </c>
      <c r="B86" s="1" t="e">
        <f t="shared" si="2"/>
        <v>#REF!</v>
      </c>
    </row>
    <row r="87" spans="1:2" ht="14.25" customHeight="1" x14ac:dyDescent="0.3">
      <c r="A87" s="1">
        <v>7</v>
      </c>
      <c r="B87" s="1" t="e">
        <f t="shared" si="2"/>
        <v>#REF!</v>
      </c>
    </row>
    <row r="88" spans="1:2" ht="14.25" customHeight="1" x14ac:dyDescent="0.3">
      <c r="A88" s="1">
        <v>8</v>
      </c>
      <c r="B88" s="1" t="e">
        <f t="shared" si="2"/>
        <v>#REF!</v>
      </c>
    </row>
    <row r="89" spans="1:2" ht="14.25" customHeight="1" x14ac:dyDescent="0.3">
      <c r="A89" s="1">
        <v>9</v>
      </c>
      <c r="B89" s="1" t="e">
        <f t="shared" si="2"/>
        <v>#REF!</v>
      </c>
    </row>
    <row r="90" spans="1:2" ht="14.25" customHeight="1" x14ac:dyDescent="0.3">
      <c r="A90" s="1">
        <v>10</v>
      </c>
      <c r="B90" s="1" t="e">
        <f t="shared" si="2"/>
        <v>#REF!</v>
      </c>
    </row>
    <row r="91" spans="1:2" ht="14.25" customHeight="1" x14ac:dyDescent="0.3">
      <c r="A91" s="1">
        <v>11</v>
      </c>
      <c r="B91" s="1" t="e">
        <f t="shared" si="2"/>
        <v>#REF!</v>
      </c>
    </row>
    <row r="92" spans="1:2" ht="14.25" customHeight="1" x14ac:dyDescent="0.3">
      <c r="A92" s="1">
        <v>12</v>
      </c>
      <c r="B92" s="1" t="e">
        <f t="shared" si="2"/>
        <v>#REF!</v>
      </c>
    </row>
    <row r="93" spans="1:2" ht="14.25" customHeight="1" x14ac:dyDescent="0.3">
      <c r="A93" s="1">
        <v>13</v>
      </c>
      <c r="B93" s="1" t="e">
        <f t="shared" si="2"/>
        <v>#REF!</v>
      </c>
    </row>
    <row r="94" spans="1:2" ht="14.25" customHeight="1" x14ac:dyDescent="0.3">
      <c r="A94" s="1">
        <v>14</v>
      </c>
      <c r="B94" s="1" t="e">
        <f t="shared" si="2"/>
        <v>#REF!</v>
      </c>
    </row>
    <row r="95" spans="1:2" ht="14.25" customHeight="1" x14ac:dyDescent="0.3">
      <c r="A95" s="1">
        <v>15</v>
      </c>
      <c r="B95" s="1" t="e">
        <f t="shared" si="2"/>
        <v>#REF!</v>
      </c>
    </row>
    <row r="96" spans="1:2" ht="14.25" customHeight="1" x14ac:dyDescent="0.3">
      <c r="A96" s="1">
        <v>16</v>
      </c>
      <c r="B96" s="1" t="e">
        <f t="shared" si="2"/>
        <v>#REF!</v>
      </c>
    </row>
    <row r="97" spans="1:2" ht="14.25" customHeight="1" x14ac:dyDescent="0.3">
      <c r="A97" s="1">
        <v>17</v>
      </c>
      <c r="B97" s="1" t="e">
        <f t="shared" si="2"/>
        <v>#REF!</v>
      </c>
    </row>
    <row r="98" spans="1:2" ht="14.25" customHeight="1" x14ac:dyDescent="0.3">
      <c r="A98" s="1">
        <v>18</v>
      </c>
      <c r="B98" s="1" t="e">
        <f t="shared" si="2"/>
        <v>#REF!</v>
      </c>
    </row>
    <row r="99" spans="1:2" ht="14.25" customHeight="1" x14ac:dyDescent="0.3">
      <c r="A99" s="1">
        <v>19</v>
      </c>
      <c r="B99" s="1" t="e">
        <f t="shared" si="2"/>
        <v>#REF!</v>
      </c>
    </row>
    <row r="100" spans="1:2" ht="14.25" customHeight="1" x14ac:dyDescent="0.3">
      <c r="A100" s="1" t="s">
        <v>104</v>
      </c>
      <c r="B100" s="1" t="e">
        <f>SUM(B81:B99)</f>
        <v>#REF!</v>
      </c>
    </row>
    <row r="101" spans="1:2" ht="14.25" customHeight="1" x14ac:dyDescent="0.3"/>
    <row r="102" spans="1:2" ht="14.25" customHeight="1" x14ac:dyDescent="0.3"/>
    <row r="103" spans="1:2" ht="14.25" customHeight="1" x14ac:dyDescent="0.3">
      <c r="A103" s="1" t="s">
        <v>107</v>
      </c>
    </row>
    <row r="104" spans="1:2" ht="14.25" customHeight="1" x14ac:dyDescent="0.3">
      <c r="A104" s="1">
        <v>1</v>
      </c>
      <c r="B104" s="1" t="e">
        <f t="shared" ref="B104:B122" si="3">IF(#REF!="X",1,0)</f>
        <v>#REF!</v>
      </c>
    </row>
    <row r="105" spans="1:2" ht="14.25" customHeight="1" x14ac:dyDescent="0.3">
      <c r="A105" s="1">
        <v>2</v>
      </c>
      <c r="B105" s="1" t="e">
        <f t="shared" si="3"/>
        <v>#REF!</v>
      </c>
    </row>
    <row r="106" spans="1:2" ht="14.25" customHeight="1" x14ac:dyDescent="0.3">
      <c r="A106" s="1">
        <v>3</v>
      </c>
      <c r="B106" s="1" t="e">
        <f t="shared" si="3"/>
        <v>#REF!</v>
      </c>
    </row>
    <row r="107" spans="1:2" ht="14.25" customHeight="1" x14ac:dyDescent="0.3">
      <c r="A107" s="1">
        <v>4</v>
      </c>
      <c r="B107" s="1" t="e">
        <f t="shared" si="3"/>
        <v>#REF!</v>
      </c>
    </row>
    <row r="108" spans="1:2" ht="14.25" customHeight="1" x14ac:dyDescent="0.3">
      <c r="A108" s="1">
        <v>5</v>
      </c>
      <c r="B108" s="1" t="e">
        <f t="shared" si="3"/>
        <v>#REF!</v>
      </c>
    </row>
    <row r="109" spans="1:2" ht="14.25" customHeight="1" x14ac:dyDescent="0.3">
      <c r="A109" s="1">
        <v>6</v>
      </c>
      <c r="B109" s="1" t="e">
        <f t="shared" si="3"/>
        <v>#REF!</v>
      </c>
    </row>
    <row r="110" spans="1:2" ht="14.25" customHeight="1" x14ac:dyDescent="0.3">
      <c r="A110" s="1">
        <v>7</v>
      </c>
      <c r="B110" s="1" t="e">
        <f t="shared" si="3"/>
        <v>#REF!</v>
      </c>
    </row>
    <row r="111" spans="1:2" ht="14.25" customHeight="1" x14ac:dyDescent="0.3">
      <c r="A111" s="1">
        <v>8</v>
      </c>
      <c r="B111" s="1" t="e">
        <f t="shared" si="3"/>
        <v>#REF!</v>
      </c>
    </row>
    <row r="112" spans="1:2" ht="14.25" customHeight="1" x14ac:dyDescent="0.3">
      <c r="A112" s="1">
        <v>9</v>
      </c>
      <c r="B112" s="1" t="e">
        <f t="shared" si="3"/>
        <v>#REF!</v>
      </c>
    </row>
    <row r="113" spans="1:2" ht="14.25" customHeight="1" x14ac:dyDescent="0.3">
      <c r="A113" s="1">
        <v>10</v>
      </c>
      <c r="B113" s="1" t="e">
        <f t="shared" si="3"/>
        <v>#REF!</v>
      </c>
    </row>
    <row r="114" spans="1:2" ht="14.25" customHeight="1" x14ac:dyDescent="0.3">
      <c r="A114" s="1">
        <v>11</v>
      </c>
      <c r="B114" s="1" t="e">
        <f t="shared" si="3"/>
        <v>#REF!</v>
      </c>
    </row>
    <row r="115" spans="1:2" ht="14.25" customHeight="1" x14ac:dyDescent="0.3">
      <c r="A115" s="1">
        <v>12</v>
      </c>
      <c r="B115" s="1" t="e">
        <f t="shared" si="3"/>
        <v>#REF!</v>
      </c>
    </row>
    <row r="116" spans="1:2" ht="14.25" customHeight="1" x14ac:dyDescent="0.3">
      <c r="A116" s="1">
        <v>13</v>
      </c>
      <c r="B116" s="1" t="e">
        <f t="shared" si="3"/>
        <v>#REF!</v>
      </c>
    </row>
    <row r="117" spans="1:2" ht="14.25" customHeight="1" x14ac:dyDescent="0.3">
      <c r="A117" s="1">
        <v>14</v>
      </c>
      <c r="B117" s="1" t="e">
        <f t="shared" si="3"/>
        <v>#REF!</v>
      </c>
    </row>
    <row r="118" spans="1:2" ht="14.25" customHeight="1" x14ac:dyDescent="0.3">
      <c r="A118" s="1">
        <v>15</v>
      </c>
      <c r="B118" s="1" t="e">
        <f t="shared" si="3"/>
        <v>#REF!</v>
      </c>
    </row>
    <row r="119" spans="1:2" ht="14.25" customHeight="1" x14ac:dyDescent="0.3">
      <c r="A119" s="1">
        <v>16</v>
      </c>
      <c r="B119" s="1" t="e">
        <f t="shared" si="3"/>
        <v>#REF!</v>
      </c>
    </row>
    <row r="120" spans="1:2" ht="14.25" customHeight="1" x14ac:dyDescent="0.3">
      <c r="A120" s="1">
        <v>17</v>
      </c>
      <c r="B120" s="1" t="e">
        <f t="shared" si="3"/>
        <v>#REF!</v>
      </c>
    </row>
    <row r="121" spans="1:2" ht="14.25" customHeight="1" x14ac:dyDescent="0.3">
      <c r="A121" s="1">
        <v>18</v>
      </c>
      <c r="B121" s="1" t="e">
        <f t="shared" si="3"/>
        <v>#REF!</v>
      </c>
    </row>
    <row r="122" spans="1:2" ht="14.25" customHeight="1" x14ac:dyDescent="0.3">
      <c r="A122" s="1">
        <v>19</v>
      </c>
      <c r="B122" s="1" t="e">
        <f t="shared" si="3"/>
        <v>#REF!</v>
      </c>
    </row>
    <row r="123" spans="1:2" ht="14.25" customHeight="1" x14ac:dyDescent="0.3">
      <c r="A123" s="1" t="s">
        <v>104</v>
      </c>
      <c r="B123" s="1" t="e">
        <f>SUM(B104:B122)</f>
        <v>#REF!</v>
      </c>
    </row>
    <row r="124" spans="1:2" ht="14.25" customHeight="1" x14ac:dyDescent="0.3"/>
    <row r="125" spans="1:2" ht="14.25" customHeight="1" x14ac:dyDescent="0.3"/>
    <row r="126" spans="1:2" ht="14.25" customHeight="1" x14ac:dyDescent="0.3">
      <c r="A126" s="1" t="s">
        <v>107</v>
      </c>
    </row>
    <row r="127" spans="1:2" ht="14.25" customHeight="1" x14ac:dyDescent="0.3">
      <c r="A127" s="1">
        <v>1</v>
      </c>
      <c r="B127" s="1" t="e">
        <f t="shared" ref="B127:B145" si="4">IF(#REF!="X",1,0)</f>
        <v>#REF!</v>
      </c>
    </row>
    <row r="128" spans="1:2" ht="14.25" customHeight="1" x14ac:dyDescent="0.3">
      <c r="A128" s="1">
        <v>2</v>
      </c>
      <c r="B128" s="1" t="e">
        <f t="shared" si="4"/>
        <v>#REF!</v>
      </c>
    </row>
    <row r="129" spans="1:2" ht="14.25" customHeight="1" x14ac:dyDescent="0.3">
      <c r="A129" s="1">
        <v>3</v>
      </c>
      <c r="B129" s="1" t="e">
        <f t="shared" si="4"/>
        <v>#REF!</v>
      </c>
    </row>
    <row r="130" spans="1:2" ht="14.25" customHeight="1" x14ac:dyDescent="0.3">
      <c r="A130" s="1">
        <v>4</v>
      </c>
      <c r="B130" s="1" t="e">
        <f t="shared" si="4"/>
        <v>#REF!</v>
      </c>
    </row>
    <row r="131" spans="1:2" ht="14.25" customHeight="1" x14ac:dyDescent="0.3">
      <c r="A131" s="1">
        <v>5</v>
      </c>
      <c r="B131" s="1" t="e">
        <f t="shared" si="4"/>
        <v>#REF!</v>
      </c>
    </row>
    <row r="132" spans="1:2" ht="14.25" customHeight="1" x14ac:dyDescent="0.3">
      <c r="A132" s="1">
        <v>6</v>
      </c>
      <c r="B132" s="1" t="e">
        <f t="shared" si="4"/>
        <v>#REF!</v>
      </c>
    </row>
    <row r="133" spans="1:2" ht="14.25" customHeight="1" x14ac:dyDescent="0.3">
      <c r="A133" s="1">
        <v>7</v>
      </c>
      <c r="B133" s="1" t="e">
        <f t="shared" si="4"/>
        <v>#REF!</v>
      </c>
    </row>
    <row r="134" spans="1:2" ht="14.25" customHeight="1" x14ac:dyDescent="0.3">
      <c r="A134" s="1">
        <v>8</v>
      </c>
      <c r="B134" s="1" t="e">
        <f t="shared" si="4"/>
        <v>#REF!</v>
      </c>
    </row>
    <row r="135" spans="1:2" ht="14.25" customHeight="1" x14ac:dyDescent="0.3">
      <c r="A135" s="1">
        <v>9</v>
      </c>
      <c r="B135" s="1" t="e">
        <f t="shared" si="4"/>
        <v>#REF!</v>
      </c>
    </row>
    <row r="136" spans="1:2" ht="14.25" customHeight="1" x14ac:dyDescent="0.3">
      <c r="A136" s="1">
        <v>10</v>
      </c>
      <c r="B136" s="1" t="e">
        <f t="shared" si="4"/>
        <v>#REF!</v>
      </c>
    </row>
    <row r="137" spans="1:2" ht="14.25" customHeight="1" x14ac:dyDescent="0.3">
      <c r="A137" s="1">
        <v>11</v>
      </c>
      <c r="B137" s="1" t="e">
        <f t="shared" si="4"/>
        <v>#REF!</v>
      </c>
    </row>
    <row r="138" spans="1:2" ht="14.25" customHeight="1" x14ac:dyDescent="0.3">
      <c r="A138" s="1">
        <v>12</v>
      </c>
      <c r="B138" s="1" t="e">
        <f t="shared" si="4"/>
        <v>#REF!</v>
      </c>
    </row>
    <row r="139" spans="1:2" ht="14.25" customHeight="1" x14ac:dyDescent="0.3">
      <c r="A139" s="1">
        <v>13</v>
      </c>
      <c r="B139" s="1" t="e">
        <f t="shared" si="4"/>
        <v>#REF!</v>
      </c>
    </row>
    <row r="140" spans="1:2" ht="14.25" customHeight="1" x14ac:dyDescent="0.3">
      <c r="A140" s="1">
        <v>14</v>
      </c>
      <c r="B140" s="1" t="e">
        <f t="shared" si="4"/>
        <v>#REF!</v>
      </c>
    </row>
    <row r="141" spans="1:2" ht="14.25" customHeight="1" x14ac:dyDescent="0.3">
      <c r="A141" s="1">
        <v>15</v>
      </c>
      <c r="B141" s="1" t="e">
        <f t="shared" si="4"/>
        <v>#REF!</v>
      </c>
    </row>
    <row r="142" spans="1:2" ht="14.25" customHeight="1" x14ac:dyDescent="0.3">
      <c r="A142" s="1">
        <v>16</v>
      </c>
      <c r="B142" s="1" t="e">
        <f t="shared" si="4"/>
        <v>#REF!</v>
      </c>
    </row>
    <row r="143" spans="1:2" ht="14.25" customHeight="1" x14ac:dyDescent="0.3">
      <c r="A143" s="1">
        <v>17</v>
      </c>
      <c r="B143" s="1" t="e">
        <f t="shared" si="4"/>
        <v>#REF!</v>
      </c>
    </row>
    <row r="144" spans="1:2" ht="14.25" customHeight="1" x14ac:dyDescent="0.3">
      <c r="A144" s="1">
        <v>18</v>
      </c>
      <c r="B144" s="1" t="e">
        <f t="shared" si="4"/>
        <v>#REF!</v>
      </c>
    </row>
    <row r="145" spans="1:2" ht="14.25" customHeight="1" x14ac:dyDescent="0.3">
      <c r="A145" s="1">
        <v>19</v>
      </c>
      <c r="B145" s="1" t="e">
        <f t="shared" si="4"/>
        <v>#REF!</v>
      </c>
    </row>
    <row r="146" spans="1:2" ht="14.25" customHeight="1" x14ac:dyDescent="0.3">
      <c r="A146" s="1" t="s">
        <v>104</v>
      </c>
      <c r="B146" s="1" t="e">
        <f>SUM(B127:B145)</f>
        <v>#REF!</v>
      </c>
    </row>
    <row r="147" spans="1:2" ht="14.25" customHeight="1" x14ac:dyDescent="0.3"/>
    <row r="148" spans="1:2" ht="14.25" customHeight="1" x14ac:dyDescent="0.3"/>
    <row r="149" spans="1:2" ht="14.25" customHeight="1" x14ac:dyDescent="0.3"/>
    <row r="150" spans="1:2" ht="14.25" customHeight="1" x14ac:dyDescent="0.3">
      <c r="A150" s="1" t="s">
        <v>108</v>
      </c>
    </row>
    <row r="151" spans="1:2" ht="14.25" customHeight="1" x14ac:dyDescent="0.3">
      <c r="A151" s="32" t="s">
        <v>109</v>
      </c>
    </row>
    <row r="152" spans="1:2" ht="14.25" customHeight="1" x14ac:dyDescent="0.3">
      <c r="A152" s="1" t="s">
        <v>110</v>
      </c>
    </row>
    <row r="153" spans="1:2" ht="14.25" customHeight="1" x14ac:dyDescent="0.3">
      <c r="A153" s="1" t="s">
        <v>111</v>
      </c>
    </row>
    <row r="154" spans="1:2" ht="14.25" customHeight="1" x14ac:dyDescent="0.3">
      <c r="A154" s="1" t="s">
        <v>112</v>
      </c>
    </row>
    <row r="155" spans="1:2" ht="14.25" customHeight="1" x14ac:dyDescent="0.3">
      <c r="A155" s="1" t="s">
        <v>110</v>
      </c>
    </row>
    <row r="156" spans="1:2" ht="14.25" customHeight="1" x14ac:dyDescent="0.3">
      <c r="A156" s="1" t="s">
        <v>113</v>
      </c>
    </row>
    <row r="157" spans="1:2" ht="14.25" customHeight="1" x14ac:dyDescent="0.3">
      <c r="A157" s="1" t="s">
        <v>114</v>
      </c>
    </row>
    <row r="158" spans="1:2" ht="14.25" customHeight="1" x14ac:dyDescent="0.3"/>
    <row r="159" spans="1:2" ht="14.25" customHeight="1" x14ac:dyDescent="0.3">
      <c r="A159" s="32" t="s">
        <v>115</v>
      </c>
      <c r="B159" s="1" t="s">
        <v>68</v>
      </c>
    </row>
    <row r="160" spans="1:2" ht="14.25" customHeight="1" x14ac:dyDescent="0.3">
      <c r="A160" s="1" t="s">
        <v>110</v>
      </c>
    </row>
    <row r="161" spans="1:1" ht="14.25" customHeight="1" x14ac:dyDescent="0.3">
      <c r="A161" s="1" t="s">
        <v>116</v>
      </c>
    </row>
    <row r="162" spans="1:1" ht="14.25" customHeight="1" x14ac:dyDescent="0.3">
      <c r="A162" s="1" t="s">
        <v>117</v>
      </c>
    </row>
    <row r="163" spans="1:1" ht="14.25" customHeight="1" x14ac:dyDescent="0.3"/>
    <row r="164" spans="1:1" ht="14.25" customHeight="1" x14ac:dyDescent="0.3">
      <c r="A164" s="32" t="s">
        <v>118</v>
      </c>
    </row>
    <row r="165" spans="1:1" ht="14.25" customHeight="1" x14ac:dyDescent="0.3">
      <c r="A165" s="1" t="s">
        <v>110</v>
      </c>
    </row>
    <row r="166" spans="1:1" ht="14.25" customHeight="1" x14ac:dyDescent="0.3">
      <c r="A166" s="1" t="s">
        <v>119</v>
      </c>
    </row>
    <row r="167" spans="1:1" ht="14.25" customHeight="1" x14ac:dyDescent="0.3">
      <c r="A167" s="1" t="s">
        <v>120</v>
      </c>
    </row>
    <row r="168" spans="1:1" ht="14.25" customHeight="1" x14ac:dyDescent="0.3">
      <c r="A168" s="1" t="s">
        <v>121</v>
      </c>
    </row>
    <row r="169" spans="1:1" ht="14.25" customHeight="1" x14ac:dyDescent="0.3"/>
    <row r="170" spans="1:1" ht="14.25" customHeight="1" x14ac:dyDescent="0.3">
      <c r="A170" s="32" t="s">
        <v>122</v>
      </c>
    </row>
    <row r="171" spans="1:1" ht="14.25" customHeight="1" x14ac:dyDescent="0.3">
      <c r="A171" s="1" t="s">
        <v>110</v>
      </c>
    </row>
    <row r="172" spans="1:1" ht="14.25" customHeight="1" x14ac:dyDescent="0.3">
      <c r="A172" s="1" t="s">
        <v>123</v>
      </c>
    </row>
    <row r="173" spans="1:1" ht="14.25" customHeight="1" x14ac:dyDescent="0.3">
      <c r="A173" s="1" t="s">
        <v>124</v>
      </c>
    </row>
    <row r="174" spans="1:1" ht="14.25" customHeight="1" x14ac:dyDescent="0.3"/>
    <row r="175" spans="1:1" ht="14.25" customHeight="1" x14ac:dyDescent="0.3">
      <c r="A175" s="32" t="s">
        <v>125</v>
      </c>
    </row>
    <row r="176" spans="1:1" ht="14.25" customHeight="1" x14ac:dyDescent="0.3">
      <c r="A176" s="1" t="s">
        <v>110</v>
      </c>
    </row>
    <row r="177" spans="1:1" ht="14.25" customHeight="1" x14ac:dyDescent="0.3">
      <c r="A177" s="1" t="s">
        <v>126</v>
      </c>
    </row>
    <row r="178" spans="1:1" ht="14.25" customHeight="1" x14ac:dyDescent="0.3">
      <c r="A178" s="1" t="s">
        <v>127</v>
      </c>
    </row>
    <row r="179" spans="1:1" ht="14.25" customHeight="1" x14ac:dyDescent="0.3"/>
    <row r="180" spans="1:1" ht="14.25" customHeight="1" x14ac:dyDescent="0.3">
      <c r="A180" s="32" t="s">
        <v>128</v>
      </c>
    </row>
    <row r="181" spans="1:1" ht="14.25" customHeight="1" x14ac:dyDescent="0.3">
      <c r="A181" s="1" t="s">
        <v>110</v>
      </c>
    </row>
    <row r="182" spans="1:1" ht="14.25" customHeight="1" x14ac:dyDescent="0.3">
      <c r="A182" s="1" t="s">
        <v>129</v>
      </c>
    </row>
    <row r="183" spans="1:1" ht="14.25" customHeight="1" x14ac:dyDescent="0.3">
      <c r="A183" s="1" t="s">
        <v>130</v>
      </c>
    </row>
    <row r="184" spans="1:1" ht="14.25" customHeight="1" x14ac:dyDescent="0.3">
      <c r="A184" s="1" t="s">
        <v>131</v>
      </c>
    </row>
    <row r="185" spans="1:1" ht="14.25" customHeight="1" x14ac:dyDescent="0.3"/>
    <row r="186" spans="1:1" ht="14.25" customHeight="1" x14ac:dyDescent="0.3">
      <c r="A186" s="32" t="s">
        <v>132</v>
      </c>
    </row>
    <row r="187" spans="1:1" ht="14.25" customHeight="1" x14ac:dyDescent="0.3">
      <c r="A187" s="1" t="s">
        <v>110</v>
      </c>
    </row>
    <row r="188" spans="1:1" ht="14.25" customHeight="1" x14ac:dyDescent="0.3">
      <c r="A188" s="1" t="s">
        <v>133</v>
      </c>
    </row>
    <row r="189" spans="1:1" ht="14.25" customHeight="1" x14ac:dyDescent="0.3">
      <c r="A189" s="1" t="s">
        <v>134</v>
      </c>
    </row>
    <row r="190" spans="1:1" ht="14.25" customHeight="1" x14ac:dyDescent="0.3">
      <c r="A190" s="1" t="s">
        <v>135</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
  <sheetViews>
    <sheetView workbookViewId="0"/>
  </sheetViews>
  <sheetFormatPr baseColWidth="10" defaultColWidth="14.44140625" defaultRowHeight="15" customHeight="1" x14ac:dyDescent="0.3"/>
  <cols>
    <col min="1" max="26" width="10.6640625" customWidth="1"/>
  </cols>
  <sheetData>
    <row r="1" spans="1:3" ht="14.25" customHeight="1" x14ac:dyDescent="0.3">
      <c r="A1" s="1" t="s">
        <v>136</v>
      </c>
      <c r="C1" s="1" t="s">
        <v>61</v>
      </c>
    </row>
    <row r="2" spans="1:3" ht="14.25" customHeight="1" x14ac:dyDescent="0.3">
      <c r="A2" s="1" t="s">
        <v>137</v>
      </c>
      <c r="C2" s="1" t="s">
        <v>62</v>
      </c>
    </row>
    <row r="3" spans="1:3" ht="14.25" customHeight="1" x14ac:dyDescent="0.3">
      <c r="A3" s="1" t="s">
        <v>138</v>
      </c>
      <c r="C3" s="1" t="s">
        <v>63</v>
      </c>
    </row>
    <row r="4" spans="1:3" ht="14.25" customHeight="1" x14ac:dyDescent="0.3">
      <c r="A4" s="1" t="s">
        <v>139</v>
      </c>
      <c r="C4" s="1" t="s">
        <v>64</v>
      </c>
    </row>
    <row r="5" spans="1:3" ht="14.25" customHeight="1" x14ac:dyDescent="0.3">
      <c r="A5" s="1" t="s">
        <v>140</v>
      </c>
      <c r="C5" s="1" t="s">
        <v>65</v>
      </c>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B0CE-21CF-4D82-9350-00EE67EE712C}">
  <dimension ref="A1:BB320"/>
  <sheetViews>
    <sheetView tabSelected="1" topLeftCell="A223" zoomScale="55" zoomScaleNormal="55" workbookViewId="0">
      <selection activeCell="G319" sqref="G319:G320"/>
    </sheetView>
  </sheetViews>
  <sheetFormatPr baseColWidth="10" defaultColWidth="11.44140625" defaultRowHeight="13.8" x14ac:dyDescent="0.3"/>
  <cols>
    <col min="1" max="1" width="4" style="2383" bestFit="1" customWidth="1"/>
    <col min="2" max="2" width="15.5546875" style="2383" customWidth="1"/>
    <col min="3" max="3" width="31.109375" style="2383" customWidth="1"/>
    <col min="4" max="4" width="38.109375" style="2383" customWidth="1"/>
    <col min="5" max="5" width="57.33203125" style="2383" customWidth="1"/>
    <col min="6" max="6" width="61.6640625" style="2049" customWidth="1"/>
    <col min="7" max="7" width="35.109375" style="2049" customWidth="1"/>
    <col min="8" max="8" width="45" style="2384" customWidth="1"/>
    <col min="9" max="9" width="32.21875" style="2049" customWidth="1"/>
    <col min="10" max="10" width="33.6640625" style="2049" bestFit="1" customWidth="1"/>
    <col min="11" max="11" width="18" style="2049" customWidth="1"/>
    <col min="12" max="12" width="24.77734375" style="2049" customWidth="1"/>
    <col min="13" max="13" width="28.33203125" style="2049" customWidth="1"/>
    <col min="14" max="14" width="31.6640625" style="2049" customWidth="1"/>
    <col min="15" max="15" width="23.88671875" style="2049" customWidth="1"/>
    <col min="16" max="16" width="18.5546875" style="2049" customWidth="1"/>
    <col min="17" max="17" width="14.33203125" style="2049" customWidth="1"/>
    <col min="18" max="18" width="14.44140625" style="2049" customWidth="1"/>
    <col min="19" max="19" width="73.44140625" style="2049" customWidth="1"/>
    <col min="20" max="20" width="13.5546875" style="2049" bestFit="1" customWidth="1"/>
    <col min="21" max="21" width="18" style="2049" customWidth="1"/>
    <col min="22" max="22" width="13.5546875" style="2049" customWidth="1"/>
    <col min="23" max="23" width="11.5546875" style="2049" customWidth="1"/>
    <col min="24" max="24" width="6.6640625" style="2049" customWidth="1"/>
    <col min="25" max="25" width="4.6640625" style="2049" customWidth="1"/>
    <col min="26" max="26" width="20.77734375" style="2049" customWidth="1"/>
    <col min="27" max="27" width="8.6640625" style="2049" customWidth="1"/>
    <col min="28" max="28" width="10.44140625" style="2049" customWidth="1"/>
    <col min="29" max="29" width="9.33203125" style="2049" customWidth="1"/>
    <col min="30" max="30" width="9.109375" style="2049" customWidth="1"/>
    <col min="31" max="31" width="8.44140625" style="2049" customWidth="1"/>
    <col min="32" max="32" width="10" style="2049" customWidth="1"/>
    <col min="33" max="33" width="29.6640625" style="2049" bestFit="1" customWidth="1"/>
    <col min="34" max="34" width="61.77734375" style="2049" customWidth="1"/>
    <col min="35" max="35" width="36.77734375" style="2049" customWidth="1"/>
    <col min="36" max="36" width="28.33203125" style="2049" customWidth="1"/>
    <col min="37" max="37" width="29" style="2049" customWidth="1"/>
    <col min="38" max="38" width="128.21875" style="2049" customWidth="1"/>
    <col min="39" max="39" width="16.33203125" style="2049" bestFit="1" customWidth="1"/>
    <col min="40" max="40" width="60.109375" style="2049" customWidth="1"/>
    <col min="41" max="41" width="61.5546875" style="2049" bestFit="1" customWidth="1"/>
    <col min="42" max="42" width="44.33203125" style="2049" customWidth="1"/>
    <col min="43" max="43" width="59.44140625" style="2049" customWidth="1"/>
    <col min="44" max="44" width="48.6640625" style="2049" bestFit="1" customWidth="1"/>
    <col min="45" max="45" width="32.5546875" style="2049" customWidth="1"/>
    <col min="46" max="46" width="32.33203125" style="2049" customWidth="1"/>
    <col min="47" max="47" width="57.6640625" style="2049" customWidth="1"/>
    <col min="48" max="48" width="22.88671875" style="2049" customWidth="1"/>
    <col min="49" max="49" width="27.5546875" style="2049" customWidth="1"/>
    <col min="50" max="50" width="27" style="2049" customWidth="1"/>
    <col min="51" max="51" width="18.109375" style="2049" customWidth="1"/>
    <col min="52" max="52" width="29" style="2049" customWidth="1"/>
    <col min="53" max="53" width="19.5546875" style="2049" bestFit="1" customWidth="1"/>
    <col min="54" max="16384" width="11.44140625" style="2049"/>
  </cols>
  <sheetData>
    <row r="1" spans="1:53" s="1105" customFormat="1" x14ac:dyDescent="0.25">
      <c r="A1" s="1102" t="s">
        <v>148</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c r="AI1" s="1103"/>
      <c r="AJ1" s="1103"/>
      <c r="AK1" s="1103"/>
      <c r="AL1" s="1103"/>
      <c r="AM1" s="1104"/>
    </row>
    <row r="2" spans="1:53" s="1105" customFormat="1" x14ac:dyDescent="0.25">
      <c r="A2" s="1106"/>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8"/>
    </row>
    <row r="3" spans="1:53" s="1105" customFormat="1" x14ac:dyDescent="0.25">
      <c r="A3" s="1109"/>
      <c r="B3" s="1110"/>
      <c r="C3" s="1109"/>
      <c r="D3" s="1109"/>
      <c r="E3" s="1109"/>
      <c r="F3" s="1111"/>
      <c r="G3" s="1111"/>
      <c r="H3" s="1111"/>
      <c r="I3" s="1112"/>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row>
    <row r="4" spans="1:53" s="1105" customFormat="1" ht="23.4" x14ac:dyDescent="0.3">
      <c r="A4" s="1113" t="s">
        <v>149</v>
      </c>
      <c r="B4" s="1114"/>
      <c r="C4" s="1115" t="s">
        <v>714</v>
      </c>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6"/>
    </row>
    <row r="5" spans="1:53" s="1105" customFormat="1" ht="23.4" x14ac:dyDescent="0.3">
      <c r="A5" s="1113" t="s">
        <v>150</v>
      </c>
      <c r="B5" s="1114"/>
      <c r="C5" s="1117" t="s">
        <v>715</v>
      </c>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1114"/>
      <c r="AM5" s="1116"/>
    </row>
    <row r="6" spans="1:53" s="1105" customFormat="1" ht="23.4" x14ac:dyDescent="0.3">
      <c r="A6" s="1113" t="s">
        <v>151</v>
      </c>
      <c r="B6" s="1114"/>
      <c r="C6" s="1117" t="s">
        <v>716</v>
      </c>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1114"/>
      <c r="AH6" s="1114"/>
      <c r="AI6" s="1114"/>
      <c r="AJ6" s="1114"/>
      <c r="AK6" s="1114"/>
      <c r="AL6" s="1114"/>
      <c r="AM6" s="1116"/>
    </row>
    <row r="7" spans="1:53" s="1105" customFormat="1" ht="14.4" x14ac:dyDescent="0.3">
      <c r="A7" s="1118" t="s">
        <v>152</v>
      </c>
      <c r="B7" s="1114"/>
      <c r="C7" s="1114"/>
      <c r="D7" s="1114"/>
      <c r="E7" s="1114"/>
      <c r="F7" s="1114"/>
      <c r="G7" s="1114"/>
      <c r="H7" s="1114"/>
      <c r="I7" s="1114"/>
      <c r="J7" s="1116"/>
      <c r="K7" s="1119" t="s">
        <v>153</v>
      </c>
      <c r="L7" s="1120"/>
      <c r="M7" s="1120"/>
      <c r="N7" s="1120"/>
      <c r="O7" s="1120"/>
      <c r="P7" s="1120"/>
      <c r="Q7" s="1121"/>
      <c r="R7" s="1119" t="s">
        <v>154</v>
      </c>
      <c r="S7" s="1120"/>
      <c r="T7" s="1120"/>
      <c r="U7" s="1120"/>
      <c r="V7" s="1120"/>
      <c r="W7" s="1120"/>
      <c r="X7" s="1120"/>
      <c r="Y7" s="1120"/>
      <c r="Z7" s="1121"/>
      <c r="AA7" s="1119" t="s">
        <v>155</v>
      </c>
      <c r="AB7" s="1120"/>
      <c r="AC7" s="1120"/>
      <c r="AD7" s="1120"/>
      <c r="AE7" s="1120"/>
      <c r="AF7" s="1120"/>
      <c r="AG7" s="1121"/>
      <c r="AH7" s="1119" t="s">
        <v>156</v>
      </c>
      <c r="AI7" s="1120"/>
      <c r="AJ7" s="1120"/>
      <c r="AK7" s="1120"/>
      <c r="AL7" s="1120"/>
      <c r="AM7" s="1121"/>
    </row>
    <row r="8" spans="1:53" s="1105" customFormat="1" ht="14.4" x14ac:dyDescent="0.3">
      <c r="A8" s="1122" t="s">
        <v>157</v>
      </c>
      <c r="B8" s="1123" t="s">
        <v>141</v>
      </c>
      <c r="C8" s="1124" t="s">
        <v>158</v>
      </c>
      <c r="D8" s="1124" t="s">
        <v>159</v>
      </c>
      <c r="E8" s="1125" t="s">
        <v>160</v>
      </c>
      <c r="F8" s="1126" t="s">
        <v>60</v>
      </c>
      <c r="G8" s="1127"/>
      <c r="H8" s="1127"/>
      <c r="I8" s="1125" t="s">
        <v>161</v>
      </c>
      <c r="J8" s="1124" t="s">
        <v>162</v>
      </c>
      <c r="K8" s="1124" t="s">
        <v>163</v>
      </c>
      <c r="L8" s="1128" t="s">
        <v>164</v>
      </c>
      <c r="M8" s="1125" t="s">
        <v>165</v>
      </c>
      <c r="N8" s="1125" t="s">
        <v>166</v>
      </c>
      <c r="O8" s="1129" t="s">
        <v>167</v>
      </c>
      <c r="P8" s="1128" t="s">
        <v>164</v>
      </c>
      <c r="Q8" s="1124" t="s">
        <v>168</v>
      </c>
      <c r="R8" s="1130" t="s">
        <v>169</v>
      </c>
      <c r="S8" s="1125" t="s">
        <v>170</v>
      </c>
      <c r="T8" s="1125" t="s">
        <v>171</v>
      </c>
      <c r="U8" s="1131" t="s">
        <v>172</v>
      </c>
      <c r="V8" s="1114"/>
      <c r="W8" s="1114"/>
      <c r="X8" s="1114"/>
      <c r="Y8" s="1114"/>
      <c r="Z8" s="1116"/>
      <c r="AA8" s="1130" t="s">
        <v>173</v>
      </c>
      <c r="AB8" s="1130" t="s">
        <v>174</v>
      </c>
      <c r="AC8" s="1130" t="s">
        <v>164</v>
      </c>
      <c r="AD8" s="1130" t="s">
        <v>175</v>
      </c>
      <c r="AE8" s="1130" t="s">
        <v>164</v>
      </c>
      <c r="AF8" s="1130" t="s">
        <v>176</v>
      </c>
      <c r="AG8" s="1130" t="s">
        <v>177</v>
      </c>
      <c r="AH8" s="1125" t="s">
        <v>156</v>
      </c>
      <c r="AI8" s="1125" t="s">
        <v>142</v>
      </c>
      <c r="AJ8" s="1125" t="s">
        <v>178</v>
      </c>
      <c r="AK8" s="1125" t="s">
        <v>179</v>
      </c>
      <c r="AL8" s="1125" t="s">
        <v>180</v>
      </c>
      <c r="AM8" s="1125" t="s">
        <v>181</v>
      </c>
    </row>
    <row r="9" spans="1:53" s="1105" customFormat="1" ht="70.2" x14ac:dyDescent="0.25">
      <c r="A9" s="1132"/>
      <c r="B9" s="1132"/>
      <c r="C9" s="1132"/>
      <c r="D9" s="1132"/>
      <c r="E9" s="1133"/>
      <c r="F9" s="1133"/>
      <c r="G9" s="1127" t="s">
        <v>201</v>
      </c>
      <c r="H9" s="1127" t="s">
        <v>182</v>
      </c>
      <c r="I9" s="1132"/>
      <c r="J9" s="1132"/>
      <c r="K9" s="1132"/>
      <c r="L9" s="1134"/>
      <c r="M9" s="1132"/>
      <c r="N9" s="1132"/>
      <c r="O9" s="1134"/>
      <c r="P9" s="1134"/>
      <c r="Q9" s="1132"/>
      <c r="R9" s="1132"/>
      <c r="S9" s="1132"/>
      <c r="T9" s="1132"/>
      <c r="U9" s="1135" t="s">
        <v>183</v>
      </c>
      <c r="V9" s="1135" t="s">
        <v>184</v>
      </c>
      <c r="W9" s="1135" t="s">
        <v>185</v>
      </c>
      <c r="X9" s="1135" t="s">
        <v>186</v>
      </c>
      <c r="Y9" s="1135" t="s">
        <v>187</v>
      </c>
      <c r="Z9" s="1135" t="s">
        <v>188</v>
      </c>
      <c r="AA9" s="1132"/>
      <c r="AB9" s="1132"/>
      <c r="AC9" s="1132"/>
      <c r="AD9" s="1132"/>
      <c r="AE9" s="1132"/>
      <c r="AF9" s="1132"/>
      <c r="AG9" s="1132"/>
      <c r="AH9" s="1132"/>
      <c r="AI9" s="1132"/>
      <c r="AJ9" s="1132"/>
      <c r="AK9" s="1132"/>
      <c r="AL9" s="1132"/>
      <c r="AM9" s="1132"/>
    </row>
    <row r="10" spans="1:53" s="1105" customFormat="1" ht="82.8" x14ac:dyDescent="0.25">
      <c r="A10" s="1136">
        <v>1</v>
      </c>
      <c r="B10" s="1137" t="s">
        <v>189</v>
      </c>
      <c r="C10" s="1137" t="s">
        <v>717</v>
      </c>
      <c r="D10" s="1138" t="s">
        <v>718</v>
      </c>
      <c r="E10" s="1139" t="s">
        <v>719</v>
      </c>
      <c r="F10" s="1137" t="s">
        <v>720</v>
      </c>
      <c r="G10" s="1137" t="s">
        <v>202</v>
      </c>
      <c r="H10" s="1137" t="s">
        <v>721</v>
      </c>
      <c r="I10" s="1140" t="s">
        <v>190</v>
      </c>
      <c r="J10" s="1141">
        <v>365</v>
      </c>
      <c r="K10" s="1142" t="str">
        <f>IF(J10&lt;=0,"",IF(J10&lt;=2,"Muy Baja",IF(J10&lt;=24,"Baja",IF(J10&lt;=500,"Media",IF(J10&lt;=5000,"Alta","Muy Alta")))))</f>
        <v>Media</v>
      </c>
      <c r="L10" s="1143">
        <f>IF(K10="","",IF(K10="Muy Baja",0.2,IF(K10="Baja",0.4,IF(K10="Media",0.6,IF(K10="Alta",0.8,IF(K10="Muy Alta",1,))))))</f>
        <v>0.6</v>
      </c>
      <c r="M10" s="1143" t="s">
        <v>214</v>
      </c>
      <c r="N10" s="1143" t="str">
        <f>IF(NOT(ISERROR(MATCH(M10,'[19]Tabla Impacto'!$B$221:$B$223,0))),'[19]Tabla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1142" t="str">
        <f>IF(OR(N10='[19]Tabla Impacto'!$C$11,N10='[19]Tabla Impacto'!$D$11),"Leve",IF(OR(N10='[19]Tabla Impacto'!$C$12,N10='[19]Tabla Impacto'!$D$12),"Menor",IF(OR(N10='[19]Tabla Impacto'!$C$13,N10='[19]Tabla Impacto'!$D$13),"Moderado",IF(OR(N10='[19]Tabla Impacto'!$C$14,N10='[19]Tabla Impacto'!$D$14),"Mayor",IF(OR(N10='[19]Tabla Impacto'!$C$15,N10='[19]Tabla Impacto'!$D$15),"Catastrófico","")))))</f>
        <v>Mayor</v>
      </c>
      <c r="P10" s="1143">
        <f>IF(O10="","",IF(O10="Leve",0.2,IF(O10="Menor",0.4,IF(O10="Moderado",0.6,IF(O10="Mayor",0.8,IF(O10="Catastrófico",1,))))))</f>
        <v>0.8</v>
      </c>
      <c r="Q10" s="1144"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145">
        <v>1</v>
      </c>
      <c r="S10" s="1146" t="str">
        <f>+[19]DOFA!E36</f>
        <v>D14,O5 El jefe de la Oficina de Comunicaciones, regularmente de manera semanal realiza el seguimiento de las actividades programadas por las dependencias de la Administración Municipal, definiendo responsabilidades  comunicacionales a cada uno de los periodistas de la Oficina de Comunicaciones, dejando como evidencia el informe mensual de actividades por equipos de trabajo en una matriz que deben diligenciar mensualmenete. Si se presenta desviación de la actividad el jefe de oficina toma los correctivos necesarios</v>
      </c>
      <c r="T10" s="1145" t="str">
        <f t="shared" ref="T10:T11" si="0">IF(OR(U10="Preventivo",U10="Detectivo"),"Probabilidad",IF(U10="Correctivo","Impacto",""))</f>
        <v>Probabilidad</v>
      </c>
      <c r="U10" s="1147" t="s">
        <v>197</v>
      </c>
      <c r="V10" s="1147" t="s">
        <v>191</v>
      </c>
      <c r="W10" s="1148" t="str">
        <f t="shared" ref="W10:W11" si="1">IF(AND(U10="Preventivo",V10="Automático"),"50%",IF(AND(U10="Preventivo",V10="Manual"),"40%",IF(AND(U10="Detectivo",V10="Automático"),"40%",IF(AND(U10="Detectivo",V10="Manual"),"30%",IF(AND(U10="Correctivo",V10="Automático"),"35%",IF(AND(U10="Correctivo",V10="Manual"),"25%",""))))))</f>
        <v>40%</v>
      </c>
      <c r="X10" s="1147" t="s">
        <v>192</v>
      </c>
      <c r="Y10" s="1147" t="s">
        <v>193</v>
      </c>
      <c r="Z10" s="1147" t="s">
        <v>194</v>
      </c>
      <c r="AA10" s="1149">
        <f>IFERROR(IF(T10="Probabilidad",(L10-(+L10*W10)),IF(T10="Impacto",L10,"")),"")</f>
        <v>0.36</v>
      </c>
      <c r="AB10" s="1150" t="str">
        <f t="shared" ref="AB10:AB11" si="2">IFERROR(IF(AA10="","",IF(AA10&lt;=0.2,"Muy Baja",IF(AA10&lt;=0.4,"Baja",IF(AA10&lt;=0.6,"Media",IF(AA10&lt;=0.8,"Alta","Muy Alta"))))),"")</f>
        <v>Baja</v>
      </c>
      <c r="AC10" s="1151">
        <f t="shared" ref="AC10:AC11" si="3">+AA10</f>
        <v>0.36</v>
      </c>
      <c r="AD10" s="1150" t="str">
        <f t="shared" ref="AD10:AD11" si="4">IFERROR(IF(AE10="","",IF(AE10&lt;=0.2,"Leve",IF(AE10&lt;=0.4,"Menor",IF(AE10&lt;=0.6,"Moderado",IF(AE10&lt;=0.8,"Mayor","Catastrófico"))))),"")</f>
        <v>Mayor</v>
      </c>
      <c r="AE10" s="1151">
        <f>IFERROR(IF(T10="Impacto",(P10-(+P10*W10)),IF(T10="Probabilidad",P10,"")),"")</f>
        <v>0.8</v>
      </c>
      <c r="AF10" s="1152" t="str">
        <f t="shared" ref="AF10:AF11"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1153" t="s">
        <v>195</v>
      </c>
      <c r="AH10" s="1154" t="s">
        <v>722</v>
      </c>
      <c r="AI10" s="1154" t="s">
        <v>495</v>
      </c>
      <c r="AJ10" s="1155">
        <v>45535</v>
      </c>
      <c r="AK10" s="1155">
        <v>45656</v>
      </c>
      <c r="AL10" s="1154" t="s">
        <v>723</v>
      </c>
      <c r="AM10" s="1156" t="s">
        <v>685</v>
      </c>
    </row>
    <row r="11" spans="1:53" s="1105" customFormat="1" ht="82.8" x14ac:dyDescent="0.25">
      <c r="A11" s="1133"/>
      <c r="B11" s="1133"/>
      <c r="C11" s="1133"/>
      <c r="D11" s="1157"/>
      <c r="E11" s="1139" t="s">
        <v>724</v>
      </c>
      <c r="F11" s="1133"/>
      <c r="G11" s="1133"/>
      <c r="H11" s="1133"/>
      <c r="I11" s="1158"/>
      <c r="J11" s="1133"/>
      <c r="K11" s="1159"/>
      <c r="L11" s="1133"/>
      <c r="M11" s="1133"/>
      <c r="N11" s="1133"/>
      <c r="O11" s="1159"/>
      <c r="P11" s="1133"/>
      <c r="Q11" s="1160"/>
      <c r="R11" s="1145">
        <v>2</v>
      </c>
      <c r="S11" s="1146" t="str">
        <f>+[19]DOFA!E37</f>
        <v>D18,O5 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directriz en las actas de que nada podrá ser publicado sin la debida revisión y corrección y adicional la publicación en el portal web y perfiles institucionales de las  redes sociales de la Alcaldía de Ibagué. si los textos requieren ser corregidos se devulven a su redactor.</v>
      </c>
      <c r="T11" s="1145" t="str">
        <f t="shared" si="0"/>
        <v>Probabilidad</v>
      </c>
      <c r="U11" s="1147" t="s">
        <v>197</v>
      </c>
      <c r="V11" s="1147" t="s">
        <v>191</v>
      </c>
      <c r="W11" s="1148" t="str">
        <f t="shared" si="1"/>
        <v>40%</v>
      </c>
      <c r="X11" s="1147" t="s">
        <v>192</v>
      </c>
      <c r="Y11" s="1147" t="s">
        <v>193</v>
      </c>
      <c r="Z11" s="1147" t="s">
        <v>194</v>
      </c>
      <c r="AA11" s="1149">
        <f>IFERROR(IF(AND(T10="Probabilidad",T11="Probabilidad"),(AC10-(+AC10*W11)),IF(AND(T10="Impacto",T11="Probabilidad"),(L10-(+L10*W11)),IF(T11="Impacto",AC10,""))),"")</f>
        <v>0.216</v>
      </c>
      <c r="AB11" s="1150" t="str">
        <f t="shared" si="2"/>
        <v>Baja</v>
      </c>
      <c r="AC11" s="1151">
        <f t="shared" si="3"/>
        <v>0.216</v>
      </c>
      <c r="AD11" s="1150" t="str">
        <f t="shared" si="4"/>
        <v>Mayor</v>
      </c>
      <c r="AE11" s="1151">
        <f>IFERROR(IF(AND(T10="Impacto",T11="Impacto"),(AE10-(+AE10*W11)),IF(AND(T10="Probabilidad",T11="Impacto"),(P10-(+P10*W11)),IF(T11="Probabilidad",AE10,""))),"")</f>
        <v>0.8</v>
      </c>
      <c r="AF11" s="1152" t="str">
        <f t="shared" si="5"/>
        <v>Alto</v>
      </c>
      <c r="AG11" s="1132"/>
      <c r="AH11" s="1132"/>
      <c r="AI11" s="1132"/>
      <c r="AJ11" s="1132"/>
      <c r="AK11" s="1132"/>
      <c r="AL11" s="1132"/>
      <c r="AM11" s="1132"/>
    </row>
    <row r="12" spans="1:53" s="1105" customFormat="1" ht="13.8" customHeight="1" x14ac:dyDescent="0.25">
      <c r="A12" s="1161" t="s">
        <v>148</v>
      </c>
      <c r="B12" s="1161"/>
      <c r="C12" s="1161"/>
      <c r="D12" s="1161"/>
      <c r="E12" s="1161"/>
      <c r="F12" s="1161"/>
      <c r="G12" s="1161"/>
      <c r="H12" s="1161"/>
      <c r="I12" s="1161"/>
      <c r="J12" s="1161"/>
      <c r="K12" s="1161"/>
      <c r="L12" s="1161"/>
      <c r="M12" s="1161"/>
      <c r="N12" s="1161"/>
      <c r="O12" s="1161"/>
      <c r="P12" s="1161"/>
      <c r="Q12" s="1161"/>
      <c r="R12" s="1161"/>
      <c r="S12" s="1161"/>
      <c r="T12" s="1161"/>
      <c r="U12" s="1161"/>
      <c r="V12" s="1161"/>
      <c r="W12" s="1161"/>
      <c r="X12" s="1161"/>
      <c r="Y12" s="1161"/>
      <c r="Z12" s="1161"/>
      <c r="AA12" s="1161"/>
      <c r="AB12" s="1161"/>
      <c r="AC12" s="1161"/>
      <c r="AD12" s="1161"/>
      <c r="AE12" s="1161"/>
      <c r="AF12" s="1161"/>
      <c r="AG12" s="1161"/>
      <c r="AH12" s="1161"/>
      <c r="AI12" s="1161"/>
      <c r="AJ12" s="1161"/>
      <c r="AK12" s="1161"/>
      <c r="AL12" s="1161"/>
      <c r="AM12" s="1162"/>
      <c r="AN12" s="1162"/>
      <c r="AO12" s="1162"/>
      <c r="AP12" s="1162"/>
      <c r="AQ12" s="1162"/>
      <c r="AR12" s="1162"/>
      <c r="AS12" s="1162"/>
      <c r="AT12" s="1162"/>
      <c r="AU12" s="1162"/>
      <c r="AV12" s="1162"/>
      <c r="AW12" s="1162"/>
      <c r="AX12" s="1162"/>
      <c r="AY12" s="1162"/>
      <c r="AZ12" s="1162"/>
      <c r="BA12" s="1162"/>
    </row>
    <row r="13" spans="1:53" s="1105" customFormat="1" ht="13.8" customHeight="1" x14ac:dyDescent="0.25">
      <c r="A13" s="1161"/>
      <c r="B13" s="1161"/>
      <c r="C13" s="1161"/>
      <c r="D13" s="1161"/>
      <c r="E13" s="1161"/>
      <c r="F13" s="1161"/>
      <c r="G13" s="1161"/>
      <c r="H13" s="1161"/>
      <c r="I13" s="1161"/>
      <c r="J13" s="1161"/>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2"/>
      <c r="AN13" s="1162"/>
      <c r="AO13" s="1162"/>
      <c r="AP13" s="1162"/>
      <c r="AQ13" s="1162"/>
      <c r="AR13" s="1162"/>
      <c r="AS13" s="1162"/>
      <c r="AT13" s="1162"/>
      <c r="AU13" s="1162"/>
      <c r="AV13" s="1162"/>
      <c r="AW13" s="1162"/>
      <c r="AX13" s="1162"/>
      <c r="AY13" s="1162"/>
      <c r="AZ13" s="1162"/>
      <c r="BA13" s="1162"/>
    </row>
    <row r="14" spans="1:53" s="1105" customFormat="1" x14ac:dyDescent="0.25">
      <c r="A14" s="1163"/>
      <c r="B14" s="1164"/>
      <c r="C14" s="1163"/>
      <c r="D14" s="1163"/>
      <c r="E14" s="1163"/>
      <c r="F14" s="1162"/>
      <c r="G14" s="1162"/>
      <c r="H14" s="1162"/>
      <c r="I14" s="1165"/>
      <c r="J14" s="1162"/>
      <c r="K14" s="1162"/>
      <c r="L14" s="1162"/>
      <c r="M14" s="1162"/>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1162"/>
      <c r="AR14" s="1162"/>
      <c r="AS14" s="1162"/>
      <c r="AT14" s="1162"/>
      <c r="AU14" s="1162"/>
      <c r="AV14" s="1162"/>
      <c r="AW14" s="1162"/>
      <c r="AX14" s="1162"/>
      <c r="AY14" s="1162"/>
      <c r="AZ14" s="1162"/>
      <c r="BA14" s="1162"/>
    </row>
    <row r="15" spans="1:53" s="1105" customFormat="1" ht="23.4" x14ac:dyDescent="0.25">
      <c r="A15" s="1166" t="s">
        <v>149</v>
      </c>
      <c r="B15" s="1166"/>
      <c r="C15" s="1167" t="s">
        <v>498</v>
      </c>
      <c r="D15" s="1167"/>
      <c r="E15" s="1167"/>
      <c r="F15" s="1167"/>
      <c r="G15" s="1167"/>
      <c r="H15" s="1167"/>
      <c r="I15" s="1167"/>
      <c r="J15" s="1167"/>
      <c r="K15" s="1167"/>
      <c r="L15" s="1167"/>
      <c r="M15" s="1167"/>
      <c r="N15" s="1167"/>
      <c r="O15" s="1167"/>
      <c r="P15" s="1167"/>
      <c r="Q15" s="1167"/>
      <c r="R15" s="1167"/>
      <c r="S15" s="1167"/>
      <c r="T15" s="1167"/>
      <c r="U15" s="1167"/>
      <c r="V15" s="1167"/>
      <c r="W15" s="1167"/>
      <c r="X15" s="1167"/>
      <c r="Y15" s="1167"/>
      <c r="Z15" s="1167"/>
      <c r="AA15" s="1167"/>
      <c r="AB15" s="1167"/>
      <c r="AC15" s="1167"/>
      <c r="AD15" s="1167"/>
      <c r="AE15" s="1167"/>
      <c r="AF15" s="1167"/>
      <c r="AG15" s="1167"/>
      <c r="AH15" s="1167"/>
      <c r="AI15" s="1167"/>
      <c r="AJ15" s="1167"/>
      <c r="AK15" s="1167"/>
      <c r="AL15" s="1167"/>
      <c r="AM15" s="1162"/>
      <c r="AN15" s="1162"/>
      <c r="AO15" s="1162"/>
      <c r="AP15" s="1162"/>
      <c r="AQ15" s="1162"/>
      <c r="AR15" s="1162"/>
      <c r="AS15" s="1162"/>
      <c r="AT15" s="1162"/>
      <c r="AU15" s="1162"/>
      <c r="AV15" s="1162"/>
      <c r="AW15" s="1162"/>
      <c r="AX15" s="1162"/>
      <c r="AY15" s="1162"/>
      <c r="AZ15" s="1162"/>
      <c r="BA15" s="1162"/>
    </row>
    <row r="16" spans="1:53" s="1105" customFormat="1" ht="23.4" customHeight="1" x14ac:dyDescent="0.25">
      <c r="A16" s="1166" t="s">
        <v>150</v>
      </c>
      <c r="B16" s="1166"/>
      <c r="C16" s="1168" t="s">
        <v>499</v>
      </c>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2"/>
      <c r="AN16" s="1162"/>
      <c r="AO16" s="1162"/>
      <c r="AP16" s="1162"/>
      <c r="AQ16" s="1162"/>
      <c r="AR16" s="1162"/>
      <c r="AS16" s="1162"/>
      <c r="AT16" s="1162"/>
      <c r="AU16" s="1162"/>
      <c r="AV16" s="1162"/>
      <c r="AW16" s="1162"/>
      <c r="AX16" s="1162"/>
      <c r="AY16" s="1162"/>
      <c r="AZ16" s="1162"/>
      <c r="BA16" s="1162"/>
    </row>
    <row r="17" spans="1:53" s="1105" customFormat="1" ht="23.4" customHeight="1" x14ac:dyDescent="0.25">
      <c r="A17" s="1166" t="s">
        <v>151</v>
      </c>
      <c r="B17" s="1166"/>
      <c r="C17" s="1168" t="s">
        <v>500</v>
      </c>
      <c r="D17" s="1168"/>
      <c r="E17" s="1168"/>
      <c r="F17" s="1168"/>
      <c r="G17" s="1168"/>
      <c r="H17" s="1168"/>
      <c r="I17" s="1168"/>
      <c r="J17" s="1168"/>
      <c r="K17" s="1168"/>
      <c r="L17" s="1168"/>
      <c r="M17" s="1168"/>
      <c r="N17" s="1168"/>
      <c r="O17" s="1168"/>
      <c r="P17" s="1168"/>
      <c r="Q17" s="1168"/>
      <c r="R17" s="1168"/>
      <c r="S17" s="1168"/>
      <c r="T17" s="1168"/>
      <c r="U17" s="1168"/>
      <c r="V17" s="1168"/>
      <c r="W17" s="1168"/>
      <c r="X17" s="1168"/>
      <c r="Y17" s="1168"/>
      <c r="Z17" s="1168"/>
      <c r="AA17" s="1168"/>
      <c r="AB17" s="1168"/>
      <c r="AC17" s="1168"/>
      <c r="AD17" s="1168"/>
      <c r="AE17" s="1168"/>
      <c r="AF17" s="1168"/>
      <c r="AG17" s="1168"/>
      <c r="AH17" s="1168"/>
      <c r="AI17" s="1168"/>
      <c r="AJ17" s="1168"/>
      <c r="AK17" s="1168"/>
      <c r="AL17" s="1168"/>
      <c r="AM17" s="1162"/>
      <c r="AN17" s="1162"/>
      <c r="AO17" s="1162"/>
      <c r="AP17" s="1162"/>
      <c r="AQ17" s="1162"/>
      <c r="AR17" s="1162"/>
      <c r="AS17" s="1162"/>
      <c r="AT17" s="1162"/>
      <c r="AU17" s="1162"/>
      <c r="AV17" s="1162"/>
      <c r="AW17" s="1162"/>
      <c r="AX17" s="1162"/>
      <c r="AY17" s="1162"/>
      <c r="AZ17" s="1162"/>
      <c r="BA17" s="1162"/>
    </row>
    <row r="18" spans="1:53" s="1105" customFormat="1" x14ac:dyDescent="0.25">
      <c r="A18" s="1169" t="s">
        <v>152</v>
      </c>
      <c r="B18" s="1169"/>
      <c r="C18" s="1169"/>
      <c r="D18" s="1169"/>
      <c r="E18" s="1169"/>
      <c r="F18" s="1169"/>
      <c r="G18" s="1169"/>
      <c r="H18" s="1169"/>
      <c r="I18" s="1169"/>
      <c r="J18" s="1169"/>
      <c r="K18" s="1170" t="s">
        <v>153</v>
      </c>
      <c r="L18" s="1170"/>
      <c r="M18" s="1170"/>
      <c r="N18" s="1170"/>
      <c r="O18" s="1170"/>
      <c r="P18" s="1170"/>
      <c r="Q18" s="1170"/>
      <c r="R18" s="1170" t="s">
        <v>154</v>
      </c>
      <c r="S18" s="1170"/>
      <c r="T18" s="1170"/>
      <c r="U18" s="1170"/>
      <c r="V18" s="1170"/>
      <c r="W18" s="1170"/>
      <c r="X18" s="1170"/>
      <c r="Y18" s="1170"/>
      <c r="Z18" s="1170"/>
      <c r="AA18" s="1170" t="s">
        <v>155</v>
      </c>
      <c r="AB18" s="1170"/>
      <c r="AC18" s="1170"/>
      <c r="AD18" s="1170"/>
      <c r="AE18" s="1170"/>
      <c r="AF18" s="1170"/>
      <c r="AG18" s="1170"/>
      <c r="AH18" s="1170" t="s">
        <v>156</v>
      </c>
      <c r="AI18" s="1170"/>
      <c r="AJ18" s="1170"/>
      <c r="AK18" s="1170"/>
      <c r="AL18" s="1170"/>
      <c r="AM18" s="1162"/>
      <c r="AN18" s="1162"/>
      <c r="AO18" s="1162"/>
      <c r="AP18" s="1162"/>
      <c r="AQ18" s="1162"/>
      <c r="AR18" s="1162"/>
      <c r="AS18" s="1162"/>
      <c r="AT18" s="1162"/>
      <c r="AU18" s="1162"/>
      <c r="AV18" s="1162"/>
      <c r="AW18" s="1162"/>
      <c r="AX18" s="1162"/>
      <c r="AY18" s="1162"/>
      <c r="AZ18" s="1162"/>
      <c r="BA18" s="1162"/>
    </row>
    <row r="19" spans="1:53" s="1105" customFormat="1" ht="13.8" customHeight="1" x14ac:dyDescent="0.25">
      <c r="A19" s="1171" t="s">
        <v>157</v>
      </c>
      <c r="B19" s="1169" t="s">
        <v>141</v>
      </c>
      <c r="C19" s="1172" t="s">
        <v>158</v>
      </c>
      <c r="D19" s="1172" t="s">
        <v>159</v>
      </c>
      <c r="E19" s="1173" t="s">
        <v>160</v>
      </c>
      <c r="F19" s="1174" t="s">
        <v>60</v>
      </c>
      <c r="G19" s="1174" t="s">
        <v>201</v>
      </c>
      <c r="H19" s="1175"/>
      <c r="I19" s="1176" t="s">
        <v>161</v>
      </c>
      <c r="J19" s="1172" t="s">
        <v>162</v>
      </c>
      <c r="K19" s="1172" t="s">
        <v>163</v>
      </c>
      <c r="L19" s="1177" t="s">
        <v>164</v>
      </c>
      <c r="M19" s="1176" t="s">
        <v>165</v>
      </c>
      <c r="N19" s="1176" t="s">
        <v>166</v>
      </c>
      <c r="O19" s="1178" t="s">
        <v>167</v>
      </c>
      <c r="P19" s="1177" t="s">
        <v>164</v>
      </c>
      <c r="Q19" s="1172" t="s">
        <v>168</v>
      </c>
      <c r="R19" s="1179" t="s">
        <v>169</v>
      </c>
      <c r="S19" s="1176" t="s">
        <v>170</v>
      </c>
      <c r="T19" s="1176" t="s">
        <v>171</v>
      </c>
      <c r="U19" s="1176" t="s">
        <v>172</v>
      </c>
      <c r="V19" s="1176"/>
      <c r="W19" s="1176"/>
      <c r="X19" s="1176"/>
      <c r="Y19" s="1176"/>
      <c r="Z19" s="1176"/>
      <c r="AA19" s="1179" t="s">
        <v>173</v>
      </c>
      <c r="AB19" s="1179" t="s">
        <v>174</v>
      </c>
      <c r="AC19" s="1179" t="s">
        <v>164</v>
      </c>
      <c r="AD19" s="1179" t="s">
        <v>175</v>
      </c>
      <c r="AE19" s="1179" t="s">
        <v>164</v>
      </c>
      <c r="AF19" s="1179" t="s">
        <v>176</v>
      </c>
      <c r="AG19" s="1179" t="s">
        <v>177</v>
      </c>
      <c r="AH19" s="1176" t="s">
        <v>156</v>
      </c>
      <c r="AI19" s="1176" t="s">
        <v>142</v>
      </c>
      <c r="AJ19" s="1176" t="s">
        <v>179</v>
      </c>
      <c r="AK19" s="1176" t="s">
        <v>180</v>
      </c>
      <c r="AL19" s="1176" t="s">
        <v>178</v>
      </c>
      <c r="AM19" s="1176" t="s">
        <v>179</v>
      </c>
      <c r="AN19" s="1176" t="s">
        <v>180</v>
      </c>
      <c r="AO19" s="1176" t="s">
        <v>178</v>
      </c>
      <c r="AP19" s="1176" t="s">
        <v>179</v>
      </c>
      <c r="AQ19" s="1176" t="s">
        <v>180</v>
      </c>
      <c r="AR19" s="1176" t="s">
        <v>178</v>
      </c>
      <c r="AS19" s="1176" t="s">
        <v>179</v>
      </c>
      <c r="AT19" s="1176" t="s">
        <v>180</v>
      </c>
      <c r="AU19" s="1176" t="s">
        <v>178</v>
      </c>
      <c r="AV19" s="1176" t="s">
        <v>179</v>
      </c>
      <c r="AW19" s="1176" t="s">
        <v>180</v>
      </c>
      <c r="AX19" s="1176" t="s">
        <v>178</v>
      </c>
      <c r="AY19" s="1176" t="s">
        <v>179</v>
      </c>
      <c r="AZ19" s="1173" t="s">
        <v>180</v>
      </c>
      <c r="BA19" s="1176" t="s">
        <v>178</v>
      </c>
    </row>
    <row r="20" spans="1:53" s="1105" customFormat="1" ht="70.2" x14ac:dyDescent="0.25">
      <c r="A20" s="1171"/>
      <c r="B20" s="1169"/>
      <c r="C20" s="1172"/>
      <c r="D20" s="1172"/>
      <c r="E20" s="1173"/>
      <c r="F20" s="1174"/>
      <c r="G20" s="1174"/>
      <c r="H20" s="1175" t="s">
        <v>182</v>
      </c>
      <c r="I20" s="1176"/>
      <c r="J20" s="1172"/>
      <c r="K20" s="1172"/>
      <c r="L20" s="1177"/>
      <c r="M20" s="1176"/>
      <c r="N20" s="1176"/>
      <c r="O20" s="1178"/>
      <c r="P20" s="1178"/>
      <c r="Q20" s="1172"/>
      <c r="R20" s="1179"/>
      <c r="S20" s="1176"/>
      <c r="T20" s="1176"/>
      <c r="U20" s="1180" t="s">
        <v>183</v>
      </c>
      <c r="V20" s="1180" t="s">
        <v>184</v>
      </c>
      <c r="W20" s="1180" t="s">
        <v>185</v>
      </c>
      <c r="X20" s="1180" t="s">
        <v>186</v>
      </c>
      <c r="Y20" s="1180" t="s">
        <v>187</v>
      </c>
      <c r="Z20" s="1180" t="s">
        <v>188</v>
      </c>
      <c r="AA20" s="1179"/>
      <c r="AB20" s="1179"/>
      <c r="AC20" s="1179"/>
      <c r="AD20" s="1179"/>
      <c r="AE20" s="1179"/>
      <c r="AF20" s="1179"/>
      <c r="AG20" s="1179"/>
      <c r="AH20" s="1176"/>
      <c r="AI20" s="1176"/>
      <c r="AJ20" s="1176"/>
      <c r="AK20" s="1176"/>
      <c r="AL20" s="1176"/>
      <c r="AM20" s="1176"/>
      <c r="AN20" s="1176"/>
      <c r="AO20" s="1176"/>
      <c r="AP20" s="1176"/>
      <c r="AQ20" s="1176"/>
      <c r="AR20" s="1176"/>
      <c r="AS20" s="1176"/>
      <c r="AT20" s="1176"/>
      <c r="AU20" s="1176"/>
      <c r="AV20" s="1176"/>
      <c r="AW20" s="1176"/>
      <c r="AX20" s="1176"/>
      <c r="AY20" s="1176"/>
      <c r="AZ20" s="1172"/>
      <c r="BA20" s="1176"/>
    </row>
    <row r="21" spans="1:53" s="1105" customFormat="1" ht="96.6" x14ac:dyDescent="0.25">
      <c r="A21" s="1181">
        <v>1</v>
      </c>
      <c r="B21" s="1182" t="s">
        <v>189</v>
      </c>
      <c r="C21" s="1182" t="s">
        <v>501</v>
      </c>
      <c r="D21" s="1182" t="s">
        <v>502</v>
      </c>
      <c r="E21" s="1183" t="s">
        <v>503</v>
      </c>
      <c r="F21" s="1184" t="s">
        <v>504</v>
      </c>
      <c r="G21" s="1185" t="s">
        <v>202</v>
      </c>
      <c r="H21" s="1186" t="s">
        <v>505</v>
      </c>
      <c r="I21" s="1187" t="s">
        <v>190</v>
      </c>
      <c r="J21" s="1188">
        <v>240</v>
      </c>
      <c r="K21" s="1189" t="str">
        <f>IF(J21&lt;=0,"",IF(J21&lt;=2,"Muy Baja",IF(J21&lt;=24,"Baja",IF(J21&lt;=500,"Media",IF(J21&lt;=5000,"Alta","Muy Alta")))))</f>
        <v>Media</v>
      </c>
      <c r="L21" s="1190">
        <f>IF(K21="","",IF(K21="Muy Baja",0.2,IF(K21="Baja",0.4,IF(K21="Media",0.6,IF(K21="Alta",0.8,IF(K21="Muy Alta",1,))))))</f>
        <v>0.6</v>
      </c>
      <c r="M21" s="1191" t="s">
        <v>200</v>
      </c>
      <c r="N21" s="1192" t="str">
        <f>IF(NOT(ISERROR(MATCH(M21,'[20]Tabla Impacto'!$B$221:$B$223,0))),'[20]Tabla Impacto'!$F$223&amp;"Por favor no seleccionar los criterios de impacto(Afectación Económica o presupuestal y Pérdida Reputacional)",M21)</f>
        <v xml:space="preserve">     El riesgo afecta la imagen de la entidad con algunos usuarios de relevancia frente al logro de los objetivos</v>
      </c>
      <c r="O21" s="1193" t="str">
        <f>IF(OR(N21='[20]Tabla Impacto'!$C$11,N21='[20]Tabla Impacto'!$D$11),"Leve",IF(OR(N21='[20]Tabla Impacto'!$C$12,N21='[20]Tabla Impacto'!$D$12),"Menor",IF(OR(N21='[20]Tabla Impacto'!$C$13,N21='[20]Tabla Impacto'!$D$13),"Moderado",IF(OR(N21='[20]Tabla Impacto'!$C$14,N21='[20]Tabla Impacto'!$D$14),"Mayor",IF(OR(N21='[20]Tabla Impacto'!$C$15,N21='[20]Tabla Impacto'!$D$15),"Catastrófico","")))))</f>
        <v>Moderado</v>
      </c>
      <c r="P21" s="1194">
        <f>IF(O21="","",IF(O21="Leve",0.2,IF(O21="Menor",0.4,IF(O21="Moderado",0.6,IF(O21="Mayor",0.8,IF(O21="Catastrófico",1,))))))</f>
        <v>0.6</v>
      </c>
      <c r="Q21" s="1195" t="str">
        <f>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Moderado</v>
      </c>
      <c r="R21" s="1196">
        <v>1</v>
      </c>
      <c r="S21" s="1197" t="s">
        <v>506</v>
      </c>
      <c r="T21" s="1198" t="str">
        <f t="shared" ref="T21:T25" si="6">IF(OR(U21="Preventivo",U21="Detectivo"),"Probabilidad",IF(U21="Correctivo","Impacto",""))</f>
        <v>Probabilidad</v>
      </c>
      <c r="U21" s="1199" t="s">
        <v>197</v>
      </c>
      <c r="V21" s="1199" t="s">
        <v>191</v>
      </c>
      <c r="W21" s="1200" t="str">
        <f t="shared" ref="W21:W27" si="7">IF(AND(U21="Preventivo",V21="Automático"),"50%",IF(AND(U21="Preventivo",V21="Manual"),"40%",IF(AND(U21="Detectivo",V21="Automático"),"40%",IF(AND(U21="Detectivo",V21="Manual"),"30%",IF(AND(U21="Correctivo",V21="Automático"),"35%",IF(AND(U21="Correctivo",V21="Manual"),"25%",""))))))</f>
        <v>40%</v>
      </c>
      <c r="X21" s="1199" t="s">
        <v>192</v>
      </c>
      <c r="Y21" s="1199" t="s">
        <v>193</v>
      </c>
      <c r="Z21" s="1199" t="s">
        <v>485</v>
      </c>
      <c r="AA21" s="414">
        <f>IFERROR(IF(T21="Probabilidad",(L21-(+L21*W21)),IF(T21="Impacto",L21,"")),"")</f>
        <v>0.36</v>
      </c>
      <c r="AB21" s="1201" t="str">
        <f t="shared" ref="AB21:AB27" si="8">IFERROR(IF(AA21="","",IF(AA21&lt;=0.2,"Muy Baja",IF(AA21&lt;=0.4,"Baja",IF(AA21&lt;=0.6,"Media",IF(AA21&lt;=0.8,"Alta","Muy Alta"))))),"")</f>
        <v>Baja</v>
      </c>
      <c r="AC21" s="1202">
        <f t="shared" ref="AC21:AC27" si="9">+AA21</f>
        <v>0.36</v>
      </c>
      <c r="AD21" s="1201" t="str">
        <f t="shared" ref="AD21:AD25" si="10">IFERROR(IF(AE21="","",IF(AE21&lt;=0.2,"Leve",IF(AE21&lt;=0.4,"Menor",IF(AE21&lt;=0.6,"Moderado",IF(AE21&lt;=0.8,"Mayor","Catastrófico"))))),"")</f>
        <v>Moderado</v>
      </c>
      <c r="AE21" s="1202">
        <f>IFERROR(IF(T21="Impacto",(P21-(+P21*W21)),IF(T21="Probabilidad",P21,"")),"")</f>
        <v>0.6</v>
      </c>
      <c r="AF21" s="1203" t="str">
        <f t="shared" ref="AF21:AF27" si="11">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1204" t="s">
        <v>507</v>
      </c>
      <c r="AH21" s="1205" t="s">
        <v>508</v>
      </c>
      <c r="AI21" s="1206" t="s">
        <v>509</v>
      </c>
      <c r="AJ21" s="1207" t="s">
        <v>510</v>
      </c>
      <c r="AK21" s="1208" t="s">
        <v>511</v>
      </c>
      <c r="AL21" s="1209">
        <v>45342</v>
      </c>
      <c r="AM21" s="1207" t="s">
        <v>725</v>
      </c>
      <c r="AN21" s="1208" t="s">
        <v>511</v>
      </c>
      <c r="AO21" s="1207">
        <v>45412</v>
      </c>
      <c r="AP21" s="1207" t="s">
        <v>726</v>
      </c>
      <c r="AQ21" s="1208" t="s">
        <v>511</v>
      </c>
      <c r="AR21" s="1207">
        <v>45473</v>
      </c>
      <c r="AS21" s="1207" t="s">
        <v>727</v>
      </c>
      <c r="AT21" s="1208" t="s">
        <v>511</v>
      </c>
      <c r="AU21" s="1207">
        <v>45534</v>
      </c>
      <c r="AV21" s="1207" t="s">
        <v>728</v>
      </c>
      <c r="AW21" s="1208" t="s">
        <v>729</v>
      </c>
      <c r="AX21" s="1207">
        <v>45595</v>
      </c>
      <c r="AY21" s="1207" t="s">
        <v>730</v>
      </c>
      <c r="AZ21" s="1208" t="s">
        <v>729</v>
      </c>
      <c r="BA21" s="1207">
        <v>45657</v>
      </c>
    </row>
    <row r="22" spans="1:53" s="1105" customFormat="1" ht="78" x14ac:dyDescent="0.25">
      <c r="A22" s="1181"/>
      <c r="B22" s="1182"/>
      <c r="C22" s="1182"/>
      <c r="D22" s="1182"/>
      <c r="E22" s="1183" t="s">
        <v>512</v>
      </c>
      <c r="F22" s="1184"/>
      <c r="G22" s="1210"/>
      <c r="H22" s="1186"/>
      <c r="I22" s="1187"/>
      <c r="J22" s="1188"/>
      <c r="K22" s="1189"/>
      <c r="L22" s="1190"/>
      <c r="M22" s="1191"/>
      <c r="N22" s="1192">
        <f>IF(NOT(ISERROR(MATCH(M22,_xlfn.ANCHORARRAY(F26),0))),#REF!&amp;"Por favor no seleccionar los criterios de impacto",M22)</f>
        <v>0</v>
      </c>
      <c r="O22" s="1193"/>
      <c r="P22" s="1194"/>
      <c r="Q22" s="1195"/>
      <c r="R22" s="1196">
        <v>2</v>
      </c>
      <c r="S22" s="1211" t="s">
        <v>513</v>
      </c>
      <c r="T22" s="1198" t="str">
        <f t="shared" si="6"/>
        <v>Probabilidad</v>
      </c>
      <c r="U22" s="1199" t="s">
        <v>197</v>
      </c>
      <c r="V22" s="1199" t="s">
        <v>191</v>
      </c>
      <c r="W22" s="1200" t="str">
        <f t="shared" si="7"/>
        <v>40%</v>
      </c>
      <c r="X22" s="1199" t="s">
        <v>192</v>
      </c>
      <c r="Y22" s="1199" t="s">
        <v>193</v>
      </c>
      <c r="Z22" s="1199" t="s">
        <v>485</v>
      </c>
      <c r="AA22" s="414">
        <f>IFERROR(IF(AND(T21="Probabilidad",T22="Probabilidad"),(AC21-(+AC21*W22)),IF(AND(T21="Impacto",T22="Probabilidad"),(L21-(+L21*W22)),IF(T22="Impacto",AC21,""))),"")</f>
        <v>0.216</v>
      </c>
      <c r="AB22" s="1201" t="str">
        <f t="shared" si="8"/>
        <v>Baja</v>
      </c>
      <c r="AC22" s="1202">
        <f t="shared" si="9"/>
        <v>0.216</v>
      </c>
      <c r="AD22" s="1201" t="str">
        <f t="shared" si="10"/>
        <v>Moderado</v>
      </c>
      <c r="AE22" s="1202">
        <f>IFERROR(IF(AND(T21="Impacto",T22="Impacto"),(AE21-(+AE21*W22)),IF(AND(T21="Probabilidad",T22="Impacto"),(P21-(+P21*W22)),IF(T22="Probabilidad",AE21,""))),"")</f>
        <v>0.6</v>
      </c>
      <c r="AF22" s="1203" t="str">
        <f t="shared" si="11"/>
        <v>Moderado</v>
      </c>
      <c r="AG22" s="1204"/>
      <c r="AH22" s="1212" t="s">
        <v>514</v>
      </c>
      <c r="AI22" s="1206"/>
      <c r="AJ22" s="1213"/>
      <c r="AK22" s="1214" t="s">
        <v>515</v>
      </c>
      <c r="AL22" s="1215"/>
      <c r="AM22" s="1213"/>
      <c r="AN22" s="1214" t="s">
        <v>515</v>
      </c>
      <c r="AO22" s="1216"/>
      <c r="AP22" s="1213"/>
      <c r="AQ22" s="1214" t="s">
        <v>731</v>
      </c>
      <c r="AR22" s="1216"/>
      <c r="AS22" s="1213"/>
      <c r="AT22" s="1214" t="s">
        <v>731</v>
      </c>
      <c r="AU22" s="1216"/>
      <c r="AV22" s="1213"/>
      <c r="AW22" s="1214" t="s">
        <v>731</v>
      </c>
      <c r="AX22" s="1216"/>
      <c r="AY22" s="1213"/>
      <c r="AZ22" s="1214" t="s">
        <v>731</v>
      </c>
      <c r="BA22" s="1216"/>
    </row>
    <row r="23" spans="1:53" s="1105" customFormat="1" ht="82.8" x14ac:dyDescent="0.25">
      <c r="A23" s="1181"/>
      <c r="B23" s="1182"/>
      <c r="C23" s="1182"/>
      <c r="D23" s="1182"/>
      <c r="E23" s="1217" t="s">
        <v>516</v>
      </c>
      <c r="F23" s="1184"/>
      <c r="G23" s="1210"/>
      <c r="H23" s="1186"/>
      <c r="I23" s="1187"/>
      <c r="J23" s="1188"/>
      <c r="K23" s="1189"/>
      <c r="L23" s="1190"/>
      <c r="M23" s="1191"/>
      <c r="N23" s="1192">
        <f>IF(NOT(ISERROR(MATCH(M23,_xlfn.ANCHORARRAY(F27),0))),#REF!&amp;"Por favor no seleccionar los criterios de impacto",M23)</f>
        <v>0</v>
      </c>
      <c r="O23" s="1193"/>
      <c r="P23" s="1194"/>
      <c r="Q23" s="1195"/>
      <c r="R23" s="1196">
        <v>3</v>
      </c>
      <c r="S23" s="1211" t="s">
        <v>517</v>
      </c>
      <c r="T23" s="1218" t="str">
        <f t="shared" si="6"/>
        <v>Probabilidad</v>
      </c>
      <c r="U23" s="1199" t="s">
        <v>197</v>
      </c>
      <c r="V23" s="1199" t="s">
        <v>191</v>
      </c>
      <c r="W23" s="1219" t="str">
        <f t="shared" si="7"/>
        <v>40%</v>
      </c>
      <c r="X23" s="1199" t="s">
        <v>192</v>
      </c>
      <c r="Y23" s="1199" t="s">
        <v>193</v>
      </c>
      <c r="Z23" s="1199" t="s">
        <v>485</v>
      </c>
      <c r="AA23" s="414">
        <f>IFERROR(IF(AND(T22="Probabilidad",T23="Probabilidad"),(AC22-(+AC22*W23)),IF(AND(T22="Impacto",T23="Probabilidad"),(AC21-(+AC21*W23)),IF(T23="Impacto",AC22,""))),"")</f>
        <v>0.12959999999999999</v>
      </c>
      <c r="AB23" s="1201" t="str">
        <f t="shared" si="8"/>
        <v>Muy Baja</v>
      </c>
      <c r="AC23" s="1202">
        <f t="shared" si="9"/>
        <v>0.12959999999999999</v>
      </c>
      <c r="AD23" s="1201" t="str">
        <f t="shared" si="10"/>
        <v>Moderado</v>
      </c>
      <c r="AE23" s="1202">
        <f>IFERROR(IF(AND(T22="Impacto",T23="Impacto"),(AE22-(+AE22*W23)),IF(AND(T22="Probabilidad",T23="Impacto"),(AE21-(+AE21*W23)),IF(T23="Probabilidad",AE22,""))),"")</f>
        <v>0.6</v>
      </c>
      <c r="AF23" s="1203" t="str">
        <f t="shared" si="11"/>
        <v>Moderado</v>
      </c>
      <c r="AG23" s="1220"/>
      <c r="AH23" s="1221" t="s">
        <v>518</v>
      </c>
      <c r="AI23" s="1222" t="s">
        <v>519</v>
      </c>
      <c r="AJ23" s="1223" t="s">
        <v>520</v>
      </c>
      <c r="AK23" s="1224" t="s">
        <v>521</v>
      </c>
      <c r="AL23" s="1223">
        <v>45350</v>
      </c>
      <c r="AM23" s="1223" t="s">
        <v>725</v>
      </c>
      <c r="AN23" s="1225" t="s">
        <v>732</v>
      </c>
      <c r="AO23" s="1226">
        <v>45412</v>
      </c>
      <c r="AP23" s="1226" t="s">
        <v>733</v>
      </c>
      <c r="AQ23" s="1225" t="s">
        <v>732</v>
      </c>
      <c r="AR23" s="1226">
        <v>45469</v>
      </c>
      <c r="AS23" s="1226" t="s">
        <v>734</v>
      </c>
      <c r="AT23" s="1225" t="s">
        <v>732</v>
      </c>
      <c r="AU23" s="1226">
        <v>45534</v>
      </c>
      <c r="AV23" s="1226" t="s">
        <v>728</v>
      </c>
      <c r="AW23" s="1225" t="s">
        <v>732</v>
      </c>
      <c r="AX23" s="1226">
        <v>45595</v>
      </c>
      <c r="AY23" s="1226" t="s">
        <v>730</v>
      </c>
      <c r="AZ23" s="1225" t="s">
        <v>732</v>
      </c>
      <c r="BA23" s="1226">
        <v>45657</v>
      </c>
    </row>
    <row r="24" spans="1:53" s="1105" customFormat="1" ht="78" customHeight="1" x14ac:dyDescent="0.25">
      <c r="A24" s="1181">
        <v>2</v>
      </c>
      <c r="B24" s="1206" t="s">
        <v>189</v>
      </c>
      <c r="C24" s="1227" t="s">
        <v>522</v>
      </c>
      <c r="D24" s="1206" t="s">
        <v>523</v>
      </c>
      <c r="E24" s="1228" t="s">
        <v>524</v>
      </c>
      <c r="F24" s="1229" t="s">
        <v>525</v>
      </c>
      <c r="G24" s="1185" t="s">
        <v>202</v>
      </c>
      <c r="H24" s="1230" t="s">
        <v>526</v>
      </c>
      <c r="I24" s="1187" t="s">
        <v>190</v>
      </c>
      <c r="J24" s="1231">
        <v>12</v>
      </c>
      <c r="K24" s="1189" t="str">
        <f>IF(J24&lt;=0,"",IF(J24&lt;=2,"Muy Baja",IF(J24&lt;=24,"Baja",IF(J24&lt;=500,"Media",IF(J24&lt;=5000,"Alta","Muy Alta")))))</f>
        <v>Baja</v>
      </c>
      <c r="L24" s="1190">
        <f>IF(K24="","",IF(K24="Muy Baja",0.2,IF(K24="Baja",0.4,IF(K24="Media",0.6,IF(K24="Alta",0.8,IF(K24="Muy Alta",1,))))))</f>
        <v>0.4</v>
      </c>
      <c r="M24" s="1232" t="s">
        <v>412</v>
      </c>
      <c r="N24" s="1190" t="str">
        <f>IF(NOT(ISERROR(MATCH(M24,'[20]Tabla Impacto'!$B$221:$B$223,0))),'[20]Tabla Impacto'!$F$223&amp;"Por favor no seleccionar los criterios de impacto(Afectación Económica o presupuestal y Pérdida Reputacional)",M24)</f>
        <v xml:space="preserve">     El riesgo afecta la imagen de la entidad internamente, de conocimiento general, nivel interno, de junta dircetiva y accionistas y/o de provedores</v>
      </c>
      <c r="O24" s="1189" t="str">
        <f>IF(OR(N24='[20]Tabla Impacto'!$C$11,N24='[20]Tabla Impacto'!$D$11),"Leve",IF(OR(N24='[20]Tabla Impacto'!$C$12,N24='[20]Tabla Impacto'!$D$12),"Menor",IF(OR(N24='[20]Tabla Impacto'!$C$13,N24='[20]Tabla Impacto'!$D$13),"Moderado",IF(OR(N24='[20]Tabla Impacto'!$C$14,N24='[20]Tabla Impacto'!$D$14),"Mayor",IF(OR(N24='[20]Tabla Impacto'!$C$15,N24='[20]Tabla Impacto'!$D$15),"Catastrófico","")))))</f>
        <v>Menor</v>
      </c>
      <c r="P24" s="1190">
        <f>IF(O24="","",IF(O24="Leve",0.2,IF(O24="Menor",0.4,IF(O24="Moderado",0.6,IF(O24="Mayor",0.8,IF(O24="Catastrófico",1,))))))</f>
        <v>0.4</v>
      </c>
      <c r="Q24" s="1233" t="str">
        <f>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Moderado</v>
      </c>
      <c r="R24" s="1196">
        <v>1</v>
      </c>
      <c r="S24" s="1234" t="s">
        <v>527</v>
      </c>
      <c r="T24" s="1198" t="str">
        <f t="shared" si="6"/>
        <v>Probabilidad</v>
      </c>
      <c r="U24" s="1199" t="s">
        <v>197</v>
      </c>
      <c r="V24" s="1199" t="s">
        <v>191</v>
      </c>
      <c r="W24" s="1200" t="str">
        <f t="shared" si="7"/>
        <v>40%</v>
      </c>
      <c r="X24" s="1199" t="s">
        <v>192</v>
      </c>
      <c r="Y24" s="1199" t="s">
        <v>193</v>
      </c>
      <c r="Z24" s="1199" t="s">
        <v>194</v>
      </c>
      <c r="AA24" s="433">
        <f>IFERROR(IF(T24="Probabilidad",(L24-(+L24*W24)),IF(T24="Impacto",L24,"")),"")</f>
        <v>0.24</v>
      </c>
      <c r="AB24" s="1235" t="str">
        <f t="shared" si="8"/>
        <v>Baja</v>
      </c>
      <c r="AC24" s="1236">
        <f t="shared" si="9"/>
        <v>0.24</v>
      </c>
      <c r="AD24" s="1235" t="str">
        <f t="shared" si="10"/>
        <v>Menor</v>
      </c>
      <c r="AE24" s="1236">
        <f>IFERROR(IF(T24="Impacto",(P24-(+P24*W24)),IF(T24="Probabilidad",P24,"")),"")</f>
        <v>0.4</v>
      </c>
      <c r="AF24" s="1237" t="str">
        <f t="shared" si="11"/>
        <v>Moderado</v>
      </c>
      <c r="AG24" s="1204" t="s">
        <v>195</v>
      </c>
      <c r="AH24" s="1205" t="s">
        <v>528</v>
      </c>
      <c r="AI24" s="1206" t="s">
        <v>509</v>
      </c>
      <c r="AJ24" s="1238" t="s">
        <v>510</v>
      </c>
      <c r="AK24" s="1208" t="s">
        <v>529</v>
      </c>
      <c r="AL24" s="1239">
        <v>45351</v>
      </c>
      <c r="AM24" s="1238" t="s">
        <v>725</v>
      </c>
      <c r="AN24" s="1208" t="s">
        <v>529</v>
      </c>
      <c r="AO24" s="1239">
        <v>45412</v>
      </c>
      <c r="AP24" s="1238" t="s">
        <v>726</v>
      </c>
      <c r="AQ24" s="1208" t="s">
        <v>529</v>
      </c>
      <c r="AR24" s="1239" t="s">
        <v>735</v>
      </c>
      <c r="AS24" s="1238" t="s">
        <v>727</v>
      </c>
      <c r="AT24" s="1208" t="s">
        <v>529</v>
      </c>
      <c r="AU24" s="1239">
        <v>45534</v>
      </c>
      <c r="AV24" s="1238" t="s">
        <v>728</v>
      </c>
      <c r="AW24" s="1208" t="s">
        <v>529</v>
      </c>
      <c r="AX24" s="1239">
        <v>45595</v>
      </c>
      <c r="AY24" s="1238" t="s">
        <v>730</v>
      </c>
      <c r="AZ24" s="1208" t="s">
        <v>529</v>
      </c>
      <c r="BA24" s="1239">
        <v>45657</v>
      </c>
    </row>
    <row r="25" spans="1:53" s="1105" customFormat="1" ht="76.8" x14ac:dyDescent="0.25">
      <c r="A25" s="1181"/>
      <c r="B25" s="1206"/>
      <c r="C25" s="1227"/>
      <c r="D25" s="1206"/>
      <c r="E25" s="1228" t="s">
        <v>530</v>
      </c>
      <c r="F25" s="1229"/>
      <c r="G25" s="1210"/>
      <c r="H25" s="1230"/>
      <c r="I25" s="1187"/>
      <c r="J25" s="1231"/>
      <c r="K25" s="1189"/>
      <c r="L25" s="1190"/>
      <c r="M25" s="1232"/>
      <c r="N25" s="1190">
        <f>IF(NOT(ISERROR(MATCH(M25,_xlfn.ANCHORARRAY(F28),0))),L30&amp;"Por favor no seleccionar los criterios de impacto",M25)</f>
        <v>0</v>
      </c>
      <c r="O25" s="1189"/>
      <c r="P25" s="1190"/>
      <c r="Q25" s="1233"/>
      <c r="R25" s="1196">
        <v>2</v>
      </c>
      <c r="S25" s="1240" t="s">
        <v>531</v>
      </c>
      <c r="T25" s="1198" t="str">
        <f t="shared" si="6"/>
        <v>Probabilidad</v>
      </c>
      <c r="U25" s="1199" t="s">
        <v>243</v>
      </c>
      <c r="V25" s="1199" t="s">
        <v>191</v>
      </c>
      <c r="W25" s="1200" t="str">
        <f t="shared" si="7"/>
        <v>30%</v>
      </c>
      <c r="X25" s="1199" t="s">
        <v>192</v>
      </c>
      <c r="Y25" s="1199" t="s">
        <v>193</v>
      </c>
      <c r="Z25" s="1199" t="s">
        <v>194</v>
      </c>
      <c r="AA25" s="433">
        <f>IFERROR(IF(AND(T24="Probabilidad",T25="Probabilidad"),(AC24-(+AC24*W25)),IF(AND(T24="Impacto",T25="Probabilidad"),(L24-(+L24*W25)),IF(T25="Impacto",AC24,""))),"")</f>
        <v>0.16799999999999998</v>
      </c>
      <c r="AB25" s="1235" t="str">
        <f t="shared" si="8"/>
        <v>Muy Baja</v>
      </c>
      <c r="AC25" s="1236">
        <f t="shared" si="9"/>
        <v>0.16799999999999998</v>
      </c>
      <c r="AD25" s="1235" t="str">
        <f t="shared" si="10"/>
        <v>Menor</v>
      </c>
      <c r="AE25" s="1236">
        <f>IFERROR(IF(AND(T24="Impacto",T25="Impacto"),(AE24-(+AE24*W25)),IF(AND(T24="Probabilidad",T25="Impacto"),(P24-(+P24*W25)),IF(T25="Probabilidad",AE24,""))),"")</f>
        <v>0.4</v>
      </c>
      <c r="AF25" s="1237" t="str">
        <f t="shared" si="11"/>
        <v>Bajo</v>
      </c>
      <c r="AG25" s="1204"/>
      <c r="AH25" s="1205" t="s">
        <v>532</v>
      </c>
      <c r="AI25" s="1206"/>
      <c r="AJ25" s="1241"/>
      <c r="AK25" s="1205" t="s">
        <v>533</v>
      </c>
      <c r="AL25" s="1242"/>
      <c r="AM25" s="1241"/>
      <c r="AN25" s="1205" t="s">
        <v>533</v>
      </c>
      <c r="AO25" s="1243"/>
      <c r="AP25" s="1241"/>
      <c r="AQ25" s="1205" t="s">
        <v>533</v>
      </c>
      <c r="AR25" s="1243"/>
      <c r="AS25" s="1241"/>
      <c r="AT25" s="1205" t="s">
        <v>533</v>
      </c>
      <c r="AU25" s="1243"/>
      <c r="AV25" s="1241"/>
      <c r="AW25" s="1205" t="s">
        <v>533</v>
      </c>
      <c r="AX25" s="1243"/>
      <c r="AY25" s="1241"/>
      <c r="AZ25" s="1205" t="s">
        <v>533</v>
      </c>
      <c r="BA25" s="1243"/>
    </row>
    <row r="26" spans="1:53" s="1105" customFormat="1" ht="69" customHeight="1" x14ac:dyDescent="0.25">
      <c r="A26" s="1181">
        <v>3</v>
      </c>
      <c r="B26" s="1206" t="s">
        <v>189</v>
      </c>
      <c r="C26" s="1206" t="s">
        <v>534</v>
      </c>
      <c r="D26" s="1244" t="s">
        <v>535</v>
      </c>
      <c r="E26" s="1245" t="s">
        <v>536</v>
      </c>
      <c r="F26" s="1229" t="s">
        <v>537</v>
      </c>
      <c r="G26" s="1246" t="s">
        <v>202</v>
      </c>
      <c r="H26" s="1230" t="s">
        <v>538</v>
      </c>
      <c r="I26" s="1187" t="s">
        <v>190</v>
      </c>
      <c r="J26" s="1231">
        <v>12</v>
      </c>
      <c r="K26" s="1189" t="str">
        <f>IF(J26&lt;=0,"",IF(J26&lt;=2,"Muy Baja",IF(J26&lt;=24,"Baja",IF(J26&lt;=500,"Media",IF(J26&lt;=5000,"Alta","Muy Alta")))))</f>
        <v>Baja</v>
      </c>
      <c r="L26" s="1190">
        <f>IF(K26="","",IF(K26="Muy Baja",0.2,IF(K26="Baja",0.4,IF(K26="Media",0.6,IF(K26="Alta",0.8,IF(K26="Muy Alta",1,))))))</f>
        <v>0.4</v>
      </c>
      <c r="M26" s="1232" t="s">
        <v>539</v>
      </c>
      <c r="N26" s="1247" t="str">
        <f>IF(NOT(ISERROR(MATCH(M26,'[20]Tabla Impacto'!$B$221:$B$223,0))),'[20]Tabla Impacto'!$F$223&amp;"Por favor no seleccionar los criterios de impacto(Afectación Económica o presupuestal y Pérdida Reputacional)",M26)</f>
        <v>❌Por favor no seleccionar los criterios de impacto(Afectación Económica o presupuestal y Pérdida Reputacional)</v>
      </c>
      <c r="O26" s="1189" t="s">
        <v>62</v>
      </c>
      <c r="P26" s="1190">
        <f>IF(O26="","",IF(O26="Leve",0.2,IF(O26="Menor",0.4,IF(O26="Moderado",0.6,IF(O26="Mayor",0.8,IF(O26="Catastrófico",1,))))))</f>
        <v>0.4</v>
      </c>
      <c r="Q26" s="1233"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Moderado</v>
      </c>
      <c r="R26" s="1248">
        <v>1</v>
      </c>
      <c r="S26" s="1249" t="s">
        <v>540</v>
      </c>
      <c r="T26" s="1218" t="s">
        <v>484</v>
      </c>
      <c r="U26" s="1250" t="s">
        <v>379</v>
      </c>
      <c r="V26" s="1250" t="s">
        <v>191</v>
      </c>
      <c r="W26" s="1219" t="str">
        <f t="shared" si="7"/>
        <v>25%</v>
      </c>
      <c r="X26" s="1250" t="s">
        <v>198</v>
      </c>
      <c r="Y26" s="1250" t="s">
        <v>193</v>
      </c>
      <c r="Z26" s="1250" t="s">
        <v>194</v>
      </c>
      <c r="AA26" s="414">
        <f>IFERROR(IF(T26="Probabilidad",(L26-(+L26*W26)),IF(T26="Impacto",L26,"")),"")</f>
        <v>0.30000000000000004</v>
      </c>
      <c r="AB26" s="1201" t="str">
        <f t="shared" si="8"/>
        <v>Baja</v>
      </c>
      <c r="AC26" s="1202">
        <f t="shared" si="9"/>
        <v>0.30000000000000004</v>
      </c>
      <c r="AD26" s="1235" t="s">
        <v>62</v>
      </c>
      <c r="AE26" s="1202">
        <f>IFERROR(IF(T26="Impacto",(P26-(+P26*W26)),IF(T26="Probabilidad",P26,"")),"")</f>
        <v>0.4</v>
      </c>
      <c r="AF26" s="1203" t="str">
        <f t="shared" si="11"/>
        <v>Moderado</v>
      </c>
      <c r="AG26" s="799" t="s">
        <v>195</v>
      </c>
      <c r="AH26" s="1229" t="s">
        <v>541</v>
      </c>
      <c r="AI26" s="1251" t="s">
        <v>509</v>
      </c>
      <c r="AJ26" s="1238" t="s">
        <v>510</v>
      </c>
      <c r="AK26" s="1252" t="s">
        <v>542</v>
      </c>
      <c r="AL26" s="1238">
        <v>45351</v>
      </c>
      <c r="AM26" s="1238" t="s">
        <v>725</v>
      </c>
      <c r="AN26" s="1252" t="s">
        <v>542</v>
      </c>
      <c r="AO26" s="1238">
        <v>45412</v>
      </c>
      <c r="AP26" s="1238" t="s">
        <v>726</v>
      </c>
      <c r="AQ26" s="1252" t="s">
        <v>736</v>
      </c>
      <c r="AR26" s="1239">
        <v>45473</v>
      </c>
      <c r="AS26" s="1238" t="s">
        <v>727</v>
      </c>
      <c r="AT26" s="1252" t="s">
        <v>736</v>
      </c>
      <c r="AU26" s="1239">
        <v>45534</v>
      </c>
      <c r="AV26" s="1238" t="s">
        <v>728</v>
      </c>
      <c r="AW26" s="1252" t="s">
        <v>736</v>
      </c>
      <c r="AX26" s="1239">
        <v>45595</v>
      </c>
      <c r="AY26" s="1238" t="s">
        <v>730</v>
      </c>
      <c r="AZ26" s="1238" t="s">
        <v>736</v>
      </c>
      <c r="BA26" s="1239">
        <v>45657</v>
      </c>
    </row>
    <row r="27" spans="1:53" s="1105" customFormat="1" ht="67.8" x14ac:dyDescent="0.25">
      <c r="A27" s="1181"/>
      <c r="B27" s="1206"/>
      <c r="C27" s="1206"/>
      <c r="D27" s="1253"/>
      <c r="E27" s="1245" t="s">
        <v>543</v>
      </c>
      <c r="F27" s="1229"/>
      <c r="G27" s="1210"/>
      <c r="H27" s="1230"/>
      <c r="I27" s="1187"/>
      <c r="J27" s="1231"/>
      <c r="K27" s="1189"/>
      <c r="L27" s="1190"/>
      <c r="M27" s="1232"/>
      <c r="N27" s="1247">
        <f>IF(NOT(ISERROR(MATCH(M27,_xlfn.ANCHORARRAY(F34),0))),L36&amp;"Por favor no seleccionar los criterios de impacto",M27)</f>
        <v>0</v>
      </c>
      <c r="O27" s="1189"/>
      <c r="P27" s="1190"/>
      <c r="Q27" s="1233"/>
      <c r="R27" s="1254"/>
      <c r="S27" s="1255" t="s">
        <v>544</v>
      </c>
      <c r="T27" s="1218" t="s">
        <v>484</v>
      </c>
      <c r="U27" s="1250" t="s">
        <v>379</v>
      </c>
      <c r="V27" s="1250" t="s">
        <v>191</v>
      </c>
      <c r="W27" s="1219" t="str">
        <f t="shared" si="7"/>
        <v>25%</v>
      </c>
      <c r="X27" s="1250" t="s">
        <v>198</v>
      </c>
      <c r="Y27" s="1250" t="s">
        <v>193</v>
      </c>
      <c r="Z27" s="1250" t="s">
        <v>194</v>
      </c>
      <c r="AA27" s="414">
        <f>IFERROR(IF(AND(T26="Probabilidad",T27="Probabilidad"),(AC26-(+AC26*W27)),IF(AND(T26="Impacto",T27="Probabilidad"),(L26-(+L26*W27)),IF(T27="Impacto",AC26,""))),"")</f>
        <v>0.22500000000000003</v>
      </c>
      <c r="AB27" s="1201" t="str">
        <f t="shared" si="8"/>
        <v>Baja</v>
      </c>
      <c r="AC27" s="1202">
        <f t="shared" si="9"/>
        <v>0.22500000000000003</v>
      </c>
      <c r="AD27" s="1235" t="s">
        <v>62</v>
      </c>
      <c r="AE27" s="1202">
        <f>IFERROR(IF(AND(T26="Impacto",T27="Impacto"),(AE26-(+AE26*W27)),IF(AND(T26="Probabilidad",T27="Impacto"),(P26-(+P26*W27)),IF(T27="Probabilidad",AE26,""))),"")</f>
        <v>0.4</v>
      </c>
      <c r="AF27" s="1203" t="str">
        <f t="shared" si="11"/>
        <v>Moderado</v>
      </c>
      <c r="AG27" s="799"/>
      <c r="AH27" s="1206"/>
      <c r="AI27" s="1251"/>
      <c r="AJ27" s="1256"/>
      <c r="AK27" s="1252"/>
      <c r="AL27" s="1257"/>
      <c r="AM27" s="1256"/>
      <c r="AN27" s="1252"/>
      <c r="AO27" s="1257"/>
      <c r="AP27" s="1256"/>
      <c r="AQ27" s="1252"/>
      <c r="AR27" s="1243"/>
      <c r="AS27" s="1256"/>
      <c r="AT27" s="1252"/>
      <c r="AU27" s="1243"/>
      <c r="AV27" s="1256"/>
      <c r="AW27" s="1252"/>
      <c r="AX27" s="1243"/>
      <c r="AY27" s="1256"/>
      <c r="AZ27" s="1256"/>
      <c r="BA27" s="1243"/>
    </row>
    <row r="28" spans="1:53" s="1105" customFormat="1" ht="14.4" x14ac:dyDescent="0.3">
      <c r="A28" s="1258" t="s">
        <v>148</v>
      </c>
      <c r="B28" s="1259"/>
      <c r="C28" s="1259"/>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60"/>
      <c r="AN28" s="1261"/>
      <c r="AO28" s="1261"/>
      <c r="AP28" s="1261"/>
      <c r="AQ28" s="1261"/>
      <c r="AR28" s="1261"/>
      <c r="AS28" s="1261"/>
    </row>
    <row r="29" spans="1:53" s="1105" customFormat="1" ht="14.4" x14ac:dyDescent="0.3">
      <c r="A29" s="1262"/>
      <c r="B29" s="1263"/>
      <c r="C29" s="1263"/>
      <c r="D29" s="1263"/>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4"/>
      <c r="AN29" s="1261"/>
      <c r="AO29" s="1261"/>
      <c r="AP29" s="1261"/>
      <c r="AQ29" s="1261"/>
      <c r="AR29" s="1261"/>
      <c r="AS29" s="1261"/>
    </row>
    <row r="30" spans="1:53" s="1105" customFormat="1" ht="14.4" x14ac:dyDescent="0.3">
      <c r="A30" s="1265"/>
      <c r="B30" s="1266"/>
      <c r="C30" s="1265"/>
      <c r="D30" s="1265"/>
      <c r="E30" s="1265"/>
      <c r="F30" s="1261"/>
      <c r="G30" s="1261"/>
      <c r="H30" s="1261"/>
      <c r="I30" s="1267"/>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row>
    <row r="31" spans="1:53" s="1105" customFormat="1" ht="14.4" x14ac:dyDescent="0.3">
      <c r="A31" s="1268" t="s">
        <v>149</v>
      </c>
      <c r="B31" s="1269"/>
      <c r="C31" s="1270" t="s">
        <v>632</v>
      </c>
      <c r="D31" s="1270"/>
      <c r="E31" s="1270"/>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0"/>
      <c r="AM31" s="1270"/>
      <c r="AN31" s="1261"/>
      <c r="AO31" s="1261"/>
      <c r="AP31" s="1261"/>
      <c r="AQ31" s="1261"/>
      <c r="AR31" s="1261"/>
      <c r="AS31" s="1261"/>
    </row>
    <row r="32" spans="1:53" s="1105" customFormat="1" ht="14.4" x14ac:dyDescent="0.3">
      <c r="A32" s="1268" t="s">
        <v>150</v>
      </c>
      <c r="B32" s="1269"/>
      <c r="C32" s="1271" t="s">
        <v>633</v>
      </c>
      <c r="D32" s="1271"/>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271"/>
      <c r="AM32" s="1271"/>
      <c r="AN32" s="1261"/>
      <c r="AO32" s="1261"/>
      <c r="AP32" s="1261"/>
      <c r="AQ32" s="1261"/>
      <c r="AR32" s="1261"/>
      <c r="AS32" s="1261"/>
    </row>
    <row r="33" spans="1:45" s="1105" customFormat="1" ht="14.4" x14ac:dyDescent="0.3">
      <c r="A33" s="1268" t="s">
        <v>151</v>
      </c>
      <c r="B33" s="1269"/>
      <c r="C33" s="1271" t="s">
        <v>634</v>
      </c>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2"/>
      <c r="AI33" s="1272"/>
      <c r="AJ33" s="1272"/>
      <c r="AK33" s="1272"/>
      <c r="AL33" s="1272"/>
      <c r="AM33" s="1272"/>
      <c r="AN33" s="1261"/>
      <c r="AO33" s="1261"/>
      <c r="AP33" s="1261"/>
      <c r="AQ33" s="1261"/>
      <c r="AR33" s="1261"/>
      <c r="AS33" s="1261"/>
    </row>
    <row r="34" spans="1:45" s="1105" customFormat="1" x14ac:dyDescent="0.25">
      <c r="A34" s="1273" t="s">
        <v>152</v>
      </c>
      <c r="B34" s="1274"/>
      <c r="C34" s="1275"/>
      <c r="D34" s="1275"/>
      <c r="E34" s="1275"/>
      <c r="F34" s="1275"/>
      <c r="G34" s="1275"/>
      <c r="H34" s="1275"/>
      <c r="I34" s="1275"/>
      <c r="J34" s="1276"/>
      <c r="K34" s="1277" t="s">
        <v>153</v>
      </c>
      <c r="L34" s="1275"/>
      <c r="M34" s="1275"/>
      <c r="N34" s="1275"/>
      <c r="O34" s="1275"/>
      <c r="P34" s="1275"/>
      <c r="Q34" s="1276"/>
      <c r="R34" s="1277" t="s">
        <v>154</v>
      </c>
      <c r="S34" s="1275"/>
      <c r="T34" s="1275"/>
      <c r="U34" s="1275"/>
      <c r="V34" s="1275"/>
      <c r="W34" s="1275"/>
      <c r="X34" s="1275"/>
      <c r="Y34" s="1275"/>
      <c r="Z34" s="1276"/>
      <c r="AA34" s="1277" t="s">
        <v>155</v>
      </c>
      <c r="AB34" s="1275"/>
      <c r="AC34" s="1275"/>
      <c r="AD34" s="1275"/>
      <c r="AE34" s="1275"/>
      <c r="AF34" s="1275"/>
      <c r="AG34" s="1275"/>
      <c r="AH34" s="1278" t="s">
        <v>156</v>
      </c>
      <c r="AI34" s="1278"/>
      <c r="AJ34" s="1278"/>
      <c r="AK34" s="1278"/>
      <c r="AL34" s="1278"/>
      <c r="AM34" s="1278"/>
      <c r="AN34" s="1278"/>
      <c r="AO34" s="1278"/>
      <c r="AP34" s="1278"/>
      <c r="AQ34" s="1278"/>
      <c r="AR34" s="1278"/>
      <c r="AS34" s="1278"/>
    </row>
    <row r="35" spans="1:45" s="1105" customFormat="1" x14ac:dyDescent="0.25">
      <c r="A35" s="1279" t="s">
        <v>157</v>
      </c>
      <c r="B35" s="1280" t="s">
        <v>141</v>
      </c>
      <c r="C35" s="1281" t="s">
        <v>158</v>
      </c>
      <c r="D35" s="1281" t="s">
        <v>635</v>
      </c>
      <c r="E35" s="1282" t="s">
        <v>636</v>
      </c>
      <c r="F35" s="1283" t="s">
        <v>60</v>
      </c>
      <c r="G35" s="1284" t="s">
        <v>637</v>
      </c>
      <c r="H35" s="1285"/>
      <c r="I35" s="1282" t="s">
        <v>161</v>
      </c>
      <c r="J35" s="1281" t="s">
        <v>162</v>
      </c>
      <c r="K35" s="1286" t="s">
        <v>163</v>
      </c>
      <c r="L35" s="1287" t="s">
        <v>164</v>
      </c>
      <c r="M35" s="1282" t="s">
        <v>165</v>
      </c>
      <c r="N35" s="1282" t="s">
        <v>166</v>
      </c>
      <c r="O35" s="1288" t="s">
        <v>167</v>
      </c>
      <c r="P35" s="1287" t="s">
        <v>164</v>
      </c>
      <c r="Q35" s="1281" t="s">
        <v>168</v>
      </c>
      <c r="R35" s="1289" t="s">
        <v>169</v>
      </c>
      <c r="S35" s="1290" t="s">
        <v>170</v>
      </c>
      <c r="T35" s="1282" t="s">
        <v>171</v>
      </c>
      <c r="U35" s="1290" t="s">
        <v>172</v>
      </c>
      <c r="V35" s="1290"/>
      <c r="W35" s="1290"/>
      <c r="X35" s="1290"/>
      <c r="Y35" s="1290"/>
      <c r="Z35" s="1290"/>
      <c r="AA35" s="1291" t="s">
        <v>173</v>
      </c>
      <c r="AB35" s="1291" t="s">
        <v>174</v>
      </c>
      <c r="AC35" s="1291" t="s">
        <v>164</v>
      </c>
      <c r="AD35" s="1291" t="s">
        <v>175</v>
      </c>
      <c r="AE35" s="1291" t="s">
        <v>164</v>
      </c>
      <c r="AF35" s="1291" t="s">
        <v>176</v>
      </c>
      <c r="AG35" s="1289" t="s">
        <v>177</v>
      </c>
      <c r="AH35" s="1281" t="s">
        <v>156</v>
      </c>
      <c r="AI35" s="1281" t="s">
        <v>142</v>
      </c>
      <c r="AJ35" s="1281" t="s">
        <v>178</v>
      </c>
      <c r="AK35" s="1281" t="s">
        <v>179</v>
      </c>
      <c r="AL35" s="1281" t="s">
        <v>180</v>
      </c>
      <c r="AM35" s="1292" t="s">
        <v>181</v>
      </c>
      <c r="AN35" s="1293" t="s">
        <v>638</v>
      </c>
      <c r="AO35" s="1293" t="s">
        <v>639</v>
      </c>
      <c r="AP35" s="1293" t="s">
        <v>640</v>
      </c>
      <c r="AQ35" s="1293" t="s">
        <v>641</v>
      </c>
      <c r="AR35" s="1293" t="s">
        <v>642</v>
      </c>
      <c r="AS35" s="1293" t="s">
        <v>643</v>
      </c>
    </row>
    <row r="36" spans="1:45" s="1105" customFormat="1" ht="70.2" x14ac:dyDescent="0.25">
      <c r="A36" s="1294"/>
      <c r="B36" s="1280"/>
      <c r="C36" s="1290"/>
      <c r="D36" s="1290"/>
      <c r="E36" s="1286"/>
      <c r="F36" s="1284"/>
      <c r="G36" s="1295"/>
      <c r="H36" s="1285" t="s">
        <v>182</v>
      </c>
      <c r="I36" s="1281"/>
      <c r="J36" s="1290"/>
      <c r="K36" s="1281"/>
      <c r="L36" s="1277"/>
      <c r="M36" s="1281"/>
      <c r="N36" s="1281"/>
      <c r="O36" s="1277"/>
      <c r="P36" s="1277"/>
      <c r="Q36" s="1290"/>
      <c r="R36" s="1296"/>
      <c r="S36" s="1290"/>
      <c r="T36" s="1281"/>
      <c r="U36" s="1297" t="s">
        <v>183</v>
      </c>
      <c r="V36" s="1297" t="s">
        <v>184</v>
      </c>
      <c r="W36" s="1297" t="s">
        <v>185</v>
      </c>
      <c r="X36" s="1297" t="s">
        <v>186</v>
      </c>
      <c r="Y36" s="1297" t="s">
        <v>187</v>
      </c>
      <c r="Z36" s="1297" t="s">
        <v>188</v>
      </c>
      <c r="AA36" s="1291"/>
      <c r="AB36" s="1291"/>
      <c r="AC36" s="1291"/>
      <c r="AD36" s="1291"/>
      <c r="AE36" s="1291"/>
      <c r="AF36" s="1291"/>
      <c r="AG36" s="1296"/>
      <c r="AH36" s="1290"/>
      <c r="AI36" s="1290"/>
      <c r="AJ36" s="1290"/>
      <c r="AK36" s="1290"/>
      <c r="AL36" s="1290"/>
      <c r="AM36" s="1298"/>
      <c r="AN36" s="1299"/>
      <c r="AO36" s="1299"/>
      <c r="AP36" s="1299"/>
      <c r="AQ36" s="1299"/>
      <c r="AR36" s="1299"/>
      <c r="AS36" s="1299"/>
    </row>
    <row r="37" spans="1:45" s="1105" customFormat="1" ht="66" x14ac:dyDescent="0.25">
      <c r="A37" s="1300">
        <v>1</v>
      </c>
      <c r="B37" s="1301" t="s">
        <v>189</v>
      </c>
      <c r="C37" s="1302" t="s">
        <v>644</v>
      </c>
      <c r="D37" s="1303" t="s">
        <v>645</v>
      </c>
      <c r="E37" s="1304" t="s">
        <v>646</v>
      </c>
      <c r="F37" s="1305" t="s">
        <v>647</v>
      </c>
      <c r="G37" s="1306" t="s">
        <v>648</v>
      </c>
      <c r="H37" s="1305" t="s">
        <v>649</v>
      </c>
      <c r="I37" s="1307" t="s">
        <v>190</v>
      </c>
      <c r="J37" s="1308">
        <v>360</v>
      </c>
      <c r="K37" s="1309" t="str">
        <f>IF(J37&lt;=0,"",IF(J37&lt;=2,"Muy Baja",IF(J37&lt;=24,"Baja",IF(J37&lt;=500,"Media",IF(J37&lt;=5000,"Alta","Muy Alta")))))</f>
        <v>Media</v>
      </c>
      <c r="L37" s="1310">
        <f>IF(K37="","",IF(K37="Muy Baja",0.2,IF(K37="Baja",0.4,IF(K37="Media",0.6,IF(K37="Alta",0.8,IF(K37="Muy Alta",1,))))))</f>
        <v>0.6</v>
      </c>
      <c r="M37" s="1311" t="s">
        <v>214</v>
      </c>
      <c r="N37" s="1310" t="str">
        <f>IF(NOT(ISERROR(MATCH(M37,'[14]Tabla Impacto'!$B$221:$B$223,0))),'[14]Tabla Impacto'!$F$223&amp;"Por favor no seleccionar los criterios de impacto(Afectación Económica o presupuestal y Pérdida Reputacional)",M37)</f>
        <v xml:space="preserve">     El riesgo afecta la imagen de de la entidad con efecto publicitario sostenido a nivel de sector administrativo, nivel departamental o municipal</v>
      </c>
      <c r="O37" s="1309" t="str">
        <f>IF(OR(N37='[14]Tabla Impacto'!$C$11,N37='[14]Tabla Impacto'!$D$11),"Leve",IF(OR(N37='[14]Tabla Impacto'!$C$12,N37='[14]Tabla Impacto'!$D$12),"Menor",IF(OR(N37='[14]Tabla Impacto'!$C$13,N37='[14]Tabla Impacto'!$D$13),"Moderado",IF(OR(N37='[14]Tabla Impacto'!$C$14,N37='[14]Tabla Impacto'!$D$14),"Mayor",IF(OR(N37='[14]Tabla Impacto'!$C$15,N37='[14]Tabla Impacto'!$D$15),"Catastrófico","")))))</f>
        <v>Mayor</v>
      </c>
      <c r="P37" s="1310">
        <f>IF(O37="","",IF(O37="Leve",0.2,IF(O37="Menor",0.4,IF(O37="Moderado",0.6,IF(O37="Mayor",0.8,IF(O37="Catastrófico",1,))))))</f>
        <v>0.8</v>
      </c>
      <c r="Q37" s="1312"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Alto</v>
      </c>
      <c r="R37" s="1313">
        <v>1</v>
      </c>
      <c r="S37" s="1314" t="s">
        <v>650</v>
      </c>
      <c r="T37" s="1315" t="str">
        <f>IF(OR(U37="Preventivo",U37="Detectivo"),"Probabilidad",IF(U37="Correctivo","Impacto",""))</f>
        <v>Probabilidad</v>
      </c>
      <c r="U37" s="1316" t="s">
        <v>243</v>
      </c>
      <c r="V37" s="1316" t="s">
        <v>191</v>
      </c>
      <c r="W37" s="1317" t="str">
        <f>IF(AND(U37="Preventivo",V37="Automático"),"50%",IF(AND(U37="Preventivo",V37="Manual"),"40%",IF(AND(U37="Detectivo",V37="Automático"),"40%",IF(AND(U37="Detectivo",V37="Manual"),"30%",IF(AND(U37="Correctivo",V37="Automático"),"35%",IF(AND(U37="Correctivo",V37="Manual"),"25%",""))))))</f>
        <v>30%</v>
      </c>
      <c r="X37" s="1316" t="s">
        <v>192</v>
      </c>
      <c r="Y37" s="1316" t="s">
        <v>193</v>
      </c>
      <c r="Z37" s="1316" t="s">
        <v>194</v>
      </c>
      <c r="AA37" s="1318">
        <f>IFERROR(IF(T37="Probabilidad",(L37-(+L37*W37)),IF(T37="Impacto",L37,"")),"")</f>
        <v>0.42</v>
      </c>
      <c r="AB37" s="1319" t="str">
        <f>IFERROR(IF(AA37="","",IF(AA37&lt;=0.2,"Muy Baja",IF(AA37&lt;=0.4,"Baja",IF(AA37&lt;=0.6,"Media",IF(AA37&lt;=0.8,"Alta","Muy Alta"))))),"")</f>
        <v>Media</v>
      </c>
      <c r="AC37" s="1320">
        <f>+AA37</f>
        <v>0.42</v>
      </c>
      <c r="AD37" s="1319" t="str">
        <f>IFERROR(IF(AE37="","",IF(AE37&lt;=0.2,"Leve",IF(AE37&lt;=0.4,"Menor",IF(AE37&lt;=0.6,"Moderado",IF(AE37&lt;=0.8,"Mayor","Catastrófico"))))),"")</f>
        <v>Mayor</v>
      </c>
      <c r="AE37" s="1320">
        <f>IFERROR(IF(T37="Impacto",(P37-(+P37*W37)),IF(T37="Probabilidad",P37,"")),"")</f>
        <v>0.8</v>
      </c>
      <c r="AF37" s="1321" t="str">
        <f>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Alto</v>
      </c>
      <c r="AG37" s="1322" t="s">
        <v>195</v>
      </c>
      <c r="AH37" s="1323" t="s">
        <v>651</v>
      </c>
      <c r="AI37" s="1323" t="s">
        <v>652</v>
      </c>
      <c r="AJ37" s="1324" t="s">
        <v>737</v>
      </c>
      <c r="AK37" s="1325" t="s">
        <v>738</v>
      </c>
      <c r="AL37" s="1323" t="s">
        <v>655</v>
      </c>
      <c r="AM37" s="1326" t="s">
        <v>685</v>
      </c>
      <c r="AN37" s="1323" t="s">
        <v>657</v>
      </c>
      <c r="AO37" s="1323" t="s">
        <v>739</v>
      </c>
      <c r="AP37" s="1323" t="s">
        <v>657</v>
      </c>
      <c r="AQ37" s="1323" t="s">
        <v>740</v>
      </c>
      <c r="AR37" s="1323" t="s">
        <v>657</v>
      </c>
      <c r="AS37" s="1323" t="s">
        <v>741</v>
      </c>
    </row>
    <row r="38" spans="1:45" s="1105" customFormat="1" ht="82.8" x14ac:dyDescent="0.25">
      <c r="A38" s="1327"/>
      <c r="B38" s="1328"/>
      <c r="C38" s="1329"/>
      <c r="D38" s="1330"/>
      <c r="E38" s="1304" t="s">
        <v>658</v>
      </c>
      <c r="F38" s="1305"/>
      <c r="G38" s="1331"/>
      <c r="H38" s="1305"/>
      <c r="I38" s="1332"/>
      <c r="J38" s="1333"/>
      <c r="K38" s="1334"/>
      <c r="L38" s="1335"/>
      <c r="M38" s="1336"/>
      <c r="N38" s="1335">
        <f>IF(NOT(ISERROR(MATCH(M38,_xlfn.ANCHORARRAY(#REF!),0))),#REF!&amp;"Por favor no seleccionar los criterios de impacto",M38)</f>
        <v>0</v>
      </c>
      <c r="O38" s="1334"/>
      <c r="P38" s="1335"/>
      <c r="Q38" s="1337"/>
      <c r="R38" s="1313">
        <v>2</v>
      </c>
      <c r="S38" s="1338" t="s">
        <v>659</v>
      </c>
      <c r="T38" s="1315" t="str">
        <f>IF(OR(U38="Preventivo",U38="Detectivo"),"Probabilidad",IF(U38="Correctivo","Impacto",""))</f>
        <v>Probabilidad</v>
      </c>
      <c r="U38" s="1316" t="s">
        <v>197</v>
      </c>
      <c r="V38" s="1316" t="s">
        <v>191</v>
      </c>
      <c r="W38" s="1317" t="str">
        <f t="shared" ref="W38:W41" si="12">IF(AND(U38="Preventivo",V38="Automático"),"50%",IF(AND(U38="Preventivo",V38="Manual"),"40%",IF(AND(U38="Detectivo",V38="Automático"),"40%",IF(AND(U38="Detectivo",V38="Manual"),"30%",IF(AND(U38="Correctivo",V38="Automático"),"35%",IF(AND(U38="Correctivo",V38="Manual"),"25%",""))))))</f>
        <v>40%</v>
      </c>
      <c r="X38" s="1316" t="s">
        <v>198</v>
      </c>
      <c r="Y38" s="1316" t="s">
        <v>193</v>
      </c>
      <c r="Z38" s="1316" t="s">
        <v>194</v>
      </c>
      <c r="AA38" s="1318">
        <f>IFERROR(IF(AND(T37="Probabilidad",T38="Probabilidad"),(AC37-(+AC37*W38)),IF(AND(T37="Impacto",T38="Probabilidad"),(L37-(+L37*W38)),IF(T38="Impacto",AC37,""))),"")</f>
        <v>0.252</v>
      </c>
      <c r="AB38" s="1319" t="str">
        <f t="shared" ref="AB38:AB41" si="13">IFERROR(IF(AA38="","",IF(AA38&lt;=0.2,"Muy Baja",IF(AA38&lt;=0.4,"Baja",IF(AA38&lt;=0.6,"Media",IF(AA38&lt;=0.8,"Alta","Muy Alta"))))),"")</f>
        <v>Baja</v>
      </c>
      <c r="AC38" s="1320">
        <f>+AA38</f>
        <v>0.252</v>
      </c>
      <c r="AD38" s="1319" t="str">
        <f t="shared" ref="AD38:AD41" si="14">IFERROR(IF(AE38="","",IF(AE38&lt;=0.2,"Leve",IF(AE38&lt;=0.4,"Menor",IF(AE38&lt;=0.6,"Moderado",IF(AE38&lt;=0.8,"Mayor","Catastrófico"))))),"")</f>
        <v>Mayor</v>
      </c>
      <c r="AE38" s="1320">
        <f>IFERROR(IF(AND(T37="Impacto",T38="Impacto"),(AE37-(+AE37*W38)),IF(AND(T37="Probabilidad",T38="Impacto"),(P37-(+P37*W38)),IF(T38="Probabilidad",AE37,""))),"")</f>
        <v>0.8</v>
      </c>
      <c r="AF38" s="1321" t="str">
        <f t="shared" ref="AF38:AF41" si="15">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Alto</v>
      </c>
      <c r="AG38" s="1339"/>
      <c r="AH38" s="1340"/>
      <c r="AI38" s="1340"/>
      <c r="AJ38" s="1341"/>
      <c r="AK38" s="1342"/>
      <c r="AL38" s="1340"/>
      <c r="AM38" s="1343"/>
      <c r="AN38" s="1340"/>
      <c r="AO38" s="1340"/>
      <c r="AP38" s="1340"/>
      <c r="AQ38" s="1340"/>
      <c r="AR38" s="1340"/>
      <c r="AS38" s="1340"/>
    </row>
    <row r="39" spans="1:45" s="1105" customFormat="1" ht="96.6" x14ac:dyDescent="0.25">
      <c r="A39" s="1327"/>
      <c r="B39" s="1328"/>
      <c r="C39" s="1329"/>
      <c r="D39" s="1330"/>
      <c r="E39" s="1304" t="s">
        <v>660</v>
      </c>
      <c r="F39" s="1305"/>
      <c r="G39" s="1331"/>
      <c r="H39" s="1305"/>
      <c r="I39" s="1332"/>
      <c r="J39" s="1333"/>
      <c r="K39" s="1334"/>
      <c r="L39" s="1335"/>
      <c r="M39" s="1336"/>
      <c r="N39" s="1335">
        <f>IF(NOT(ISERROR(MATCH(M39,_xlfn.ANCHORARRAY(#REF!),0))),#REF!&amp;"Por favor no seleccionar los criterios de impacto",M39)</f>
        <v>0</v>
      </c>
      <c r="O39" s="1334"/>
      <c r="P39" s="1335"/>
      <c r="Q39" s="1337"/>
      <c r="R39" s="1313">
        <v>3</v>
      </c>
      <c r="S39" s="1344" t="s">
        <v>661</v>
      </c>
      <c r="T39" s="1315" t="str">
        <f t="shared" ref="T39:T41" si="16">IF(OR(U39="Preventivo",U39="Detectivo"),"Probabilidad",IF(U39="Correctivo","Impacto",""))</f>
        <v>Probabilidad</v>
      </c>
      <c r="U39" s="1316" t="s">
        <v>197</v>
      </c>
      <c r="V39" s="1316" t="s">
        <v>191</v>
      </c>
      <c r="W39" s="1317" t="str">
        <f t="shared" si="12"/>
        <v>40%</v>
      </c>
      <c r="X39" s="1316" t="s">
        <v>198</v>
      </c>
      <c r="Y39" s="1316" t="s">
        <v>193</v>
      </c>
      <c r="Z39" s="1316" t="s">
        <v>194</v>
      </c>
      <c r="AA39" s="1318">
        <f>IFERROR(IF(AND(T38="Probabilidad",T39="Probabilidad"),(AC38-(+AC38*W39)),IF(AND(T38="Impacto",T39="Probabilidad"),(AC37-(+AC37*W39)),IF(T39="Impacto",AC38,""))),"")</f>
        <v>0.1512</v>
      </c>
      <c r="AB39" s="1319" t="str">
        <f t="shared" si="13"/>
        <v>Muy Baja</v>
      </c>
      <c r="AC39" s="1320">
        <f t="shared" ref="AC39:AC45" si="17">+AA39</f>
        <v>0.1512</v>
      </c>
      <c r="AD39" s="1319" t="str">
        <f t="shared" si="14"/>
        <v>Mayor</v>
      </c>
      <c r="AE39" s="1320">
        <f t="shared" ref="AE39" si="18">IFERROR(IF(AND(T38="Impacto",T39="Impacto"),(AE38-(+AE38*W39)),IF(AND(T38="Probabilidad",T39="Impacto"),(AE37-(+AE37*W39)),IF(T39="Probabilidad",AE38,""))),"")</f>
        <v>0.8</v>
      </c>
      <c r="AF39" s="1321" t="str">
        <f t="shared" si="15"/>
        <v>Alto</v>
      </c>
      <c r="AG39" s="1339"/>
      <c r="AH39" s="1340"/>
      <c r="AI39" s="1340"/>
      <c r="AJ39" s="1341"/>
      <c r="AK39" s="1342"/>
      <c r="AL39" s="1340"/>
      <c r="AM39" s="1343"/>
      <c r="AN39" s="1340"/>
      <c r="AO39" s="1340"/>
      <c r="AP39" s="1340"/>
      <c r="AQ39" s="1340"/>
      <c r="AR39" s="1340"/>
      <c r="AS39" s="1340"/>
    </row>
    <row r="40" spans="1:45" s="1105" customFormat="1" ht="57.6" x14ac:dyDescent="0.25">
      <c r="A40" s="1327"/>
      <c r="B40" s="1328"/>
      <c r="C40" s="1329"/>
      <c r="D40" s="1330"/>
      <c r="E40" s="1345" t="s">
        <v>662</v>
      </c>
      <c r="F40" s="1305"/>
      <c r="G40" s="1331"/>
      <c r="H40" s="1305"/>
      <c r="I40" s="1332"/>
      <c r="J40" s="1333"/>
      <c r="K40" s="1334"/>
      <c r="L40" s="1335"/>
      <c r="M40" s="1336"/>
      <c r="N40" s="1335">
        <f>IF(NOT(ISERROR(MATCH(M40,_xlfn.ANCHORARRAY(#REF!),0))),#REF!&amp;"Por favor no seleccionar los criterios de impacto",M40)</f>
        <v>0</v>
      </c>
      <c r="O40" s="1334"/>
      <c r="P40" s="1335"/>
      <c r="Q40" s="1337"/>
      <c r="R40" s="1313">
        <v>4</v>
      </c>
      <c r="S40" s="1314" t="s">
        <v>663</v>
      </c>
      <c r="T40" s="1315" t="str">
        <f t="shared" si="16"/>
        <v>Probabilidad</v>
      </c>
      <c r="U40" s="1316" t="s">
        <v>197</v>
      </c>
      <c r="V40" s="1316" t="s">
        <v>191</v>
      </c>
      <c r="W40" s="1317" t="str">
        <f t="shared" si="12"/>
        <v>40%</v>
      </c>
      <c r="X40" s="1316" t="s">
        <v>198</v>
      </c>
      <c r="Y40" s="1316" t="s">
        <v>193</v>
      </c>
      <c r="Z40" s="1316" t="s">
        <v>194</v>
      </c>
      <c r="AA40" s="1318">
        <f>IFERROR(IF(AND(T39="Probabilidad",T40="Probabilidad"),(AC39-(+AC39*W40)),IF(AND(T39="Impacto",T40="Probabilidad"),(AC38-(+AC38*W40)),IF(T40="Impacto",AC39,""))),"")</f>
        <v>9.0719999999999995E-2</v>
      </c>
      <c r="AB40" s="1319" t="str">
        <f t="shared" si="13"/>
        <v>Muy Baja</v>
      </c>
      <c r="AC40" s="1320">
        <f t="shared" si="17"/>
        <v>9.0719999999999995E-2</v>
      </c>
      <c r="AD40" s="1319" t="str">
        <f t="shared" si="14"/>
        <v>Mayor</v>
      </c>
      <c r="AE40" s="1320">
        <f>IFERROR(IF(AND(T39="Impacto",T40="Impacto"),(AE39-(+AE39*W40)),IF(AND(T39="Probabilidad",T40="Impacto"),(AE38-(+AE38*W40)),IF(T40="Probabilidad",AE39,""))),"")</f>
        <v>0.8</v>
      </c>
      <c r="AF40" s="1321" t="str">
        <f t="shared" si="15"/>
        <v>Alto</v>
      </c>
      <c r="AG40" s="1339"/>
      <c r="AH40" s="1340"/>
      <c r="AI40" s="1340"/>
      <c r="AJ40" s="1341"/>
      <c r="AK40" s="1342"/>
      <c r="AL40" s="1340"/>
      <c r="AM40" s="1343"/>
      <c r="AN40" s="1340"/>
      <c r="AO40" s="1340"/>
      <c r="AP40" s="1340"/>
      <c r="AQ40" s="1340"/>
      <c r="AR40" s="1340"/>
      <c r="AS40" s="1340"/>
    </row>
    <row r="41" spans="1:45" s="1105" customFormat="1" ht="57.6" x14ac:dyDescent="0.25">
      <c r="A41" s="1327"/>
      <c r="B41" s="1328"/>
      <c r="C41" s="1329"/>
      <c r="D41" s="1330"/>
      <c r="E41" s="1304" t="s">
        <v>664</v>
      </c>
      <c r="F41" s="1305"/>
      <c r="G41" s="1346"/>
      <c r="H41" s="1305"/>
      <c r="I41" s="1332"/>
      <c r="J41" s="1333"/>
      <c r="K41" s="1334"/>
      <c r="L41" s="1335"/>
      <c r="M41" s="1336"/>
      <c r="N41" s="1335">
        <f>IF(NOT(ISERROR(MATCH(M41,_xlfn.ANCHORARRAY(#REF!),0))),#REF!&amp;"Por favor no seleccionar los criterios de impacto",M41)</f>
        <v>0</v>
      </c>
      <c r="O41" s="1334"/>
      <c r="P41" s="1335"/>
      <c r="Q41" s="1337"/>
      <c r="R41" s="1313">
        <v>5</v>
      </c>
      <c r="S41" s="1314" t="s">
        <v>665</v>
      </c>
      <c r="T41" s="1315" t="str">
        <f t="shared" si="16"/>
        <v>Probabilidad</v>
      </c>
      <c r="U41" s="1316" t="s">
        <v>243</v>
      </c>
      <c r="V41" s="1316" t="s">
        <v>191</v>
      </c>
      <c r="W41" s="1317" t="str">
        <f t="shared" si="12"/>
        <v>30%</v>
      </c>
      <c r="X41" s="1316" t="s">
        <v>198</v>
      </c>
      <c r="Y41" s="1316" t="s">
        <v>193</v>
      </c>
      <c r="Z41" s="1316" t="s">
        <v>194</v>
      </c>
      <c r="AA41" s="1318">
        <f>IFERROR(IF(AND(T40="Probabilidad",T41="Probabilidad"),(AC40-(+AC40*W41)),IF(AND(T40="Impacto",T41="Probabilidad"),(AC39-(+AC39*W41)),IF(T41="Impacto",AC40,""))),"")</f>
        <v>6.3504000000000005E-2</v>
      </c>
      <c r="AB41" s="1319" t="str">
        <f t="shared" si="13"/>
        <v>Muy Baja</v>
      </c>
      <c r="AC41" s="1320">
        <f t="shared" si="17"/>
        <v>6.3504000000000005E-2</v>
      </c>
      <c r="AD41" s="1319" t="str">
        <f t="shared" si="14"/>
        <v>Mayor</v>
      </c>
      <c r="AE41" s="1320">
        <f>IFERROR(IF(AND(T40="Impacto",T41="Impacto"),(AE40-(+AE40*W41)),IF(AND(T40="Probabilidad",T41="Impacto"),(AE39-(+AE39*W41)),IF(T41="Probabilidad",AE40,""))),"")</f>
        <v>0.8</v>
      </c>
      <c r="AF41" s="1321" t="str">
        <f t="shared" si="15"/>
        <v>Alto</v>
      </c>
      <c r="AG41" s="1347"/>
      <c r="AH41" s="1348"/>
      <c r="AI41" s="1348"/>
      <c r="AJ41" s="1349"/>
      <c r="AK41" s="1350"/>
      <c r="AL41" s="1348"/>
      <c r="AM41" s="1351"/>
      <c r="AN41" s="1348"/>
      <c r="AO41" s="1348"/>
      <c r="AP41" s="1348"/>
      <c r="AQ41" s="1348"/>
      <c r="AR41" s="1348"/>
      <c r="AS41" s="1348"/>
    </row>
    <row r="42" spans="1:45" s="1105" customFormat="1" ht="82.8" x14ac:dyDescent="0.25">
      <c r="A42" s="1300">
        <v>2</v>
      </c>
      <c r="B42" s="1323" t="s">
        <v>199</v>
      </c>
      <c r="C42" s="1302" t="s">
        <v>666</v>
      </c>
      <c r="D42" s="1303" t="s">
        <v>667</v>
      </c>
      <c r="E42" s="1304" t="s">
        <v>668</v>
      </c>
      <c r="F42" s="1305" t="s">
        <v>669</v>
      </c>
      <c r="G42" s="1306" t="s">
        <v>648</v>
      </c>
      <c r="H42" s="1306" t="s">
        <v>670</v>
      </c>
      <c r="I42" s="1307" t="s">
        <v>190</v>
      </c>
      <c r="J42" s="1308">
        <v>360</v>
      </c>
      <c r="K42" s="1309" t="str">
        <f>IF(J42&lt;=0,"",IF(J42&lt;=2,"Muy Baja",IF(J42&lt;=24,"Baja",IF(J42&lt;=500,"Media",IF(J42&lt;=5000,"Alta","Muy Alta")))))</f>
        <v>Media</v>
      </c>
      <c r="L42" s="1310">
        <f>IF(K42="","",IF(K42="Muy Baja",0.2,IF(K42="Baja",0.4,IF(K42="Media",0.6,IF(K42="Alta",0.8,IF(K42="Muy Alta",1,))))))</f>
        <v>0.6</v>
      </c>
      <c r="M42" s="1311" t="s">
        <v>214</v>
      </c>
      <c r="N42" s="1310" t="str">
        <f>IF(NOT(ISERROR(MATCH(M42,'[14]Tabla Impacto'!$B$221:$B$223,0))),'[14]Tabla Impacto'!$F$223&amp;"Por favor no seleccionar los criterios de impacto(Afectación Económica o presupuestal y Pérdida Reputacional)",M42)</f>
        <v xml:space="preserve">     El riesgo afecta la imagen de de la entidad con efecto publicitario sostenido a nivel de sector administrativo, nivel departamental o municipal</v>
      </c>
      <c r="O42" s="1309" t="str">
        <f>IF(OR(N42='[14]Tabla Impacto'!$C$11,N42='[14]Tabla Impacto'!$D$11),"Leve",IF(OR(N42='[14]Tabla Impacto'!$C$12,N42='[14]Tabla Impacto'!$D$12),"Menor",IF(OR(N42='[14]Tabla Impacto'!$C$13,N42='[14]Tabla Impacto'!$D$13),"Moderado",IF(OR(N42='[14]Tabla Impacto'!$C$14,N42='[14]Tabla Impacto'!$D$14),"Mayor",IF(OR(N42='[14]Tabla Impacto'!$C$15,N42='[14]Tabla Impacto'!$D$15),"Catastrófico","")))))</f>
        <v>Mayor</v>
      </c>
      <c r="P42" s="1310">
        <f>IF(O42="","",IF(O42="Leve",0.2,IF(O42="Menor",0.4,IF(O42="Moderado",0.6,IF(O42="Mayor",0.8,IF(O42="Catastrófico",1,))))))</f>
        <v>0.8</v>
      </c>
      <c r="Q42" s="1312" t="str">
        <f>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Alto</v>
      </c>
      <c r="R42" s="1352">
        <v>1</v>
      </c>
      <c r="S42" s="1353" t="s">
        <v>671</v>
      </c>
      <c r="T42" s="1315" t="str">
        <f>IF(OR(U42="Preventivo",U42="Detectivo"),"Probabilidad",IF(U42="Correctivo","Impacto",""))</f>
        <v>Probabilidad</v>
      </c>
      <c r="U42" s="1316" t="s">
        <v>197</v>
      </c>
      <c r="V42" s="1316" t="s">
        <v>191</v>
      </c>
      <c r="W42" s="1317" t="str">
        <f>IF(AND(U42="Preventivo",V42="Automático"),"50%",IF(AND(U42="Preventivo",V42="Manual"),"40%",IF(AND(U42="Detectivo",V42="Automático"),"40%",IF(AND(U42="Detectivo",V42="Manual"),"30%",IF(AND(U42="Correctivo",V42="Automático"),"35%",IF(AND(U42="Correctivo",V42="Manual"),"25%",""))))))</f>
        <v>40%</v>
      </c>
      <c r="X42" s="1316" t="s">
        <v>192</v>
      </c>
      <c r="Y42" s="1316" t="s">
        <v>193</v>
      </c>
      <c r="Z42" s="1316" t="s">
        <v>194</v>
      </c>
      <c r="AA42" s="1354">
        <f>IFERROR(IF(T42="Probabilidad",(L42-(+L42*W42)),IF(T42="Impacto",L42,"")),"")</f>
        <v>0.36</v>
      </c>
      <c r="AB42" s="1355" t="str">
        <f>IFERROR(IF(AA42="","",IF(AA42&lt;=0.2,"Muy Baja",IF(AA42&lt;=0.4,"Baja",IF(AA42&lt;=0.6,"Media",IF(AA42&lt;=0.8,"Alta","Muy Alta"))))),"")</f>
        <v>Baja</v>
      </c>
      <c r="AC42" s="1356">
        <f t="shared" si="17"/>
        <v>0.36</v>
      </c>
      <c r="AD42" s="1355" t="str">
        <f>IFERROR(IF(AE42="","",IF(AE42&lt;=0.2,"Leve",IF(AE42&lt;=0.4,"Menor",IF(AE42&lt;=0.6,"Moderado",IF(AE42&lt;=0.8,"Mayor","Catastrófico"))))),"")</f>
        <v>Mayor</v>
      </c>
      <c r="AE42" s="1356">
        <f>IFERROR(IF(T42="Impacto",(P42-(+P42*W42)),IF(T42="Probabilidad",P42,"")),"")</f>
        <v>0.8</v>
      </c>
      <c r="AF42" s="1357" t="str">
        <f>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Alto</v>
      </c>
      <c r="AG42" s="1322" t="s">
        <v>195</v>
      </c>
      <c r="AH42" s="1323" t="s">
        <v>672</v>
      </c>
      <c r="AI42" s="1323" t="s">
        <v>673</v>
      </c>
      <c r="AJ42" s="1324" t="s">
        <v>742</v>
      </c>
      <c r="AK42" s="1325" t="s">
        <v>743</v>
      </c>
      <c r="AL42" s="1323" t="s">
        <v>676</v>
      </c>
      <c r="AM42" s="1326" t="s">
        <v>685</v>
      </c>
      <c r="AN42" s="1358" t="s">
        <v>744</v>
      </c>
      <c r="AO42" s="1358" t="s">
        <v>745</v>
      </c>
      <c r="AP42" s="1358" t="s">
        <v>746</v>
      </c>
      <c r="AQ42" s="1359" t="s">
        <v>747</v>
      </c>
      <c r="AR42" s="1359" t="s">
        <v>747</v>
      </c>
      <c r="AS42" s="1359" t="s">
        <v>748</v>
      </c>
    </row>
    <row r="43" spans="1:45" s="1105" customFormat="1" ht="82.8" x14ac:dyDescent="0.25">
      <c r="A43" s="1327"/>
      <c r="B43" s="1340"/>
      <c r="C43" s="1329"/>
      <c r="D43" s="1330"/>
      <c r="E43" s="1304" t="s">
        <v>678</v>
      </c>
      <c r="F43" s="1305"/>
      <c r="G43" s="1331"/>
      <c r="H43" s="1331"/>
      <c r="I43" s="1332"/>
      <c r="J43" s="1333"/>
      <c r="K43" s="1334"/>
      <c r="L43" s="1335"/>
      <c r="M43" s="1336"/>
      <c r="N43" s="1335">
        <f>IF(NOT(ISERROR(MATCH(M43,_xlfn.ANCHORARRAY(F42),0))),#REF!&amp;"Por favor no seleccionar los criterios de impacto",M43)</f>
        <v>0</v>
      </c>
      <c r="O43" s="1334"/>
      <c r="P43" s="1335"/>
      <c r="Q43" s="1337"/>
      <c r="R43" s="1352">
        <v>2</v>
      </c>
      <c r="S43" s="1353" t="s">
        <v>679</v>
      </c>
      <c r="T43" s="1315" t="str">
        <f>IF(OR(U43="Preventivo",U43="Detectivo"),"Probabilidad",IF(U43="Correctivo","Impacto",""))</f>
        <v>Probabilidad</v>
      </c>
      <c r="U43" s="1316" t="s">
        <v>197</v>
      </c>
      <c r="V43" s="1316" t="s">
        <v>191</v>
      </c>
      <c r="W43" s="1317" t="str">
        <f t="shared" ref="W43:W45" si="19">IF(AND(U43="Preventivo",V43="Automático"),"50%",IF(AND(U43="Preventivo",V43="Manual"),"40%",IF(AND(U43="Detectivo",V43="Automático"),"40%",IF(AND(U43="Detectivo",V43="Manual"),"30%",IF(AND(U43="Correctivo",V43="Automático"),"35%",IF(AND(U43="Correctivo",V43="Manual"),"25%",""))))))</f>
        <v>40%</v>
      </c>
      <c r="X43" s="1316" t="s">
        <v>192</v>
      </c>
      <c r="Y43" s="1316" t="s">
        <v>471</v>
      </c>
      <c r="Z43" s="1316" t="s">
        <v>194</v>
      </c>
      <c r="AA43" s="1354">
        <f>IFERROR(IF(AND(T42="Probabilidad",T43="Probabilidad"),(AC42-(+AC42*W43)),IF(AND(T42="Impacto",T43="Probabilidad"),(L42-(+L42*W43)),IF(T43="Impacto",AC42,""))),"")</f>
        <v>0.216</v>
      </c>
      <c r="AB43" s="1355" t="str">
        <f t="shared" ref="AB43:AB45" si="20">IFERROR(IF(AA43="","",IF(AA43&lt;=0.2,"Muy Baja",IF(AA43&lt;=0.4,"Baja",IF(AA43&lt;=0.6,"Media",IF(AA43&lt;=0.8,"Alta","Muy Alta"))))),"")</f>
        <v>Baja</v>
      </c>
      <c r="AC43" s="1356">
        <f t="shared" si="17"/>
        <v>0.216</v>
      </c>
      <c r="AD43" s="1355" t="str">
        <f t="shared" ref="AD43:AD45" si="21">IFERROR(IF(AE43="","",IF(AE43&lt;=0.2,"Leve",IF(AE43&lt;=0.4,"Menor",IF(AE43&lt;=0.6,"Moderado",IF(AE43&lt;=0.8,"Mayor","Catastrófico"))))),"")</f>
        <v>Mayor</v>
      </c>
      <c r="AE43" s="1356">
        <f>IFERROR(IF(AND(T42="Impacto",T43="Impacto"),(AE42-(+AE42*W43)),IF(AND(T42="Probabilidad",T43="Impacto"),(P42-(+P42*W43)),IF(T43="Probabilidad",AE42,""))),"")</f>
        <v>0.8</v>
      </c>
      <c r="AF43" s="1357" t="str">
        <f t="shared" ref="AF43:AF45" si="22">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Alto</v>
      </c>
      <c r="AG43" s="1339"/>
      <c r="AH43" s="1340"/>
      <c r="AI43" s="1340"/>
      <c r="AJ43" s="1341"/>
      <c r="AK43" s="1342"/>
      <c r="AL43" s="1340"/>
      <c r="AM43" s="1343"/>
      <c r="AN43" s="1360"/>
      <c r="AO43" s="1360"/>
      <c r="AP43" s="1360"/>
      <c r="AQ43" s="1361"/>
      <c r="AR43" s="1361"/>
      <c r="AS43" s="1361"/>
    </row>
    <row r="44" spans="1:45" s="1105" customFormat="1" ht="110.4" x14ac:dyDescent="0.25">
      <c r="A44" s="1327"/>
      <c r="B44" s="1340"/>
      <c r="C44" s="1329"/>
      <c r="D44" s="1330"/>
      <c r="E44" s="1304" t="s">
        <v>680</v>
      </c>
      <c r="F44" s="1305"/>
      <c r="G44" s="1331"/>
      <c r="H44" s="1331"/>
      <c r="I44" s="1332"/>
      <c r="J44" s="1333"/>
      <c r="K44" s="1334"/>
      <c r="L44" s="1335"/>
      <c r="M44" s="1336"/>
      <c r="N44" s="1335"/>
      <c r="O44" s="1334"/>
      <c r="P44" s="1335"/>
      <c r="Q44" s="1337"/>
      <c r="R44" s="1352">
        <v>3</v>
      </c>
      <c r="S44" s="1362" t="s">
        <v>681</v>
      </c>
      <c r="T44" s="1315" t="str">
        <f t="shared" ref="T44:T45" si="23">IF(OR(U44="Preventivo",U44="Detectivo"),"Probabilidad",IF(U44="Correctivo","Impacto",""))</f>
        <v>Probabilidad</v>
      </c>
      <c r="U44" s="1316" t="s">
        <v>243</v>
      </c>
      <c r="V44" s="1316" t="s">
        <v>588</v>
      </c>
      <c r="W44" s="1317" t="str">
        <f t="shared" si="19"/>
        <v>40%</v>
      </c>
      <c r="X44" s="1316" t="s">
        <v>198</v>
      </c>
      <c r="Y44" s="1316" t="s">
        <v>193</v>
      </c>
      <c r="Z44" s="1316" t="s">
        <v>194</v>
      </c>
      <c r="AA44" s="1354">
        <f>IFERROR(IF(AND(T43="Probabilidad",T44="Probabilidad"),(AC43-(+AC43*W44)),IF(AND(T43="Impacto",T44="Probabilidad"),(L43-(+L43*W44)),IF(T44="Impacto",AC43,""))),"")</f>
        <v>0.12959999999999999</v>
      </c>
      <c r="AB44" s="1355" t="str">
        <f t="shared" si="20"/>
        <v>Muy Baja</v>
      </c>
      <c r="AC44" s="1356">
        <f t="shared" si="17"/>
        <v>0.12959999999999999</v>
      </c>
      <c r="AD44" s="1355" t="str">
        <f t="shared" si="21"/>
        <v>Mayor</v>
      </c>
      <c r="AE44" s="1356">
        <f>IFERROR(IF(AND(T43="Impacto",T44="Impacto"),(AE43-(+AE43*W44)),IF(AND(T43="Probabilidad",T44="Impacto"),(P43-(+P43*W44)),IF(T44="Probabilidad",AE43,""))),"")</f>
        <v>0.8</v>
      </c>
      <c r="AF44" s="1357" t="str">
        <f t="shared" si="22"/>
        <v>Alto</v>
      </c>
      <c r="AG44" s="1339"/>
      <c r="AH44" s="1340"/>
      <c r="AI44" s="1340"/>
      <c r="AJ44" s="1341"/>
      <c r="AK44" s="1342"/>
      <c r="AL44" s="1340"/>
      <c r="AM44" s="1343"/>
      <c r="AN44" s="1360"/>
      <c r="AO44" s="1360"/>
      <c r="AP44" s="1360"/>
      <c r="AQ44" s="1361"/>
      <c r="AR44" s="1361"/>
      <c r="AS44" s="1361"/>
    </row>
    <row r="45" spans="1:45" s="1105" customFormat="1" ht="69" x14ac:dyDescent="0.25">
      <c r="A45" s="1327"/>
      <c r="B45" s="1340"/>
      <c r="C45" s="1329"/>
      <c r="D45" s="1330"/>
      <c r="E45" s="1304" t="s">
        <v>682</v>
      </c>
      <c r="F45" s="1305"/>
      <c r="G45" s="1346"/>
      <c r="H45" s="1331"/>
      <c r="I45" s="1332"/>
      <c r="J45" s="1333"/>
      <c r="K45" s="1334"/>
      <c r="L45" s="1335"/>
      <c r="M45" s="1336"/>
      <c r="N45" s="1335"/>
      <c r="O45" s="1334"/>
      <c r="P45" s="1335"/>
      <c r="Q45" s="1337"/>
      <c r="R45" s="1352">
        <v>4</v>
      </c>
      <c r="S45" s="1362" t="s">
        <v>683</v>
      </c>
      <c r="T45" s="1315" t="str">
        <f t="shared" si="23"/>
        <v>Probabilidad</v>
      </c>
      <c r="U45" s="1316" t="s">
        <v>197</v>
      </c>
      <c r="V45" s="1316" t="s">
        <v>191</v>
      </c>
      <c r="W45" s="1317" t="str">
        <f t="shared" si="19"/>
        <v>40%</v>
      </c>
      <c r="X45" s="1316" t="s">
        <v>192</v>
      </c>
      <c r="Y45" s="1316" t="s">
        <v>471</v>
      </c>
      <c r="Z45" s="1316" t="s">
        <v>194</v>
      </c>
      <c r="AA45" s="1354">
        <f>IFERROR(IF(AND(T44="Probabilidad",T45="Probabilidad"),(AC44-(+AC44*W45)),IF(AND(T44="Impacto",T45="Probabilidad"),(L44-(+L44*W45)),IF(T45="Impacto",AC44,""))),"")</f>
        <v>7.7759999999999996E-2</v>
      </c>
      <c r="AB45" s="1355" t="str">
        <f t="shared" si="20"/>
        <v>Muy Baja</v>
      </c>
      <c r="AC45" s="1356">
        <f t="shared" si="17"/>
        <v>7.7759999999999996E-2</v>
      </c>
      <c r="AD45" s="1355" t="str">
        <f t="shared" si="21"/>
        <v>Mayor</v>
      </c>
      <c r="AE45" s="1356">
        <f>IFERROR(IF(AND(T44="Impacto",T45="Impacto"),(AE44-(+AE44*W45)),IF(AND(T44="Probabilidad",T45="Impacto"),(P44-(+P44*W45)),IF(T45="Probabilidad",AE44,""))),"")</f>
        <v>0.8</v>
      </c>
      <c r="AF45" s="1357" t="str">
        <f t="shared" si="22"/>
        <v>Alto</v>
      </c>
      <c r="AG45" s="1339"/>
      <c r="AH45" s="1340"/>
      <c r="AI45" s="1340"/>
      <c r="AJ45" s="1349"/>
      <c r="AK45" s="1350"/>
      <c r="AL45" s="1348"/>
      <c r="AM45" s="1351"/>
      <c r="AN45" s="1363"/>
      <c r="AO45" s="1363"/>
      <c r="AP45" s="1363"/>
      <c r="AQ45" s="1364"/>
      <c r="AR45" s="1364"/>
      <c r="AS45" s="1364"/>
    </row>
    <row r="46" spans="1:45" s="1105" customFormat="1" x14ac:dyDescent="0.25">
      <c r="A46" s="1102" t="s">
        <v>148</v>
      </c>
      <c r="B46" s="1103"/>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1103"/>
      <c r="AE46" s="1103"/>
      <c r="AF46" s="1103"/>
      <c r="AG46" s="1103"/>
      <c r="AH46" s="1103"/>
      <c r="AI46" s="1103"/>
      <c r="AJ46" s="1103"/>
      <c r="AK46" s="1103"/>
      <c r="AL46" s="1103"/>
      <c r="AM46" s="1104"/>
    </row>
    <row r="47" spans="1:45" s="1105" customFormat="1" x14ac:dyDescent="0.25">
      <c r="A47" s="1106"/>
      <c r="B47" s="1107"/>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c r="AB47" s="1107"/>
      <c r="AC47" s="1107"/>
      <c r="AD47" s="1107"/>
      <c r="AE47" s="1107"/>
      <c r="AF47" s="1107"/>
      <c r="AG47" s="1107"/>
      <c r="AH47" s="1107"/>
      <c r="AI47" s="1107"/>
      <c r="AJ47" s="1107"/>
      <c r="AK47" s="1107"/>
      <c r="AL47" s="1107"/>
      <c r="AM47" s="1108"/>
    </row>
    <row r="48" spans="1:45" s="1105" customFormat="1" x14ac:dyDescent="0.25">
      <c r="A48" s="1109"/>
      <c r="B48" s="1110"/>
      <c r="C48" s="1109"/>
      <c r="D48" s="1109"/>
      <c r="E48" s="1109"/>
      <c r="F48" s="1111"/>
      <c r="G48" s="1111"/>
      <c r="H48" s="1111"/>
      <c r="I48" s="1112"/>
      <c r="J48" s="1111"/>
      <c r="K48" s="1111"/>
      <c r="L48" s="1111"/>
      <c r="M48" s="1111"/>
      <c r="N48" s="1111"/>
      <c r="O48" s="1111"/>
      <c r="P48" s="1111"/>
      <c r="Q48" s="1111"/>
      <c r="R48" s="1111"/>
      <c r="S48" s="1111"/>
      <c r="T48" s="1111"/>
      <c r="U48" s="1111"/>
      <c r="V48" s="1111"/>
      <c r="W48" s="1111"/>
      <c r="X48" s="1111"/>
      <c r="Y48" s="1111"/>
      <c r="Z48" s="1111"/>
      <c r="AA48" s="1111"/>
      <c r="AB48" s="1111"/>
      <c r="AC48" s="1111"/>
      <c r="AD48" s="1111"/>
      <c r="AE48" s="1111"/>
      <c r="AF48" s="1111"/>
      <c r="AG48" s="1111"/>
      <c r="AH48" s="1111"/>
      <c r="AI48" s="1111"/>
      <c r="AJ48" s="1111"/>
      <c r="AK48" s="1111"/>
      <c r="AL48" s="1111"/>
      <c r="AM48" s="1111"/>
    </row>
    <row r="49" spans="1:39" s="1105" customFormat="1" ht="23.4" x14ac:dyDescent="0.3">
      <c r="A49" s="1113" t="s">
        <v>149</v>
      </c>
      <c r="B49" s="1114"/>
      <c r="C49" s="1115" t="s">
        <v>204</v>
      </c>
      <c r="D49" s="1365"/>
      <c r="E49" s="1365"/>
      <c r="F49" s="1365"/>
      <c r="G49" s="1365"/>
      <c r="H49" s="1365"/>
      <c r="I49" s="1365"/>
      <c r="J49" s="1365"/>
      <c r="K49" s="1365"/>
      <c r="L49" s="1365"/>
      <c r="M49" s="1365"/>
      <c r="N49" s="1365"/>
      <c r="O49" s="1365"/>
      <c r="P49" s="1365"/>
      <c r="Q49" s="1365"/>
      <c r="R49" s="1365"/>
      <c r="S49" s="1365"/>
      <c r="T49" s="1365"/>
      <c r="U49" s="1365"/>
      <c r="V49" s="1365"/>
      <c r="W49" s="1365"/>
      <c r="X49" s="1365"/>
      <c r="Y49" s="1365"/>
      <c r="Z49" s="1365"/>
      <c r="AA49" s="1365"/>
      <c r="AB49" s="1365"/>
      <c r="AC49" s="1365"/>
      <c r="AD49" s="1365"/>
      <c r="AE49" s="1365"/>
      <c r="AF49" s="1365"/>
      <c r="AG49" s="1365"/>
      <c r="AH49" s="1365"/>
      <c r="AI49" s="1365"/>
      <c r="AJ49" s="1365"/>
      <c r="AK49" s="1365"/>
      <c r="AL49" s="1365"/>
      <c r="AM49" s="1366"/>
    </row>
    <row r="50" spans="1:39" s="1105" customFormat="1" ht="23.4" x14ac:dyDescent="0.3">
      <c r="A50" s="1113" t="s">
        <v>150</v>
      </c>
      <c r="B50" s="1114"/>
      <c r="C50" s="1367" t="s">
        <v>205</v>
      </c>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114"/>
      <c r="Z50" s="1114"/>
      <c r="AA50" s="1114"/>
      <c r="AB50" s="1114"/>
      <c r="AC50" s="1114"/>
      <c r="AD50" s="1114"/>
      <c r="AE50" s="1114"/>
      <c r="AF50" s="1114"/>
      <c r="AG50" s="1114"/>
      <c r="AH50" s="1114"/>
      <c r="AI50" s="1114"/>
      <c r="AJ50" s="1114"/>
      <c r="AK50" s="1114"/>
      <c r="AL50" s="1114"/>
      <c r="AM50" s="1116"/>
    </row>
    <row r="51" spans="1:39" s="1105" customFormat="1" ht="23.4" x14ac:dyDescent="0.3">
      <c r="A51" s="1113" t="s">
        <v>151</v>
      </c>
      <c r="B51" s="1114"/>
      <c r="C51" s="1368" t="s">
        <v>206</v>
      </c>
      <c r="D51" s="1369"/>
      <c r="E51" s="1369"/>
      <c r="F51" s="1369"/>
      <c r="G51" s="1369"/>
      <c r="H51" s="1369"/>
      <c r="I51" s="1369"/>
      <c r="J51" s="1369"/>
      <c r="K51" s="1369"/>
      <c r="L51" s="1369"/>
      <c r="M51" s="1369"/>
      <c r="N51" s="1369"/>
      <c r="O51" s="1369"/>
      <c r="P51" s="1369"/>
      <c r="Q51" s="1369"/>
      <c r="R51" s="1369"/>
      <c r="S51" s="1369"/>
      <c r="T51" s="1369"/>
      <c r="U51" s="1369"/>
      <c r="V51" s="1369"/>
      <c r="W51" s="1369"/>
      <c r="X51" s="1369"/>
      <c r="Y51" s="1369"/>
      <c r="Z51" s="1369"/>
      <c r="AA51" s="1369"/>
      <c r="AB51" s="1369"/>
      <c r="AC51" s="1369"/>
      <c r="AD51" s="1369"/>
      <c r="AE51" s="1369"/>
      <c r="AF51" s="1369"/>
      <c r="AG51" s="1369"/>
      <c r="AH51" s="1369"/>
      <c r="AI51" s="1369"/>
      <c r="AJ51" s="1369"/>
      <c r="AK51" s="1369"/>
      <c r="AL51" s="1369"/>
      <c r="AM51" s="1370"/>
    </row>
    <row r="52" spans="1:39" s="1105" customFormat="1" ht="14.4" x14ac:dyDescent="0.3">
      <c r="A52" s="1118" t="s">
        <v>152</v>
      </c>
      <c r="B52" s="1114"/>
      <c r="C52" s="1114"/>
      <c r="D52" s="1114"/>
      <c r="E52" s="1114"/>
      <c r="F52" s="1114"/>
      <c r="G52" s="1114"/>
      <c r="H52" s="1114"/>
      <c r="I52" s="1114"/>
      <c r="J52" s="1116"/>
      <c r="K52" s="1119" t="s">
        <v>153</v>
      </c>
      <c r="L52" s="1120"/>
      <c r="M52" s="1120"/>
      <c r="N52" s="1120"/>
      <c r="O52" s="1120"/>
      <c r="P52" s="1120"/>
      <c r="Q52" s="1121"/>
      <c r="R52" s="1119" t="s">
        <v>154</v>
      </c>
      <c r="S52" s="1120"/>
      <c r="T52" s="1120"/>
      <c r="U52" s="1120"/>
      <c r="V52" s="1120"/>
      <c r="W52" s="1120"/>
      <c r="X52" s="1120"/>
      <c r="Y52" s="1120"/>
      <c r="Z52" s="1121"/>
      <c r="AA52" s="1119" t="s">
        <v>155</v>
      </c>
      <c r="AB52" s="1120"/>
      <c r="AC52" s="1120"/>
      <c r="AD52" s="1120"/>
      <c r="AE52" s="1120"/>
      <c r="AF52" s="1120"/>
      <c r="AG52" s="1121"/>
      <c r="AH52" s="1119" t="s">
        <v>156</v>
      </c>
      <c r="AI52" s="1120"/>
      <c r="AJ52" s="1120"/>
      <c r="AK52" s="1120"/>
      <c r="AL52" s="1120"/>
      <c r="AM52" s="1121"/>
    </row>
    <row r="53" spans="1:39" s="1105" customFormat="1" ht="14.4" customHeight="1" x14ac:dyDescent="0.3">
      <c r="A53" s="1122" t="s">
        <v>157</v>
      </c>
      <c r="B53" s="1123" t="s">
        <v>141</v>
      </c>
      <c r="C53" s="1124" t="s">
        <v>158</v>
      </c>
      <c r="D53" s="1124" t="s">
        <v>159</v>
      </c>
      <c r="E53" s="1125" t="s">
        <v>160</v>
      </c>
      <c r="F53" s="1126" t="s">
        <v>60</v>
      </c>
      <c r="G53" s="1127"/>
      <c r="H53" s="1127"/>
      <c r="I53" s="1125" t="s">
        <v>161</v>
      </c>
      <c r="J53" s="1124" t="s">
        <v>162</v>
      </c>
      <c r="K53" s="1124" t="s">
        <v>163</v>
      </c>
      <c r="L53" s="1128" t="s">
        <v>164</v>
      </c>
      <c r="M53" s="1125" t="s">
        <v>165</v>
      </c>
      <c r="N53" s="1125" t="s">
        <v>166</v>
      </c>
      <c r="O53" s="1129" t="s">
        <v>167</v>
      </c>
      <c r="P53" s="1128" t="s">
        <v>164</v>
      </c>
      <c r="Q53" s="1124" t="s">
        <v>168</v>
      </c>
      <c r="R53" s="1130" t="s">
        <v>169</v>
      </c>
      <c r="S53" s="1125" t="s">
        <v>170</v>
      </c>
      <c r="T53" s="1282" t="s">
        <v>171</v>
      </c>
      <c r="U53" s="1131" t="s">
        <v>172</v>
      </c>
      <c r="V53" s="1114"/>
      <c r="W53" s="1114"/>
      <c r="X53" s="1114"/>
      <c r="Y53" s="1114"/>
      <c r="Z53" s="1116"/>
      <c r="AA53" s="1130" t="s">
        <v>173</v>
      </c>
      <c r="AB53" s="1130" t="s">
        <v>174</v>
      </c>
      <c r="AC53" s="1130" t="s">
        <v>164</v>
      </c>
      <c r="AD53" s="1130" t="s">
        <v>175</v>
      </c>
      <c r="AE53" s="1130" t="s">
        <v>164</v>
      </c>
      <c r="AF53" s="1130" t="s">
        <v>176</v>
      </c>
      <c r="AG53" s="1130" t="s">
        <v>177</v>
      </c>
      <c r="AH53" s="1125" t="s">
        <v>156</v>
      </c>
      <c r="AI53" s="1125" t="s">
        <v>142</v>
      </c>
      <c r="AJ53" s="1125" t="s">
        <v>178</v>
      </c>
      <c r="AK53" s="1125" t="s">
        <v>179</v>
      </c>
      <c r="AL53" s="1125" t="s">
        <v>180</v>
      </c>
      <c r="AM53" s="1371" t="s">
        <v>181</v>
      </c>
    </row>
    <row r="54" spans="1:39" s="1105" customFormat="1" ht="72.599999999999994" customHeight="1" x14ac:dyDescent="0.25">
      <c r="A54" s="1132"/>
      <c r="B54" s="1132"/>
      <c r="C54" s="1132"/>
      <c r="D54" s="1132"/>
      <c r="E54" s="1133"/>
      <c r="F54" s="1133"/>
      <c r="G54" s="1127" t="s">
        <v>201</v>
      </c>
      <c r="H54" s="1127" t="s">
        <v>182</v>
      </c>
      <c r="I54" s="1132"/>
      <c r="J54" s="1132"/>
      <c r="K54" s="1132"/>
      <c r="L54" s="1134"/>
      <c r="M54" s="1132"/>
      <c r="N54" s="1132"/>
      <c r="O54" s="1134"/>
      <c r="P54" s="1134"/>
      <c r="Q54" s="1132"/>
      <c r="R54" s="1132"/>
      <c r="S54" s="1132"/>
      <c r="T54" s="1281"/>
      <c r="U54" s="1135" t="s">
        <v>183</v>
      </c>
      <c r="V54" s="1135" t="s">
        <v>184</v>
      </c>
      <c r="W54" s="1135" t="s">
        <v>185</v>
      </c>
      <c r="X54" s="1135" t="s">
        <v>186</v>
      </c>
      <c r="Y54" s="1135" t="s">
        <v>187</v>
      </c>
      <c r="Z54" s="1135" t="s">
        <v>188</v>
      </c>
      <c r="AA54" s="1132"/>
      <c r="AB54" s="1132"/>
      <c r="AC54" s="1132"/>
      <c r="AD54" s="1132"/>
      <c r="AE54" s="1132"/>
      <c r="AF54" s="1132"/>
      <c r="AG54" s="1132"/>
      <c r="AH54" s="1132"/>
      <c r="AI54" s="1132"/>
      <c r="AJ54" s="1132"/>
      <c r="AK54" s="1132"/>
      <c r="AL54" s="1132"/>
      <c r="AM54" s="1134"/>
    </row>
    <row r="55" spans="1:39" s="1105" customFormat="1" ht="124.8" x14ac:dyDescent="0.25">
      <c r="A55" s="1136">
        <v>1</v>
      </c>
      <c r="B55" s="1137" t="s">
        <v>199</v>
      </c>
      <c r="C55" s="1137" t="s">
        <v>209</v>
      </c>
      <c r="D55" s="1137" t="s">
        <v>210</v>
      </c>
      <c r="E55" s="1372" t="s">
        <v>211</v>
      </c>
      <c r="F55" s="1137" t="s">
        <v>212</v>
      </c>
      <c r="G55" s="1137" t="s">
        <v>202</v>
      </c>
      <c r="H55" s="1373" t="s">
        <v>213</v>
      </c>
      <c r="I55" s="1374" t="s">
        <v>190</v>
      </c>
      <c r="J55" s="1141">
        <v>365</v>
      </c>
      <c r="K55" s="1142" t="str">
        <f>IF(J55&lt;=0,"",IF(J55&lt;=2,"Muy Baja",IF(J55&lt;=L1026,"Baja",IF(J55&lt;=500,"Media",IF(J55&lt;=5000,"Alta","Muy Alta")))))</f>
        <v>Media</v>
      </c>
      <c r="L55" s="1143">
        <f>IF(K55="","",IF(K55="Muy Baja",0.2,IF(K55="Baja",0.4,IF(K55="Media",0.6,IF(K55="Alta",0.8,IF(K55="Muy Alta",1,))))))</f>
        <v>0.6</v>
      </c>
      <c r="M55" s="1143" t="s">
        <v>214</v>
      </c>
      <c r="N55" s="1143" t="str">
        <f>IF(NOT(ISERROR(MATCH(M55,'[21]Tabla Impacto'!$B$221:$B$223,0))),'[21]Tabla Impacto'!$F$223&amp;"Por favor no seleccionar los criterios de impacto(Afectación Económica o presupuestal y Pérdida Reputacional)",M55)</f>
        <v xml:space="preserve">     El riesgo afecta la imagen de de la entidad con efecto publicitario sostenido a nivel de sector administrativo, nivel departamental o municipal</v>
      </c>
      <c r="O55" s="1142" t="str">
        <f>IF(OR(N55='[21]Tabla Impacto'!$C$11,N55='[21]Tabla Impacto'!$D$11),"Leve",IF(OR(N55='[21]Tabla Impacto'!$C$12,N55='[21]Tabla Impacto'!$D$12),"Menor",IF(OR(N55='[21]Tabla Impacto'!$C$13,N55='[21]Tabla Impacto'!$D$13),"Moderado",IF(OR(N55='[21]Tabla Impacto'!$C$14,N55='[21]Tabla Impacto'!$D$14),"Mayor",IF(OR(N55='[21]Tabla Impacto'!$C$15,N55='[21]Tabla Impacto'!$D$15),"Catastrófico","")))))</f>
        <v>Mayor</v>
      </c>
      <c r="P55" s="1143">
        <f>IF(O55="","",IF(O55="Leve",0.2,IF(O55="Menor",0.4,IF(O55="Moderado",0.6,IF(O55="Mayor",0.8,IF(O55="Catastrófico",1,))))))</f>
        <v>0.8</v>
      </c>
      <c r="Q55" s="1144"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Alto</v>
      </c>
      <c r="R55" s="1145">
        <v>1</v>
      </c>
      <c r="S55" s="1375" t="s">
        <v>215</v>
      </c>
      <c r="T55" s="1376" t="str">
        <f>IF(OR(U55="Preventivo",U55="Detectivo"),"Probabilidad",IF(U55="Correctivo","Impacto",""))</f>
        <v>Probabilidad</v>
      </c>
      <c r="U55" s="1377" t="s">
        <v>197</v>
      </c>
      <c r="V55" s="1377" t="s">
        <v>191</v>
      </c>
      <c r="W55" s="1378" t="str">
        <f>IF(AND(U55="Preventivo",V55="Automático"),"50%",IF(AND(U55="Preventivo",V55="Manual"),"40%",IF(AND(U55="Detectivo",V55="Automático"),"40%",IF(AND(U55="Detectivo",V55="Manual"),"30%",IF(AND(U55="Correctivo",V55="Automático"),"35%",IF(AND(U55="Correctivo",V55="Manual"),"25%",""))))))</f>
        <v>40%</v>
      </c>
      <c r="X55" s="1377" t="s">
        <v>198</v>
      </c>
      <c r="Y55" s="1377" t="s">
        <v>193</v>
      </c>
      <c r="Z55" s="1377" t="s">
        <v>194</v>
      </c>
      <c r="AA55" s="1379">
        <f>IFERROR(IF(T55="Probabilidad",(L55-(+L55*W55)),IF(T55="Impacto",L55,"")),"")</f>
        <v>0.36</v>
      </c>
      <c r="AB55" s="1380" t="str">
        <f>IFERROR(IF(AA55="","",IF(AA55&lt;=0.2,"Muy Baja",IF(AA55&lt;=0.4,"Baja",IF(AA55&lt;=0.6,"Media",IF(AA55&lt;=0.8,"Alta","Muy Alta"))))),"")</f>
        <v>Baja</v>
      </c>
      <c r="AC55" s="1378">
        <f>+AA55</f>
        <v>0.36</v>
      </c>
      <c r="AD55" s="1380" t="str">
        <f>IFERROR(IF(AE55="","",IF(AE55&lt;=0.2,"Leve",IF(AE55&lt;=0.4,"Menor",IF(AE55&lt;=0.6,"Moderado",IF(AE55&lt;=0.8,"Mayor","Catastrófico"))))),"")</f>
        <v>Mayor</v>
      </c>
      <c r="AE55" s="1378">
        <f>IFERROR(IF(T55="Impacto",(P55-(+P55*W55)),IF(T55="Probabilidad",P55,"")),"")</f>
        <v>0.8</v>
      </c>
      <c r="AF55" s="1381" t="str">
        <f>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Alto</v>
      </c>
      <c r="AG55" s="1377" t="s">
        <v>195</v>
      </c>
      <c r="AH55" s="1154" t="s">
        <v>216</v>
      </c>
      <c r="AI55" s="1154" t="s">
        <v>217</v>
      </c>
      <c r="AJ55" s="1382">
        <v>45412</v>
      </c>
      <c r="AK55" s="1382">
        <v>45534</v>
      </c>
      <c r="AL55" s="1154" t="s">
        <v>218</v>
      </c>
      <c r="AM55" s="1154" t="s">
        <v>196</v>
      </c>
    </row>
    <row r="56" spans="1:39" s="1105" customFormat="1" ht="27.6" x14ac:dyDescent="0.25">
      <c r="A56" s="1133"/>
      <c r="B56" s="1133"/>
      <c r="C56" s="1133"/>
      <c r="D56" s="1133"/>
      <c r="E56" s="1383" t="s">
        <v>221</v>
      </c>
      <c r="F56" s="1132"/>
      <c r="G56" s="1133"/>
      <c r="H56" s="1373"/>
      <c r="I56" s="1384"/>
      <c r="J56" s="1133"/>
      <c r="K56" s="1133"/>
      <c r="L56" s="1133"/>
      <c r="M56" s="1133"/>
      <c r="N56" s="1385"/>
      <c r="O56" s="1159"/>
      <c r="P56" s="1133"/>
      <c r="Q56" s="1160"/>
      <c r="R56" s="1145">
        <v>2</v>
      </c>
      <c r="S56" s="1386"/>
      <c r="T56" s="1132"/>
      <c r="U56" s="1132"/>
      <c r="V56" s="1132"/>
      <c r="W56" s="1132"/>
      <c r="X56" s="1132"/>
      <c r="Y56" s="1132"/>
      <c r="Z56" s="1132"/>
      <c r="AA56" s="1132"/>
      <c r="AB56" s="1132"/>
      <c r="AC56" s="1132"/>
      <c r="AD56" s="1132"/>
      <c r="AE56" s="1132"/>
      <c r="AF56" s="1132"/>
      <c r="AG56" s="1132"/>
      <c r="AH56" s="1387"/>
      <c r="AI56" s="1387"/>
      <c r="AJ56" s="1388"/>
      <c r="AK56" s="1388"/>
      <c r="AL56" s="1387"/>
      <c r="AM56" s="1387"/>
    </row>
    <row r="57" spans="1:39" s="1105" customFormat="1" ht="69" x14ac:dyDescent="0.25">
      <c r="A57" s="1389">
        <v>2</v>
      </c>
      <c r="B57" s="1390" t="s">
        <v>199</v>
      </c>
      <c r="C57" s="1390" t="s">
        <v>209</v>
      </c>
      <c r="D57" s="1390" t="s">
        <v>224</v>
      </c>
      <c r="E57" s="1391" t="s">
        <v>225</v>
      </c>
      <c r="F57" s="1392" t="s">
        <v>226</v>
      </c>
      <c r="G57" s="1390" t="s">
        <v>202</v>
      </c>
      <c r="H57" s="1393" t="s">
        <v>227</v>
      </c>
      <c r="I57" s="1390" t="s">
        <v>190</v>
      </c>
      <c r="J57" s="1394">
        <v>365</v>
      </c>
      <c r="K57" s="1142" t="str">
        <f>IF(J57&lt;=0,"",IF(J57&lt;=2,"Muy Baja",IF(J57&lt;=L1028,"Baja",IF(J57&lt;=500,"Media",IF(J57&lt;=5000,"Alta","Muy Alta")))))</f>
        <v>Media</v>
      </c>
      <c r="L57" s="1143">
        <f>IF(K57="","",IF(K57="Muy Baja",0.2,IF(K57="Baja",0.4,IF(K57="Media",0.6,IF(K57="Alta",0.8,IF(K57="Muy Alta",1,))))))</f>
        <v>0.6</v>
      </c>
      <c r="M57" s="1385" t="s">
        <v>200</v>
      </c>
      <c r="N57" s="1385"/>
      <c r="O57" s="1159"/>
      <c r="P57" s="1395"/>
      <c r="Q57" s="1160"/>
      <c r="R57" s="1145">
        <v>3</v>
      </c>
      <c r="S57" s="1396" t="s">
        <v>228</v>
      </c>
      <c r="T57" s="1397" t="str">
        <f>IF(OR(U57="Preventivo",U57="Detectivo"),"Probabilidad",IF(U57="Correctivo","Impacto",""))</f>
        <v>Probabilidad</v>
      </c>
      <c r="U57" s="1377" t="s">
        <v>197</v>
      </c>
      <c r="V57" s="1377" t="s">
        <v>191</v>
      </c>
      <c r="W57" s="1378" t="str">
        <f>IF(AND(U57="Preventivo",V57="Automático"),"50%",IF(AND(U57="Preventivo",V57="Manual"),"40%",IF(AND(U57="Detectivo",V57="Automático"),"40%",IF(AND(U57="Detectivo",V57="Manual"),"30%",IF(AND(U57="Correctivo",V57="Automático"),"35%",IF(AND(U57="Correctivo",V57="Manual"),"25%",""))))))</f>
        <v>40%</v>
      </c>
      <c r="X57" s="1377" t="s">
        <v>192</v>
      </c>
      <c r="Y57" s="1377" t="s">
        <v>193</v>
      </c>
      <c r="Z57" s="1377" t="s">
        <v>194</v>
      </c>
      <c r="AA57" s="1149" t="str">
        <f t="shared" ref="AA57:AA60" si="24">IFERROR(IF(AND(T56="Probabilidad",T57="Probabilidad"),(AC56-(+AC56*W57)),IF(AND(T56="Impacto",T57="Probabilidad"),(AC55-(+AC55*W57)),IF(T57="Impacto",AC56,""))),"")</f>
        <v/>
      </c>
      <c r="AB57" s="1150" t="str">
        <f t="shared" ref="AB57:AB61" si="25">IFERROR(IF(AA57="","",IF(AA57&lt;=0.2,"Muy Baja",IF(AA57&lt;=0.4,"Baja",IF(AA57&lt;=0.6,"Media",IF(AA57&lt;=0.8,"Alta","Muy Alta"))))),"")</f>
        <v/>
      </c>
      <c r="AC57" s="1151" t="str">
        <f t="shared" ref="AC57:AC61" si="26">+AA57</f>
        <v/>
      </c>
      <c r="AD57" s="1150" t="str">
        <f t="shared" ref="AD57:AD61" si="27">IFERROR(IF(AE57="","",IF(AE57&lt;=0.2,"Leve",IF(AE57&lt;=0.4,"Menor",IF(AE57&lt;=0.6,"Moderado",IF(AE57&lt;=0.8,"Mayor","Catastrófico"))))),"")</f>
        <v>Leve</v>
      </c>
      <c r="AE57" s="1151">
        <f t="shared" ref="AE57:AE60" si="28">IFERROR(IF(AND(T56="Impacto",T57="Impacto"),(AE56-(+AE56*W57)),IF(AND(T56="Probabilidad",T57="Impacto"),(AE55-(+AE55*W57)),IF(T57="Probabilidad",AE56,""))),"")</f>
        <v>0</v>
      </c>
      <c r="AF57" s="1152" t="str">
        <f t="shared" ref="AF57:AF61" si="29">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398"/>
      <c r="AH57" s="1399" t="s">
        <v>229</v>
      </c>
      <c r="AI57" s="1400" t="s">
        <v>230</v>
      </c>
      <c r="AJ57" s="1382">
        <v>45412</v>
      </c>
      <c r="AK57" s="1382">
        <v>45534</v>
      </c>
      <c r="AL57" s="1401" t="s">
        <v>231</v>
      </c>
      <c r="AM57" s="1401" t="s">
        <v>196</v>
      </c>
    </row>
    <row r="58" spans="1:39" s="1105" customFormat="1" ht="55.2" x14ac:dyDescent="0.25">
      <c r="A58" s="1389"/>
      <c r="B58" s="1390"/>
      <c r="C58" s="1390"/>
      <c r="D58" s="1390"/>
      <c r="E58" s="1391" t="s">
        <v>234</v>
      </c>
      <c r="F58" s="1132"/>
      <c r="G58" s="1133"/>
      <c r="H58" s="1132"/>
      <c r="I58" s="1133"/>
      <c r="J58" s="1133"/>
      <c r="K58" s="1133"/>
      <c r="L58" s="1133"/>
      <c r="M58" s="1133"/>
      <c r="N58" s="1385"/>
      <c r="O58" s="1159"/>
      <c r="P58" s="1395"/>
      <c r="Q58" s="1160"/>
      <c r="R58" s="1145">
        <v>4</v>
      </c>
      <c r="S58" s="1396" t="s">
        <v>235</v>
      </c>
      <c r="T58" s="1132"/>
      <c r="U58" s="1132"/>
      <c r="V58" s="1132"/>
      <c r="W58" s="1132"/>
      <c r="X58" s="1132"/>
      <c r="Y58" s="1132"/>
      <c r="Z58" s="1132"/>
      <c r="AA58" s="1149" t="str">
        <f t="shared" si="24"/>
        <v/>
      </c>
      <c r="AB58" s="1150" t="str">
        <f t="shared" si="25"/>
        <v/>
      </c>
      <c r="AC58" s="1151" t="str">
        <f t="shared" si="26"/>
        <v/>
      </c>
      <c r="AD58" s="1150" t="str">
        <f t="shared" si="27"/>
        <v/>
      </c>
      <c r="AE58" s="1151" t="str">
        <f t="shared" si="28"/>
        <v/>
      </c>
      <c r="AF58" s="1152" t="str">
        <f t="shared" si="29"/>
        <v/>
      </c>
      <c r="AG58" s="1398"/>
      <c r="AH58" s="1132"/>
      <c r="AI58" s="1132"/>
      <c r="AJ58" s="1388"/>
      <c r="AK58" s="1388"/>
      <c r="AL58" s="1402"/>
      <c r="AM58" s="1402"/>
    </row>
    <row r="59" spans="1:39" s="1105" customFormat="1" ht="82.8" x14ac:dyDescent="0.25">
      <c r="A59" s="1389"/>
      <c r="B59" s="1390" t="s">
        <v>199</v>
      </c>
      <c r="C59" s="1390" t="s">
        <v>236</v>
      </c>
      <c r="D59" s="1390" t="s">
        <v>237</v>
      </c>
      <c r="E59" s="1403" t="s">
        <v>238</v>
      </c>
      <c r="F59" s="1393" t="s">
        <v>239</v>
      </c>
      <c r="G59" s="1404" t="s">
        <v>203</v>
      </c>
      <c r="H59" s="1392" t="s">
        <v>240</v>
      </c>
      <c r="I59" s="1390" t="s">
        <v>190</v>
      </c>
      <c r="J59" s="1394">
        <v>365</v>
      </c>
      <c r="K59" s="1142" t="str">
        <f>IF(J59&lt;=0,"",IF(J59&lt;=2,"Muy Baja",IF(J59&lt;=L1030,"Baja",IF(J59&lt;=500,"Media",IF(J59&lt;=5000,"Alta","Muy Alta")))))</f>
        <v>Media</v>
      </c>
      <c r="L59" s="1143">
        <f>IF(K59="","",IF(K59="Muy Baja",0.2,IF(K59="Baja",0.4,IF(K59="Media",0.6,IF(K59="Alta",0.8,IF(K59="Muy Alta",1,))))))</f>
        <v>0.6</v>
      </c>
      <c r="M59" s="1385" t="s">
        <v>241</v>
      </c>
      <c r="N59" s="1385"/>
      <c r="O59" s="1159"/>
      <c r="P59" s="1395"/>
      <c r="Q59" s="1160"/>
      <c r="R59" s="1145">
        <v>5</v>
      </c>
      <c r="S59" s="1396" t="s">
        <v>242</v>
      </c>
      <c r="T59" s="1145" t="str">
        <f t="shared" ref="T59:T61" si="30">IF(OR(U59="Preventivo",U59="Detectivo"),"Probabilidad",IF(U59="Correctivo","Impacto",""))</f>
        <v>Probabilidad</v>
      </c>
      <c r="U59" s="1147" t="s">
        <v>243</v>
      </c>
      <c r="V59" s="1147" t="s">
        <v>191</v>
      </c>
      <c r="W59" s="1148" t="str">
        <f t="shared" ref="W59:W61" si="31">IF(AND(U59="Preventivo",V59="Automático"),"50%",IF(AND(U59="Preventivo",V59="Manual"),"40%",IF(AND(U59="Detectivo",V59="Automático"),"40%",IF(AND(U59="Detectivo",V59="Manual"),"30%",IF(AND(U59="Correctivo",V59="Automático"),"35%",IF(AND(U59="Correctivo",V59="Manual"),"25%",""))))))</f>
        <v>30%</v>
      </c>
      <c r="X59" s="1147" t="s">
        <v>198</v>
      </c>
      <c r="Y59" s="1147" t="s">
        <v>193</v>
      </c>
      <c r="Z59" s="1147" t="s">
        <v>194</v>
      </c>
      <c r="AA59" s="1149" t="str">
        <f t="shared" si="24"/>
        <v/>
      </c>
      <c r="AB59" s="1150" t="str">
        <f t="shared" si="25"/>
        <v/>
      </c>
      <c r="AC59" s="1151" t="str">
        <f t="shared" si="26"/>
        <v/>
      </c>
      <c r="AD59" s="1150" t="str">
        <f t="shared" si="27"/>
        <v/>
      </c>
      <c r="AE59" s="1151" t="str">
        <f t="shared" si="28"/>
        <v/>
      </c>
      <c r="AF59" s="1152" t="str">
        <f t="shared" si="29"/>
        <v/>
      </c>
      <c r="AG59" s="1398"/>
      <c r="AH59" s="1405" t="s">
        <v>244</v>
      </c>
      <c r="AI59" s="1405" t="s">
        <v>245</v>
      </c>
      <c r="AJ59" s="1406" t="s">
        <v>246</v>
      </c>
      <c r="AK59" s="1406">
        <v>45534</v>
      </c>
      <c r="AL59" s="1407" t="s">
        <v>231</v>
      </c>
      <c r="AM59" s="1407" t="s">
        <v>196</v>
      </c>
    </row>
    <row r="60" spans="1:39" s="1105" customFormat="1" ht="82.8" x14ac:dyDescent="0.25">
      <c r="A60" s="1408"/>
      <c r="B60" s="1133"/>
      <c r="C60" s="1133"/>
      <c r="D60" s="1133"/>
      <c r="E60" s="1409" t="s">
        <v>249</v>
      </c>
      <c r="F60" s="1133"/>
      <c r="G60" s="1133"/>
      <c r="H60" s="1133"/>
      <c r="I60" s="1133"/>
      <c r="J60" s="1133"/>
      <c r="K60" s="1133"/>
      <c r="L60" s="1133"/>
      <c r="M60" s="1133"/>
      <c r="N60" s="1385"/>
      <c r="O60" s="1159"/>
      <c r="P60" s="1410"/>
      <c r="Q60" s="1160"/>
      <c r="R60" s="1145">
        <v>6</v>
      </c>
      <c r="S60" s="1396" t="s">
        <v>250</v>
      </c>
      <c r="T60" s="1145" t="str">
        <f t="shared" si="30"/>
        <v/>
      </c>
      <c r="U60" s="1147"/>
      <c r="V60" s="1147"/>
      <c r="W60" s="1148" t="str">
        <f t="shared" si="31"/>
        <v/>
      </c>
      <c r="X60" s="1147"/>
      <c r="Y60" s="1147"/>
      <c r="Z60" s="1147"/>
      <c r="AA60" s="1149" t="str">
        <f t="shared" si="24"/>
        <v/>
      </c>
      <c r="AB60" s="1150" t="str">
        <f t="shared" si="25"/>
        <v/>
      </c>
      <c r="AC60" s="1151" t="str">
        <f t="shared" si="26"/>
        <v/>
      </c>
      <c r="AD60" s="1150" t="str">
        <f t="shared" si="27"/>
        <v/>
      </c>
      <c r="AE60" s="1151" t="str">
        <f t="shared" si="28"/>
        <v/>
      </c>
      <c r="AF60" s="1152" t="str">
        <f t="shared" si="29"/>
        <v/>
      </c>
      <c r="AG60" s="1398"/>
      <c r="AH60" s="1405"/>
      <c r="AI60" s="1145"/>
      <c r="AJ60" s="1411"/>
      <c r="AK60" s="1411"/>
      <c r="AL60" s="1405"/>
      <c r="AM60" s="1145"/>
    </row>
    <row r="61" spans="1:39" s="1105" customFormat="1" ht="62.4" customHeight="1" x14ac:dyDescent="0.25">
      <c r="A61" s="1412"/>
      <c r="B61" s="1133"/>
      <c r="C61" s="1133"/>
      <c r="D61" s="1133"/>
      <c r="E61" s="1413" t="s">
        <v>251</v>
      </c>
      <c r="F61" s="1132"/>
      <c r="G61" s="1133"/>
      <c r="H61" s="1132"/>
      <c r="I61" s="1133"/>
      <c r="J61" s="1133"/>
      <c r="K61" s="1133"/>
      <c r="L61" s="1133"/>
      <c r="M61" s="1133"/>
      <c r="N61" s="1385"/>
      <c r="O61" s="1159"/>
      <c r="P61" s="1414" t="str">
        <f>IF(O59="","",IF(O59="Leve",0.2,IF(O59="Menor",0.4,IF(O59="Moderado",0.6,IF(O59="Mayor",0.8,IF(O59="Catastrófico",1,))))))</f>
        <v/>
      </c>
      <c r="Q61" s="1160"/>
      <c r="R61" s="1145">
        <v>1</v>
      </c>
      <c r="S61" s="1396" t="s">
        <v>252</v>
      </c>
      <c r="T61" s="1145" t="str">
        <f t="shared" si="30"/>
        <v/>
      </c>
      <c r="U61" s="1147"/>
      <c r="V61" s="1147"/>
      <c r="W61" s="1148" t="str">
        <f t="shared" si="31"/>
        <v/>
      </c>
      <c r="X61" s="1147"/>
      <c r="Y61" s="1147"/>
      <c r="Z61" s="1147"/>
      <c r="AA61" s="1149" t="str">
        <f>IFERROR(IF(T61="Probabilidad",(L61-(+L61*W61)),IF(T61="Impacto",L61,"")),"")</f>
        <v/>
      </c>
      <c r="AB61" s="1150" t="str">
        <f t="shared" si="25"/>
        <v/>
      </c>
      <c r="AC61" s="1151" t="str">
        <f t="shared" si="26"/>
        <v/>
      </c>
      <c r="AD61" s="1150" t="str">
        <f t="shared" si="27"/>
        <v/>
      </c>
      <c r="AE61" s="1151" t="str">
        <f>IFERROR(IF(T61="Impacto",(P61-(+P61*W61)),IF(T61="Probabilidad",P61,"")),"")</f>
        <v/>
      </c>
      <c r="AF61" s="1152" t="str">
        <f t="shared" si="29"/>
        <v/>
      </c>
      <c r="AG61" s="1398"/>
      <c r="AH61" s="1405"/>
      <c r="AI61" s="1145"/>
      <c r="AJ61" s="1411"/>
      <c r="AK61" s="1411"/>
      <c r="AL61" s="1405"/>
      <c r="AM61" s="1145"/>
    </row>
    <row r="62" spans="1:39" s="1105" customFormat="1" x14ac:dyDescent="0.25">
      <c r="A62" s="1415" t="s">
        <v>148</v>
      </c>
      <c r="B62" s="1416"/>
      <c r="C62" s="1416"/>
      <c r="D62" s="1416"/>
      <c r="E62" s="1416"/>
      <c r="F62" s="1416"/>
      <c r="G62" s="1416"/>
      <c r="H62" s="1416"/>
      <c r="I62" s="1416"/>
      <c r="J62" s="1416"/>
      <c r="K62" s="1416"/>
      <c r="L62" s="1416"/>
      <c r="M62" s="1416"/>
      <c r="N62" s="1416"/>
      <c r="O62" s="1416"/>
      <c r="P62" s="1416"/>
      <c r="Q62" s="1416"/>
      <c r="R62" s="1416"/>
      <c r="S62" s="1416"/>
      <c r="T62" s="1416"/>
      <c r="U62" s="1416"/>
      <c r="V62" s="1416"/>
      <c r="W62" s="1416"/>
      <c r="X62" s="1416"/>
      <c r="Y62" s="1416"/>
      <c r="Z62" s="1416"/>
      <c r="AA62" s="1416"/>
      <c r="AB62" s="1416"/>
      <c r="AC62" s="1416"/>
      <c r="AD62" s="1416"/>
      <c r="AE62" s="1416"/>
      <c r="AF62" s="1416"/>
      <c r="AG62" s="1416"/>
      <c r="AH62" s="1416"/>
      <c r="AI62" s="1416"/>
      <c r="AJ62" s="1416"/>
      <c r="AK62" s="1416"/>
      <c r="AL62" s="1416"/>
      <c r="AM62" s="1417"/>
    </row>
    <row r="63" spans="1:39" s="1105" customFormat="1" x14ac:dyDescent="0.25">
      <c r="A63" s="1418"/>
      <c r="B63" s="1419"/>
      <c r="C63" s="1419"/>
      <c r="D63" s="1419"/>
      <c r="E63" s="1419"/>
      <c r="F63" s="1419"/>
      <c r="G63" s="1419"/>
      <c r="H63" s="1419"/>
      <c r="I63" s="1419"/>
      <c r="J63" s="1419"/>
      <c r="K63" s="1419"/>
      <c r="L63" s="1419"/>
      <c r="M63" s="1419"/>
      <c r="N63" s="1419"/>
      <c r="O63" s="1419"/>
      <c r="P63" s="1419"/>
      <c r="Q63" s="1419"/>
      <c r="R63" s="1419"/>
      <c r="S63" s="1419"/>
      <c r="T63" s="1419"/>
      <c r="U63" s="1419"/>
      <c r="V63" s="1419"/>
      <c r="W63" s="1419"/>
      <c r="X63" s="1419"/>
      <c r="Y63" s="1419"/>
      <c r="Z63" s="1419"/>
      <c r="AA63" s="1419"/>
      <c r="AB63" s="1419"/>
      <c r="AC63" s="1419"/>
      <c r="AD63" s="1419"/>
      <c r="AE63" s="1419"/>
      <c r="AF63" s="1419"/>
      <c r="AG63" s="1419"/>
      <c r="AH63" s="1419"/>
      <c r="AI63" s="1419"/>
      <c r="AJ63" s="1419"/>
      <c r="AK63" s="1419"/>
      <c r="AL63" s="1419"/>
      <c r="AM63" s="1420"/>
    </row>
    <row r="64" spans="1:39" s="1105" customFormat="1" x14ac:dyDescent="0.25">
      <c r="A64" s="1421"/>
      <c r="B64" s="1422"/>
      <c r="C64" s="1421"/>
      <c r="D64" s="1421"/>
      <c r="E64" s="1421"/>
      <c r="F64" s="1423"/>
      <c r="G64" s="1423"/>
      <c r="H64" s="1423"/>
      <c r="I64" s="1424"/>
      <c r="J64" s="1423"/>
      <c r="K64" s="1423"/>
      <c r="L64" s="1423"/>
      <c r="M64" s="1423"/>
      <c r="N64" s="1423"/>
      <c r="O64" s="1423"/>
      <c r="P64" s="1423"/>
      <c r="Q64" s="1423"/>
      <c r="R64" s="1423"/>
      <c r="S64" s="1423"/>
      <c r="T64" s="1423"/>
      <c r="U64" s="1423"/>
      <c r="V64" s="1423"/>
      <c r="W64" s="1423"/>
      <c r="X64" s="1423"/>
      <c r="Y64" s="1423"/>
      <c r="Z64" s="1423"/>
      <c r="AA64" s="1423"/>
      <c r="AB64" s="1423"/>
      <c r="AC64" s="1423"/>
      <c r="AD64" s="1423"/>
      <c r="AE64" s="1423"/>
      <c r="AF64" s="1423"/>
      <c r="AG64" s="1423"/>
      <c r="AH64" s="1423"/>
      <c r="AI64" s="1423"/>
      <c r="AJ64" s="1423"/>
      <c r="AK64" s="1423"/>
      <c r="AL64" s="1423"/>
      <c r="AM64" s="1423"/>
    </row>
    <row r="65" spans="1:39" s="1105" customFormat="1" ht="23.4" x14ac:dyDescent="0.25">
      <c r="A65" s="1425" t="s">
        <v>149</v>
      </c>
      <c r="B65" s="1426"/>
      <c r="C65" s="1427" t="s">
        <v>749</v>
      </c>
      <c r="D65" s="1427"/>
      <c r="E65" s="1427"/>
      <c r="F65" s="1427"/>
      <c r="G65" s="1427"/>
      <c r="H65" s="1427"/>
      <c r="I65" s="1427"/>
      <c r="J65" s="1427"/>
      <c r="K65" s="1427"/>
      <c r="L65" s="1427"/>
      <c r="M65" s="1427"/>
      <c r="N65" s="1427"/>
      <c r="O65" s="1427"/>
      <c r="P65" s="1427"/>
      <c r="Q65" s="1427"/>
      <c r="R65" s="1427"/>
      <c r="S65" s="1427"/>
      <c r="T65" s="1427"/>
      <c r="U65" s="1427"/>
      <c r="V65" s="1427"/>
      <c r="W65" s="1427"/>
      <c r="X65" s="1427"/>
      <c r="Y65" s="1427"/>
      <c r="Z65" s="1427"/>
      <c r="AA65" s="1427"/>
      <c r="AB65" s="1427"/>
      <c r="AC65" s="1427"/>
      <c r="AD65" s="1427"/>
      <c r="AE65" s="1427"/>
      <c r="AF65" s="1427"/>
      <c r="AG65" s="1427"/>
      <c r="AH65" s="1427"/>
      <c r="AI65" s="1427"/>
      <c r="AJ65" s="1427"/>
      <c r="AK65" s="1427"/>
      <c r="AL65" s="1427"/>
      <c r="AM65" s="1427"/>
    </row>
    <row r="66" spans="1:39" s="1105" customFormat="1" ht="23.4" x14ac:dyDescent="0.25">
      <c r="A66" s="1425" t="s">
        <v>150</v>
      </c>
      <c r="B66" s="1426"/>
      <c r="C66" s="1428" t="s">
        <v>750</v>
      </c>
      <c r="D66" s="1428"/>
      <c r="E66" s="1428"/>
      <c r="F66" s="1428"/>
      <c r="G66" s="1428"/>
      <c r="H66" s="1428"/>
      <c r="I66" s="1428"/>
      <c r="J66" s="1428"/>
      <c r="K66" s="1428"/>
      <c r="L66" s="1428"/>
      <c r="M66" s="1428"/>
      <c r="N66" s="1428"/>
      <c r="O66" s="1428"/>
      <c r="P66" s="1428"/>
      <c r="Q66" s="1428"/>
      <c r="R66" s="1428"/>
      <c r="S66" s="1428"/>
      <c r="T66" s="1428"/>
      <c r="U66" s="1428"/>
      <c r="V66" s="1428"/>
      <c r="W66" s="1428"/>
      <c r="X66" s="1428"/>
      <c r="Y66" s="1428"/>
      <c r="Z66" s="1428"/>
      <c r="AA66" s="1428"/>
      <c r="AB66" s="1428"/>
      <c r="AC66" s="1428"/>
      <c r="AD66" s="1428"/>
      <c r="AE66" s="1428"/>
      <c r="AF66" s="1428"/>
      <c r="AG66" s="1428"/>
      <c r="AH66" s="1428"/>
      <c r="AI66" s="1428"/>
      <c r="AJ66" s="1428"/>
      <c r="AK66" s="1428"/>
      <c r="AL66" s="1428"/>
      <c r="AM66" s="1428"/>
    </row>
    <row r="67" spans="1:39" s="1105" customFormat="1" ht="23.4" x14ac:dyDescent="0.25">
      <c r="A67" s="1425" t="s">
        <v>151</v>
      </c>
      <c r="B67" s="1426"/>
      <c r="C67" s="1428" t="s">
        <v>751</v>
      </c>
      <c r="D67" s="1428"/>
      <c r="E67" s="1428"/>
      <c r="F67" s="1428"/>
      <c r="G67" s="1428"/>
      <c r="H67" s="1428"/>
      <c r="I67" s="1428"/>
      <c r="J67" s="1428"/>
      <c r="K67" s="1428"/>
      <c r="L67" s="1428"/>
      <c r="M67" s="1428"/>
      <c r="N67" s="1428"/>
      <c r="O67" s="1428"/>
      <c r="P67" s="1428"/>
      <c r="Q67" s="1428"/>
      <c r="R67" s="1428"/>
      <c r="S67" s="1428"/>
      <c r="T67" s="1428"/>
      <c r="U67" s="1428"/>
      <c r="V67" s="1428"/>
      <c r="W67" s="1428"/>
      <c r="X67" s="1428"/>
      <c r="Y67" s="1428"/>
      <c r="Z67" s="1428"/>
      <c r="AA67" s="1428"/>
      <c r="AB67" s="1428"/>
      <c r="AC67" s="1428"/>
      <c r="AD67" s="1428"/>
      <c r="AE67" s="1428"/>
      <c r="AF67" s="1428"/>
      <c r="AG67" s="1428"/>
      <c r="AH67" s="1428"/>
      <c r="AI67" s="1428"/>
      <c r="AJ67" s="1428"/>
      <c r="AK67" s="1428"/>
      <c r="AL67" s="1428"/>
      <c r="AM67" s="1428"/>
    </row>
    <row r="68" spans="1:39" s="1105" customFormat="1" x14ac:dyDescent="0.25">
      <c r="A68" s="1429" t="s">
        <v>152</v>
      </c>
      <c r="B68" s="1430"/>
      <c r="C68" s="1431"/>
      <c r="D68" s="1431"/>
      <c r="E68" s="1431"/>
      <c r="F68" s="1431"/>
      <c r="G68" s="1431"/>
      <c r="H68" s="1431"/>
      <c r="I68" s="1431"/>
      <c r="J68" s="1432"/>
      <c r="K68" s="1433" t="s">
        <v>153</v>
      </c>
      <c r="L68" s="1431"/>
      <c r="M68" s="1431"/>
      <c r="N68" s="1431"/>
      <c r="O68" s="1431"/>
      <c r="P68" s="1431"/>
      <c r="Q68" s="1432"/>
      <c r="R68" s="1433" t="s">
        <v>154</v>
      </c>
      <c r="S68" s="1431"/>
      <c r="T68" s="1431"/>
      <c r="U68" s="1431"/>
      <c r="V68" s="1431"/>
      <c r="W68" s="1431"/>
      <c r="X68" s="1431"/>
      <c r="Y68" s="1431"/>
      <c r="Z68" s="1432"/>
      <c r="AA68" s="1433" t="s">
        <v>155</v>
      </c>
      <c r="AB68" s="1431"/>
      <c r="AC68" s="1431"/>
      <c r="AD68" s="1431"/>
      <c r="AE68" s="1431"/>
      <c r="AF68" s="1431"/>
      <c r="AG68" s="1432"/>
      <c r="AH68" s="1433" t="s">
        <v>156</v>
      </c>
      <c r="AI68" s="1431"/>
      <c r="AJ68" s="1431"/>
      <c r="AK68" s="1431"/>
      <c r="AL68" s="1431"/>
      <c r="AM68" s="1432"/>
    </row>
    <row r="69" spans="1:39" s="1105" customFormat="1" x14ac:dyDescent="0.25">
      <c r="A69" s="1434" t="s">
        <v>157</v>
      </c>
      <c r="B69" s="1435" t="s">
        <v>141</v>
      </c>
      <c r="C69" s="1436" t="s">
        <v>158</v>
      </c>
      <c r="D69" s="1436" t="s">
        <v>159</v>
      </c>
      <c r="E69" s="1437" t="s">
        <v>160</v>
      </c>
      <c r="F69" s="1438" t="s">
        <v>60</v>
      </c>
      <c r="G69" s="1438" t="s">
        <v>201</v>
      </c>
      <c r="H69" s="1439"/>
      <c r="I69" s="1437" t="s">
        <v>161</v>
      </c>
      <c r="J69" s="1436" t="s">
        <v>162</v>
      </c>
      <c r="K69" s="1440" t="s">
        <v>163</v>
      </c>
      <c r="L69" s="1441" t="s">
        <v>164</v>
      </c>
      <c r="M69" s="1437" t="s">
        <v>165</v>
      </c>
      <c r="N69" s="1437" t="s">
        <v>166</v>
      </c>
      <c r="O69" s="1442" t="s">
        <v>167</v>
      </c>
      <c r="P69" s="1441" t="s">
        <v>164</v>
      </c>
      <c r="Q69" s="1436" t="s">
        <v>168</v>
      </c>
      <c r="R69" s="1443" t="s">
        <v>169</v>
      </c>
      <c r="S69" s="1444" t="s">
        <v>170</v>
      </c>
      <c r="T69" s="1437" t="s">
        <v>171</v>
      </c>
      <c r="U69" s="1444" t="s">
        <v>172</v>
      </c>
      <c r="V69" s="1444"/>
      <c r="W69" s="1444"/>
      <c r="X69" s="1444"/>
      <c r="Y69" s="1444"/>
      <c r="Z69" s="1444"/>
      <c r="AA69" s="1445" t="s">
        <v>173</v>
      </c>
      <c r="AB69" s="1445" t="s">
        <v>174</v>
      </c>
      <c r="AC69" s="1445" t="s">
        <v>164</v>
      </c>
      <c r="AD69" s="1445" t="s">
        <v>175</v>
      </c>
      <c r="AE69" s="1445" t="s">
        <v>164</v>
      </c>
      <c r="AF69" s="1445" t="s">
        <v>176</v>
      </c>
      <c r="AG69" s="1443" t="s">
        <v>177</v>
      </c>
      <c r="AH69" s="1444" t="s">
        <v>156</v>
      </c>
      <c r="AI69" s="1444" t="s">
        <v>142</v>
      </c>
      <c r="AJ69" s="1444" t="s">
        <v>178</v>
      </c>
      <c r="AK69" s="1444" t="s">
        <v>179</v>
      </c>
      <c r="AL69" s="1444" t="s">
        <v>180</v>
      </c>
      <c r="AM69" s="1444" t="s">
        <v>181</v>
      </c>
    </row>
    <row r="70" spans="1:39" s="1105" customFormat="1" ht="70.2" x14ac:dyDescent="0.25">
      <c r="A70" s="1446"/>
      <c r="B70" s="1435"/>
      <c r="C70" s="1444"/>
      <c r="D70" s="1444"/>
      <c r="E70" s="1440"/>
      <c r="F70" s="1447"/>
      <c r="G70" s="1447"/>
      <c r="H70" s="1439" t="s">
        <v>182</v>
      </c>
      <c r="I70" s="1436"/>
      <c r="J70" s="1444"/>
      <c r="K70" s="1436"/>
      <c r="L70" s="1433"/>
      <c r="M70" s="1436"/>
      <c r="N70" s="1436"/>
      <c r="O70" s="1433"/>
      <c r="P70" s="1433"/>
      <c r="Q70" s="1444"/>
      <c r="R70" s="1448"/>
      <c r="S70" s="1444"/>
      <c r="T70" s="1436"/>
      <c r="U70" s="1449" t="s">
        <v>183</v>
      </c>
      <c r="V70" s="1449" t="s">
        <v>184</v>
      </c>
      <c r="W70" s="1449" t="s">
        <v>185</v>
      </c>
      <c r="X70" s="1449" t="s">
        <v>186</v>
      </c>
      <c r="Y70" s="1449" t="s">
        <v>187</v>
      </c>
      <c r="Z70" s="1449" t="s">
        <v>188</v>
      </c>
      <c r="AA70" s="1445"/>
      <c r="AB70" s="1445"/>
      <c r="AC70" s="1445"/>
      <c r="AD70" s="1445"/>
      <c r="AE70" s="1445"/>
      <c r="AF70" s="1445"/>
      <c r="AG70" s="1448"/>
      <c r="AH70" s="1444"/>
      <c r="AI70" s="1444"/>
      <c r="AJ70" s="1444"/>
      <c r="AK70" s="1444"/>
      <c r="AL70" s="1444"/>
      <c r="AM70" s="1444"/>
    </row>
    <row r="71" spans="1:39" s="1105" customFormat="1" ht="76.8" x14ac:dyDescent="0.25">
      <c r="A71" s="1450">
        <v>1</v>
      </c>
      <c r="B71" s="1451" t="s">
        <v>199</v>
      </c>
      <c r="C71" s="1451" t="s">
        <v>752</v>
      </c>
      <c r="D71" s="1452" t="s">
        <v>753</v>
      </c>
      <c r="E71" s="1453" t="s">
        <v>754</v>
      </c>
      <c r="F71" s="1454" t="s">
        <v>755</v>
      </c>
      <c r="G71" s="1455" t="s">
        <v>202</v>
      </c>
      <c r="H71" s="1454" t="s">
        <v>756</v>
      </c>
      <c r="I71" s="1456" t="s">
        <v>190</v>
      </c>
      <c r="J71" s="1457">
        <v>360</v>
      </c>
      <c r="K71" s="1458" t="str">
        <f>IF(J71&lt;=0,"",IF(J71&lt;=2,"Muy Baja",IF(J71&lt;=24,"Baja",IF(J71&lt;=500,"Media",IF(J71&lt;=5000,"Alta","Muy Alta")))))</f>
        <v>Media</v>
      </c>
      <c r="L71" s="1459">
        <f>IF(K71="","",IF(K71="Muy Baja",0.2,IF(K71="Baja",0.4,IF(K71="Media",0.6,IF(K71="Alta",0.8,IF(K71="Muy Alta",1,))))))</f>
        <v>0.6</v>
      </c>
      <c r="M71" s="1460" t="s">
        <v>757</v>
      </c>
      <c r="N71" s="1459" t="str">
        <f>IF(NOT(ISERROR(MATCH(M71,'[22]Tabla Impacto'!$B$221:$B$223,0))),'[22]Tabla Impacto'!$F$223&amp;"Por favor no seleccionar los criterios de impacto(Afectación Económica o presupuestal y Pérdida Reputacional)",M71)</f>
        <v xml:space="preserve">     El riesgo afecta la imagen de la entidad a nivel nacional, con efecto publicitarios sostenible a nivel país</v>
      </c>
      <c r="O71" s="1458" t="str">
        <f>IF(OR(N71='[22]Tabla Impacto'!$C$11,N71='[22]Tabla Impacto'!$D$11),"Leve",IF(OR(N71='[22]Tabla Impacto'!$C$12,N71='[22]Tabla Impacto'!$D$12),"Menor",IF(OR(N71='[22]Tabla Impacto'!$C$13,N71='[22]Tabla Impacto'!$D$13),"Moderado",IF(OR(N71='[22]Tabla Impacto'!$C$14,N71='[22]Tabla Impacto'!$D$14),"Mayor",IF(OR(N71='[22]Tabla Impacto'!$C$15,N71='[22]Tabla Impacto'!$D$15),"Catastrófico","")))))</f>
        <v>Catastrófico</v>
      </c>
      <c r="P71" s="1459">
        <f>IF(O71="","",IF(O71="Leve",0.2,IF(O71="Menor",0.4,IF(O71="Moderado",0.6,IF(O71="Mayor",0.8,IF(O71="Catastrófico",1,))))))</f>
        <v>1</v>
      </c>
      <c r="Q71" s="1461" t="str">
        <f>IF(OR(AND(K71="Muy Baja",O71="Leve"),AND(K71="Muy Baja",O71="Menor"),AND(K71="Baja",O71="Leve")),"Bajo",IF(OR(AND(K71="Muy baja",O71="Moderado"),AND(K71="Baja",O71="Menor"),AND(K71="Baja",O71="Moderado"),AND(K71="Media",O71="Leve"),AND(K71="Media",O71="Menor"),AND(K71="Media",O71="Moderado"),AND(K71="Alta",O71="Leve"),AND(K71="Alta",O71="Menor")),"Moderado",IF(OR(AND(K71="Muy Baja",O71="Mayor"),AND(K71="Baja",O71="Mayor"),AND(K71="Media",O71="Mayor"),AND(K71="Alta",O71="Moderado"),AND(K71="Alta",O71="Mayor"),AND(K71="Muy Alta",O71="Leve"),AND(K71="Muy Alta",O71="Menor"),AND(K71="Muy Alta",O71="Moderado"),AND(K71="Muy Alta",O71="Mayor")),"Alto",IF(OR(AND(K71="Muy Baja",O71="Catastrófico"),AND(K71="Baja",O71="Catastrófico"),AND(K71="Media",O71="Catastrófico"),AND(K71="Alta",O71="Catastrófico"),AND(K71="Muy Alta",O71="Catastrófico")),"Extremo",""))))</f>
        <v>Extremo</v>
      </c>
      <c r="R71" s="1462">
        <v>1</v>
      </c>
      <c r="S71" s="1463" t="s">
        <v>758</v>
      </c>
      <c r="T71" s="1464" t="str">
        <f>IF(OR(U71="Preventivo",U71="Detectivo"),"Probabilidad",IF(U71="Correctivo","Impacto",""))</f>
        <v>Probabilidad</v>
      </c>
      <c r="U71" s="1465" t="s">
        <v>243</v>
      </c>
      <c r="V71" s="1465" t="s">
        <v>191</v>
      </c>
      <c r="W71" s="1466" t="str">
        <f>IF(AND(U71="Preventivo",V71="Automático"),"50%",IF(AND(U71="Preventivo",V71="Manual"),"40%",IF(AND(U71="Detectivo",V71="Automático"),"40%",IF(AND(U71="Detectivo",V71="Manual"),"30%",IF(AND(U71="Correctivo",V71="Automático"),"35%",IF(AND(U71="Correctivo",V71="Manual"),"25%",""))))))</f>
        <v>30%</v>
      </c>
      <c r="X71" s="1465" t="s">
        <v>192</v>
      </c>
      <c r="Y71" s="1465" t="s">
        <v>193</v>
      </c>
      <c r="Z71" s="1465" t="s">
        <v>194</v>
      </c>
      <c r="AA71" s="1467">
        <f>IFERROR(IF(T71="Probabilidad",(L71-(+L71*W71)),IF(T71="Impacto",L71,"")),"")</f>
        <v>0.42</v>
      </c>
      <c r="AB71" s="1468" t="str">
        <f>IFERROR(IF(AA71="","",IF(AA71&lt;=0.2,"Muy Baja",IF(AA71&lt;=0.4,"Baja",IF(AA71&lt;=0.6,"Media",IF(AA71&lt;=0.8,"Alta","Muy Alta"))))),"")</f>
        <v>Media</v>
      </c>
      <c r="AC71" s="1469">
        <f>+AA71</f>
        <v>0.42</v>
      </c>
      <c r="AD71" s="1468" t="str">
        <f>IFERROR(IF(AE71="","",IF(AE71&lt;=0.2,"Leve",IF(AE71&lt;=0.4,"Menor",IF(AE71&lt;=0.6,"Moderado",IF(AE71&lt;=0.8,"Mayor","Catastrófico"))))),"")</f>
        <v>Catastrófico</v>
      </c>
      <c r="AE71" s="1469">
        <f>IFERROR(IF(T71="Impacto",(P71-(+P71*W71)),IF(T71="Probabilidad",P71,"")),"")</f>
        <v>1</v>
      </c>
      <c r="AF71" s="1470" t="str">
        <f>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Extremo</v>
      </c>
      <c r="AG71" s="1471"/>
      <c r="AH71" s="1451" t="s">
        <v>759</v>
      </c>
      <c r="AI71" s="1457" t="s">
        <v>760</v>
      </c>
      <c r="AJ71" s="1472">
        <v>45444</v>
      </c>
      <c r="AK71" s="1472" t="s">
        <v>761</v>
      </c>
      <c r="AL71" s="1473" t="s">
        <v>762</v>
      </c>
      <c r="AM71" s="1474" t="s">
        <v>196</v>
      </c>
    </row>
    <row r="72" spans="1:39" s="1105" customFormat="1" ht="67.8" x14ac:dyDescent="0.25">
      <c r="A72" s="1475"/>
      <c r="B72" s="1476"/>
      <c r="C72" s="1476"/>
      <c r="D72" s="1477"/>
      <c r="E72" s="1478"/>
      <c r="F72" s="1454"/>
      <c r="G72" s="1455"/>
      <c r="H72" s="1454"/>
      <c r="I72" s="1479"/>
      <c r="J72" s="1480"/>
      <c r="K72" s="1481"/>
      <c r="L72" s="1482"/>
      <c r="M72" s="1483"/>
      <c r="N72" s="1482">
        <f>IF(NOT(ISERROR(MATCH(M72,_xlfn.ANCHORARRAY(#REF!),0))),#REF!&amp;"Por favor no seleccionar los criterios de impacto",M72)</f>
        <v>0</v>
      </c>
      <c r="O72" s="1481"/>
      <c r="P72" s="1482"/>
      <c r="Q72" s="1484"/>
      <c r="R72" s="1462">
        <v>2</v>
      </c>
      <c r="S72" s="1485" t="s">
        <v>763</v>
      </c>
      <c r="T72" s="1464" t="str">
        <f t="shared" ref="T72:T75" si="32">IF(OR(U72="Preventivo",U72="Detectivo"),"Probabilidad",IF(U72="Correctivo","Impacto",""))</f>
        <v>Probabilidad</v>
      </c>
      <c r="U72" s="1465" t="s">
        <v>243</v>
      </c>
      <c r="V72" s="1465" t="s">
        <v>191</v>
      </c>
      <c r="W72" s="1466" t="str">
        <f t="shared" ref="W72:W75" si="33">IF(AND(U72="Preventivo",V72="Automático"),"50%",IF(AND(U72="Preventivo",V72="Manual"),"40%",IF(AND(U72="Detectivo",V72="Automático"),"40%",IF(AND(U72="Detectivo",V72="Manual"),"30%",IF(AND(U72="Correctivo",V72="Automático"),"35%",IF(AND(U72="Correctivo",V72="Manual"),"25%",""))))))</f>
        <v>30%</v>
      </c>
      <c r="X72" s="1465" t="s">
        <v>198</v>
      </c>
      <c r="Y72" s="1465" t="s">
        <v>193</v>
      </c>
      <c r="Z72" s="1465" t="s">
        <v>194</v>
      </c>
      <c r="AA72" s="1467">
        <f>IFERROR(IF(AND(T71="Probabilidad",T72="Probabilidad"),(AC71-(+AC71*W72)),IF(AND(T71="Impacto",T72="Probabilidad"),(AC70-(+AC70*W72)),IF(T72="Impacto",AC71,""))),"")</f>
        <v>0.29399999999999998</v>
      </c>
      <c r="AB72" s="1468" t="str">
        <f t="shared" ref="AB72:AB74" si="34">IFERROR(IF(AA72="","",IF(AA72&lt;=0.2,"Muy Baja",IF(AA72&lt;=0.4,"Baja",IF(AA72&lt;=0.6,"Media",IF(AA72&lt;=0.8,"Alta","Muy Alta"))))),"")</f>
        <v>Baja</v>
      </c>
      <c r="AC72" s="1469">
        <f t="shared" ref="AC72:AC75" si="35">+AA72</f>
        <v>0.29399999999999998</v>
      </c>
      <c r="AD72" s="1486" t="str">
        <f t="shared" ref="AD72:AD74" si="36">IFERROR(IF(AE72="","",IF(AE72&lt;=0.2,"Leve",IF(AE72&lt;=0.4,"Menor",IF(AE72&lt;=0.6,"Moderado",IF(AE72&lt;=0.8,"Mayor","Catastrófico"))))),"")</f>
        <v>Catastrófico</v>
      </c>
      <c r="AE72" s="1487">
        <f>IFERROR(IF(AND(T71="Impacto",T72="Impacto"),(AE71-(+AE71*W72)),IF(AND(T71="Probabilidad",T72="Impacto"),(AE70-(+AE70*W72)),IF(T72="Probabilidad",AE71,""))),"")</f>
        <v>1</v>
      </c>
      <c r="AF72" s="1470" t="str">
        <f t="shared" ref="AF72:AF74" si="37">IFERROR(IF(OR(AND(AB72="Muy Baja",AD72="Leve"),AND(AB72="Muy Baja",AD72="Menor"),AND(AB72="Baja",AD72="Leve")),"Bajo",IF(OR(AND(AB72="Muy baja",AD72="Moderado"),AND(AB72="Baja",AD72="Menor"),AND(AB72="Baja",AD72="Moderado"),AND(AB72="Media",AD72="Leve"),AND(AB72="Media",AD72="Menor"),AND(AB72="Media",AD72="Moderado"),AND(AB72="Alta",AD72="Leve"),AND(AB72="Alta",AD72="Menor")),"Moderado",IF(OR(AND(AB72="Muy Baja",AD72="Mayor"),AND(AB72="Baja",AD72="Mayor"),AND(AB72="Media",AD72="Mayor"),AND(AB72="Alta",AD72="Moderado"),AND(AB72="Alta",AD72="Mayor"),AND(AB72="Muy Alta",AD72="Leve"),AND(AB72="Muy Alta",AD72="Menor"),AND(AB72="Muy Alta",AD72="Moderado"),AND(AB72="Muy Alta",AD72="Mayor")),"Alto",IF(OR(AND(AB72="Muy Baja",AD72="Catastrófico"),AND(AB72="Baja",AD72="Catastrófico"),AND(AB72="Media",AD72="Catastrófico"),AND(AB72="Alta",AD72="Catastrófico"),AND(AB72="Muy Alta",AD72="Catastrófico")),"Extremo","")))),"")</f>
        <v>Extremo</v>
      </c>
      <c r="AG72" s="1471"/>
      <c r="AH72" s="1476"/>
      <c r="AI72" s="1480"/>
      <c r="AJ72" s="1488"/>
      <c r="AK72" s="1488"/>
      <c r="AL72" s="1463" t="s">
        <v>764</v>
      </c>
      <c r="AM72" s="1489" t="s">
        <v>196</v>
      </c>
    </row>
    <row r="73" spans="1:39" s="1105" customFormat="1" ht="67.8" x14ac:dyDescent="0.25">
      <c r="A73" s="1475"/>
      <c r="B73" s="1476"/>
      <c r="C73" s="1476"/>
      <c r="D73" s="1477"/>
      <c r="E73" s="1490" t="s">
        <v>765</v>
      </c>
      <c r="F73" s="1454"/>
      <c r="G73" s="1455"/>
      <c r="H73" s="1454"/>
      <c r="I73" s="1479"/>
      <c r="J73" s="1480"/>
      <c r="K73" s="1481"/>
      <c r="L73" s="1482"/>
      <c r="M73" s="1483"/>
      <c r="N73" s="1482">
        <f>IF(NOT(ISERROR(MATCH(M73,_xlfn.ANCHORARRAY(#REF!),0))),#REF!&amp;"Por favor no seleccionar los criterios de impacto",M73)</f>
        <v>0</v>
      </c>
      <c r="O73" s="1481"/>
      <c r="P73" s="1482"/>
      <c r="Q73" s="1484"/>
      <c r="R73" s="1462">
        <v>3</v>
      </c>
      <c r="S73" s="1489" t="s">
        <v>766</v>
      </c>
      <c r="T73" s="1464" t="str">
        <f t="shared" si="32"/>
        <v>Probabilidad</v>
      </c>
      <c r="U73" s="1465" t="s">
        <v>197</v>
      </c>
      <c r="V73" s="1465" t="s">
        <v>191</v>
      </c>
      <c r="W73" s="1466" t="str">
        <f t="shared" si="33"/>
        <v>40%</v>
      </c>
      <c r="X73" s="1465" t="s">
        <v>198</v>
      </c>
      <c r="Y73" s="1465" t="s">
        <v>193</v>
      </c>
      <c r="Z73" s="1465" t="s">
        <v>194</v>
      </c>
      <c r="AA73" s="1467">
        <f t="shared" ref="AA73:AA75" si="38">IFERROR(IF(AND(T72="Probabilidad",T73="Probabilidad"),(AC72-(+AC72*W73)),IF(AND(T72="Impacto",T73="Probabilidad"),(AC71-(+AC71*W73)),IF(T73="Impacto",AC72,""))),"")</f>
        <v>0.1764</v>
      </c>
      <c r="AB73" s="1468" t="str">
        <f t="shared" si="34"/>
        <v>Muy Baja</v>
      </c>
      <c r="AC73" s="1469">
        <f t="shared" si="35"/>
        <v>0.1764</v>
      </c>
      <c r="AD73" s="1486" t="str">
        <f t="shared" si="36"/>
        <v>Catastrófico</v>
      </c>
      <c r="AE73" s="1487">
        <f t="shared" ref="AE73:AE75" si="39">IFERROR(IF(AND(T72="Impacto",T73="Impacto"),(AE72-(+AE72*W73)),IF(AND(T72="Probabilidad",T73="Impacto"),(AE71-(+AE71*W73)),IF(T73="Probabilidad",AE72,""))),"")</f>
        <v>1</v>
      </c>
      <c r="AF73" s="1470" t="str">
        <f t="shared" si="37"/>
        <v>Extremo</v>
      </c>
      <c r="AG73" s="1471"/>
      <c r="AH73" s="1491"/>
      <c r="AI73" s="1492"/>
      <c r="AJ73" s="1493"/>
      <c r="AK73" s="1493"/>
      <c r="AL73" s="1463"/>
      <c r="AM73" s="1489"/>
    </row>
    <row r="74" spans="1:39" s="1105" customFormat="1" ht="67.8" x14ac:dyDescent="0.25">
      <c r="A74" s="1475"/>
      <c r="B74" s="1476"/>
      <c r="C74" s="1476"/>
      <c r="D74" s="1477"/>
      <c r="E74" s="1490" t="s">
        <v>767</v>
      </c>
      <c r="F74" s="1454"/>
      <c r="G74" s="1455"/>
      <c r="H74" s="1454"/>
      <c r="I74" s="1479"/>
      <c r="J74" s="1480"/>
      <c r="K74" s="1481"/>
      <c r="L74" s="1482"/>
      <c r="M74" s="1483"/>
      <c r="N74" s="1482">
        <f>IF(NOT(ISERROR(MATCH(M74,_xlfn.ANCHORARRAY(#REF!),0))),#REF!&amp;"Por favor no seleccionar los criterios de impacto",M74)</f>
        <v>0</v>
      </c>
      <c r="O74" s="1481"/>
      <c r="P74" s="1482"/>
      <c r="Q74" s="1484"/>
      <c r="R74" s="1462">
        <v>4</v>
      </c>
      <c r="S74" s="1494" t="s">
        <v>768</v>
      </c>
      <c r="T74" s="1464" t="str">
        <f t="shared" si="32"/>
        <v>Impacto</v>
      </c>
      <c r="U74" s="1465" t="s">
        <v>379</v>
      </c>
      <c r="V74" s="1465" t="s">
        <v>191</v>
      </c>
      <c r="W74" s="1466" t="str">
        <f t="shared" si="33"/>
        <v>25%</v>
      </c>
      <c r="X74" s="1465" t="s">
        <v>198</v>
      </c>
      <c r="Y74" s="1465" t="s">
        <v>471</v>
      </c>
      <c r="Z74" s="1465" t="s">
        <v>194</v>
      </c>
      <c r="AA74" s="1467">
        <f t="shared" si="38"/>
        <v>0.1764</v>
      </c>
      <c r="AB74" s="1468" t="str">
        <f t="shared" si="34"/>
        <v>Muy Baja</v>
      </c>
      <c r="AC74" s="1469">
        <f t="shared" si="35"/>
        <v>0.1764</v>
      </c>
      <c r="AD74" s="1486" t="str">
        <f t="shared" si="36"/>
        <v>Mayor</v>
      </c>
      <c r="AE74" s="1487">
        <f t="shared" si="39"/>
        <v>0.75</v>
      </c>
      <c r="AF74" s="1470" t="str">
        <f t="shared" si="37"/>
        <v>Alto</v>
      </c>
      <c r="AG74" s="1471"/>
      <c r="AH74" s="1495" t="s">
        <v>769</v>
      </c>
      <c r="AI74" s="1463" t="s">
        <v>760</v>
      </c>
      <c r="AJ74" s="1496"/>
      <c r="AK74" s="1497" t="s">
        <v>770</v>
      </c>
      <c r="AL74" s="1463" t="s">
        <v>771</v>
      </c>
      <c r="AM74" s="1489" t="s">
        <v>196</v>
      </c>
    </row>
    <row r="75" spans="1:39" s="1105" customFormat="1" ht="67.8" x14ac:dyDescent="0.25">
      <c r="A75" s="1475"/>
      <c r="B75" s="1476"/>
      <c r="C75" s="1476"/>
      <c r="D75" s="1477"/>
      <c r="E75" s="1498" t="s">
        <v>772</v>
      </c>
      <c r="F75" s="1454"/>
      <c r="G75" s="1455"/>
      <c r="H75" s="1454"/>
      <c r="I75" s="1479"/>
      <c r="J75" s="1480"/>
      <c r="K75" s="1481"/>
      <c r="L75" s="1482"/>
      <c r="M75" s="1483"/>
      <c r="N75" s="1482">
        <f>IF(NOT(ISERROR(MATCH(M75,_xlfn.ANCHORARRAY(#REF!),0))),#REF!&amp;"Por favor no seleccionar los criterios de impacto",M75)</f>
        <v>0</v>
      </c>
      <c r="O75" s="1481"/>
      <c r="P75" s="1482"/>
      <c r="Q75" s="1484"/>
      <c r="R75" s="1462">
        <v>5</v>
      </c>
      <c r="S75" s="1485" t="s">
        <v>773</v>
      </c>
      <c r="T75" s="1464" t="str">
        <f t="shared" si="32"/>
        <v>Probabilidad</v>
      </c>
      <c r="U75" s="1465" t="s">
        <v>197</v>
      </c>
      <c r="V75" s="1465" t="s">
        <v>191</v>
      </c>
      <c r="W75" s="1466" t="str">
        <f t="shared" si="33"/>
        <v>40%</v>
      </c>
      <c r="X75" s="1465" t="s">
        <v>198</v>
      </c>
      <c r="Y75" s="1465" t="s">
        <v>193</v>
      </c>
      <c r="Z75" s="1465" t="s">
        <v>194</v>
      </c>
      <c r="AA75" s="1467">
        <f t="shared" si="38"/>
        <v>0.10584</v>
      </c>
      <c r="AB75" s="1468" t="s">
        <v>774</v>
      </c>
      <c r="AC75" s="1469">
        <f t="shared" si="35"/>
        <v>0.10584</v>
      </c>
      <c r="AD75" s="1486" t="s">
        <v>775</v>
      </c>
      <c r="AE75" s="1487">
        <f t="shared" si="39"/>
        <v>0.75</v>
      </c>
      <c r="AF75" s="1470" t="s">
        <v>776</v>
      </c>
      <c r="AG75" s="1471"/>
      <c r="AH75" s="1463" t="s">
        <v>777</v>
      </c>
      <c r="AI75" s="1463" t="s">
        <v>778</v>
      </c>
      <c r="AJ75" s="1497"/>
      <c r="AK75" s="1497" t="s">
        <v>779</v>
      </c>
      <c r="AL75" s="1463" t="s">
        <v>780</v>
      </c>
      <c r="AM75" s="1489" t="s">
        <v>685</v>
      </c>
    </row>
    <row r="76" spans="1:39" s="1105" customFormat="1" x14ac:dyDescent="0.25">
      <c r="A76" s="1109"/>
      <c r="B76" s="1110"/>
      <c r="C76" s="1109"/>
      <c r="D76" s="1109"/>
      <c r="E76" s="1109"/>
      <c r="F76" s="1111"/>
      <c r="G76" s="1111"/>
      <c r="H76" s="1111"/>
      <c r="I76" s="1112"/>
      <c r="J76" s="1111"/>
      <c r="K76" s="1111"/>
      <c r="L76" s="1111"/>
      <c r="M76" s="1111"/>
      <c r="N76" s="1111"/>
      <c r="O76" s="1111"/>
      <c r="P76" s="1111"/>
      <c r="Q76" s="1111"/>
      <c r="R76" s="1111"/>
      <c r="S76" s="1111"/>
      <c r="T76" s="1111"/>
      <c r="U76" s="1111"/>
      <c r="V76" s="1111"/>
      <c r="W76" s="1111"/>
      <c r="X76" s="1111"/>
      <c r="Y76" s="1111"/>
      <c r="Z76" s="1111"/>
      <c r="AA76" s="1111"/>
      <c r="AB76" s="1111"/>
      <c r="AC76" s="1111"/>
      <c r="AD76" s="1111"/>
      <c r="AE76" s="1111"/>
      <c r="AF76" s="1111"/>
      <c r="AG76" s="1111"/>
      <c r="AH76" s="1111"/>
      <c r="AI76" s="1111"/>
      <c r="AJ76" s="1111"/>
      <c r="AK76" s="1111"/>
      <c r="AL76" s="1111"/>
      <c r="AM76" s="1111"/>
    </row>
    <row r="77" spans="1:39" s="1105" customFormat="1" x14ac:dyDescent="0.25">
      <c r="A77" s="1415" t="s">
        <v>148</v>
      </c>
      <c r="B77" s="1416"/>
      <c r="C77" s="1416"/>
      <c r="D77" s="1416"/>
      <c r="E77" s="1416"/>
      <c r="F77" s="1416"/>
      <c r="G77" s="1416"/>
      <c r="H77" s="1416"/>
      <c r="I77" s="1416"/>
      <c r="J77" s="1416"/>
      <c r="K77" s="1416"/>
      <c r="L77" s="1416"/>
      <c r="M77" s="1416"/>
      <c r="N77" s="1416"/>
      <c r="O77" s="1416"/>
      <c r="P77" s="1416"/>
      <c r="Q77" s="1416"/>
      <c r="R77" s="1416"/>
      <c r="S77" s="1416"/>
      <c r="T77" s="1416"/>
      <c r="U77" s="1416"/>
      <c r="V77" s="1416"/>
      <c r="W77" s="1416"/>
      <c r="X77" s="1416"/>
      <c r="Y77" s="1416"/>
      <c r="Z77" s="1416"/>
      <c r="AA77" s="1416"/>
      <c r="AB77" s="1416"/>
      <c r="AC77" s="1416"/>
      <c r="AD77" s="1416"/>
      <c r="AE77" s="1416"/>
      <c r="AF77" s="1416"/>
      <c r="AG77" s="1416"/>
      <c r="AH77" s="1416"/>
      <c r="AI77" s="1416"/>
      <c r="AJ77" s="1416"/>
      <c r="AK77" s="1416"/>
      <c r="AL77" s="1417"/>
      <c r="AM77" s="1111"/>
    </row>
    <row r="78" spans="1:39" s="1105" customFormat="1" x14ac:dyDescent="0.25">
      <c r="A78" s="1418"/>
      <c r="B78" s="1419"/>
      <c r="C78" s="1419"/>
      <c r="D78" s="1419"/>
      <c r="E78" s="1419"/>
      <c r="F78" s="1419"/>
      <c r="G78" s="1419"/>
      <c r="H78" s="1419"/>
      <c r="I78" s="1419"/>
      <c r="J78" s="1419"/>
      <c r="K78" s="1419"/>
      <c r="L78" s="1419"/>
      <c r="M78" s="1419"/>
      <c r="N78" s="1419"/>
      <c r="O78" s="1419"/>
      <c r="P78" s="1419"/>
      <c r="Q78" s="1419"/>
      <c r="R78" s="1419"/>
      <c r="S78" s="1419"/>
      <c r="T78" s="1419"/>
      <c r="U78" s="1419"/>
      <c r="V78" s="1419"/>
      <c r="W78" s="1419"/>
      <c r="X78" s="1419"/>
      <c r="Y78" s="1419"/>
      <c r="Z78" s="1419"/>
      <c r="AA78" s="1419"/>
      <c r="AB78" s="1419"/>
      <c r="AC78" s="1419"/>
      <c r="AD78" s="1419"/>
      <c r="AE78" s="1419"/>
      <c r="AF78" s="1419"/>
      <c r="AG78" s="1419"/>
      <c r="AH78" s="1419"/>
      <c r="AI78" s="1419"/>
      <c r="AJ78" s="1419"/>
      <c r="AK78" s="1419"/>
      <c r="AL78" s="1420"/>
      <c r="AM78" s="1111"/>
    </row>
    <row r="79" spans="1:39" s="1105" customFormat="1" x14ac:dyDescent="0.25">
      <c r="A79" s="1421"/>
      <c r="B79" s="1422"/>
      <c r="C79" s="1421"/>
      <c r="D79" s="1421"/>
      <c r="E79" s="1421"/>
      <c r="F79" s="1423"/>
      <c r="G79" s="1423"/>
      <c r="H79" s="1423"/>
      <c r="I79" s="1424"/>
      <c r="J79" s="1423"/>
      <c r="K79" s="1423"/>
      <c r="L79" s="1423"/>
      <c r="M79" s="1423"/>
      <c r="N79" s="1423"/>
      <c r="O79" s="1423"/>
      <c r="P79" s="1423"/>
      <c r="Q79" s="1423"/>
      <c r="R79" s="1423"/>
      <c r="S79" s="1423"/>
      <c r="T79" s="1423"/>
      <c r="U79" s="1423"/>
      <c r="V79" s="1423"/>
      <c r="W79" s="1423"/>
      <c r="X79" s="1423"/>
      <c r="Y79" s="1423"/>
      <c r="Z79" s="1423"/>
      <c r="AA79" s="1423"/>
      <c r="AB79" s="1423"/>
      <c r="AC79" s="1423"/>
      <c r="AD79" s="1423"/>
      <c r="AE79" s="1423"/>
      <c r="AF79" s="1423"/>
      <c r="AG79" s="1423"/>
      <c r="AH79" s="1423"/>
      <c r="AI79" s="1423"/>
      <c r="AJ79" s="1423"/>
      <c r="AK79" s="1423"/>
      <c r="AL79" s="1423"/>
      <c r="AM79" s="1111"/>
    </row>
    <row r="80" spans="1:39" s="1105" customFormat="1" ht="23.4" x14ac:dyDescent="0.25">
      <c r="A80" s="1425" t="s">
        <v>149</v>
      </c>
      <c r="B80" s="1426"/>
      <c r="C80" s="1499" t="s">
        <v>567</v>
      </c>
      <c r="D80" s="1499"/>
      <c r="E80" s="1499"/>
      <c r="F80" s="1499"/>
      <c r="G80" s="1499"/>
      <c r="H80" s="1499"/>
      <c r="I80" s="1499"/>
      <c r="J80" s="1499"/>
      <c r="K80" s="1499"/>
      <c r="L80" s="1499"/>
      <c r="M80" s="1499"/>
      <c r="N80" s="1499"/>
      <c r="O80" s="1499"/>
      <c r="P80" s="1499"/>
      <c r="Q80" s="1499"/>
      <c r="R80" s="1499"/>
      <c r="S80" s="1499"/>
      <c r="T80" s="1499"/>
      <c r="U80" s="1499"/>
      <c r="V80" s="1499"/>
      <c r="W80" s="1499"/>
      <c r="X80" s="1499"/>
      <c r="Y80" s="1499"/>
      <c r="Z80" s="1499"/>
      <c r="AA80" s="1499"/>
      <c r="AB80" s="1499"/>
      <c r="AC80" s="1499"/>
      <c r="AD80" s="1499"/>
      <c r="AE80" s="1499"/>
      <c r="AF80" s="1499"/>
      <c r="AG80" s="1499"/>
      <c r="AH80" s="1499"/>
      <c r="AI80" s="1499"/>
      <c r="AJ80" s="1499"/>
      <c r="AK80" s="1499"/>
      <c r="AL80" s="1499"/>
      <c r="AM80" s="1111"/>
    </row>
    <row r="81" spans="1:39" s="1105" customFormat="1" ht="23.4" x14ac:dyDescent="0.25">
      <c r="A81" s="1425" t="s">
        <v>150</v>
      </c>
      <c r="B81" s="1426"/>
      <c r="C81" s="1500" t="s">
        <v>568</v>
      </c>
      <c r="D81" s="1500"/>
      <c r="E81" s="1500"/>
      <c r="F81" s="1500"/>
      <c r="G81" s="1500"/>
      <c r="H81" s="1500"/>
      <c r="I81" s="1500"/>
      <c r="J81" s="1500"/>
      <c r="K81" s="1500"/>
      <c r="L81" s="1500"/>
      <c r="M81" s="1500"/>
      <c r="N81" s="1500"/>
      <c r="O81" s="1500"/>
      <c r="P81" s="1500"/>
      <c r="Q81" s="1500"/>
      <c r="R81" s="1500"/>
      <c r="S81" s="1500"/>
      <c r="T81" s="1500"/>
      <c r="U81" s="1500"/>
      <c r="V81" s="1500"/>
      <c r="W81" s="1500"/>
      <c r="X81" s="1500"/>
      <c r="Y81" s="1500"/>
      <c r="Z81" s="1500"/>
      <c r="AA81" s="1500"/>
      <c r="AB81" s="1500"/>
      <c r="AC81" s="1500"/>
      <c r="AD81" s="1500"/>
      <c r="AE81" s="1500"/>
      <c r="AF81" s="1500"/>
      <c r="AG81" s="1500"/>
      <c r="AH81" s="1500"/>
      <c r="AI81" s="1500"/>
      <c r="AJ81" s="1500"/>
      <c r="AK81" s="1500"/>
      <c r="AL81" s="1500"/>
      <c r="AM81" s="1111"/>
    </row>
    <row r="82" spans="1:39" s="1105" customFormat="1" ht="23.4" x14ac:dyDescent="0.25">
      <c r="A82" s="1425" t="s">
        <v>151</v>
      </c>
      <c r="B82" s="1426"/>
      <c r="C82" s="1500" t="s">
        <v>569</v>
      </c>
      <c r="D82" s="1500"/>
      <c r="E82" s="1500"/>
      <c r="F82" s="1500"/>
      <c r="G82" s="1500"/>
      <c r="H82" s="1500"/>
      <c r="I82" s="1500"/>
      <c r="J82" s="1500"/>
      <c r="K82" s="1500"/>
      <c r="L82" s="1500"/>
      <c r="M82" s="1500"/>
      <c r="N82" s="1500"/>
      <c r="O82" s="1500"/>
      <c r="P82" s="1500"/>
      <c r="Q82" s="1500"/>
      <c r="R82" s="1500"/>
      <c r="S82" s="1500"/>
      <c r="T82" s="1500"/>
      <c r="U82" s="1500"/>
      <c r="V82" s="1500"/>
      <c r="W82" s="1500"/>
      <c r="X82" s="1500"/>
      <c r="Y82" s="1500"/>
      <c r="Z82" s="1500"/>
      <c r="AA82" s="1500"/>
      <c r="AB82" s="1500"/>
      <c r="AC82" s="1500"/>
      <c r="AD82" s="1500"/>
      <c r="AE82" s="1500"/>
      <c r="AF82" s="1500"/>
      <c r="AG82" s="1500"/>
      <c r="AH82" s="1500"/>
      <c r="AI82" s="1500"/>
      <c r="AJ82" s="1500"/>
      <c r="AK82" s="1500"/>
      <c r="AL82" s="1500"/>
      <c r="AM82" s="1111"/>
    </row>
    <row r="83" spans="1:39" s="1105" customFormat="1" x14ac:dyDescent="0.25">
      <c r="A83" s="1429" t="s">
        <v>152</v>
      </c>
      <c r="B83" s="1430"/>
      <c r="C83" s="1431"/>
      <c r="D83" s="1431"/>
      <c r="E83" s="1431"/>
      <c r="F83" s="1431"/>
      <c r="G83" s="1431"/>
      <c r="H83" s="1431"/>
      <c r="I83" s="1431"/>
      <c r="J83" s="1432"/>
      <c r="K83" s="1433" t="s">
        <v>153</v>
      </c>
      <c r="L83" s="1431"/>
      <c r="M83" s="1431"/>
      <c r="N83" s="1431"/>
      <c r="O83" s="1431"/>
      <c r="P83" s="1431"/>
      <c r="Q83" s="1432"/>
      <c r="R83" s="1433" t="s">
        <v>154</v>
      </c>
      <c r="S83" s="1431"/>
      <c r="T83" s="1431"/>
      <c r="U83" s="1431"/>
      <c r="V83" s="1431"/>
      <c r="W83" s="1431"/>
      <c r="X83" s="1431"/>
      <c r="Y83" s="1431"/>
      <c r="Z83" s="1432"/>
      <c r="AA83" s="1433" t="s">
        <v>155</v>
      </c>
      <c r="AB83" s="1431"/>
      <c r="AC83" s="1431"/>
      <c r="AD83" s="1431"/>
      <c r="AE83" s="1431"/>
      <c r="AF83" s="1431"/>
      <c r="AG83" s="1432"/>
      <c r="AH83" s="1433" t="s">
        <v>156</v>
      </c>
      <c r="AI83" s="1431"/>
      <c r="AJ83" s="1431"/>
      <c r="AK83" s="1431"/>
      <c r="AL83" s="1432"/>
      <c r="AM83" s="1111"/>
    </row>
    <row r="84" spans="1:39" s="1105" customFormat="1" x14ac:dyDescent="0.25">
      <c r="A84" s="1434" t="s">
        <v>157</v>
      </c>
      <c r="B84" s="1435" t="s">
        <v>141</v>
      </c>
      <c r="C84" s="1436" t="s">
        <v>158</v>
      </c>
      <c r="D84" s="1436" t="s">
        <v>159</v>
      </c>
      <c r="E84" s="1437" t="s">
        <v>160</v>
      </c>
      <c r="F84" s="1438" t="s">
        <v>60</v>
      </c>
      <c r="G84" s="1439"/>
      <c r="H84" s="1439"/>
      <c r="I84" s="1437" t="s">
        <v>161</v>
      </c>
      <c r="J84" s="1436" t="s">
        <v>162</v>
      </c>
      <c r="K84" s="1440" t="s">
        <v>163</v>
      </c>
      <c r="L84" s="1441" t="s">
        <v>164</v>
      </c>
      <c r="M84" s="1437" t="s">
        <v>165</v>
      </c>
      <c r="N84" s="1437" t="s">
        <v>166</v>
      </c>
      <c r="O84" s="1442" t="s">
        <v>167</v>
      </c>
      <c r="P84" s="1441" t="s">
        <v>164</v>
      </c>
      <c r="Q84" s="1436" t="s">
        <v>168</v>
      </c>
      <c r="R84" s="1443" t="s">
        <v>169</v>
      </c>
      <c r="S84" s="1444" t="s">
        <v>170</v>
      </c>
      <c r="T84" s="1437" t="s">
        <v>171</v>
      </c>
      <c r="U84" s="1444" t="s">
        <v>172</v>
      </c>
      <c r="V84" s="1444"/>
      <c r="W84" s="1444"/>
      <c r="X84" s="1444"/>
      <c r="Y84" s="1444"/>
      <c r="Z84" s="1444"/>
      <c r="AA84" s="1445" t="s">
        <v>173</v>
      </c>
      <c r="AB84" s="1445" t="s">
        <v>174</v>
      </c>
      <c r="AC84" s="1445" t="s">
        <v>164</v>
      </c>
      <c r="AD84" s="1445" t="s">
        <v>175</v>
      </c>
      <c r="AE84" s="1445" t="s">
        <v>164</v>
      </c>
      <c r="AF84" s="1445" t="s">
        <v>176</v>
      </c>
      <c r="AG84" s="1443" t="s">
        <v>177</v>
      </c>
      <c r="AH84" s="1444" t="s">
        <v>156</v>
      </c>
      <c r="AI84" s="1444" t="s">
        <v>142</v>
      </c>
      <c r="AJ84" s="1444" t="s">
        <v>178</v>
      </c>
      <c r="AK84" s="1444" t="s">
        <v>179</v>
      </c>
      <c r="AL84" s="1444" t="s">
        <v>181</v>
      </c>
      <c r="AM84" s="1111"/>
    </row>
    <row r="85" spans="1:39" s="1105" customFormat="1" ht="70.2" x14ac:dyDescent="0.25">
      <c r="A85" s="1446"/>
      <c r="B85" s="1435"/>
      <c r="C85" s="1444"/>
      <c r="D85" s="1444"/>
      <c r="E85" s="1440"/>
      <c r="F85" s="1447"/>
      <c r="G85" s="1439" t="s">
        <v>371</v>
      </c>
      <c r="H85" s="1439" t="s">
        <v>182</v>
      </c>
      <c r="I85" s="1436"/>
      <c r="J85" s="1444"/>
      <c r="K85" s="1436"/>
      <c r="L85" s="1433"/>
      <c r="M85" s="1436"/>
      <c r="N85" s="1436"/>
      <c r="O85" s="1433"/>
      <c r="P85" s="1433"/>
      <c r="Q85" s="1444"/>
      <c r="R85" s="1448"/>
      <c r="S85" s="1444"/>
      <c r="T85" s="1436"/>
      <c r="U85" s="1449" t="s">
        <v>183</v>
      </c>
      <c r="V85" s="1449" t="s">
        <v>184</v>
      </c>
      <c r="W85" s="1449" t="s">
        <v>185</v>
      </c>
      <c r="X85" s="1449" t="s">
        <v>186</v>
      </c>
      <c r="Y85" s="1449" t="s">
        <v>187</v>
      </c>
      <c r="Z85" s="1449" t="s">
        <v>188</v>
      </c>
      <c r="AA85" s="1445"/>
      <c r="AB85" s="1445"/>
      <c r="AC85" s="1445"/>
      <c r="AD85" s="1445"/>
      <c r="AE85" s="1445"/>
      <c r="AF85" s="1445"/>
      <c r="AG85" s="1448"/>
      <c r="AH85" s="1444"/>
      <c r="AI85" s="1444"/>
      <c r="AJ85" s="1444"/>
      <c r="AK85" s="1444"/>
      <c r="AL85" s="1444"/>
      <c r="AM85" s="1111"/>
    </row>
    <row r="86" spans="1:39" s="1105" customFormat="1" ht="67.8" x14ac:dyDescent="0.25">
      <c r="A86" s="1450">
        <v>1</v>
      </c>
      <c r="B86" s="1501" t="s">
        <v>199</v>
      </c>
      <c r="C86" s="1501" t="s">
        <v>570</v>
      </c>
      <c r="D86" s="1502" t="s">
        <v>571</v>
      </c>
      <c r="E86" s="1503" t="s">
        <v>572</v>
      </c>
      <c r="F86" s="1504" t="s">
        <v>573</v>
      </c>
      <c r="G86" s="1505" t="s">
        <v>574</v>
      </c>
      <c r="H86" s="1504" t="s">
        <v>575</v>
      </c>
      <c r="I86" s="1506" t="s">
        <v>190</v>
      </c>
      <c r="J86" s="1507">
        <f>300*246</f>
        <v>73800</v>
      </c>
      <c r="K86" s="1508" t="str">
        <f>IF(J86&lt;=0,"",IF(J86&lt;=2,"Muy Baja",IF(J86&lt;=24,"Baja",IF(J86&lt;=500,"Media",IF(J86&lt;=5000,"Alta","Muy Alta")))))</f>
        <v>Muy Alta</v>
      </c>
      <c r="L86" s="1509">
        <f>IF(K86="","",IF(K86="Muy Baja",0.2,IF(K86="Baja",0.4,IF(K86="Media",0.6,IF(K86="Alta",0.8,IF(K86="Muy Alta",1,))))))</f>
        <v>1</v>
      </c>
      <c r="M86" s="1510" t="s">
        <v>200</v>
      </c>
      <c r="N86" s="1509" t="str">
        <f>IF(NOT(ISERROR(MATCH(M86,'[23]Tabla Impacto'!$B$221:$B$223,0))),'[23]Tabla Impacto'!$F$223&amp;"Por favor no seleccionar los criterios de impacto(Afectación Económica o presupuestal y Pérdida Reputacional)",M86)</f>
        <v xml:space="preserve">     El riesgo afecta la imagen de la entidad con algunos usuarios de relevancia frente al logro de los objetivos</v>
      </c>
      <c r="O86" s="1508" t="str">
        <f>IF(OR(N86='[23]Tabla Impacto'!$C$11,N86='[23]Tabla Impacto'!$D$11),"Leve",IF(OR(N86='[23]Tabla Impacto'!$C$12,N86='[23]Tabla Impacto'!$D$12),"Menor",IF(OR(N86='[23]Tabla Impacto'!$C$13,N86='[23]Tabla Impacto'!$D$13),"Moderado",IF(OR(N86='[23]Tabla Impacto'!$C$14,N86='[23]Tabla Impacto'!$D$14),"Mayor",IF(OR(N86='[23]Tabla Impacto'!$C$15,N86='[23]Tabla Impacto'!$D$15),"Catastrófico","")))))</f>
        <v>Moderado</v>
      </c>
      <c r="P86" s="1509">
        <f>IF(O86="","",IF(O86="Leve",0.2,IF(O86="Menor",0.4,IF(O86="Moderado",0.6,IF(O86="Mayor",0.8,IF(O86="Catastrófico",1,))))))</f>
        <v>0.6</v>
      </c>
      <c r="Q86" s="1511" t="str">
        <f>IF(OR(AND(K86="Muy Baja",O86="Leve"),AND(K86="Muy Baja",O86="Menor"),AND(K86="Baja",O86="Leve")),"Bajo",IF(OR(AND(K86="Muy baja",O86="Moderado"),AND(K86="Baja",O86="Menor"),AND(K86="Baja",O86="Moderado"),AND(K86="Media",O86="Leve"),AND(K86="Media",O86="Menor"),AND(K86="Media",O86="Moderado"),AND(K86="Alta",O86="Leve"),AND(K86="Alta",O86="Menor")),"Moderado",IF(OR(AND(K86="Muy Baja",O86="Mayor"),AND(K86="Baja",O86="Mayor"),AND(K86="Media",O86="Mayor"),AND(K86="Alta",O86="Moderado"),AND(K86="Alta",O86="Mayor"),AND(K86="Muy Alta",O86="Leve"),AND(K86="Muy Alta",O86="Menor"),AND(K86="Muy Alta",O86="Moderado"),AND(K86="Muy Alta",O86="Mayor")),"Alto",IF(OR(AND(K86="Muy Baja",O86="Catastrófico"),AND(K86="Baja",O86="Catastrófico"),AND(K86="Media",O86="Catastrófico"),AND(K86="Alta",O86="Catastrófico"),AND(K86="Muy Alta",O86="Catastrófico")),"Extremo",""))))</f>
        <v>Alto</v>
      </c>
      <c r="R86" s="1512">
        <v>1</v>
      </c>
      <c r="S86" s="1513" t="s">
        <v>576</v>
      </c>
      <c r="T86" s="1514" t="str">
        <f>IF(OR(U86="Preventivo",U86="Detectivo"),"Probabilidad",IF(U86="Correctivo","Impacto",""))</f>
        <v>Probabilidad</v>
      </c>
      <c r="U86" s="1515" t="s">
        <v>197</v>
      </c>
      <c r="V86" s="1515" t="s">
        <v>191</v>
      </c>
      <c r="W86" s="1516" t="str">
        <f>IF(AND(U86="Preventivo",V86="Automático"),"50%",IF(AND(U86="Preventivo",V86="Manual"),"40%",IF(AND(U86="Detectivo",V86="Automático"),"40%",IF(AND(U86="Detectivo",V86="Manual"),"30%",IF(AND(U86="Correctivo",V86="Automático"),"35%",IF(AND(U86="Correctivo",V86="Manual"),"25%",""))))))</f>
        <v>40%</v>
      </c>
      <c r="X86" s="1515" t="s">
        <v>198</v>
      </c>
      <c r="Y86" s="1515" t="s">
        <v>193</v>
      </c>
      <c r="Z86" s="1515" t="s">
        <v>194</v>
      </c>
      <c r="AA86" s="1517">
        <f>IFERROR(IF(T86="Probabilidad",(L86-(+L86*W86)),IF(T86="Impacto",L86,"")),"")</f>
        <v>0.6</v>
      </c>
      <c r="AB86" s="1518" t="str">
        <f>IFERROR(IF(AA86="","",IF(AA86&lt;=0.2,"Muy Baja",IF(AA86&lt;=0.4,"Baja",IF(AA86&lt;=0.6,"Media",IF(AA86&lt;=0.8,"Alta","Muy Alta"))))),"")</f>
        <v>Media</v>
      </c>
      <c r="AC86" s="1519">
        <f>+AA86</f>
        <v>0.6</v>
      </c>
      <c r="AD86" s="1518" t="str">
        <f>IFERROR(IF(AE86="","",IF(AE86&lt;=0.2,"Leve",IF(AE86&lt;=0.4,"Menor",IF(AE86&lt;=0.6,"Moderado",IF(AE86&lt;=0.8,"Mayor","Catastrófico"))))),"")</f>
        <v>Moderado</v>
      </c>
      <c r="AE86" s="1519">
        <f>IFERROR(IF(T86="Impacto",(P86-(+P86*W86)),IF(T86="Probabilidad",P86,"")),"")</f>
        <v>0.6</v>
      </c>
      <c r="AF86" s="1520" t="str">
        <f>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Moderado</v>
      </c>
      <c r="AG86" s="1521" t="s">
        <v>195</v>
      </c>
      <c r="AH86" s="1501" t="s">
        <v>577</v>
      </c>
      <c r="AI86" s="1507" t="s">
        <v>578</v>
      </c>
      <c r="AJ86" s="1522" t="s">
        <v>579</v>
      </c>
      <c r="AK86" s="1523">
        <v>45754</v>
      </c>
      <c r="AL86" s="1524" t="s">
        <v>196</v>
      </c>
      <c r="AM86" s="1111"/>
    </row>
    <row r="87" spans="1:39" s="1105" customFormat="1" ht="76.8" x14ac:dyDescent="0.25">
      <c r="A87" s="1475"/>
      <c r="B87" s="1525"/>
      <c r="C87" s="1525"/>
      <c r="D87" s="1526"/>
      <c r="E87" s="1527" t="s">
        <v>580</v>
      </c>
      <c r="F87" s="1504"/>
      <c r="G87" s="1505" t="s">
        <v>574</v>
      </c>
      <c r="H87" s="1504"/>
      <c r="I87" s="1528"/>
      <c r="J87" s="1529"/>
      <c r="K87" s="1530"/>
      <c r="L87" s="1531"/>
      <c r="M87" s="1532"/>
      <c r="N87" s="1531">
        <f>IF(NOT(ISERROR(MATCH(M87,_xlfn.ANCHORARRAY(F90),0))),L92&amp;"Por favor no seleccionar los criterios de impacto",M87)</f>
        <v>0</v>
      </c>
      <c r="O87" s="1530"/>
      <c r="P87" s="1531"/>
      <c r="Q87" s="1533"/>
      <c r="R87" s="1512">
        <v>2</v>
      </c>
      <c r="S87" s="1534" t="s">
        <v>581</v>
      </c>
      <c r="T87" s="1514" t="str">
        <f t="shared" ref="T87" si="40">IF(OR(U87="Preventivo",U87="Detectivo"),"Probabilidad",IF(U87="Correctivo","Impacto",""))</f>
        <v>Probabilidad</v>
      </c>
      <c r="U87" s="1515" t="s">
        <v>197</v>
      </c>
      <c r="V87" s="1515" t="s">
        <v>191</v>
      </c>
      <c r="W87" s="1516" t="str">
        <f t="shared" ref="W87" si="41">IF(AND(U87="Preventivo",V87="Automático"),"50%",IF(AND(U87="Preventivo",V87="Manual"),"40%",IF(AND(U87="Detectivo",V87="Automático"),"40%",IF(AND(U87="Detectivo",V87="Manual"),"30%",IF(AND(U87="Correctivo",V87="Automático"),"35%",IF(AND(U87="Correctivo",V87="Manual"),"25%",""))))))</f>
        <v>40%</v>
      </c>
      <c r="X87" s="1515" t="s">
        <v>192</v>
      </c>
      <c r="Y87" s="1515" t="s">
        <v>193</v>
      </c>
      <c r="Z87" s="1515" t="s">
        <v>194</v>
      </c>
      <c r="AA87" s="1517">
        <f>IFERROR(IF(AND(T86="Probabilidad",T87="Probabilidad"),(AC86-(+AC86*W87)),IF(AND(T86="Impacto",T87="Probabilidad"),(L86-(+L86*W87)),IF(T87="Impacto",AC86,""))),"")</f>
        <v>0.36</v>
      </c>
      <c r="AB87" s="1518" t="str">
        <f t="shared" ref="AB87" si="42">IFERROR(IF(AA87="","",IF(AA87&lt;=0.2,"Muy Baja",IF(AA87&lt;=0.4,"Baja",IF(AA87&lt;=0.6,"Media",IF(AA87&lt;=0.8,"Alta","Muy Alta"))))),"")</f>
        <v>Baja</v>
      </c>
      <c r="AC87" s="1519">
        <f>+AA87</f>
        <v>0.36</v>
      </c>
      <c r="AD87" s="1518" t="str">
        <f t="shared" ref="AD87" si="43">IFERROR(IF(AE87="","",IF(AE87&lt;=0.2,"Leve",IF(AE87&lt;=0.4,"Menor",IF(AE87&lt;=0.6,"Moderado",IF(AE87&lt;=0.8,"Mayor","Catastrófico"))))),"")</f>
        <v>Moderado</v>
      </c>
      <c r="AE87" s="1519">
        <f>IFERROR(IF(AND(T86="Impacto",T87="Impacto"),(AE86-(+AE86*W87)),IF(AND(T86="Probabilidad",T87="Impacto"),(P86-(+P86*W87)),IF(T87="Probabilidad",AE86,""))),"")</f>
        <v>0.6</v>
      </c>
      <c r="AF87" s="1520" t="str">
        <f t="shared" ref="AF87" si="44">IFERROR(IF(OR(AND(AB87="Muy Baja",AD87="Leve"),AND(AB87="Muy Baja",AD87="Menor"),AND(AB87="Baja",AD87="Leve")),"Bajo",IF(OR(AND(AB87="Muy baja",AD87="Moderado"),AND(AB87="Baja",AD87="Menor"),AND(AB87="Baja",AD87="Moderado"),AND(AB87="Media",AD87="Leve"),AND(AB87="Media",AD87="Menor"),AND(AB87="Media",AD87="Moderado"),AND(AB87="Alta",AD87="Leve"),AND(AB87="Alta",AD87="Menor")),"Moderado",IF(OR(AND(AB87="Muy Baja",AD87="Mayor"),AND(AB87="Baja",AD87="Mayor"),AND(AB87="Media",AD87="Mayor"),AND(AB87="Alta",AD87="Moderado"),AND(AB87="Alta",AD87="Mayor"),AND(AB87="Muy Alta",AD87="Leve"),AND(AB87="Muy Alta",AD87="Menor"),AND(AB87="Muy Alta",AD87="Moderado"),AND(AB87="Muy Alta",AD87="Mayor")),"Alto",IF(OR(AND(AB87="Muy Baja",AD87="Catastrófico"),AND(AB87="Baja",AD87="Catastrófico"),AND(AB87="Media",AD87="Catastrófico"),AND(AB87="Alta",AD87="Catastrófico"),AND(AB87="Muy Alta",AD87="Catastrófico")),"Extremo","")))),"")</f>
        <v>Moderado</v>
      </c>
      <c r="AG87" s="1535"/>
      <c r="AH87" s="1536"/>
      <c r="AI87" s="1537"/>
      <c r="AJ87" s="1538"/>
      <c r="AK87" s="1539"/>
      <c r="AL87" s="1540"/>
      <c r="AM87" s="1111"/>
    </row>
    <row r="88" spans="1:39" s="1105" customFormat="1" ht="69" customHeight="1" x14ac:dyDescent="0.25">
      <c r="A88" s="1450">
        <v>2</v>
      </c>
      <c r="B88" s="1541" t="s">
        <v>199</v>
      </c>
      <c r="C88" s="1541" t="s">
        <v>582</v>
      </c>
      <c r="D88" s="1542" t="s">
        <v>583</v>
      </c>
      <c r="E88" s="1543" t="s">
        <v>584</v>
      </c>
      <c r="F88" s="1544" t="s">
        <v>585</v>
      </c>
      <c r="G88" s="1545" t="s">
        <v>574</v>
      </c>
      <c r="H88" s="1546" t="s">
        <v>586</v>
      </c>
      <c r="I88" s="1547" t="s">
        <v>190</v>
      </c>
      <c r="J88" s="1548">
        <v>28</v>
      </c>
      <c r="K88" s="1549" t="str">
        <f>IF(J88&lt;=0,"",IF(J88&lt;=2,"Muy Baja",IF(J88&lt;=24,"Baja",IF(J88&lt;=500,"Media",IF(J88&lt;=5000,"Alta","Muy Alta")))))</f>
        <v>Media</v>
      </c>
      <c r="L88" s="1550">
        <f>IF(K88="","",IF(K88="Muy Baja",0.2,IF(K88="Baja",0.4,IF(K88="Media",0.6,IF(K88="Alta",0.8,IF(K88="Muy Alta",1,))))))</f>
        <v>0.6</v>
      </c>
      <c r="M88" s="1551" t="s">
        <v>200</v>
      </c>
      <c r="N88" s="1550" t="str">
        <f>IF(NOT(ISERROR(MATCH(M88,'[23]Tabla Impacto'!$B$221:$B$223,0))),'[23]Tabla Impacto'!$F$223&amp;"Por favor no seleccionar los criterios de impacto(Afectación Económica o presupuestal y Pérdida Reputacional)",M88)</f>
        <v xml:space="preserve">     El riesgo afecta la imagen de la entidad con algunos usuarios de relevancia frente al logro de los objetivos</v>
      </c>
      <c r="O88" s="1549" t="str">
        <f>IF(OR(N88='[23]Tabla Impacto'!$C$11,N88='[23]Tabla Impacto'!$D$11),"Leve",IF(OR(N88='[23]Tabla Impacto'!$C$12,N88='[23]Tabla Impacto'!$D$12),"Menor",IF(OR(N88='[23]Tabla Impacto'!$C$13,N88='[23]Tabla Impacto'!$D$13),"Moderado",IF(OR(N88='[23]Tabla Impacto'!$C$14,N88='[23]Tabla Impacto'!$D$14),"Mayor",IF(OR(N88='[23]Tabla Impacto'!$C$15,N88='[23]Tabla Impacto'!$D$15),"Catastrófico","")))))</f>
        <v>Moderado</v>
      </c>
      <c r="P88" s="1550">
        <f>IF(O88="","",IF(O88="Leve",0.2,IF(O88="Menor",0.4,IF(O88="Moderado",0.6,IF(O88="Mayor",0.8,IF(O88="Catastrófico",1,))))))</f>
        <v>0.6</v>
      </c>
      <c r="Q88" s="1552"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Moderado</v>
      </c>
      <c r="R88" s="1512">
        <v>1</v>
      </c>
      <c r="S88" s="1553" t="s">
        <v>587</v>
      </c>
      <c r="T88" s="1514" t="str">
        <f>IF(OR(U88="Preventivo",U88="Detectivo"),"Probabilidad",IF(U88="Correctivo","Impacto",""))</f>
        <v>Probabilidad</v>
      </c>
      <c r="U88" s="1515" t="s">
        <v>197</v>
      </c>
      <c r="V88" s="1515" t="s">
        <v>588</v>
      </c>
      <c r="W88" s="1516" t="str">
        <f>IF(AND(U88="Preventivo",V88="Automático"),"50%",IF(AND(U88="Preventivo",V88="Manual"),"40%",IF(AND(U88="Detectivo",V88="Automático"),"40%",IF(AND(U88="Detectivo",V88="Manual"),"30%",IF(AND(U88="Correctivo",V88="Automático"),"35%",IF(AND(U88="Correctivo",V88="Manual"),"25%",""))))))</f>
        <v>50%</v>
      </c>
      <c r="X88" s="1515" t="s">
        <v>198</v>
      </c>
      <c r="Y88" s="1515" t="s">
        <v>193</v>
      </c>
      <c r="Z88" s="1515" t="s">
        <v>194</v>
      </c>
      <c r="AA88" s="1517">
        <f>IFERROR(IF(T88="Probabilidad",(L88-(+L88*W88)),IF(T88="Impacto",L88,"")),"")</f>
        <v>0.3</v>
      </c>
      <c r="AB88" s="1518" t="str">
        <f>IFERROR(IF(AA88="","",IF(AA88&lt;=0.2,"Muy Baja",IF(AA88&lt;=0.4,"Baja",IF(AA88&lt;=0.6,"Media",IF(AA88&lt;=0.8,"Alta","Muy Alta"))))),"")</f>
        <v>Baja</v>
      </c>
      <c r="AC88" s="1519">
        <f>+AA88</f>
        <v>0.3</v>
      </c>
      <c r="AD88" s="1518" t="str">
        <f>IFERROR(IF(AE88="","",IF(AE88&lt;=0.2,"Leve",IF(AE88&lt;=0.4,"Menor",IF(AE88&lt;=0.6,"Moderado",IF(AE88&lt;=0.8,"Mayor","Catastrófico"))))),"")</f>
        <v>Moderado</v>
      </c>
      <c r="AE88" s="1519">
        <f>IFERROR(IF(T88="Impacto",(P88-(+P88*W88)),IF(T88="Probabilidad",P88,"")),"")</f>
        <v>0.6</v>
      </c>
      <c r="AF88" s="1520" t="str">
        <f>IFERROR(IF(OR(AND(AB88="Muy Baja",AD88="Leve"),AND(AB88="Muy Baja",AD88="Menor"),AND(AB88="Baja",AD88="Leve")),"Bajo",IF(OR(AND(AB88="Muy baja",AD88="Moderado"),AND(AB88="Baja",AD88="Menor"),AND(AB88="Baja",AD88="Moderado"),AND(AB88="Media",AD88="Leve"),AND(AB88="Media",AD88="Menor"),AND(AB88="Media",AD88="Moderado"),AND(AB88="Alta",AD88="Leve"),AND(AB88="Alta",AD88="Menor")),"Moderado",IF(OR(AND(AB88="Muy Baja",AD88="Mayor"),AND(AB88="Baja",AD88="Mayor"),AND(AB88="Media",AD88="Mayor"),AND(AB88="Alta",AD88="Moderado"),AND(AB88="Alta",AD88="Mayor"),AND(AB88="Muy Alta",AD88="Leve"),AND(AB88="Muy Alta",AD88="Menor"),AND(AB88="Muy Alta",AD88="Moderado"),AND(AB88="Muy Alta",AD88="Mayor")),"Alto",IF(OR(AND(AB88="Muy Baja",AD88="Catastrófico"),AND(AB88="Baja",AD88="Catastrófico"),AND(AB88="Media",AD88="Catastrófico"),AND(AB88="Alta",AD88="Catastrófico"),AND(AB88="Muy Alta",AD88="Catastrófico")),"Extremo","")))),"")</f>
        <v>Moderado</v>
      </c>
      <c r="AG88" s="1554" t="s">
        <v>195</v>
      </c>
      <c r="AH88" s="1555" t="s">
        <v>589</v>
      </c>
      <c r="AI88" s="1556" t="s">
        <v>590</v>
      </c>
      <c r="AJ88" s="1557" t="s">
        <v>579</v>
      </c>
      <c r="AK88" s="1558">
        <v>45754</v>
      </c>
      <c r="AL88" s="1524" t="s">
        <v>196</v>
      </c>
      <c r="AM88" s="1111"/>
    </row>
    <row r="89" spans="1:39" s="1105" customFormat="1" ht="67.8" x14ac:dyDescent="0.25">
      <c r="A89" s="1475"/>
      <c r="B89" s="1559"/>
      <c r="C89" s="1559"/>
      <c r="D89" s="1560"/>
      <c r="E89" s="1543" t="s">
        <v>591</v>
      </c>
      <c r="F89" s="1544"/>
      <c r="G89" s="1561" t="s">
        <v>574</v>
      </c>
      <c r="H89" s="1562"/>
      <c r="I89" s="1563"/>
      <c r="J89" s="1564"/>
      <c r="K89" s="1565"/>
      <c r="L89" s="1566"/>
      <c r="M89" s="1567"/>
      <c r="N89" s="1566">
        <f>IF(NOT(ISERROR(MATCH(M89,_xlfn.ANCHORARRAY(F96),0))),L98&amp;"Por favor no seleccionar los criterios de impacto",M89)</f>
        <v>0</v>
      </c>
      <c r="O89" s="1565"/>
      <c r="P89" s="1566"/>
      <c r="Q89" s="1568"/>
      <c r="R89" s="1512">
        <v>2</v>
      </c>
      <c r="S89" s="1553" t="s">
        <v>592</v>
      </c>
      <c r="T89" s="1514" t="str">
        <f>IF(OR(U89="Preventivo",U89="Detectivo"),"Probabilidad",IF(U89="Correctivo","Impacto",""))</f>
        <v>Probabilidad</v>
      </c>
      <c r="U89" s="1515" t="s">
        <v>197</v>
      </c>
      <c r="V89" s="1515" t="s">
        <v>191</v>
      </c>
      <c r="W89" s="1516" t="str">
        <f t="shared" ref="W89" si="45">IF(AND(U89="Preventivo",V89="Automático"),"50%",IF(AND(U89="Preventivo",V89="Manual"),"40%",IF(AND(U89="Detectivo",V89="Automático"),"40%",IF(AND(U89="Detectivo",V89="Manual"),"30%",IF(AND(U89="Correctivo",V89="Automático"),"35%",IF(AND(U89="Correctivo",V89="Manual"),"25%",""))))))</f>
        <v>40%</v>
      </c>
      <c r="X89" s="1515" t="s">
        <v>198</v>
      </c>
      <c r="Y89" s="1515" t="s">
        <v>193</v>
      </c>
      <c r="Z89" s="1515" t="s">
        <v>194</v>
      </c>
      <c r="AA89" s="1517">
        <f>IFERROR(IF(AND(T88="Probabilidad",T89="Probabilidad"),(AC88-(+AC88*W89)),IF(AND(T88="Impacto",T89="Probabilidad"),(L88-(+L88*W89)),IF(T89="Impacto",AC88,""))),"")</f>
        <v>0.18</v>
      </c>
      <c r="AB89" s="1518" t="str">
        <f t="shared" ref="AB89" si="46">IFERROR(IF(AA89="","",IF(AA89&lt;=0.2,"Muy Baja",IF(AA89&lt;=0.4,"Baja",IF(AA89&lt;=0.6,"Media",IF(AA89&lt;=0.8,"Alta","Muy Alta"))))),"")</f>
        <v>Muy Baja</v>
      </c>
      <c r="AC89" s="1519">
        <f>+AA89</f>
        <v>0.18</v>
      </c>
      <c r="AD89" s="1518" t="str">
        <f t="shared" ref="AD89" si="47">IFERROR(IF(AE89="","",IF(AE89&lt;=0.2,"Leve",IF(AE89&lt;=0.4,"Menor",IF(AE89&lt;=0.6,"Moderado",IF(AE89&lt;=0.8,"Mayor","Catastrófico"))))),"")</f>
        <v>Moderado</v>
      </c>
      <c r="AE89" s="1519">
        <f>IFERROR(IF(AND(T88="Impacto",T89="Impacto"),(AE88-(+AE88*W89)),IF(AND(T88="Probabilidad",T89="Impacto"),(P88-(+P88*W89)),IF(T89="Probabilidad",AE88,""))),"")</f>
        <v>0.6</v>
      </c>
      <c r="AF89" s="1520" t="str">
        <f t="shared" ref="AF89" si="48">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Moderado</v>
      </c>
      <c r="AG89" s="1554" t="s">
        <v>195</v>
      </c>
      <c r="AH89" s="1555" t="s">
        <v>593</v>
      </c>
      <c r="AI89" s="1556" t="s">
        <v>590</v>
      </c>
      <c r="AJ89" s="1557" t="s">
        <v>579</v>
      </c>
      <c r="AK89" s="1558">
        <v>45754</v>
      </c>
      <c r="AL89" s="1524" t="s">
        <v>196</v>
      </c>
      <c r="AM89" s="1111"/>
    </row>
    <row r="90" spans="1:39" s="1105" customFormat="1" x14ac:dyDescent="0.25">
      <c r="A90" s="1109"/>
      <c r="B90" s="1110"/>
      <c r="C90" s="1109"/>
      <c r="D90" s="1109"/>
      <c r="E90" s="1109"/>
      <c r="F90" s="1111"/>
      <c r="G90" s="1111"/>
      <c r="H90" s="1111"/>
      <c r="I90" s="1112"/>
      <c r="J90" s="1111"/>
      <c r="K90" s="1111"/>
      <c r="L90" s="1111"/>
      <c r="M90" s="1111"/>
      <c r="N90" s="1111"/>
      <c r="O90" s="1111"/>
      <c r="P90" s="1111"/>
      <c r="Q90" s="1111"/>
      <c r="R90" s="1111"/>
      <c r="S90" s="1111"/>
      <c r="T90" s="1111"/>
      <c r="U90" s="1111"/>
      <c r="V90" s="1111"/>
      <c r="W90" s="1111"/>
      <c r="X90" s="1111"/>
      <c r="Y90" s="1111"/>
      <c r="Z90" s="1111"/>
      <c r="AA90" s="1111"/>
      <c r="AB90" s="1111"/>
      <c r="AC90" s="1111"/>
      <c r="AD90" s="1111"/>
      <c r="AE90" s="1111"/>
      <c r="AF90" s="1111"/>
      <c r="AG90" s="1111"/>
      <c r="AH90" s="1111"/>
      <c r="AI90" s="1111"/>
      <c r="AJ90" s="1111"/>
      <c r="AK90" s="1111"/>
      <c r="AL90" s="1111"/>
      <c r="AM90" s="1111"/>
    </row>
    <row r="91" spans="1:39" s="1105" customFormat="1" x14ac:dyDescent="0.25">
      <c r="A91" s="1569" t="s">
        <v>148</v>
      </c>
      <c r="B91" s="1570"/>
      <c r="C91" s="1570"/>
      <c r="D91" s="1570"/>
      <c r="E91" s="1570"/>
      <c r="F91" s="1570"/>
      <c r="G91" s="1570"/>
      <c r="H91" s="1570"/>
      <c r="I91" s="1570"/>
      <c r="J91" s="1570"/>
      <c r="K91" s="1570"/>
      <c r="L91" s="1570"/>
      <c r="M91" s="1570"/>
      <c r="N91" s="1570"/>
      <c r="O91" s="1570"/>
      <c r="P91" s="1570"/>
      <c r="Q91" s="1570"/>
      <c r="R91" s="1570"/>
      <c r="S91" s="1570"/>
      <c r="T91" s="1570"/>
      <c r="U91" s="1570"/>
      <c r="V91" s="1570"/>
      <c r="W91" s="1570"/>
      <c r="X91" s="1570"/>
      <c r="Y91" s="1570"/>
      <c r="Z91" s="1570"/>
      <c r="AA91" s="1570"/>
      <c r="AB91" s="1570"/>
      <c r="AC91" s="1570"/>
      <c r="AD91" s="1570"/>
      <c r="AE91" s="1570"/>
      <c r="AF91" s="1570"/>
      <c r="AG91" s="1570"/>
      <c r="AH91" s="1570"/>
      <c r="AI91" s="1570"/>
      <c r="AJ91" s="1570"/>
      <c r="AK91" s="1570"/>
      <c r="AL91" s="1570"/>
      <c r="AM91" s="1111"/>
    </row>
    <row r="92" spans="1:39" s="1105" customFormat="1" x14ac:dyDescent="0.25">
      <c r="A92" s="1569"/>
      <c r="B92" s="1570"/>
      <c r="C92" s="1570"/>
      <c r="D92" s="1570"/>
      <c r="E92" s="1570"/>
      <c r="F92" s="1570"/>
      <c r="G92" s="1570"/>
      <c r="H92" s="1570"/>
      <c r="I92" s="1570"/>
      <c r="J92" s="1570"/>
      <c r="K92" s="1570"/>
      <c r="L92" s="1570"/>
      <c r="M92" s="1570"/>
      <c r="N92" s="1570"/>
      <c r="O92" s="1570"/>
      <c r="P92" s="1570"/>
      <c r="Q92" s="1570"/>
      <c r="R92" s="1570"/>
      <c r="S92" s="1570"/>
      <c r="T92" s="1570"/>
      <c r="U92" s="1570"/>
      <c r="V92" s="1570"/>
      <c r="W92" s="1570"/>
      <c r="X92" s="1570"/>
      <c r="Y92" s="1570"/>
      <c r="Z92" s="1570"/>
      <c r="AA92" s="1570"/>
      <c r="AB92" s="1570"/>
      <c r="AC92" s="1570"/>
      <c r="AD92" s="1570"/>
      <c r="AE92" s="1570"/>
      <c r="AF92" s="1570"/>
      <c r="AG92" s="1570"/>
      <c r="AH92" s="1570"/>
      <c r="AI92" s="1570"/>
      <c r="AJ92" s="1570"/>
      <c r="AK92" s="1570"/>
      <c r="AL92" s="1570"/>
      <c r="AM92" s="1111"/>
    </row>
    <row r="93" spans="1:39" s="1105" customFormat="1" x14ac:dyDescent="0.25">
      <c r="A93" s="1421"/>
      <c r="B93" s="1422"/>
      <c r="C93" s="1421"/>
      <c r="D93" s="1421"/>
      <c r="E93" s="1421"/>
      <c r="F93" s="1423"/>
      <c r="G93" s="1423"/>
      <c r="H93" s="1423"/>
      <c r="I93" s="1424"/>
      <c r="J93" s="1423"/>
      <c r="K93" s="1423"/>
      <c r="L93" s="1423"/>
      <c r="M93" s="1423"/>
      <c r="N93" s="1423"/>
      <c r="O93" s="1423"/>
      <c r="P93" s="1423"/>
      <c r="Q93" s="1423"/>
      <c r="R93" s="1423"/>
      <c r="S93" s="1423"/>
      <c r="T93" s="1423"/>
      <c r="U93" s="1423"/>
      <c r="V93" s="1423"/>
      <c r="W93" s="1423"/>
      <c r="X93" s="1423"/>
      <c r="Y93" s="1423"/>
      <c r="Z93" s="1423"/>
      <c r="AA93" s="1423"/>
      <c r="AB93" s="1423"/>
      <c r="AC93" s="1423"/>
      <c r="AD93" s="1423"/>
      <c r="AE93" s="1423"/>
      <c r="AF93" s="1423"/>
      <c r="AG93" s="1423"/>
      <c r="AH93" s="1423"/>
      <c r="AI93" s="1423"/>
      <c r="AJ93" s="1423"/>
      <c r="AK93" s="1423"/>
      <c r="AL93" s="1423"/>
      <c r="AM93" s="1111"/>
    </row>
    <row r="94" spans="1:39" s="1105" customFormat="1" ht="23.4" x14ac:dyDescent="0.25">
      <c r="A94" s="1425" t="s">
        <v>149</v>
      </c>
      <c r="B94" s="1426"/>
      <c r="C94" s="1499" t="s">
        <v>368</v>
      </c>
      <c r="D94" s="1499"/>
      <c r="E94" s="1499"/>
      <c r="F94" s="1499"/>
      <c r="G94" s="1499"/>
      <c r="H94" s="1499"/>
      <c r="I94" s="1499"/>
      <c r="J94" s="1499"/>
      <c r="K94" s="1499"/>
      <c r="L94" s="1499"/>
      <c r="M94" s="1499"/>
      <c r="N94" s="1499"/>
      <c r="O94" s="1499"/>
      <c r="P94" s="1499"/>
      <c r="Q94" s="1499"/>
      <c r="R94" s="1499"/>
      <c r="S94" s="1499"/>
      <c r="T94" s="1499"/>
      <c r="U94" s="1499"/>
      <c r="V94" s="1499"/>
      <c r="W94" s="1499"/>
      <c r="X94" s="1499"/>
      <c r="Y94" s="1499"/>
      <c r="Z94" s="1499"/>
      <c r="AA94" s="1499"/>
      <c r="AB94" s="1499"/>
      <c r="AC94" s="1499"/>
      <c r="AD94" s="1499"/>
      <c r="AE94" s="1499"/>
      <c r="AF94" s="1499"/>
      <c r="AG94" s="1499"/>
      <c r="AH94" s="1499"/>
      <c r="AI94" s="1499"/>
      <c r="AJ94" s="1499"/>
      <c r="AK94" s="1499"/>
      <c r="AL94" s="1499"/>
      <c r="AM94" s="1111"/>
    </row>
    <row r="95" spans="1:39" s="1105" customFormat="1" ht="23.4" customHeight="1" x14ac:dyDescent="0.25">
      <c r="A95" s="1425" t="s">
        <v>150</v>
      </c>
      <c r="B95" s="1426"/>
      <c r="C95" s="1500" t="s">
        <v>369</v>
      </c>
      <c r="D95" s="1500"/>
      <c r="E95" s="1500"/>
      <c r="F95" s="1500"/>
      <c r="G95" s="1500"/>
      <c r="H95" s="1500"/>
      <c r="I95" s="1500"/>
      <c r="J95" s="1500"/>
      <c r="K95" s="1500"/>
      <c r="L95" s="1500"/>
      <c r="M95" s="1500"/>
      <c r="N95" s="1500"/>
      <c r="O95" s="1500"/>
      <c r="P95" s="1500"/>
      <c r="Q95" s="1500"/>
      <c r="R95" s="1500"/>
      <c r="S95" s="1500"/>
      <c r="T95" s="1500"/>
      <c r="U95" s="1500"/>
      <c r="V95" s="1500"/>
      <c r="W95" s="1500"/>
      <c r="X95" s="1500"/>
      <c r="Y95" s="1500"/>
      <c r="Z95" s="1500"/>
      <c r="AA95" s="1500"/>
      <c r="AB95" s="1500"/>
      <c r="AC95" s="1500"/>
      <c r="AD95" s="1500"/>
      <c r="AE95" s="1500"/>
      <c r="AF95" s="1500"/>
      <c r="AG95" s="1500"/>
      <c r="AH95" s="1500"/>
      <c r="AI95" s="1500"/>
      <c r="AJ95" s="1500"/>
      <c r="AK95" s="1500"/>
      <c r="AL95" s="1500"/>
      <c r="AM95" s="1111"/>
    </row>
    <row r="96" spans="1:39" s="1105" customFormat="1" ht="23.4" customHeight="1" x14ac:dyDescent="0.25">
      <c r="A96" s="1425" t="s">
        <v>151</v>
      </c>
      <c r="B96" s="1426"/>
      <c r="C96" s="1500" t="s">
        <v>370</v>
      </c>
      <c r="D96" s="1500"/>
      <c r="E96" s="1500"/>
      <c r="F96" s="1500"/>
      <c r="G96" s="1500"/>
      <c r="H96" s="1500"/>
      <c r="I96" s="1500"/>
      <c r="J96" s="1500"/>
      <c r="K96" s="1500"/>
      <c r="L96" s="1500"/>
      <c r="M96" s="1500"/>
      <c r="N96" s="1500"/>
      <c r="O96" s="1500"/>
      <c r="P96" s="1500"/>
      <c r="Q96" s="1500"/>
      <c r="R96" s="1500"/>
      <c r="S96" s="1500"/>
      <c r="T96" s="1500"/>
      <c r="U96" s="1500"/>
      <c r="V96" s="1500"/>
      <c r="W96" s="1500"/>
      <c r="X96" s="1500"/>
      <c r="Y96" s="1500"/>
      <c r="Z96" s="1500"/>
      <c r="AA96" s="1500"/>
      <c r="AB96" s="1500"/>
      <c r="AC96" s="1500"/>
      <c r="AD96" s="1500"/>
      <c r="AE96" s="1500"/>
      <c r="AF96" s="1500"/>
      <c r="AG96" s="1500"/>
      <c r="AH96" s="1500"/>
      <c r="AI96" s="1500"/>
      <c r="AJ96" s="1500"/>
      <c r="AK96" s="1500"/>
      <c r="AL96" s="1500"/>
      <c r="AM96" s="1111"/>
    </row>
    <row r="97" spans="1:39" s="1105" customFormat="1" x14ac:dyDescent="0.25">
      <c r="A97" s="1571" t="s">
        <v>152</v>
      </c>
      <c r="B97" s="1572"/>
      <c r="C97" s="1573"/>
      <c r="D97" s="1573"/>
      <c r="E97" s="1573"/>
      <c r="F97" s="1573"/>
      <c r="G97" s="1573"/>
      <c r="H97" s="1573"/>
      <c r="I97" s="1573"/>
      <c r="J97" s="1574"/>
      <c r="K97" s="1575" t="s">
        <v>153</v>
      </c>
      <c r="L97" s="1573"/>
      <c r="M97" s="1573"/>
      <c r="N97" s="1573"/>
      <c r="O97" s="1573"/>
      <c r="P97" s="1573"/>
      <c r="Q97" s="1574"/>
      <c r="R97" s="1575" t="s">
        <v>154</v>
      </c>
      <c r="S97" s="1573"/>
      <c r="T97" s="1573"/>
      <c r="U97" s="1573"/>
      <c r="V97" s="1573"/>
      <c r="W97" s="1573"/>
      <c r="X97" s="1573"/>
      <c r="Y97" s="1573"/>
      <c r="Z97" s="1574"/>
      <c r="AA97" s="1575" t="s">
        <v>155</v>
      </c>
      <c r="AB97" s="1573"/>
      <c r="AC97" s="1573"/>
      <c r="AD97" s="1573"/>
      <c r="AE97" s="1573"/>
      <c r="AF97" s="1573"/>
      <c r="AG97" s="1574"/>
      <c r="AH97" s="1575" t="s">
        <v>156</v>
      </c>
      <c r="AI97" s="1573"/>
      <c r="AJ97" s="1573"/>
      <c r="AK97" s="1573"/>
      <c r="AL97" s="1573"/>
      <c r="AM97" s="1111"/>
    </row>
    <row r="98" spans="1:39" s="1105" customFormat="1" x14ac:dyDescent="0.25">
      <c r="A98" s="1434" t="s">
        <v>157</v>
      </c>
      <c r="B98" s="1435" t="s">
        <v>141</v>
      </c>
      <c r="C98" s="1436" t="s">
        <v>158</v>
      </c>
      <c r="D98" s="1436" t="s">
        <v>159</v>
      </c>
      <c r="E98" s="1437" t="s">
        <v>160</v>
      </c>
      <c r="F98" s="1438" t="s">
        <v>60</v>
      </c>
      <c r="G98" s="1439"/>
      <c r="H98" s="1439"/>
      <c r="I98" s="1437" t="s">
        <v>161</v>
      </c>
      <c r="J98" s="1436" t="s">
        <v>162</v>
      </c>
      <c r="K98" s="1440" t="s">
        <v>163</v>
      </c>
      <c r="L98" s="1441" t="s">
        <v>164</v>
      </c>
      <c r="M98" s="1437" t="s">
        <v>165</v>
      </c>
      <c r="N98" s="1437" t="s">
        <v>166</v>
      </c>
      <c r="O98" s="1442" t="s">
        <v>167</v>
      </c>
      <c r="P98" s="1441" t="s">
        <v>164</v>
      </c>
      <c r="Q98" s="1436" t="s">
        <v>168</v>
      </c>
      <c r="R98" s="1443" t="s">
        <v>169</v>
      </c>
      <c r="S98" s="1444" t="s">
        <v>170</v>
      </c>
      <c r="T98" s="1437" t="s">
        <v>171</v>
      </c>
      <c r="U98" s="1444" t="s">
        <v>172</v>
      </c>
      <c r="V98" s="1444"/>
      <c r="W98" s="1444"/>
      <c r="X98" s="1444"/>
      <c r="Y98" s="1444"/>
      <c r="Z98" s="1444"/>
      <c r="AA98" s="1445" t="s">
        <v>173</v>
      </c>
      <c r="AB98" s="1445" t="s">
        <v>174</v>
      </c>
      <c r="AC98" s="1445" t="s">
        <v>164</v>
      </c>
      <c r="AD98" s="1445" t="s">
        <v>175</v>
      </c>
      <c r="AE98" s="1445" t="s">
        <v>164</v>
      </c>
      <c r="AF98" s="1445" t="s">
        <v>176</v>
      </c>
      <c r="AG98" s="1443" t="s">
        <v>177</v>
      </c>
      <c r="AH98" s="1444" t="s">
        <v>156</v>
      </c>
      <c r="AI98" s="1444" t="s">
        <v>142</v>
      </c>
      <c r="AJ98" s="1444" t="s">
        <v>178</v>
      </c>
      <c r="AK98" s="1444" t="s">
        <v>179</v>
      </c>
      <c r="AL98" s="1437" t="s">
        <v>181</v>
      </c>
      <c r="AM98" s="1111"/>
    </row>
    <row r="99" spans="1:39" s="1105" customFormat="1" ht="70.2" x14ac:dyDescent="0.25">
      <c r="A99" s="1446"/>
      <c r="B99" s="1435"/>
      <c r="C99" s="1444"/>
      <c r="D99" s="1444"/>
      <c r="E99" s="1440"/>
      <c r="F99" s="1447"/>
      <c r="G99" s="1439" t="s">
        <v>371</v>
      </c>
      <c r="H99" s="1439" t="s">
        <v>182</v>
      </c>
      <c r="I99" s="1436"/>
      <c r="J99" s="1444"/>
      <c r="K99" s="1436"/>
      <c r="L99" s="1433"/>
      <c r="M99" s="1436"/>
      <c r="N99" s="1436"/>
      <c r="O99" s="1433"/>
      <c r="P99" s="1433"/>
      <c r="Q99" s="1444"/>
      <c r="R99" s="1448"/>
      <c r="S99" s="1444"/>
      <c r="T99" s="1436"/>
      <c r="U99" s="1449" t="s">
        <v>183</v>
      </c>
      <c r="V99" s="1449" t="s">
        <v>184</v>
      </c>
      <c r="W99" s="1449" t="s">
        <v>185</v>
      </c>
      <c r="X99" s="1449" t="s">
        <v>186</v>
      </c>
      <c r="Y99" s="1449" t="s">
        <v>187</v>
      </c>
      <c r="Z99" s="1449" t="s">
        <v>188</v>
      </c>
      <c r="AA99" s="1445"/>
      <c r="AB99" s="1445"/>
      <c r="AC99" s="1445"/>
      <c r="AD99" s="1445"/>
      <c r="AE99" s="1445"/>
      <c r="AF99" s="1445"/>
      <c r="AG99" s="1448"/>
      <c r="AH99" s="1444"/>
      <c r="AI99" s="1444"/>
      <c r="AJ99" s="1444"/>
      <c r="AK99" s="1444"/>
      <c r="AL99" s="1576"/>
      <c r="AM99" s="1111"/>
    </row>
    <row r="100" spans="1:39" s="1105" customFormat="1" ht="187.2" x14ac:dyDescent="0.25">
      <c r="A100" s="1450">
        <v>1</v>
      </c>
      <c r="B100" s="1501" t="s">
        <v>199</v>
      </c>
      <c r="C100" s="1501" t="s">
        <v>373</v>
      </c>
      <c r="D100" s="1502" t="s">
        <v>374</v>
      </c>
      <c r="E100" s="1577" t="s">
        <v>375</v>
      </c>
      <c r="F100" s="1504" t="s">
        <v>376</v>
      </c>
      <c r="G100" s="1578" t="s">
        <v>202</v>
      </c>
      <c r="H100" s="1504" t="s">
        <v>377</v>
      </c>
      <c r="I100" s="1506" t="s">
        <v>190</v>
      </c>
      <c r="J100" s="1507">
        <v>7162</v>
      </c>
      <c r="K100" s="1508" t="str">
        <f>IF(J100&lt;=0,"",IF(J100&lt;=2,"Muy Baja",IF(J100&lt;=24,"Baja",IF(J100&lt;=500,"Media",IF(J100&lt;=5000,"Alta","Muy Alta")))))</f>
        <v>Muy Alta</v>
      </c>
      <c r="L100" s="1509">
        <f>IF(K100="","",IF(K100="Muy Baja",0.2,IF(K100="Baja",0.4,IF(K100="Media",0.6,IF(K100="Alta",0.8,IF(K100="Muy Alta",1,))))))</f>
        <v>1</v>
      </c>
      <c r="M100" s="1510" t="s">
        <v>214</v>
      </c>
      <c r="N100" s="1509" t="str">
        <f>IF(NOT(ISERROR(MATCH(M100,'[24]Tabla Impacto'!$B$221:$B$223,0))),'[24]Tabla Impacto'!$F$223&amp;"Por favor no seleccionar los criterios de impacto(Afectación Económica o presupuestal y Pérdida Reputacional)",M100)</f>
        <v xml:space="preserve">     El riesgo afecta la imagen de de la entidad con efecto publicitario sostenido a nivel de sector administrativo, nivel departamental o municipal</v>
      </c>
      <c r="O100" s="1508" t="str">
        <f>IF(OR(N100='[24]Tabla Impacto'!$C$11,N100='[24]Tabla Impacto'!$D$11),"Leve",IF(OR(N100='[24]Tabla Impacto'!$C$12,N100='[24]Tabla Impacto'!$D$12),"Menor",IF(OR(N100='[24]Tabla Impacto'!$C$13,N100='[24]Tabla Impacto'!$D$13),"Moderado",IF(OR(N100='[24]Tabla Impacto'!$C$14,N100='[24]Tabla Impacto'!$D$14),"Mayor",IF(OR(N100='[24]Tabla Impacto'!$C$15,N100='[24]Tabla Impacto'!$D$15),"Catastrófico","")))))</f>
        <v>Mayor</v>
      </c>
      <c r="P100" s="1509">
        <f>IF(O100="","",IF(O100="Leve",0.2,IF(O100="Menor",0.4,IF(O100="Moderado",0.6,IF(O100="Mayor",0.8,IF(O100="Catastrófico",1,))))))</f>
        <v>0.8</v>
      </c>
      <c r="Q100" s="1511"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1512">
        <v>1</v>
      </c>
      <c r="S100" s="1579" t="s">
        <v>378</v>
      </c>
      <c r="T100" s="1514" t="str">
        <f>IF(OR(U100="Preventivo",U100="Detectivo"),"Probabilidad",IF(U100="Correctivo","Impacto",""))</f>
        <v>Impacto</v>
      </c>
      <c r="U100" s="1515" t="s">
        <v>379</v>
      </c>
      <c r="V100" s="1515" t="s">
        <v>191</v>
      </c>
      <c r="W100" s="1516" t="str">
        <f>IF(AND(U100="Preventivo",V100="Automático"),"50%",IF(AND(U100="Preventivo",V100="Manual"),"40%",IF(AND(U100="Detectivo",V100="Automático"),"40%",IF(AND(U100="Detectivo",V100="Manual"),"30%",IF(AND(U100="Correctivo",V100="Automático"),"35%",IF(AND(U100="Correctivo",V100="Manual"),"25%",""))))))</f>
        <v>25%</v>
      </c>
      <c r="X100" s="1515" t="s">
        <v>198</v>
      </c>
      <c r="Y100" s="1515" t="s">
        <v>193</v>
      </c>
      <c r="Z100" s="1515" t="s">
        <v>194</v>
      </c>
      <c r="AA100" s="1517">
        <f>IFERROR(IF(T100="Probabilidad",(L100-(+L100*W100)),IF(T100="Impacto",L100,"")),"")</f>
        <v>1</v>
      </c>
      <c r="AB100" s="1518" t="str">
        <f>IFERROR(IF(AA100="","",IF(AA100&lt;=0.2,"Muy Baja",IF(AA100&lt;=0.4,"Baja",IF(AA100&lt;=0.6,"Media",IF(AA100&lt;=0.8,"Alta","Muy Alta"))))),"")</f>
        <v>Muy Alta</v>
      </c>
      <c r="AC100" s="1519">
        <f>+AA100</f>
        <v>1</v>
      </c>
      <c r="AD100" s="1518" t="str">
        <f>IFERROR(IF(AE100="","",IF(AE100&lt;=0.2,"Leve",IF(AE100&lt;=0.4,"Menor",IF(AE100&lt;=0.6,"Moderado",IF(AE100&lt;=0.8,"Mayor","Catastrófico"))))),"")</f>
        <v>Moderado</v>
      </c>
      <c r="AE100" s="1519">
        <f>IFERROR(IF(T100="Impacto",(P100-(+P100*W100)),IF(T100="Probabilidad",P100,"")),"")</f>
        <v>0.60000000000000009</v>
      </c>
      <c r="AF100" s="1520" t="str">
        <f>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Alto</v>
      </c>
      <c r="AG100" s="1580" t="s">
        <v>195</v>
      </c>
      <c r="AH100" s="1473" t="s">
        <v>781</v>
      </c>
      <c r="AI100" s="1495" t="s">
        <v>381</v>
      </c>
      <c r="AJ100" s="1581">
        <v>45292</v>
      </c>
      <c r="AK100" s="1581">
        <v>45657</v>
      </c>
      <c r="AL100" s="1582" t="s">
        <v>196</v>
      </c>
      <c r="AM100" s="1111"/>
    </row>
    <row r="101" spans="1:39" s="1105" customFormat="1" ht="15.6" x14ac:dyDescent="0.25">
      <c r="A101" s="1475"/>
      <c r="B101" s="1525"/>
      <c r="C101" s="1525"/>
      <c r="D101" s="1526"/>
      <c r="E101" s="1583" t="s">
        <v>383</v>
      </c>
      <c r="F101" s="1504"/>
      <c r="G101" s="1584"/>
      <c r="H101" s="1504"/>
      <c r="I101" s="1528"/>
      <c r="J101" s="1529"/>
      <c r="K101" s="1530"/>
      <c r="L101" s="1531"/>
      <c r="M101" s="1532"/>
      <c r="N101" s="1531"/>
      <c r="O101" s="1530"/>
      <c r="P101" s="1531"/>
      <c r="Q101" s="1533"/>
      <c r="R101" s="1585">
        <v>2</v>
      </c>
      <c r="S101" s="1501" t="s">
        <v>782</v>
      </c>
      <c r="T101" s="1586" t="str">
        <f>IF(OR(U101="Preventivo",U101="Detectivo"),"Probabilidad",IF(U101="Correctivo","Impacto",""))</f>
        <v>Impacto</v>
      </c>
      <c r="U101" s="1587" t="s">
        <v>379</v>
      </c>
      <c r="V101" s="1587" t="s">
        <v>191</v>
      </c>
      <c r="W101" s="1588" t="str">
        <f>IF(AND(U101="Preventivo",V101="Automático"),"50%",IF(AND(U101="Preventivo",V101="Manual"),"40%",IF(AND(U101="Detectivo",V101="Automático"),"40%",IF(AND(U101="Detectivo",V101="Manual"),"30%",IF(AND(U101="Correctivo",V101="Automático"),"35%",IF(AND(U101="Correctivo",V101="Manual"),"25%",""))))))</f>
        <v>25%</v>
      </c>
      <c r="X101" s="1587" t="s">
        <v>198</v>
      </c>
      <c r="Y101" s="1587" t="s">
        <v>193</v>
      </c>
      <c r="Z101" s="1587" t="s">
        <v>194</v>
      </c>
      <c r="AA101" s="1589">
        <f>IFERROR(IF(AND(T100="Probabilidad",T101="Probabilidad"),(AC100-(+AC100*W101)),IF(AND(T100="Impacto",T101="Probabilidad"),(AC99-(+AC99*W101)),IF(T101="Impacto",AC100,""))),"")</f>
        <v>1</v>
      </c>
      <c r="AB101" s="1590" t="str">
        <f>IFERROR(IF(AA101="","",IF(AA101&lt;=0.2,"Muy Baja",IF(AA101&lt;=0.4,"Baja",IF(AA101&lt;=0.6,"Media",IF(AA101&lt;=0.8,"Alta","Muy Alta"))))),"")</f>
        <v>Muy Alta</v>
      </c>
      <c r="AC101" s="1588">
        <f>+AA101</f>
        <v>1</v>
      </c>
      <c r="AD101" s="1590" t="str">
        <f>IFERROR(IF(AE101="","",IF(AE101&lt;=0.2,"Leve",IF(AE101&lt;=0.4,"Menor",IF(AE101&lt;=0.6,"Moderado",IF(AE101&lt;=0.8,"Mayor","Catastrófico"))))),"")</f>
        <v>Moderado</v>
      </c>
      <c r="AE101" s="1588">
        <f>IFERROR(IF(AND(T100="Impacto",T101="Impacto"),(AE100-(+AE100*W101)),IF(AND(T100="Probabilidad",T101="Impacto"),(AE99-(+AE99*W101)),IF(T101="Probabilidad",AE100,""))),"")</f>
        <v>0.45000000000000007</v>
      </c>
      <c r="AF101" s="1591" t="str">
        <f>IFERROR(IF(OR(AND(AB101="Muy Baja",AD101="Leve"),AND(AB101="Muy Baja",AD101="Menor"),AND(AB101="Baja",AD101="Leve")),"Bajo",IF(OR(AND(AB101="Muy baja",AD101="Moderado"),AND(AB101="Baja",AD101="Menor"),AND(AB101="Baja",AD101="Moderado"),AND(AB101="Media",AD101="Leve"),AND(AB101="Media",AD101="Menor"),AND(AB101="Media",AD101="Moderado"),AND(AB101="Alta",AD101="Leve"),AND(AB101="Alta",AD101="Menor")),"Moderado",IF(OR(AND(AB101="Muy Baja",AD101="Mayor"),AND(AB101="Baja",AD101="Mayor"),AND(AB101="Media",AD101="Mayor"),AND(AB101="Alta",AD101="Moderado"),AND(AB101="Alta",AD101="Mayor"),AND(AB101="Muy Alta",AD101="Leve"),AND(AB101="Muy Alta",AD101="Menor"),AND(AB101="Muy Alta",AD101="Moderado"),AND(AB101="Muy Alta",AD101="Mayor")),"Alto",IF(OR(AND(AB101="Muy Baja",AD101="Catastrófico"),AND(AB101="Baja",AD101="Catastrófico"),AND(AB101="Media",AD101="Catastrófico"),AND(AB101="Alta",AD101="Catastrófico"),AND(AB101="Muy Alta",AD101="Catastrófico")),"Extremo","")))),"")</f>
        <v>Alto</v>
      </c>
      <c r="AG101" s="1587" t="s">
        <v>195</v>
      </c>
      <c r="AH101" s="1592" t="s">
        <v>783</v>
      </c>
      <c r="AI101" s="1593" t="s">
        <v>381</v>
      </c>
      <c r="AJ101" s="1594">
        <v>45292</v>
      </c>
      <c r="AK101" s="1594">
        <v>45657</v>
      </c>
      <c r="AL101" s="1595" t="s">
        <v>196</v>
      </c>
      <c r="AM101" s="1111"/>
    </row>
    <row r="102" spans="1:39" s="1105" customFormat="1" x14ac:dyDescent="0.25">
      <c r="A102" s="1475"/>
      <c r="B102" s="1525"/>
      <c r="C102" s="1525"/>
      <c r="D102" s="1526"/>
      <c r="E102" s="1596"/>
      <c r="F102" s="1504"/>
      <c r="G102" s="1584"/>
      <c r="H102" s="1504"/>
      <c r="I102" s="1528"/>
      <c r="J102" s="1529"/>
      <c r="K102" s="1530"/>
      <c r="L102" s="1531"/>
      <c r="M102" s="1532"/>
      <c r="N102" s="1531">
        <f>IF(NOT(ISERROR(MATCH(M102,_xlfn.ANCHORARRAY(F107),0))),L109&amp;"Por favor no seleccionar los criterios de impacto",M102)</f>
        <v>0</v>
      </c>
      <c r="O102" s="1530"/>
      <c r="P102" s="1531"/>
      <c r="Q102" s="1533"/>
      <c r="R102" s="1597"/>
      <c r="S102" s="1536"/>
      <c r="T102" s="1598"/>
      <c r="U102" s="1599"/>
      <c r="V102" s="1599"/>
      <c r="W102" s="1600"/>
      <c r="X102" s="1599"/>
      <c r="Y102" s="1599"/>
      <c r="Z102" s="1599"/>
      <c r="AA102" s="1601"/>
      <c r="AB102" s="1602"/>
      <c r="AC102" s="1600"/>
      <c r="AD102" s="1602"/>
      <c r="AE102" s="1600"/>
      <c r="AF102" s="1603"/>
      <c r="AG102" s="1599"/>
      <c r="AH102" s="1604" t="s">
        <v>784</v>
      </c>
      <c r="AI102" s="1451" t="s">
        <v>381</v>
      </c>
      <c r="AJ102" s="1605">
        <v>45292</v>
      </c>
      <c r="AK102" s="1606">
        <v>45657</v>
      </c>
      <c r="AL102" s="1607" t="s">
        <v>196</v>
      </c>
      <c r="AM102" s="1111"/>
    </row>
    <row r="103" spans="1:39" s="1105" customFormat="1" ht="124.8" x14ac:dyDescent="0.25">
      <c r="A103" s="1475"/>
      <c r="B103" s="1525"/>
      <c r="C103" s="1525"/>
      <c r="D103" s="1526"/>
      <c r="E103" s="1608" t="s">
        <v>785</v>
      </c>
      <c r="F103" s="1504"/>
      <c r="G103" s="1584"/>
      <c r="H103" s="1504"/>
      <c r="I103" s="1528"/>
      <c r="J103" s="1529"/>
      <c r="K103" s="1530"/>
      <c r="L103" s="1531"/>
      <c r="M103" s="1532"/>
      <c r="N103" s="1531">
        <f>IF(NOT(ISERROR(MATCH(M103,_xlfn.ANCHORARRAY(F108),0))),L110&amp;"Por favor no seleccionar los criterios de impacto",M103)</f>
        <v>0</v>
      </c>
      <c r="O103" s="1530"/>
      <c r="P103" s="1531"/>
      <c r="Q103" s="1533"/>
      <c r="R103" s="1512">
        <v>3</v>
      </c>
      <c r="S103" s="1609" t="s">
        <v>786</v>
      </c>
      <c r="T103" s="1514" t="str">
        <f t="shared" ref="T103:T104" si="49">IF(OR(U103="Preventivo",U103="Detectivo"),"Probabilidad",IF(U103="Correctivo","Impacto",""))</f>
        <v>Impacto</v>
      </c>
      <c r="U103" s="1515" t="s">
        <v>379</v>
      </c>
      <c r="V103" s="1515" t="s">
        <v>191</v>
      </c>
      <c r="W103" s="1516" t="str">
        <f t="shared" ref="W103:W106" si="50">IF(AND(U103="Preventivo",V103="Automático"),"50%",IF(AND(U103="Preventivo",V103="Manual"),"40%",IF(AND(U103="Detectivo",V103="Automático"),"40%",IF(AND(U103="Detectivo",V103="Manual"),"30%",IF(AND(U103="Correctivo",V103="Automático"),"35%",IF(AND(U103="Correctivo",V103="Manual"),"25%",""))))))</f>
        <v>25%</v>
      </c>
      <c r="X103" s="1515" t="s">
        <v>198</v>
      </c>
      <c r="Y103" s="1515" t="s">
        <v>193</v>
      </c>
      <c r="Z103" s="1515" t="s">
        <v>194</v>
      </c>
      <c r="AA103" s="1517">
        <f>IFERROR(IF(AND(T101="Probabilidad",T103="Probabilidad"),(AC101-(+AC101*W103)),IF(AND(T101="Impacto",T103="Probabilidad"),(AC100-(+AC100*W103)),IF(T103="Impacto",AC101,""))),"")</f>
        <v>1</v>
      </c>
      <c r="AB103" s="1518" t="str">
        <f t="shared" ref="AB103:AB104" si="51">IFERROR(IF(AA103="","",IF(AA103&lt;=0.2,"Muy Baja",IF(AA103&lt;=0.4,"Baja",IF(AA103&lt;=0.6,"Media",IF(AA103&lt;=0.8,"Alta","Muy Alta"))))),"")</f>
        <v>Muy Alta</v>
      </c>
      <c r="AC103" s="1519">
        <f t="shared" ref="AC103:AC104" si="52">+AA103</f>
        <v>1</v>
      </c>
      <c r="AD103" s="1518" t="str">
        <f t="shared" ref="AD103:AD104" si="53">IFERROR(IF(AE103="","",IF(AE103&lt;=0.2,"Leve",IF(AE103&lt;=0.4,"Menor",IF(AE103&lt;=0.6,"Moderado",IF(AE103&lt;=0.8,"Mayor","Catastrófico"))))),"")</f>
        <v>Menor</v>
      </c>
      <c r="AE103" s="1519">
        <f>IFERROR(IF(AND(T101="Impacto",T103="Impacto"),(AE101-(+AE101*W103)),IF(AND(T101="Probabilidad",T103="Impacto"),(AE100-(+AE100*W103)),IF(T103="Probabilidad",AE101,""))),"")</f>
        <v>0.33750000000000002</v>
      </c>
      <c r="AF103" s="1520" t="str">
        <f t="shared" ref="AF103:AF104" si="54">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Alto</v>
      </c>
      <c r="AG103" s="1580" t="s">
        <v>195</v>
      </c>
      <c r="AH103" s="1610"/>
      <c r="AI103" s="1491"/>
      <c r="AJ103" s="1611"/>
      <c r="AK103" s="1612"/>
      <c r="AL103" s="1613"/>
      <c r="AM103" s="1111"/>
    </row>
    <row r="104" spans="1:39" s="1105" customFormat="1" ht="156" x14ac:dyDescent="0.25">
      <c r="A104" s="1475"/>
      <c r="B104" s="1525"/>
      <c r="C104" s="1525"/>
      <c r="D104" s="1526"/>
      <c r="E104" s="1608" t="s">
        <v>389</v>
      </c>
      <c r="F104" s="1504"/>
      <c r="G104" s="1584"/>
      <c r="H104" s="1504"/>
      <c r="I104" s="1528"/>
      <c r="J104" s="1529"/>
      <c r="K104" s="1530"/>
      <c r="L104" s="1531"/>
      <c r="M104" s="1532"/>
      <c r="N104" s="1531">
        <f>IF(NOT(ISERROR(MATCH(M104,_xlfn.ANCHORARRAY(F109),0))),L111&amp;"Por favor no seleccionar los criterios de impacto",M104)</f>
        <v>0</v>
      </c>
      <c r="O104" s="1530"/>
      <c r="P104" s="1531"/>
      <c r="Q104" s="1533"/>
      <c r="R104" s="1512">
        <v>4</v>
      </c>
      <c r="S104" s="1579" t="s">
        <v>390</v>
      </c>
      <c r="T104" s="1514" t="str">
        <f t="shared" si="49"/>
        <v>Impacto</v>
      </c>
      <c r="U104" s="1515" t="s">
        <v>379</v>
      </c>
      <c r="V104" s="1515" t="s">
        <v>191</v>
      </c>
      <c r="W104" s="1516" t="str">
        <f t="shared" si="50"/>
        <v>25%</v>
      </c>
      <c r="X104" s="1515" t="s">
        <v>198</v>
      </c>
      <c r="Y104" s="1515" t="s">
        <v>193</v>
      </c>
      <c r="Z104" s="1515" t="s">
        <v>194</v>
      </c>
      <c r="AA104" s="1517">
        <f>IFERROR(IF(AND(T103="Probabilidad",T104="Probabilidad"),(AC103-(+AC103*W104)),IF(AND(T103="Impacto",T104="Probabilidad"),(AC101-(+AC101*W104)),IF(T104="Impacto",AC103,""))),"")</f>
        <v>1</v>
      </c>
      <c r="AB104" s="1518" t="str">
        <f t="shared" si="51"/>
        <v>Muy Alta</v>
      </c>
      <c r="AC104" s="1519">
        <f t="shared" si="52"/>
        <v>1</v>
      </c>
      <c r="AD104" s="1518" t="str">
        <f t="shared" si="53"/>
        <v>Menor</v>
      </c>
      <c r="AE104" s="1519">
        <f>IFERROR(IF(AND(T103="Impacto",T104="Impacto"),(AE103-(+AE103*W104)),IF(AND(T103="Probabilidad",T104="Impacto"),(AE101-(+AE101*W104)),IF(T104="Probabilidad",AE103,""))),"")</f>
        <v>0.25312500000000004</v>
      </c>
      <c r="AF104" s="1520" t="str">
        <f t="shared" si="54"/>
        <v>Alto</v>
      </c>
      <c r="AG104" s="1580"/>
      <c r="AH104" s="1473" t="s">
        <v>787</v>
      </c>
      <c r="AI104" s="1463" t="s">
        <v>381</v>
      </c>
      <c r="AJ104" s="1496">
        <v>45292</v>
      </c>
      <c r="AK104" s="1496">
        <v>45657</v>
      </c>
      <c r="AL104" s="1614" t="s">
        <v>196</v>
      </c>
      <c r="AM104" s="1111"/>
    </row>
    <row r="105" spans="1:39" s="1105" customFormat="1" ht="156" x14ac:dyDescent="0.25">
      <c r="A105" s="1450">
        <v>2</v>
      </c>
      <c r="B105" s="1501" t="s">
        <v>189</v>
      </c>
      <c r="C105" s="1501" t="s">
        <v>393</v>
      </c>
      <c r="D105" s="1615" t="s">
        <v>394</v>
      </c>
      <c r="E105" s="1616" t="s">
        <v>395</v>
      </c>
      <c r="F105" s="1504" t="s">
        <v>396</v>
      </c>
      <c r="G105" s="1584"/>
      <c r="H105" s="1617" t="s">
        <v>397</v>
      </c>
      <c r="I105" s="1506" t="s">
        <v>398</v>
      </c>
      <c r="J105" s="1548">
        <v>7162</v>
      </c>
      <c r="K105" s="1549" t="str">
        <f>IF(J105&lt;=0,"",IF(J105&lt;=2,"Muy Baja",IF(J105&lt;=24,"Baja",IF(J105&lt;=500,"Media",IF(J105&lt;=5000,"Alta","Muy Alta")))))</f>
        <v>Muy Alta</v>
      </c>
      <c r="L105" s="1550">
        <f>IF(K105="","",IF(K105="Muy Baja",0.2,IF(K105="Baja",0.4,IF(K105="Media",0.6,IF(K105="Alta",0.8,IF(K105="Muy Alta",1,))))))</f>
        <v>1</v>
      </c>
      <c r="M105" s="1551" t="s">
        <v>321</v>
      </c>
      <c r="N105" s="1550" t="str">
        <f>IF(NOT(ISERROR(MATCH(M105,'[24]Tabla Impacto'!$B$221:$B$223,0))),'[24]Tabla Impacto'!$F$223&amp;"Por favor no seleccionar los criterios de impacto(Afectación Económica o presupuestal y Pérdida Reputacional)",M105)</f>
        <v xml:space="preserve">     Entre 200 y 1000 SMLMV</v>
      </c>
      <c r="O105" s="1549" t="str">
        <f>IF(OR(N105='[24]Tabla Impacto'!$C$11,N105='[24]Tabla Impacto'!$D$11),"Leve",IF(OR(N105='[24]Tabla Impacto'!$C$12,N105='[24]Tabla Impacto'!$D$12),"Menor",IF(OR(N105='[24]Tabla Impacto'!$C$13,N105='[24]Tabla Impacto'!$D$13),"Moderado",IF(OR(N105='[24]Tabla Impacto'!$C$14,N105='[24]Tabla Impacto'!$D$14),"Mayor",IF(OR(N105='[24]Tabla Impacto'!$C$15,N105='[24]Tabla Impacto'!$D$15),"Catastrófico","")))))</f>
        <v>Menor</v>
      </c>
      <c r="P105" s="1550">
        <f>IF(O105="","",IF(O105="Leve",0.2,IF(O105="Menor",0.4,IF(O105="Moderado",0.6,IF(O105="Mayor",0.8,IF(O105="Catastrófico",1,))))))</f>
        <v>0.4</v>
      </c>
      <c r="Q105" s="1552" t="str">
        <f>IF(OR(AND(K105="Muy Baja",O105="Leve"),AND(K105="Muy Baja",O105="Menor"),AND(K105="Baja",O105="Leve")),"Bajo",IF(OR(AND(K105="Muy baja",O105="Moderado"),AND(K105="Baja",O105="Menor"),AND(K105="Baja",O105="Moderado"),AND(K105="Media",O105="Leve"),AND(K105="Media",O105="Menor"),AND(K105="Media",O105="Moderado"),AND(K105="Alta",O105="Leve"),AND(K105="Alta",O105="Menor")),"Moderado",IF(OR(AND(K105="Muy Baja",O105="Mayor"),AND(K105="Baja",O105="Mayor"),AND(K105="Media",O105="Mayor"),AND(K105="Alta",O105="Moderado"),AND(K105="Alta",O105="Mayor"),AND(K105="Muy Alta",O105="Leve"),AND(K105="Muy Alta",O105="Menor"),AND(K105="Muy Alta",O105="Moderado"),AND(K105="Muy Alta",O105="Mayor")),"Alto",IF(OR(AND(K105="Muy Baja",O105="Catastrófico"),AND(K105="Baja",O105="Catastrófico"),AND(K105="Media",O105="Catastrófico"),AND(K105="Alta",O105="Catastrófico"),AND(K105="Muy Alta",O105="Catastrófico")),"Extremo",""))))</f>
        <v>Alto</v>
      </c>
      <c r="R105" s="1512">
        <v>1</v>
      </c>
      <c r="S105" s="1618" t="s">
        <v>788</v>
      </c>
      <c r="T105" s="1514" t="str">
        <f>IF(OR(U105="Preventivo",U105="Detectivo"),"Probabilidad",IF(U105="Correctivo","Impacto",""))</f>
        <v>Impacto</v>
      </c>
      <c r="U105" s="1515" t="s">
        <v>379</v>
      </c>
      <c r="V105" s="1515" t="s">
        <v>191</v>
      </c>
      <c r="W105" s="1516" t="str">
        <f t="shared" si="50"/>
        <v>25%</v>
      </c>
      <c r="X105" s="1515" t="s">
        <v>198</v>
      </c>
      <c r="Y105" s="1515" t="s">
        <v>193</v>
      </c>
      <c r="Z105" s="1515" t="s">
        <v>194</v>
      </c>
      <c r="AA105" s="1517">
        <f>IFERROR(IF(T105="Probabilidad",(L105-(+L105*W105)),IF(T105="Impacto",L105,"")),"")</f>
        <v>1</v>
      </c>
      <c r="AB105" s="1518" t="str">
        <f>IFERROR(IF(AA105="","",IF(AA105&lt;=0.2,"Muy Baja",IF(AA105&lt;=0.4,"Baja",IF(AA105&lt;=0.6,"Media",IF(AA105&lt;=0.8,"Alta","Muy Alta"))))),"")</f>
        <v>Muy Alta</v>
      </c>
      <c r="AC105" s="1519">
        <f>+AA105</f>
        <v>1</v>
      </c>
      <c r="AD105" s="1518" t="str">
        <f>IFERROR(IF(AE105="","",IF(AE105&lt;=0.2,"Leve",IF(AE105&lt;=0.4,"Menor",IF(AE105&lt;=0.6,"Moderado",IF(AE105&lt;=0.8,"Mayor","Catastrófico"))))),"")</f>
        <v>Menor</v>
      </c>
      <c r="AE105" s="1519">
        <f>IFERROR(IF(T105="Impacto",(P105-(+P105*W105)),IF(T105="Probabilidad",P105,"")),"")</f>
        <v>0.30000000000000004</v>
      </c>
      <c r="AF105" s="1520" t="str">
        <f>IFERROR(IF(OR(AND(AB105="Muy Baja",AD105="Leve"),AND(AB105="Muy Baja",AD105="Menor"),AND(AB105="Baja",AD105="Leve")),"Bajo",IF(OR(AND(AB105="Muy baja",AD105="Moderado"),AND(AB105="Baja",AD105="Menor"),AND(AB105="Baja",AD105="Moderado"),AND(AB105="Media",AD105="Leve"),AND(AB105="Media",AD105="Menor"),AND(AB105="Media",AD105="Moderado"),AND(AB105="Alta",AD105="Leve"),AND(AB105="Alta",AD105="Menor")),"Moderado",IF(OR(AND(AB105="Muy Baja",AD105="Mayor"),AND(AB105="Baja",AD105="Mayor"),AND(AB105="Media",AD105="Mayor"),AND(AB105="Alta",AD105="Moderado"),AND(AB105="Alta",AD105="Mayor"),AND(AB105="Muy Alta",AD105="Leve"),AND(AB105="Muy Alta",AD105="Menor"),AND(AB105="Muy Alta",AD105="Moderado"),AND(AB105="Muy Alta",AD105="Mayor")),"Alto",IF(OR(AND(AB105="Muy Baja",AD105="Catastrófico"),AND(AB105="Baja",AD105="Catastrófico"),AND(AB105="Media",AD105="Catastrófico"),AND(AB105="Alta",AD105="Catastrófico"),AND(AB105="Muy Alta",AD105="Catastrófico")),"Extremo","")))),"")</f>
        <v>Alto</v>
      </c>
      <c r="AG105" s="1619" t="s">
        <v>195</v>
      </c>
      <c r="AH105" s="1473" t="s">
        <v>789</v>
      </c>
      <c r="AI105" s="1495" t="s">
        <v>381</v>
      </c>
      <c r="AJ105" s="1496">
        <v>45292</v>
      </c>
      <c r="AK105" s="1496">
        <v>45657</v>
      </c>
      <c r="AL105" s="1614" t="s">
        <v>196</v>
      </c>
      <c r="AM105" s="1111"/>
    </row>
    <row r="106" spans="1:39" s="1105" customFormat="1" ht="124.8" x14ac:dyDescent="0.25">
      <c r="A106" s="1475"/>
      <c r="B106" s="1525"/>
      <c r="C106" s="1525"/>
      <c r="D106" s="1620"/>
      <c r="E106" s="1621" t="s">
        <v>402</v>
      </c>
      <c r="F106" s="1504"/>
      <c r="G106" s="1584"/>
      <c r="H106" s="1622"/>
      <c r="I106" s="1528"/>
      <c r="J106" s="1564"/>
      <c r="K106" s="1565"/>
      <c r="L106" s="1566"/>
      <c r="M106" s="1567"/>
      <c r="N106" s="1566">
        <f>IF(NOT(ISERROR(MATCH(M106,_xlfn.ANCHORARRAY(F113),0))),L115&amp;"Por favor no seleccionar los criterios de impacto",M106)</f>
        <v>0</v>
      </c>
      <c r="O106" s="1565"/>
      <c r="P106" s="1566"/>
      <c r="Q106" s="1568"/>
      <c r="R106" s="1512">
        <v>2</v>
      </c>
      <c r="S106" s="1579" t="s">
        <v>790</v>
      </c>
      <c r="T106" s="1514" t="str">
        <f>IF(OR(U106="Preventivo",U106="Detectivo"),"Probabilidad",IF(U106="Correctivo","Impacto",""))</f>
        <v>Impacto</v>
      </c>
      <c r="U106" s="1515" t="s">
        <v>379</v>
      </c>
      <c r="V106" s="1515" t="s">
        <v>191</v>
      </c>
      <c r="W106" s="1516" t="str">
        <f t="shared" si="50"/>
        <v>25%</v>
      </c>
      <c r="X106" s="1515" t="s">
        <v>198</v>
      </c>
      <c r="Y106" s="1515" t="s">
        <v>193</v>
      </c>
      <c r="Z106" s="1515" t="s">
        <v>194</v>
      </c>
      <c r="AA106" s="1517">
        <f>IFERROR(IF(AND(T105="Probabilidad",T106="Probabilidad"),(AC105-(+AC105*W106)),IF(AND(T105="Impacto",T106="Probabilidad"),(#REF!-(+#REF!*W106)),IF(T106="Impacto",AC105,""))),"")</f>
        <v>1</v>
      </c>
      <c r="AB106" s="1518" t="str">
        <f t="shared" ref="AB106" si="55">IFERROR(IF(AA106="","",IF(AA106&lt;=0.2,"Muy Baja",IF(AA106&lt;=0.4,"Baja",IF(AA106&lt;=0.6,"Media",IF(AA106&lt;=0.8,"Alta","Muy Alta"))))),"")</f>
        <v>Muy Alta</v>
      </c>
      <c r="AC106" s="1519">
        <f t="shared" ref="AC106" si="56">+AA106</f>
        <v>1</v>
      </c>
      <c r="AD106" s="1518" t="str">
        <f t="shared" ref="AD106" si="57">IFERROR(IF(AE106="","",IF(AE106&lt;=0.2,"Leve",IF(AE106&lt;=0.4,"Menor",IF(AE106&lt;=0.6,"Moderado",IF(AE106&lt;=0.8,"Mayor","Catastrófico"))))),"")</f>
        <v>Menor</v>
      </c>
      <c r="AE106" s="1519">
        <f>IFERROR(IF(AND(T105="Impacto",T106="Impacto"),(AE105-(+AE105*W106)),IF(AND(T105="Probabilidad",T106="Impacto"),(#REF!-(+#REF!*W106)),IF(T106="Probabilidad",AE105,""))),"")</f>
        <v>0.22500000000000003</v>
      </c>
      <c r="AF106" s="1520" t="str">
        <f t="shared" ref="AF106" si="58">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1619" t="s">
        <v>195</v>
      </c>
      <c r="AH106" s="1473" t="s">
        <v>791</v>
      </c>
      <c r="AI106" s="1495" t="s">
        <v>381</v>
      </c>
      <c r="AJ106" s="1496">
        <v>45292</v>
      </c>
      <c r="AK106" s="1496">
        <v>45657</v>
      </c>
      <c r="AL106" s="1614" t="s">
        <v>196</v>
      </c>
      <c r="AM106" s="1111"/>
    </row>
    <row r="107" spans="1:39" s="1105" customFormat="1" ht="13.8" customHeight="1" x14ac:dyDescent="0.25">
      <c r="A107" s="1102" t="s">
        <v>148</v>
      </c>
      <c r="B107" s="1103"/>
      <c r="C107" s="1103"/>
      <c r="D107" s="1103"/>
      <c r="E107" s="1103"/>
      <c r="F107" s="1103"/>
      <c r="G107" s="1103"/>
      <c r="H107" s="1103"/>
      <c r="I107" s="1103"/>
      <c r="J107" s="1103"/>
      <c r="K107" s="1103"/>
      <c r="L107" s="1103"/>
      <c r="M107" s="1103"/>
      <c r="N107" s="1103"/>
      <c r="O107" s="1103"/>
      <c r="P107" s="1103"/>
      <c r="Q107" s="1103"/>
      <c r="R107" s="1103"/>
      <c r="S107" s="1103"/>
      <c r="T107" s="1103"/>
      <c r="U107" s="1103"/>
      <c r="V107" s="1103"/>
      <c r="W107" s="1103"/>
      <c r="X107" s="1103"/>
      <c r="Y107" s="1103"/>
      <c r="Z107" s="1103"/>
      <c r="AA107" s="1103"/>
      <c r="AB107" s="1103"/>
      <c r="AC107" s="1103"/>
      <c r="AD107" s="1103"/>
      <c r="AE107" s="1103"/>
      <c r="AF107" s="1103"/>
      <c r="AG107" s="1103"/>
      <c r="AH107" s="1103"/>
      <c r="AI107" s="1103"/>
      <c r="AJ107" s="1103"/>
      <c r="AK107" s="1103"/>
      <c r="AL107" s="1103"/>
      <c r="AM107" s="1104"/>
    </row>
    <row r="108" spans="1:39" s="1105" customFormat="1" ht="13.8" customHeight="1" x14ac:dyDescent="0.25">
      <c r="A108" s="1106"/>
      <c r="B108" s="1107"/>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107"/>
      <c r="AG108" s="1107"/>
      <c r="AH108" s="1107"/>
      <c r="AI108" s="1107"/>
      <c r="AJ108" s="1107"/>
      <c r="AK108" s="1107"/>
      <c r="AL108" s="1107"/>
      <c r="AM108" s="1108"/>
    </row>
    <row r="109" spans="1:39" s="1105" customFormat="1" x14ac:dyDescent="0.25">
      <c r="A109" s="1109"/>
      <c r="B109" s="1110"/>
      <c r="C109" s="1109"/>
      <c r="D109" s="1109"/>
      <c r="E109" s="1109"/>
      <c r="F109" s="1111"/>
      <c r="G109" s="1111"/>
      <c r="H109" s="1111"/>
      <c r="I109" s="1112"/>
      <c r="J109" s="1111"/>
      <c r="K109" s="1111"/>
      <c r="L109" s="1111"/>
      <c r="M109" s="1111"/>
      <c r="N109" s="1111"/>
      <c r="O109" s="1111"/>
      <c r="P109" s="1111"/>
      <c r="Q109" s="1111"/>
      <c r="R109" s="1111"/>
      <c r="S109" s="1111"/>
      <c r="T109" s="1111"/>
      <c r="U109" s="1111"/>
      <c r="V109" s="1111"/>
      <c r="W109" s="1111"/>
      <c r="X109" s="1111"/>
      <c r="Y109" s="1111"/>
      <c r="Z109" s="1111"/>
      <c r="AA109" s="1111"/>
      <c r="AB109" s="1111"/>
      <c r="AC109" s="1111"/>
      <c r="AD109" s="1111"/>
      <c r="AE109" s="1111"/>
      <c r="AF109" s="1111"/>
      <c r="AG109" s="1111"/>
      <c r="AH109" s="1111"/>
      <c r="AI109" s="1111"/>
      <c r="AJ109" s="1111"/>
      <c r="AK109" s="1111"/>
      <c r="AL109" s="1111"/>
      <c r="AM109" s="1111"/>
    </row>
    <row r="110" spans="1:39" s="1105" customFormat="1" ht="23.4" customHeight="1" x14ac:dyDescent="0.3">
      <c r="A110" s="1113" t="s">
        <v>149</v>
      </c>
      <c r="B110" s="1114"/>
      <c r="C110" s="1623" t="s">
        <v>792</v>
      </c>
      <c r="D110" s="1114"/>
      <c r="E110" s="1114"/>
      <c r="F110" s="1114"/>
      <c r="G110" s="1114"/>
      <c r="H110" s="1114"/>
      <c r="I110" s="1114"/>
      <c r="J110" s="1114"/>
      <c r="K110" s="1114"/>
      <c r="L110" s="1114"/>
      <c r="M110" s="1114"/>
      <c r="N110" s="1114"/>
      <c r="O110" s="1114"/>
      <c r="P110" s="1114"/>
      <c r="Q110" s="1114"/>
      <c r="R110" s="1114"/>
      <c r="S110" s="1114"/>
      <c r="T110" s="1114"/>
      <c r="U110" s="1114"/>
      <c r="V110" s="1114"/>
      <c r="W110" s="1114"/>
      <c r="X110" s="1114"/>
      <c r="Y110" s="1114"/>
      <c r="Z110" s="1114"/>
      <c r="AA110" s="1114"/>
      <c r="AB110" s="1114"/>
      <c r="AC110" s="1114"/>
      <c r="AD110" s="1114"/>
      <c r="AE110" s="1114"/>
      <c r="AF110" s="1114"/>
      <c r="AG110" s="1114"/>
      <c r="AH110" s="1114"/>
      <c r="AI110" s="1114"/>
      <c r="AJ110" s="1114"/>
      <c r="AK110" s="1114"/>
      <c r="AL110" s="1114"/>
      <c r="AM110" s="1116"/>
    </row>
    <row r="111" spans="1:39" s="1105" customFormat="1" ht="23.4" customHeight="1" x14ac:dyDescent="0.3">
      <c r="A111" s="1113" t="s">
        <v>150</v>
      </c>
      <c r="B111" s="1114"/>
      <c r="C111" s="1624" t="s">
        <v>793</v>
      </c>
      <c r="D111" s="1114"/>
      <c r="E111" s="1114"/>
      <c r="F111" s="1114"/>
      <c r="G111" s="1114"/>
      <c r="H111" s="1114"/>
      <c r="I111" s="1114"/>
      <c r="J111" s="1114"/>
      <c r="K111" s="1114"/>
      <c r="L111" s="1114"/>
      <c r="M111" s="1114"/>
      <c r="N111" s="1114"/>
      <c r="O111" s="1114"/>
      <c r="P111" s="1114"/>
      <c r="Q111" s="1114"/>
      <c r="R111" s="1114"/>
      <c r="S111" s="1114"/>
      <c r="T111" s="1114"/>
      <c r="U111" s="1114"/>
      <c r="V111" s="1114"/>
      <c r="W111" s="1114"/>
      <c r="X111" s="1114"/>
      <c r="Y111" s="1114"/>
      <c r="Z111" s="1114"/>
      <c r="AA111" s="1114"/>
      <c r="AB111" s="1114"/>
      <c r="AC111" s="1114"/>
      <c r="AD111" s="1114"/>
      <c r="AE111" s="1114"/>
      <c r="AF111" s="1114"/>
      <c r="AG111" s="1114"/>
      <c r="AH111" s="1114"/>
      <c r="AI111" s="1114"/>
      <c r="AJ111" s="1114"/>
      <c r="AK111" s="1114"/>
      <c r="AL111" s="1114"/>
      <c r="AM111" s="1116"/>
    </row>
    <row r="112" spans="1:39" s="1105" customFormat="1" ht="23.4" customHeight="1" x14ac:dyDescent="0.3">
      <c r="A112" s="1113" t="s">
        <v>151</v>
      </c>
      <c r="B112" s="1114"/>
      <c r="C112" s="1623" t="s">
        <v>794</v>
      </c>
      <c r="D112" s="1114"/>
      <c r="E112" s="1114"/>
      <c r="F112" s="1114"/>
      <c r="G112" s="1114"/>
      <c r="H112" s="1114"/>
      <c r="I112" s="1114"/>
      <c r="J112" s="1114"/>
      <c r="K112" s="1114"/>
      <c r="L112" s="1114"/>
      <c r="M112" s="1114"/>
      <c r="N112" s="1114"/>
      <c r="O112" s="1114"/>
      <c r="P112" s="1114"/>
      <c r="Q112" s="1114"/>
      <c r="R112" s="1114"/>
      <c r="S112" s="1114"/>
      <c r="T112" s="1114"/>
      <c r="U112" s="1114"/>
      <c r="V112" s="1114"/>
      <c r="W112" s="1114"/>
      <c r="X112" s="1114"/>
      <c r="Y112" s="1114"/>
      <c r="Z112" s="1114"/>
      <c r="AA112" s="1114"/>
      <c r="AB112" s="1114"/>
      <c r="AC112" s="1114"/>
      <c r="AD112" s="1114"/>
      <c r="AE112" s="1114"/>
      <c r="AF112" s="1114"/>
      <c r="AG112" s="1114"/>
      <c r="AH112" s="1114"/>
      <c r="AI112" s="1114"/>
      <c r="AJ112" s="1114"/>
      <c r="AK112" s="1114"/>
      <c r="AL112" s="1114"/>
      <c r="AM112" s="1116"/>
    </row>
    <row r="113" spans="1:39" s="1105" customFormat="1" ht="14.4" x14ac:dyDescent="0.3">
      <c r="A113" s="1118" t="s">
        <v>152</v>
      </c>
      <c r="B113" s="1114"/>
      <c r="C113" s="1114"/>
      <c r="D113" s="1114"/>
      <c r="E113" s="1114"/>
      <c r="F113" s="1114"/>
      <c r="G113" s="1114"/>
      <c r="H113" s="1114"/>
      <c r="I113" s="1114"/>
      <c r="J113" s="1116"/>
      <c r="K113" s="1119" t="s">
        <v>153</v>
      </c>
      <c r="L113" s="1120"/>
      <c r="M113" s="1120"/>
      <c r="N113" s="1120"/>
      <c r="O113" s="1120"/>
      <c r="P113" s="1120"/>
      <c r="Q113" s="1121"/>
      <c r="R113" s="1119" t="s">
        <v>154</v>
      </c>
      <c r="S113" s="1120"/>
      <c r="T113" s="1120"/>
      <c r="U113" s="1120"/>
      <c r="V113" s="1120"/>
      <c r="W113" s="1120"/>
      <c r="X113" s="1120"/>
      <c r="Y113" s="1120"/>
      <c r="Z113" s="1121"/>
      <c r="AA113" s="1119" t="s">
        <v>155</v>
      </c>
      <c r="AB113" s="1120"/>
      <c r="AC113" s="1120"/>
      <c r="AD113" s="1120"/>
      <c r="AE113" s="1120"/>
      <c r="AF113" s="1120"/>
      <c r="AG113" s="1121"/>
      <c r="AH113" s="1119" t="s">
        <v>156</v>
      </c>
      <c r="AI113" s="1120"/>
      <c r="AJ113" s="1120"/>
      <c r="AK113" s="1120"/>
      <c r="AL113" s="1120"/>
      <c r="AM113" s="1121"/>
    </row>
    <row r="114" spans="1:39" s="1105" customFormat="1" ht="14.4" customHeight="1" x14ac:dyDescent="0.3">
      <c r="A114" s="1122" t="s">
        <v>157</v>
      </c>
      <c r="B114" s="1123" t="s">
        <v>141</v>
      </c>
      <c r="C114" s="1124" t="s">
        <v>158</v>
      </c>
      <c r="D114" s="1124" t="s">
        <v>159</v>
      </c>
      <c r="E114" s="1125" t="s">
        <v>160</v>
      </c>
      <c r="F114" s="1126" t="s">
        <v>60</v>
      </c>
      <c r="G114" s="1123" t="s">
        <v>201</v>
      </c>
      <c r="H114" s="1123" t="s">
        <v>182</v>
      </c>
      <c r="I114" s="1125" t="s">
        <v>161</v>
      </c>
      <c r="J114" s="1124" t="s">
        <v>162</v>
      </c>
      <c r="K114" s="1124" t="s">
        <v>163</v>
      </c>
      <c r="L114" s="1128" t="s">
        <v>164</v>
      </c>
      <c r="M114" s="1125" t="s">
        <v>165</v>
      </c>
      <c r="N114" s="1125" t="s">
        <v>166</v>
      </c>
      <c r="O114" s="1129" t="s">
        <v>167</v>
      </c>
      <c r="P114" s="1128" t="s">
        <v>164</v>
      </c>
      <c r="Q114" s="1124" t="s">
        <v>168</v>
      </c>
      <c r="R114" s="1130" t="s">
        <v>169</v>
      </c>
      <c r="S114" s="1125" t="s">
        <v>170</v>
      </c>
      <c r="T114" s="1125" t="s">
        <v>171</v>
      </c>
      <c r="U114" s="1131" t="s">
        <v>172</v>
      </c>
      <c r="V114" s="1114"/>
      <c r="W114" s="1114"/>
      <c r="X114" s="1114"/>
      <c r="Y114" s="1114"/>
      <c r="Z114" s="1116"/>
      <c r="AA114" s="1130" t="s">
        <v>173</v>
      </c>
      <c r="AB114" s="1130" t="s">
        <v>174</v>
      </c>
      <c r="AC114" s="1130" t="s">
        <v>164</v>
      </c>
      <c r="AD114" s="1130" t="s">
        <v>175</v>
      </c>
      <c r="AE114" s="1130" t="s">
        <v>164</v>
      </c>
      <c r="AF114" s="1130" t="s">
        <v>176</v>
      </c>
      <c r="AG114" s="1130" t="s">
        <v>177</v>
      </c>
      <c r="AH114" s="1125" t="s">
        <v>156</v>
      </c>
      <c r="AI114" s="1125" t="s">
        <v>142</v>
      </c>
      <c r="AJ114" s="1125" t="s">
        <v>178</v>
      </c>
      <c r="AK114" s="1125" t="s">
        <v>179</v>
      </c>
      <c r="AL114" s="1125" t="s">
        <v>795</v>
      </c>
      <c r="AM114" s="1125" t="s">
        <v>181</v>
      </c>
    </row>
    <row r="115" spans="1:39" s="1105" customFormat="1" ht="72.599999999999994" customHeight="1" x14ac:dyDescent="0.25">
      <c r="A115" s="1132"/>
      <c r="B115" s="1132"/>
      <c r="C115" s="1132"/>
      <c r="D115" s="1132"/>
      <c r="E115" s="1133"/>
      <c r="F115" s="1133"/>
      <c r="G115" s="1132"/>
      <c r="H115" s="1132"/>
      <c r="I115" s="1132"/>
      <c r="J115" s="1132"/>
      <c r="K115" s="1132"/>
      <c r="L115" s="1134"/>
      <c r="M115" s="1132"/>
      <c r="N115" s="1132"/>
      <c r="O115" s="1134"/>
      <c r="P115" s="1134"/>
      <c r="Q115" s="1132"/>
      <c r="R115" s="1132"/>
      <c r="S115" s="1132"/>
      <c r="T115" s="1132"/>
      <c r="U115" s="1135" t="s">
        <v>183</v>
      </c>
      <c r="V115" s="1135" t="s">
        <v>184</v>
      </c>
      <c r="W115" s="1135" t="s">
        <v>185</v>
      </c>
      <c r="X115" s="1135" t="s">
        <v>186</v>
      </c>
      <c r="Y115" s="1135" t="s">
        <v>187</v>
      </c>
      <c r="Z115" s="1135" t="s">
        <v>188</v>
      </c>
      <c r="AA115" s="1132"/>
      <c r="AB115" s="1132"/>
      <c r="AC115" s="1132"/>
      <c r="AD115" s="1132"/>
      <c r="AE115" s="1132"/>
      <c r="AF115" s="1132"/>
      <c r="AG115" s="1132"/>
      <c r="AH115" s="1132"/>
      <c r="AI115" s="1132"/>
      <c r="AJ115" s="1132"/>
      <c r="AK115" s="1132"/>
      <c r="AL115" s="1132"/>
      <c r="AM115" s="1132"/>
    </row>
    <row r="116" spans="1:39" s="1105" customFormat="1" ht="172.8" customHeight="1" x14ac:dyDescent="0.25">
      <c r="A116" s="1401">
        <v>1</v>
      </c>
      <c r="B116" s="1401" t="s">
        <v>199</v>
      </c>
      <c r="C116" s="1401" t="s">
        <v>796</v>
      </c>
      <c r="D116" s="1401" t="s">
        <v>797</v>
      </c>
      <c r="E116" s="1625" t="s">
        <v>798</v>
      </c>
      <c r="F116" s="1401" t="s">
        <v>799</v>
      </c>
      <c r="G116" s="1626" t="s">
        <v>202</v>
      </c>
      <c r="H116" s="1626" t="s">
        <v>800</v>
      </c>
      <c r="I116" s="1401" t="s">
        <v>278</v>
      </c>
      <c r="J116" s="1401">
        <v>1852</v>
      </c>
      <c r="K116" s="1401" t="str">
        <f>IF(J116&lt;=0,"",IF(J116&lt;=2,"Muy Baja",IF(J116&lt;=24,"Baja",IF(J116&lt;=500,"Media",IF(J116&lt;=5000,"Alta","Muy Alta")))))</f>
        <v>Alta</v>
      </c>
      <c r="L116" s="1627">
        <f>IF(K116="","",IF(K116="Muy Baja",0.2,IF(K116="Baja",0.4,IF(K116="Media",0.6,IF(K116="Alta",0.8,IF(K116="Muy Alta",1,))))))</f>
        <v>0.8</v>
      </c>
      <c r="M116" s="1627" t="s">
        <v>757</v>
      </c>
      <c r="N116" s="1627" t="str">
        <f>IF(NOT(ISERROR(MATCH(M116,'[25]Tabla Impacto'!$B$221:$B$223,0))),'[25]Tabla Impacto'!$F$223&amp;"Por favor no seleccionar los criterios de impacto(Afectación Económica o presupuestal y Pérdida Reputacional)",M116)</f>
        <v xml:space="preserve">     El riesgo afecta la imagen de la entidad a nivel nacional, con efecto publicitarios sostenible a nivel país</v>
      </c>
      <c r="O116" s="1401" t="e">
        <f>IF(OR(N116='[25]Tabla Impacto'!$C$11,N116='[25]Tabla Impacto'!$D$11),"Leve",IF(OR(N116='[25]Tabla Impacto'!$C$12,N116='[25]Tabla Impacto'!$D$12),"Menor",IF(OR(N116='[25]Tabla Impacto'!$C$13,N116='[25]Tabla Impacto'!$D$13),"Moderado",IF(OR(N116='[25]Tabla Impacto'!$C$14,N116='[25]Tabla Impacto'!$D$14),"Mayor",IF(OR(N116='[25]Tabla Impacto'!$C$15,N116='[25]Tabla Impacto'!$D$15),"Catastrófico","")))))</f>
        <v>#REF!</v>
      </c>
      <c r="P116" s="1627" t="e">
        <f>IF(O116="","",IF(O116="Leve",0.2,IF(O116="Menor",0.4,IF(O116="Moderado",0.6,IF(O116="Mayor",0.8,IF(O116="Catastrófico",1,))))))</f>
        <v>#REF!</v>
      </c>
      <c r="Q116" s="1401" t="e">
        <f>IF(OR(AND(K116="Muy Baja",O116="Leve"),AND(K116="Muy Baja",O116="Menor"),AND(K116="Baja",O116="Leve")),"Bajo",IF(OR(AND(K116="Muy baja",O116="Moderado"),AND(K116="Baja",O116="Menor"),AND(K116="Baja",O116="Moderado"),AND(K116="Media",O116="Leve"),AND(K116="Media",O116="Menor"),AND(K116="Media",O116="Moderado"),AND(K116="Alta",O116="Leve"),AND(K116="Alta",O116="Menor")),"Moderado",IF(OR(AND(K116="Muy Baja",O116="Mayor"),AND(K116="Baja",O116="Mayor"),AND(K116="Media",O116="Mayor"),AND(K116="Alta",O116="Moderado"),AND(K116="Alta",O116="Mayor"),AND(K116="Muy Alta",O116="Leve"),AND(K116="Muy Alta",O116="Menor"),AND(K116="Muy Alta",O116="Moderado"),AND(K116="Muy Alta",O116="Mayor")),"Alto",IF(OR(AND(K116="Muy Baja",O116="Catastrófico"),AND(K116="Baja",O116="Catastrófico"),AND(K116="Media",O116="Catastrófico"),AND(K116="Alta",O116="Catastrófico"),AND(K116="Muy Alta",O116="Catastrófico")),"Extremo",""))))</f>
        <v>#REF!</v>
      </c>
      <c r="R116" s="1407">
        <v>1</v>
      </c>
      <c r="S116" s="1625" t="s">
        <v>801</v>
      </c>
      <c r="T116" s="1407" t="str">
        <f t="shared" ref="T116:T118" si="59">IF(OR(U116="Preventivo",U116="Detectivo"),"Probabilidad",IF(U116="Correctivo","Impacto",""))</f>
        <v>Impacto</v>
      </c>
      <c r="U116" s="1628" t="s">
        <v>379</v>
      </c>
      <c r="V116" s="1628" t="s">
        <v>191</v>
      </c>
      <c r="W116" s="1629" t="str">
        <f t="shared" ref="W116:W119" si="60">IF(AND(U116="Preventivo",V116="Automático"),"50%",IF(AND(U116="Preventivo",V116="Manual"),"40%",IF(AND(U116="Detectivo",V116="Automático"),"40%",IF(AND(U116="Detectivo",V116="Manual"),"30%",IF(AND(U116="Correctivo",V116="Automático"),"35%",IF(AND(U116="Correctivo",V116="Manual"),"25%",""))))))</f>
        <v>25%</v>
      </c>
      <c r="X116" s="1628" t="s">
        <v>192</v>
      </c>
      <c r="Y116" s="1628" t="s">
        <v>193</v>
      </c>
      <c r="Z116" s="1628" t="s">
        <v>194</v>
      </c>
      <c r="AA116" s="1630">
        <f>IFERROR(IF(T116="Probabilidad",(L116-(+L116*W116)),IF(T116="Impacto",L116,"")),"")</f>
        <v>0.8</v>
      </c>
      <c r="AB116" s="1631" t="str">
        <f>IFERROR(IF(AA116="","",IF(AA116&lt;=0.2,"Muy Baja",IF(AA116&lt;=0.4,"Baja",IF(AA116&lt;=0.6,"Media",IF(AA116&lt;=0.8,"Alta","Muy Alta"))))),"")</f>
        <v>Alta</v>
      </c>
      <c r="AC116" s="1627">
        <f>+AA116</f>
        <v>0.8</v>
      </c>
      <c r="AD116" s="1631" t="str">
        <f>IFERROR(IF(AE116="","",IF(AE116&lt;=0.2,"Leve",IF(AE116&lt;=0.4,"Menor",IF(AE116&lt;=0.6,"Moderado",IF(AE116&lt;=0.8,"Mayor","Catastrófico"))))),"")</f>
        <v/>
      </c>
      <c r="AE116" s="1627" t="str">
        <f>IFERROR(IF(T116="Impacto",(P116-(+P116*W116)),IF(T116="Probabilidad",P116,"")),"")</f>
        <v/>
      </c>
      <c r="AF116" s="1631" t="str">
        <f>IFERROR(IF(OR(AND(AB116="Muy Baja",AD116="Leve"),AND(AB116="Muy Baja",AD116="Menor"),AND(AB116="Baja",AD116="Leve")),"Bajo",IF(OR(AND(AB116="Muy baja",AD116="Moderado"),AND(AB116="Baja",AD116="Menor"),AND(AB116="Baja",AD116="Moderado"),AND(AB116="Media",AD116="Leve"),AND(AB116="Media",AD116="Menor"),AND(AB116="Media",AD116="Moderado"),AND(AB116="Alta",AD116="Leve"),AND(AB116="Alta",AD116="Menor")),"Moderado",IF(OR(AND(AB116="Muy Baja",AD116="Mayor"),AND(AB116="Baja",AD116="Mayor"),AND(AB116="Media",AD116="Mayor"),AND(AB116="Alta",AD116="Moderado"),AND(AB116="Alta",AD116="Mayor"),AND(AB116="Muy Alta",AD116="Leve"),AND(AB116="Muy Alta",AD116="Menor"),AND(AB116="Muy Alta",AD116="Moderado"),AND(AB116="Muy Alta",AD116="Mayor")),"Alto",IF(OR(AND(AB116="Muy Baja",AD116="Catastrófico"),AND(AB116="Baja",AD116="Catastrófico"),AND(AB116="Media",AD116="Catastrófico"),AND(AB116="Alta",AD116="Catastrófico"),AND(AB116="Muy Alta",AD116="Catastrófico")),"Extremo","")))),"")</f>
        <v/>
      </c>
      <c r="AG116" s="1631" t="s">
        <v>195</v>
      </c>
      <c r="AH116" s="1625" t="s">
        <v>802</v>
      </c>
      <c r="AI116" s="1401" t="s">
        <v>803</v>
      </c>
      <c r="AJ116" s="1632">
        <v>45657</v>
      </c>
      <c r="AK116" s="1633" t="s">
        <v>804</v>
      </c>
      <c r="AL116" s="1625" t="s">
        <v>805</v>
      </c>
      <c r="AM116" s="1634" t="s">
        <v>196</v>
      </c>
    </row>
    <row r="117" spans="1:39" s="1105" customFormat="1" ht="277.2" customHeight="1" x14ac:dyDescent="0.25">
      <c r="A117" s="1133"/>
      <c r="B117" s="1133"/>
      <c r="C117" s="1133"/>
      <c r="D117" s="1133"/>
      <c r="E117" s="1401" t="s">
        <v>806</v>
      </c>
      <c r="F117" s="1133"/>
      <c r="G117" s="1133"/>
      <c r="H117" s="1133"/>
      <c r="I117" s="1133"/>
      <c r="J117" s="1133"/>
      <c r="K117" s="1133"/>
      <c r="L117" s="1133"/>
      <c r="M117" s="1133"/>
      <c r="N117" s="1133"/>
      <c r="O117" s="1133"/>
      <c r="P117" s="1133"/>
      <c r="Q117" s="1133"/>
      <c r="R117" s="1407">
        <v>2</v>
      </c>
      <c r="S117" s="1635" t="s">
        <v>807</v>
      </c>
      <c r="T117" s="1407" t="str">
        <f t="shared" si="59"/>
        <v/>
      </c>
      <c r="U117" s="1628" t="s">
        <v>808</v>
      </c>
      <c r="V117" s="1628" t="s">
        <v>191</v>
      </c>
      <c r="W117" s="1629" t="str">
        <f t="shared" si="60"/>
        <v/>
      </c>
      <c r="X117" s="1628" t="s">
        <v>198</v>
      </c>
      <c r="Y117" s="1628" t="s">
        <v>193</v>
      </c>
      <c r="Z117" s="1628" t="s">
        <v>194</v>
      </c>
      <c r="AA117" s="1630" t="str">
        <f>IFERROR(IF(AND(#REF!="Probabilidad",T117="Probabilidad"),(#REF!-(+#REF!*W117)),IF(AND(#REF!="Impacto",T117="Probabilidad"),(AC116-(+AC116*W117)),IF(T117="Impacto",#REF!,""))),"")</f>
        <v/>
      </c>
      <c r="AB117" s="1133"/>
      <c r="AC117" s="1133"/>
      <c r="AD117" s="1133"/>
      <c r="AE117" s="1133"/>
      <c r="AF117" s="1133"/>
      <c r="AG117" s="1133"/>
      <c r="AH117" s="1625" t="s">
        <v>809</v>
      </c>
      <c r="AI117" s="1133"/>
      <c r="AJ117" s="1133"/>
      <c r="AK117" s="1157"/>
      <c r="AL117" s="1407" t="s">
        <v>810</v>
      </c>
      <c r="AM117" s="1634" t="s">
        <v>196</v>
      </c>
    </row>
    <row r="118" spans="1:39" s="1105" customFormat="1" ht="87.6" customHeight="1" x14ac:dyDescent="0.25">
      <c r="A118" s="1132"/>
      <c r="B118" s="1132"/>
      <c r="C118" s="1133"/>
      <c r="D118" s="1132"/>
      <c r="E118" s="1132"/>
      <c r="F118" s="1132"/>
      <c r="G118" s="1132"/>
      <c r="H118" s="1132"/>
      <c r="I118" s="1132"/>
      <c r="J118" s="1132"/>
      <c r="K118" s="1132"/>
      <c r="L118" s="1132"/>
      <c r="M118" s="1132"/>
      <c r="N118" s="1132"/>
      <c r="O118" s="1132"/>
      <c r="P118" s="1132"/>
      <c r="Q118" s="1132"/>
      <c r="R118" s="1407">
        <v>3</v>
      </c>
      <c r="S118" s="1407" t="s">
        <v>811</v>
      </c>
      <c r="T118" s="1407" t="str">
        <f t="shared" si="59"/>
        <v>Probabilidad</v>
      </c>
      <c r="U118" s="1628" t="s">
        <v>197</v>
      </c>
      <c r="V118" s="1628" t="s">
        <v>191</v>
      </c>
      <c r="W118" s="1629" t="str">
        <f t="shared" si="60"/>
        <v>40%</v>
      </c>
      <c r="X118" s="1628" t="s">
        <v>198</v>
      </c>
      <c r="Y118" s="1628" t="s">
        <v>471</v>
      </c>
      <c r="Z118" s="1628" t="s">
        <v>194</v>
      </c>
      <c r="AA118" s="1630" t="str">
        <f>IFERROR(IF(AND(T117="Probabilidad",T118="Probabilidad"),(AC117-(+AC117*W118)),IF(AND(T117="Impacto",T118="Probabilidad"),(#REF!-(+#REF!*W118)),IF(T118="Impacto",AC117,""))),"")</f>
        <v/>
      </c>
      <c r="AB118" s="1132"/>
      <c r="AC118" s="1132"/>
      <c r="AD118" s="1132"/>
      <c r="AE118" s="1132"/>
      <c r="AF118" s="1132"/>
      <c r="AG118" s="1132"/>
      <c r="AH118" s="1625" t="s">
        <v>812</v>
      </c>
      <c r="AI118" s="1132"/>
      <c r="AJ118" s="1132"/>
      <c r="AK118" s="1134"/>
      <c r="AL118" s="1407" t="s">
        <v>813</v>
      </c>
      <c r="AM118" s="1634" t="s">
        <v>196</v>
      </c>
    </row>
    <row r="119" spans="1:39" s="1105" customFormat="1" ht="64.2" customHeight="1" x14ac:dyDescent="0.25">
      <c r="A119" s="1401">
        <v>2</v>
      </c>
      <c r="B119" s="1401" t="s">
        <v>199</v>
      </c>
      <c r="C119" s="1636" t="s">
        <v>796</v>
      </c>
      <c r="D119" s="1401" t="s">
        <v>814</v>
      </c>
      <c r="E119" s="1407" t="s">
        <v>815</v>
      </c>
      <c r="F119" s="1401" t="s">
        <v>816</v>
      </c>
      <c r="G119" s="1637" t="s">
        <v>202</v>
      </c>
      <c r="H119" s="1637" t="s">
        <v>817</v>
      </c>
      <c r="I119" s="1401" t="s">
        <v>278</v>
      </c>
      <c r="J119" s="1401">
        <v>4</v>
      </c>
      <c r="K119" s="1401" t="str">
        <f>IF(J119&lt;=0,"",IF(J119&lt;=2,"Muy Baja",IF(J119&lt;=24,"Baja",IF(J119&lt;=500,"Media",IF(J119&lt;=5000,"Alta","Muy Alta")))))</f>
        <v>Baja</v>
      </c>
      <c r="L119" s="1627">
        <f>IF(K119="","",IF(K119="Muy Baja",0.2,IF(K119="Baja",0.4,IF(K119="Media",0.6,IF(K119="Alta",0.8,IF(K119="Muy Alta",1,))))))</f>
        <v>0.4</v>
      </c>
      <c r="M119" s="1627" t="s">
        <v>818</v>
      </c>
      <c r="N119" s="1627" t="str">
        <f>IF(NOT(ISERROR(MATCH(M119,'[25]Tabla Impacto'!$B$221:$B$223,0))),'[25]Tabla Impacto'!$F$223&amp;"Por favor no seleccionar los criterios de impacto(Afectación Económica o presupuestal y Pérdida Reputacional)",M119)</f>
        <v xml:space="preserve">     El riesgo afecta la imagen de  la entidad con efecto publicitario sostenido a nivel de sector administrativo, nivel departamental o municipal</v>
      </c>
      <c r="O119" s="1401" t="e">
        <f>IF(OR(N116='[25]Tabla Impacto'!$C$11,N116='[25]Tabla Impacto'!$D$11),"Leve",IF(OR(N116='[25]Tabla Impacto'!$C$12,N116='[25]Tabla Impacto'!$D$12),"Menor",IF(OR(N116='[25]Tabla Impacto'!$C$13,N116='[25]Tabla Impacto'!$D$13),"Moderado",IF(OR(N116='[25]Tabla Impacto'!$C$14,N116='[25]Tabla Impacto'!$D$14),"Mayor",IF(OR(N116='[25]Tabla Impacto'!$C$15,N116='[25]Tabla Impacto'!$D$15),"Catastrófico","")))))</f>
        <v>#REF!</v>
      </c>
      <c r="P119" s="1627" t="e">
        <f>IF(O119="","",IF(O119="Leve",0.2,IF(O119="Menor",0.4,IF(O119="Moderado",0.6,IF(O119="Mayor",0.8,IF(O119="Catastrófico",1,))))))</f>
        <v>#REF!</v>
      </c>
      <c r="Q119" s="1401" t="e">
        <f>IF(OR(AND(K116="Muy Baja",O116="Leve"),AND(K116="Muy Baja",O116="Menor"),AND(K116="Baja",O116="Leve")),"Bajo",IF(OR(AND(K116="Muy baja",O116="Moderado"),AND(K116="Baja",O116="Menor"),AND(K116="Baja",O116="Moderado"),AND(K116="Media",O116="Leve"),AND(K116="Media",O116="Menor"),AND(K116="Media",O116="Moderado"),AND(K116="Alta",O116="Leve"),AND(K116="Alta",O116="Menor")),"Moderado",IF(OR(AND(K116="Muy Baja",O116="Mayor"),AND(K116="Baja",O116="Mayor"),AND(K116="Media",O116="Mayor"),AND(K116="Alta",O116="Moderado"),AND(K116="Alta",O116="Mayor"),AND(K116="Muy Alta",O116="Leve"),AND(K116="Muy Alta",O116="Menor"),AND(K116="Muy Alta",O116="Moderado"),AND(K116="Muy Alta",O116="Mayor")),"Alto",IF(OR(AND(K116="Muy Baja",O116="Catastrófico"),AND(K116="Baja",O116="Catastrófico"),AND(K116="Media",O116="Catastrófico"),AND(K116="Alta",O116="Catastrófico"),AND(K116="Muy Alta",O116="Catastrófico")),"Extremo",""))))</f>
        <v>#REF!</v>
      </c>
      <c r="R119" s="1407">
        <v>1</v>
      </c>
      <c r="S119" s="1401" t="s">
        <v>819</v>
      </c>
      <c r="T119" s="1401" t="str">
        <f>IF(OR(U119="Preventivo",U119="Detectivo"),"Probabilidad",IF(U119="Correctivo","Impacto",""))</f>
        <v>Probabilidad</v>
      </c>
      <c r="U119" s="1631" t="s">
        <v>197</v>
      </c>
      <c r="V119" s="1631" t="s">
        <v>191</v>
      </c>
      <c r="W119" s="1631" t="str">
        <f t="shared" si="60"/>
        <v>40%</v>
      </c>
      <c r="X119" s="1631" t="s">
        <v>192</v>
      </c>
      <c r="Y119" s="1631" t="s">
        <v>193</v>
      </c>
      <c r="Z119" s="1631" t="s">
        <v>194</v>
      </c>
      <c r="AA119" s="1638">
        <f>IFERROR(IF(T119="Probabilidad",(L119-(+L119*W119)),IF(T119="Impacto",L119,"")),"")</f>
        <v>0.24</v>
      </c>
      <c r="AB119" s="1631" t="str">
        <f>IFERROR(IF(AA119="","",IF(AA119&lt;=0.2,"Muy Baja",IF(AA119&lt;=0.4,"Baja",IF(AA119&lt;=0.6,"Media",IF(AA119&lt;=0.8,"Alta","Muy Alta"))))),"")</f>
        <v>Baja</v>
      </c>
      <c r="AC119" s="1627">
        <f>AA119</f>
        <v>0.24</v>
      </c>
      <c r="AD119" s="1631" t="str">
        <f>IFERROR(IF(AE119="","",IF(AE119&lt;=0.2,"Leve",IF(AE119&lt;=0.4,"Menor",IF(AE119&lt;=0.6,"Moderado",IF(AE119&lt;=0.8,"Mayor","Catastrófico"))))),"")</f>
        <v/>
      </c>
      <c r="AE119" s="1627" t="str">
        <f>IFERROR(IF(T119="Impacto",(P119-(+P119*W119)),IF(T119="Probabilidad",P119,"")),"")</f>
        <v/>
      </c>
      <c r="AF119" s="1631" t="str">
        <f>IFERROR(IF(OR(AND(AB116="Muy Baja",AD116="Leve"),AND(AB116="Muy Baja",AD116="Menor"),AND(AB116="Baja",AD116="Leve")),"Bajo",IF(OR(AND(AB116="Muy baja",AD116="Moderado"),AND(AB116="Baja",AD116="Menor"),AND(AB116="Baja",AD116="Moderado"),AND(AB116="Media",AD116="Leve"),AND(AB116="Media",AD116="Menor"),AND(AB116="Media",AD116="Moderado"),AND(AB116="Alta",AD116="Leve"),AND(AB116="Alta",AD116="Menor")),"Moderado",IF(OR(AND(AB116="Muy Baja",AD116="Mayor"),AND(AB116="Baja",AD116="Mayor"),AND(AB116="Media",AD116="Mayor"),AND(AB116="Alta",AD116="Moderado"),AND(AB116="Alta",AD116="Mayor"),AND(AB116="Muy Alta",AD116="Leve"),AND(AB116="Muy Alta",AD116="Menor"),AND(AB116="Muy Alta",AD116="Moderado"),AND(AB116="Muy Alta",AD116="Mayor")),"Alto",IF(OR(AND(AB116="Muy Baja",AD116="Catastrófico"),AND(AB116="Baja",AD116="Catastrófico"),AND(AB116="Media",AD116="Catastrófico"),AND(AB116="Alta",AD116="Catastrófico"),AND(AB116="Muy Alta",AD116="Catastrófico")),"Extremo","")))),"")</f>
        <v/>
      </c>
      <c r="AG119" s="1631" t="s">
        <v>195</v>
      </c>
      <c r="AH119" s="1407" t="s">
        <v>820</v>
      </c>
      <c r="AI119" s="1407" t="s">
        <v>821</v>
      </c>
      <c r="AJ119" s="1406">
        <v>45657</v>
      </c>
      <c r="AK119" s="1639" t="s">
        <v>822</v>
      </c>
      <c r="AL119" s="1407" t="s">
        <v>823</v>
      </c>
      <c r="AM119" s="1634" t="s">
        <v>196</v>
      </c>
    </row>
    <row r="120" spans="1:39" s="1105" customFormat="1" ht="67.8" customHeight="1" x14ac:dyDescent="0.25">
      <c r="A120" s="1132"/>
      <c r="B120" s="1132"/>
      <c r="C120" s="1132"/>
      <c r="D120" s="1132"/>
      <c r="E120" s="1407" t="s">
        <v>824</v>
      </c>
      <c r="F120" s="1132"/>
      <c r="G120" s="1132"/>
      <c r="H120" s="1132"/>
      <c r="I120" s="1132"/>
      <c r="J120" s="1132"/>
      <c r="K120" s="1132"/>
      <c r="L120" s="1132"/>
      <c r="M120" s="1132"/>
      <c r="N120" s="1132"/>
      <c r="O120" s="1132"/>
      <c r="P120" s="1132"/>
      <c r="Q120" s="1132"/>
      <c r="R120" s="1407">
        <v>2</v>
      </c>
      <c r="S120" s="1132"/>
      <c r="T120" s="1132"/>
      <c r="U120" s="1132"/>
      <c r="V120" s="1132"/>
      <c r="W120" s="1132"/>
      <c r="X120" s="1132"/>
      <c r="Y120" s="1132"/>
      <c r="Z120" s="1132"/>
      <c r="AA120" s="1132"/>
      <c r="AB120" s="1132"/>
      <c r="AC120" s="1132"/>
      <c r="AD120" s="1132"/>
      <c r="AE120" s="1132"/>
      <c r="AF120" s="1132"/>
      <c r="AG120" s="1132"/>
      <c r="AH120" s="1407" t="s">
        <v>825</v>
      </c>
      <c r="AI120" s="1407" t="s">
        <v>821</v>
      </c>
      <c r="AJ120" s="1406">
        <v>45657</v>
      </c>
      <c r="AK120" s="1640" t="s">
        <v>826</v>
      </c>
      <c r="AL120" s="1407" t="s">
        <v>827</v>
      </c>
      <c r="AM120" s="1634" t="s">
        <v>196</v>
      </c>
    </row>
    <row r="121" spans="1:39" s="1105" customFormat="1" ht="133.80000000000001" customHeight="1" x14ac:dyDescent="0.3">
      <c r="A121" s="1641"/>
      <c r="B121" s="1401" t="s">
        <v>199</v>
      </c>
      <c r="C121" s="1401" t="s">
        <v>828</v>
      </c>
      <c r="D121" s="1401" t="s">
        <v>829</v>
      </c>
      <c r="E121" s="1401" t="s">
        <v>830</v>
      </c>
      <c r="F121" s="1401" t="s">
        <v>831</v>
      </c>
      <c r="G121" s="1637" t="s">
        <v>203</v>
      </c>
      <c r="H121" s="1637" t="s">
        <v>832</v>
      </c>
      <c r="I121" s="1401" t="s">
        <v>190</v>
      </c>
      <c r="J121" s="1401">
        <v>10</v>
      </c>
      <c r="K121" s="1642" t="s">
        <v>833</v>
      </c>
      <c r="L121" s="1627">
        <v>0.4</v>
      </c>
      <c r="M121" s="1627" t="s">
        <v>315</v>
      </c>
      <c r="N121" s="1643"/>
      <c r="O121" s="1641"/>
      <c r="P121" s="1641"/>
      <c r="Q121" s="1641"/>
      <c r="R121" s="1401">
        <v>2</v>
      </c>
      <c r="S121" s="1644" t="s">
        <v>834</v>
      </c>
      <c r="T121" s="1645" t="str">
        <f>IF(OR(U121="Preventivo",U121="Detectivo"),"Probabilidad",IF(U121="Correctivo","Impacto",""))</f>
        <v>Probabilidad</v>
      </c>
      <c r="U121" s="1646" t="s">
        <v>197</v>
      </c>
      <c r="V121" s="1646" t="s">
        <v>191</v>
      </c>
      <c r="W121" s="1646" t="str">
        <f t="shared" ref="W121:W122" si="61">IF(AND(U121="Preventivo",V121="Automático"),"50%",IF(AND(U121="Preventivo",V121="Manual"),"40%",IF(AND(U121="Detectivo",V121="Automático"),"40%",IF(AND(U121="Detectivo",V121="Manual"),"30%",IF(AND(U121="Correctivo",V121="Automático"),"35%",IF(AND(U121="Correctivo",V121="Manual"),"25%",""))))))</f>
        <v>40%</v>
      </c>
      <c r="X121" s="1646" t="s">
        <v>192</v>
      </c>
      <c r="Y121" s="1646" t="s">
        <v>193</v>
      </c>
      <c r="Z121" s="1646" t="s">
        <v>194</v>
      </c>
      <c r="AA121" s="1647">
        <f>IFERROR(IF(T121="Probabilidad",(L121-(+L121*W121)),IF(T121="Impacto",L121,"")),"")</f>
        <v>0.24</v>
      </c>
      <c r="AB121" s="1646" t="str">
        <f>IFERROR(IF(AA121="","",IF(AA121&lt;=0.2,"Muy Baja",IF(AA121&lt;=0.4,"Baja",IF(AA121&lt;=0.6,"Media",IF(AA121&lt;=0.8,"Alta","Muy Alta"))))),"")</f>
        <v>Baja</v>
      </c>
      <c r="AC121" s="1648">
        <f>AA121</f>
        <v>0.24</v>
      </c>
      <c r="AD121" s="1646" t="str">
        <f>IFERROR(IF(AE121="","",IF(AE121&lt;=0.2,"Leve",IF(AE121&lt;=0.4,"Menor",IF(AE121&lt;=0.6,"Moderado",IF(AE121&lt;=0.8,"Mayor","Catastrófico"))))),"")</f>
        <v>Leve</v>
      </c>
      <c r="AE121" s="1648">
        <f>IFERROR(IF(T121="Impacto",(P121-(+P121*W121)),IF(T121="Probabilidad",P121,"")),"")</f>
        <v>0</v>
      </c>
      <c r="AF121" s="1646" t="str">
        <f>IFERROR(IF(OR(AND(AB118="Muy Baja",AD118="Leve"),AND(AB118="Muy Baja",AD118="Menor"),AND(AB118="Baja",AD118="Leve")),"Bajo",IF(OR(AND(AB118="Muy baja",AD118="Moderado"),AND(AB118="Baja",AD118="Menor"),AND(AB118="Baja",AD118="Moderado"),AND(AB118="Media",AD118="Leve"),AND(AB118="Media",AD118="Menor"),AND(AB118="Media",AD118="Moderado"),AND(AB118="Alta",AD118="Leve"),AND(AB118="Alta",AD118="Menor")),"Moderado",IF(OR(AND(AB118="Muy Baja",AD118="Mayor"),AND(AB118="Baja",AD118="Mayor"),AND(AB118="Media",AD118="Mayor"),AND(AB118="Alta",AD118="Moderado"),AND(AB118="Alta",AD118="Mayor"),AND(AB118="Muy Alta",AD118="Leve"),AND(AB118="Muy Alta",AD118="Menor"),AND(AB118="Muy Alta",AD118="Moderado"),AND(AB118="Muy Alta",AD118="Mayor")),"Alto",IF(OR(AND(AB118="Muy Baja",AD118="Catastrófico"),AND(AB118="Baja",AD118="Catastrófico"),AND(AB118="Media",AD118="Catastrófico"),AND(AB118="Alta",AD118="Catastrófico"),AND(AB118="Muy Alta",AD118="Catastrófico")),"Extremo","")))),"")</f>
        <v/>
      </c>
      <c r="AG121" s="1646" t="s">
        <v>195</v>
      </c>
      <c r="AH121" s="1649" t="s">
        <v>835</v>
      </c>
      <c r="AI121" s="1649" t="s">
        <v>803</v>
      </c>
      <c r="AJ121" s="1650">
        <v>45961</v>
      </c>
      <c r="AK121" s="1651" t="s">
        <v>826</v>
      </c>
      <c r="AL121" s="1649"/>
      <c r="AM121" s="1652"/>
    </row>
    <row r="122" spans="1:39" s="1105" customFormat="1" ht="100.8" x14ac:dyDescent="0.25">
      <c r="A122" s="1653"/>
      <c r="B122" s="1402"/>
      <c r="C122" s="1402"/>
      <c r="D122" s="1402"/>
      <c r="E122" s="1402"/>
      <c r="F122" s="1402"/>
      <c r="G122" s="1654"/>
      <c r="H122" s="1654"/>
      <c r="I122" s="1402"/>
      <c r="J122" s="1402"/>
      <c r="K122" s="1655"/>
      <c r="L122" s="1656"/>
      <c r="M122" s="1656"/>
      <c r="N122" s="1657"/>
      <c r="O122" s="1653"/>
      <c r="P122" s="1653"/>
      <c r="Q122" s="1653"/>
      <c r="R122" s="1402"/>
      <c r="S122" s="1658" t="s">
        <v>836</v>
      </c>
      <c r="T122" s="1645" t="str">
        <f>IF(OR(U122="Preventivo",U122="Detectivo"),"Probabilidad",IF(U122="Correctivo","Impacto",""))</f>
        <v>Probabilidad</v>
      </c>
      <c r="U122" s="1646" t="s">
        <v>243</v>
      </c>
      <c r="V122" s="1646" t="s">
        <v>191</v>
      </c>
      <c r="W122" s="1646" t="str">
        <f t="shared" si="61"/>
        <v>30%</v>
      </c>
      <c r="X122" s="1646" t="s">
        <v>192</v>
      </c>
      <c r="Y122" s="1646" t="s">
        <v>193</v>
      </c>
      <c r="Z122" s="1646" t="s">
        <v>194</v>
      </c>
      <c r="AA122" s="1647">
        <f>IFERROR(IF(T122="Probabilidad",(L122-(+L122*W122)),IF(T122="Impacto",L122,"")),"")</f>
        <v>0</v>
      </c>
      <c r="AB122" s="1646" t="str">
        <f>IFERROR(IF(AA122="","",IF(AA122&lt;=0.2,"Muy Baja",IF(AA122&lt;=0.4,"Baja",IF(AA122&lt;=0.6,"Media",IF(AA122&lt;=0.8,"Alta","Muy Alta"))))),"")</f>
        <v>Muy Baja</v>
      </c>
      <c r="AC122" s="1648">
        <f>AA122</f>
        <v>0</v>
      </c>
      <c r="AD122" s="1646" t="str">
        <f>IFERROR(IF(AE122="","",IF(AE122&lt;=0.2,"Leve",IF(AE122&lt;=0.4,"Menor",IF(AE122&lt;=0.6,"Moderado",IF(AE122&lt;=0.8,"Mayor","Catastrófico"))))),"")</f>
        <v>Leve</v>
      </c>
      <c r="AE122" s="1648">
        <f>IFERROR(IF(T122="Impacto",(P122-(+P122*W122)),IF(T122="Probabilidad",P122,"")),"")</f>
        <v>0</v>
      </c>
      <c r="AF122" s="1646" t="str">
        <f>IFERROR(IF(OR(AND(AB119="Muy Baja",AD119="Leve"),AND(AB119="Muy Baja",AD119="Menor"),AND(AB119="Baja",AD119="Leve")),"Bajo",IF(OR(AND(AB119="Muy baja",AD119="Moderado"),AND(AB119="Baja",AD119="Menor"),AND(AB119="Baja",AD119="Moderado"),AND(AB119="Media",AD119="Leve"),AND(AB119="Media",AD119="Menor"),AND(AB119="Media",AD119="Moderado"),AND(AB119="Alta",AD119="Leve"),AND(AB119="Alta",AD119="Menor")),"Moderado",IF(OR(AND(AB119="Muy Baja",AD119="Mayor"),AND(AB119="Baja",AD119="Mayor"),AND(AB119="Media",AD119="Mayor"),AND(AB119="Alta",AD119="Moderado"),AND(AB119="Alta",AD119="Mayor"),AND(AB119="Muy Alta",AD119="Leve"),AND(AB119="Muy Alta",AD119="Menor"),AND(AB119="Muy Alta",AD119="Moderado"),AND(AB119="Muy Alta",AD119="Mayor")),"Alto",IF(OR(AND(AB119="Muy Baja",AD119="Catastrófico"),AND(AB119="Baja",AD119="Catastrófico"),AND(AB119="Media",AD119="Catastrófico"),AND(AB119="Alta",AD119="Catastrófico"),AND(AB119="Muy Alta",AD119="Catastrófico")),"Extremo","")))),"")</f>
        <v/>
      </c>
      <c r="AG122" s="1646" t="s">
        <v>195</v>
      </c>
      <c r="AH122" s="1649" t="s">
        <v>835</v>
      </c>
      <c r="AI122" s="1649" t="s">
        <v>803</v>
      </c>
      <c r="AJ122" s="1650">
        <v>46022</v>
      </c>
      <c r="AK122" s="1651" t="s">
        <v>826</v>
      </c>
      <c r="AL122" s="1649"/>
      <c r="AM122" s="1652"/>
    </row>
    <row r="123" spans="1:39" s="1105" customFormat="1" x14ac:dyDescent="0.25">
      <c r="A123" s="1659" t="s">
        <v>148</v>
      </c>
      <c r="B123" s="1660"/>
      <c r="C123" s="1660"/>
      <c r="D123" s="1660"/>
      <c r="E123" s="1660"/>
      <c r="F123" s="1660"/>
      <c r="G123" s="1660"/>
      <c r="H123" s="1660"/>
      <c r="I123" s="1660"/>
      <c r="J123" s="1660"/>
      <c r="K123" s="1660"/>
      <c r="L123" s="1660"/>
      <c r="M123" s="1660"/>
      <c r="N123" s="1660"/>
      <c r="O123" s="1660"/>
      <c r="P123" s="1660"/>
      <c r="Q123" s="1660"/>
      <c r="R123" s="1660"/>
      <c r="S123" s="1660"/>
      <c r="T123" s="1660"/>
      <c r="U123" s="1660"/>
      <c r="V123" s="1660"/>
      <c r="W123" s="1660"/>
      <c r="X123" s="1660"/>
      <c r="Y123" s="1660"/>
      <c r="Z123" s="1660"/>
      <c r="AA123" s="1660"/>
      <c r="AB123" s="1660"/>
      <c r="AC123" s="1660"/>
      <c r="AD123" s="1660"/>
      <c r="AE123" s="1660"/>
      <c r="AF123" s="1660"/>
      <c r="AG123" s="1660"/>
      <c r="AH123" s="1660"/>
      <c r="AI123" s="1660"/>
      <c r="AJ123" s="1660"/>
      <c r="AK123" s="1660"/>
      <c r="AL123" s="1660"/>
      <c r="AM123" s="1661"/>
    </row>
    <row r="124" spans="1:39" s="1105" customFormat="1" x14ac:dyDescent="0.25">
      <c r="A124" s="1662"/>
      <c r="B124" s="1663"/>
      <c r="C124" s="1663"/>
      <c r="D124" s="1663"/>
      <c r="E124" s="1663"/>
      <c r="F124" s="1663"/>
      <c r="G124" s="1663"/>
      <c r="H124" s="1663"/>
      <c r="I124" s="1663"/>
      <c r="J124" s="1663"/>
      <c r="K124" s="1663"/>
      <c r="L124" s="1663"/>
      <c r="M124" s="1663"/>
      <c r="N124" s="1663"/>
      <c r="O124" s="1663"/>
      <c r="P124" s="1663"/>
      <c r="Q124" s="1663"/>
      <c r="R124" s="1663"/>
      <c r="S124" s="1663"/>
      <c r="T124" s="1663"/>
      <c r="U124" s="1663"/>
      <c r="V124" s="1663"/>
      <c r="W124" s="1663"/>
      <c r="X124" s="1663"/>
      <c r="Y124" s="1663"/>
      <c r="Z124" s="1663"/>
      <c r="AA124" s="1663"/>
      <c r="AB124" s="1663"/>
      <c r="AC124" s="1663"/>
      <c r="AD124" s="1663"/>
      <c r="AE124" s="1663"/>
      <c r="AF124" s="1663"/>
      <c r="AG124" s="1663"/>
      <c r="AH124" s="1663"/>
      <c r="AI124" s="1663"/>
      <c r="AJ124" s="1663"/>
      <c r="AK124" s="1663"/>
      <c r="AL124" s="1663"/>
      <c r="AM124" s="1664"/>
    </row>
    <row r="125" spans="1:39" s="1105" customFormat="1" x14ac:dyDescent="0.25">
      <c r="A125" s="1421"/>
      <c r="B125" s="1422"/>
      <c r="C125" s="1422"/>
      <c r="D125" s="1422"/>
      <c r="E125" s="1665"/>
      <c r="F125" s="1666"/>
      <c r="G125" s="1667"/>
      <c r="H125" s="1423"/>
      <c r="I125" s="1424"/>
      <c r="J125" s="1423"/>
      <c r="K125" s="1667"/>
      <c r="L125" s="1423"/>
      <c r="M125" s="1423"/>
      <c r="N125" s="1423"/>
      <c r="O125" s="1667"/>
      <c r="P125" s="1423"/>
      <c r="Q125" s="1667"/>
      <c r="R125" s="1423"/>
      <c r="S125" s="1423"/>
      <c r="T125" s="1423"/>
      <c r="U125" s="1423"/>
      <c r="V125" s="1423"/>
      <c r="W125" s="1423"/>
      <c r="X125" s="1423"/>
      <c r="Y125" s="1423"/>
      <c r="Z125" s="1423"/>
      <c r="AA125" s="1423"/>
      <c r="AB125" s="1423"/>
      <c r="AC125" s="1423"/>
      <c r="AD125" s="1423"/>
      <c r="AE125" s="1423"/>
      <c r="AF125" s="1423"/>
      <c r="AG125" s="1423"/>
      <c r="AH125" s="1423"/>
      <c r="AI125" s="1423"/>
      <c r="AJ125" s="1667"/>
      <c r="AK125" s="1423"/>
      <c r="AL125" s="1423"/>
      <c r="AM125" s="1423"/>
    </row>
    <row r="126" spans="1:39" s="1105" customFormat="1" ht="23.4" x14ac:dyDescent="0.25">
      <c r="A126" s="1425" t="s">
        <v>149</v>
      </c>
      <c r="B126" s="1426"/>
      <c r="C126" s="1500" t="s">
        <v>289</v>
      </c>
      <c r="D126" s="1500"/>
      <c r="E126" s="1500"/>
      <c r="F126" s="1500"/>
      <c r="G126" s="1500"/>
      <c r="H126" s="1500"/>
      <c r="I126" s="1500"/>
      <c r="J126" s="1500"/>
      <c r="K126" s="1500"/>
      <c r="L126" s="1500"/>
      <c r="M126" s="1500"/>
      <c r="N126" s="1500"/>
      <c r="O126" s="1500"/>
      <c r="P126" s="1500"/>
      <c r="Q126" s="1500"/>
      <c r="R126" s="1500"/>
      <c r="S126" s="1500"/>
      <c r="T126" s="1500"/>
      <c r="U126" s="1500"/>
      <c r="V126" s="1500"/>
      <c r="W126" s="1500"/>
      <c r="X126" s="1500"/>
      <c r="Y126" s="1500"/>
      <c r="Z126" s="1500"/>
      <c r="AA126" s="1500"/>
      <c r="AB126" s="1500"/>
      <c r="AC126" s="1500"/>
      <c r="AD126" s="1500"/>
      <c r="AE126" s="1500"/>
      <c r="AF126" s="1500"/>
      <c r="AG126" s="1500"/>
      <c r="AH126" s="1500"/>
      <c r="AI126" s="1500"/>
      <c r="AJ126" s="1500"/>
      <c r="AK126" s="1500"/>
      <c r="AL126" s="1500"/>
      <c r="AM126" s="1500"/>
    </row>
    <row r="127" spans="1:39" s="1105" customFormat="1" ht="23.4" x14ac:dyDescent="0.25">
      <c r="A127" s="1425" t="s">
        <v>150</v>
      </c>
      <c r="B127" s="1426"/>
      <c r="C127" s="1499" t="s">
        <v>290</v>
      </c>
      <c r="D127" s="1499"/>
      <c r="E127" s="1499"/>
      <c r="F127" s="1499"/>
      <c r="G127" s="1499"/>
      <c r="H127" s="1499"/>
      <c r="I127" s="1499"/>
      <c r="J127" s="1499"/>
      <c r="K127" s="1499"/>
      <c r="L127" s="1499"/>
      <c r="M127" s="1499"/>
      <c r="N127" s="1499"/>
      <c r="O127" s="1499"/>
      <c r="P127" s="1499"/>
      <c r="Q127" s="1499"/>
      <c r="R127" s="1499"/>
      <c r="S127" s="1499"/>
      <c r="T127" s="1499"/>
      <c r="U127" s="1499"/>
      <c r="V127" s="1499"/>
      <c r="W127" s="1499"/>
      <c r="X127" s="1499"/>
      <c r="Y127" s="1499"/>
      <c r="Z127" s="1499"/>
      <c r="AA127" s="1499"/>
      <c r="AB127" s="1499"/>
      <c r="AC127" s="1499"/>
      <c r="AD127" s="1499"/>
      <c r="AE127" s="1499"/>
      <c r="AF127" s="1499"/>
      <c r="AG127" s="1499"/>
      <c r="AH127" s="1499"/>
      <c r="AI127" s="1499"/>
      <c r="AJ127" s="1499"/>
      <c r="AK127" s="1499"/>
      <c r="AL127" s="1499"/>
      <c r="AM127" s="1499"/>
    </row>
    <row r="128" spans="1:39" s="1105" customFormat="1" ht="23.4" x14ac:dyDescent="0.25">
      <c r="A128" s="1425" t="s">
        <v>151</v>
      </c>
      <c r="B128" s="1426"/>
      <c r="C128" s="1500" t="s">
        <v>291</v>
      </c>
      <c r="D128" s="1500"/>
      <c r="E128" s="1500"/>
      <c r="F128" s="1500"/>
      <c r="G128" s="1500"/>
      <c r="H128" s="1500"/>
      <c r="I128" s="1500"/>
      <c r="J128" s="1500"/>
      <c r="K128" s="1500"/>
      <c r="L128" s="1500"/>
      <c r="M128" s="1500"/>
      <c r="N128" s="1500"/>
      <c r="O128" s="1500"/>
      <c r="P128" s="1500"/>
      <c r="Q128" s="1500"/>
      <c r="R128" s="1500"/>
      <c r="S128" s="1500"/>
      <c r="T128" s="1500"/>
      <c r="U128" s="1500"/>
      <c r="V128" s="1500"/>
      <c r="W128" s="1500"/>
      <c r="X128" s="1500"/>
      <c r="Y128" s="1500"/>
      <c r="Z128" s="1500"/>
      <c r="AA128" s="1500"/>
      <c r="AB128" s="1500"/>
      <c r="AC128" s="1500"/>
      <c r="AD128" s="1500"/>
      <c r="AE128" s="1500"/>
      <c r="AF128" s="1500"/>
      <c r="AG128" s="1500"/>
      <c r="AH128" s="1500"/>
      <c r="AI128" s="1500"/>
      <c r="AJ128" s="1500"/>
      <c r="AK128" s="1500"/>
      <c r="AL128" s="1500"/>
      <c r="AM128" s="1500"/>
    </row>
    <row r="129" spans="1:41" s="1105" customFormat="1" x14ac:dyDescent="0.25">
      <c r="A129" s="1429" t="s">
        <v>152</v>
      </c>
      <c r="B129" s="1430"/>
      <c r="C129" s="1431"/>
      <c r="D129" s="1431"/>
      <c r="E129" s="1431"/>
      <c r="F129" s="1431"/>
      <c r="G129" s="1431"/>
      <c r="H129" s="1431"/>
      <c r="I129" s="1431"/>
      <c r="J129" s="1432"/>
      <c r="K129" s="1433" t="s">
        <v>153</v>
      </c>
      <c r="L129" s="1431"/>
      <c r="M129" s="1431"/>
      <c r="N129" s="1431"/>
      <c r="O129" s="1431"/>
      <c r="P129" s="1431"/>
      <c r="Q129" s="1432"/>
      <c r="R129" s="1433" t="s">
        <v>154</v>
      </c>
      <c r="S129" s="1431"/>
      <c r="T129" s="1431"/>
      <c r="U129" s="1431"/>
      <c r="V129" s="1431"/>
      <c r="W129" s="1431"/>
      <c r="X129" s="1431"/>
      <c r="Y129" s="1431"/>
      <c r="Z129" s="1432"/>
      <c r="AA129" s="1433" t="s">
        <v>155</v>
      </c>
      <c r="AB129" s="1431"/>
      <c r="AC129" s="1431"/>
      <c r="AD129" s="1431"/>
      <c r="AE129" s="1431"/>
      <c r="AF129" s="1431"/>
      <c r="AG129" s="1432"/>
      <c r="AH129" s="1433" t="s">
        <v>156</v>
      </c>
      <c r="AI129" s="1431"/>
      <c r="AJ129" s="1431"/>
      <c r="AK129" s="1431"/>
      <c r="AL129" s="1431"/>
      <c r="AM129" s="1432"/>
    </row>
    <row r="130" spans="1:41" s="1105" customFormat="1" ht="13.8" customHeight="1" x14ac:dyDescent="0.25">
      <c r="A130" s="1434" t="s">
        <v>157</v>
      </c>
      <c r="B130" s="1435" t="s">
        <v>141</v>
      </c>
      <c r="C130" s="1668" t="s">
        <v>158</v>
      </c>
      <c r="D130" s="1668" t="s">
        <v>159</v>
      </c>
      <c r="E130" s="1669" t="s">
        <v>160</v>
      </c>
      <c r="F130" s="1670" t="s">
        <v>60</v>
      </c>
      <c r="G130" s="1671"/>
      <c r="H130" s="1439"/>
      <c r="I130" s="1437" t="s">
        <v>161</v>
      </c>
      <c r="J130" s="1436" t="s">
        <v>162</v>
      </c>
      <c r="K130" s="1672" t="s">
        <v>163</v>
      </c>
      <c r="L130" s="1441" t="s">
        <v>164</v>
      </c>
      <c r="M130" s="1437" t="s">
        <v>165</v>
      </c>
      <c r="N130" s="1437" t="s">
        <v>166</v>
      </c>
      <c r="O130" s="1673" t="s">
        <v>167</v>
      </c>
      <c r="P130" s="1441" t="s">
        <v>164</v>
      </c>
      <c r="Q130" s="1674" t="s">
        <v>168</v>
      </c>
      <c r="R130" s="1443" t="s">
        <v>169</v>
      </c>
      <c r="S130" s="1444" t="s">
        <v>170</v>
      </c>
      <c r="T130" s="1437" t="s">
        <v>171</v>
      </c>
      <c r="U130" s="1444" t="s">
        <v>172</v>
      </c>
      <c r="V130" s="1444"/>
      <c r="W130" s="1444"/>
      <c r="X130" s="1444"/>
      <c r="Y130" s="1444"/>
      <c r="Z130" s="1444"/>
      <c r="AA130" s="1445" t="s">
        <v>173</v>
      </c>
      <c r="AB130" s="1445" t="s">
        <v>174</v>
      </c>
      <c r="AC130" s="1445" t="s">
        <v>164</v>
      </c>
      <c r="AD130" s="1445" t="s">
        <v>175</v>
      </c>
      <c r="AE130" s="1445" t="s">
        <v>164</v>
      </c>
      <c r="AF130" s="1445" t="s">
        <v>176</v>
      </c>
      <c r="AG130" s="1443" t="s">
        <v>177</v>
      </c>
      <c r="AH130" s="1444" t="s">
        <v>156</v>
      </c>
      <c r="AI130" s="1444" t="s">
        <v>142</v>
      </c>
      <c r="AJ130" s="1444" t="s">
        <v>178</v>
      </c>
      <c r="AK130" s="1444" t="s">
        <v>179</v>
      </c>
      <c r="AL130" s="1444" t="s">
        <v>180</v>
      </c>
      <c r="AM130" s="1675" t="s">
        <v>181</v>
      </c>
      <c r="AN130" s="1676" t="s">
        <v>837</v>
      </c>
    </row>
    <row r="131" spans="1:41" s="1105" customFormat="1" ht="70.2" x14ac:dyDescent="0.25">
      <c r="A131" s="1446"/>
      <c r="B131" s="1435"/>
      <c r="C131" s="1677"/>
      <c r="D131" s="1677"/>
      <c r="E131" s="1678"/>
      <c r="F131" s="1679"/>
      <c r="G131" s="1439" t="s">
        <v>201</v>
      </c>
      <c r="H131" s="1439" t="s">
        <v>182</v>
      </c>
      <c r="I131" s="1436"/>
      <c r="J131" s="1444"/>
      <c r="K131" s="1674"/>
      <c r="L131" s="1433"/>
      <c r="M131" s="1436"/>
      <c r="N131" s="1436"/>
      <c r="O131" s="1680"/>
      <c r="P131" s="1433"/>
      <c r="Q131" s="1681"/>
      <c r="R131" s="1448"/>
      <c r="S131" s="1444"/>
      <c r="T131" s="1436"/>
      <c r="U131" s="1449" t="s">
        <v>183</v>
      </c>
      <c r="V131" s="1449" t="s">
        <v>184</v>
      </c>
      <c r="W131" s="1449" t="s">
        <v>185</v>
      </c>
      <c r="X131" s="1449" t="s">
        <v>186</v>
      </c>
      <c r="Y131" s="1449" t="s">
        <v>187</v>
      </c>
      <c r="Z131" s="1449" t="s">
        <v>188</v>
      </c>
      <c r="AA131" s="1445"/>
      <c r="AB131" s="1445"/>
      <c r="AC131" s="1445"/>
      <c r="AD131" s="1445"/>
      <c r="AE131" s="1445"/>
      <c r="AF131" s="1445"/>
      <c r="AG131" s="1448"/>
      <c r="AH131" s="1444"/>
      <c r="AI131" s="1444"/>
      <c r="AJ131" s="1444"/>
      <c r="AK131" s="1444"/>
      <c r="AL131" s="1444"/>
      <c r="AM131" s="1675"/>
      <c r="AN131" s="1676"/>
    </row>
    <row r="132" spans="1:41" s="1105" customFormat="1" ht="153" customHeight="1" x14ac:dyDescent="0.25">
      <c r="A132" s="1682">
        <v>1</v>
      </c>
      <c r="B132" s="1683" t="s">
        <v>199</v>
      </c>
      <c r="C132" s="1684" t="s">
        <v>292</v>
      </c>
      <c r="D132" s="1685" t="s">
        <v>293</v>
      </c>
      <c r="E132" s="1686" t="s">
        <v>700</v>
      </c>
      <c r="F132" s="1687" t="s">
        <v>294</v>
      </c>
      <c r="G132" s="1688" t="s">
        <v>202</v>
      </c>
      <c r="H132" s="1689" t="s">
        <v>295</v>
      </c>
      <c r="I132" s="1690" t="s">
        <v>190</v>
      </c>
      <c r="J132" s="1691">
        <f>11+3</f>
        <v>14</v>
      </c>
      <c r="K132" s="1692" t="str">
        <f t="shared" ref="K132:K138" si="62">IF(J132&lt;=0,"",IF(J132&lt;=2,"Muy Baja",IF(J132&lt;=24,"Baja",IF(J132&lt;=500,"Media",IF(J132&lt;=5000,"Alta","Muy Alta")))))</f>
        <v>Baja</v>
      </c>
      <c r="L132" s="1693">
        <f t="shared" ref="L132:L138" si="63">IF(K132="","",IF(K132="Muy Baja",0.2,IF(K132="Baja",0.4,IF(K132="Media",0.6,IF(K132="Alta",0.8,IF(K132="Muy Alta",1,))))))</f>
        <v>0.4</v>
      </c>
      <c r="M132" s="1694" t="s">
        <v>296</v>
      </c>
      <c r="N132" s="1695" t="str">
        <f>IF(NOT(ISERROR(MATCH(M132,'[26]Tabla Impacto'!$B$221:$B$223,0))),'[26]Tabla Impacto'!$F$223&amp;"Por favor no seleccionar los criterios de impacto(Afectación Económica o presupuestal y Pérdida Reputacional)",M132)</f>
        <v xml:space="preserve">     Mayor a 10000 SMLMV</v>
      </c>
      <c r="O132" s="1692" t="str">
        <f>IF(OR(N132='[26]Tabla Impacto'!$C$11,N132='[26]Tabla Impacto'!$D$11),"Leve",IF(OR(N132='[26]Tabla Impacto'!$C$12,N132='[26]Tabla Impacto'!$D$12),"Menor",IF(OR(N132='[26]Tabla Impacto'!$C$13,N132='[26]Tabla Impacto'!$D$13),"Moderado",IF(OR(N132='[26]Tabla Impacto'!$C$14,N132='[26]Tabla Impacto'!$D$14),"Mayor",IF(OR(N132='[26]Tabla Impacto'!$C$15,N132='[26]Tabla Impacto'!$D$15),"Catastrófico","")))))</f>
        <v>Catastrófico</v>
      </c>
      <c r="P132" s="1693">
        <f t="shared" ref="P132:P138" si="64">IF(O132="","",IF(O132="Leve",0.2,IF(O132="Menor",0.4,IF(O132="Moderado",0.6,IF(O132="Mayor",0.8,IF(O132="Catastrófico",1,))))))</f>
        <v>1</v>
      </c>
      <c r="Q132" s="1696" t="str">
        <f t="shared" ref="Q132:Q138" si="65">IF(OR(AND(K132="Muy Baja",O132="Leve"),AND(K132="Muy Baja",O132="Menor"),AND(K132="Baja",O132="Leve")),"Bajo",IF(OR(AND(K132="Muy baja",O132="Moderado"),AND(K132="Baja",O132="Menor"),AND(K132="Baja",O132="Moderado"),AND(K132="Media",O132="Leve"),AND(K132="Media",O132="Menor"),AND(K132="Media",O132="Moderado"),AND(K132="Alta",O132="Leve"),AND(K132="Alta",O132="Menor")),"Moderado",IF(OR(AND(K132="Muy Baja",O132="Mayor"),AND(K132="Baja",O132="Mayor"),AND(K132="Media",O132="Mayor"),AND(K132="Alta",O132="Moderado"),AND(K132="Alta",O132="Mayor"),AND(K132="Muy Alta",O132="Leve"),AND(K132="Muy Alta",O132="Menor"),AND(K132="Muy Alta",O132="Moderado"),AND(K132="Muy Alta",O132="Mayor")),"Alto",IF(OR(AND(K132="Muy Baja",O132="Catastrófico"),AND(K132="Baja",O132="Catastrófico"),AND(K132="Media",O132="Catastrófico"),AND(K132="Alta",O132="Catastrófico"),AND(K132="Muy Alta",O132="Catastrófico")),"Extremo",""))))</f>
        <v>Extremo</v>
      </c>
      <c r="R132" s="1697">
        <v>1</v>
      </c>
      <c r="S132" s="1698" t="s">
        <v>707</v>
      </c>
      <c r="T132" s="1699" t="str">
        <f t="shared" ref="T132:T138" si="66">IF(OR(U132="Preventivo",U132="Detectivo"),"Probabilidad",IF(U132="Correctivo","Impacto",""))</f>
        <v>Probabilidad</v>
      </c>
      <c r="U132" s="1700" t="s">
        <v>197</v>
      </c>
      <c r="V132" s="1700" t="s">
        <v>191</v>
      </c>
      <c r="W132" s="1701" t="str">
        <f t="shared" ref="W132:W138" si="67">IF(AND(U132="Preventivo",V132="Automático"),"50%",IF(AND(U132="Preventivo",V132="Manual"),"40%",IF(AND(U132="Detectivo",V132="Automático"),"40%",IF(AND(U132="Detectivo",V132="Manual"),"30%",IF(AND(U132="Correctivo",V132="Automático"),"35%",IF(AND(U132="Correctivo",V132="Manual"),"25%",""))))))</f>
        <v>40%</v>
      </c>
      <c r="X132" s="1700" t="s">
        <v>198</v>
      </c>
      <c r="Y132" s="1700" t="s">
        <v>193</v>
      </c>
      <c r="Z132" s="1700" t="s">
        <v>194</v>
      </c>
      <c r="AA132" s="1702">
        <f>IFERROR(IF(T132="Probabilidad",(L132-(+L132*W132)),IF(T132="Impacto",L132,"")),"")</f>
        <v>0.24</v>
      </c>
      <c r="AB132" s="1703" t="str">
        <f t="shared" ref="AB132:AB138" si="68">IFERROR(IF(AA132="","",IF(AA132&lt;=0.2,"Muy Baja",IF(AA132&lt;=0.4,"Baja",IF(AA132&lt;=0.6,"Media",IF(AA132&lt;=0.8,"Alta","Muy Alta"))))),"")</f>
        <v>Baja</v>
      </c>
      <c r="AC132" s="1704">
        <f t="shared" ref="AC132:AC138" si="69">+AA132</f>
        <v>0.24</v>
      </c>
      <c r="AD132" s="1703" t="str">
        <f t="shared" ref="AD132:AD138" si="70">IFERROR(IF(AE132="","",IF(AE132&lt;=0.2,"Leve",IF(AE132&lt;=0.4,"Menor",IF(AE132&lt;=0.6,"Moderado",IF(AE132&lt;=0.8,"Mayor","Catastrófico"))))),"")</f>
        <v>Catastrófico</v>
      </c>
      <c r="AE132" s="1704">
        <f>IFERROR(IF(T132="Impacto",(P132-(+P132*W132)),IF(T132="Probabilidad",P132,"")),"")</f>
        <v>1</v>
      </c>
      <c r="AF132" s="1705" t="str">
        <f t="shared" ref="AF132:AF138" si="71">IFERROR(IF(OR(AND(AB132="Muy Baja",AD132="Leve"),AND(AB132="Muy Baja",AD132="Menor"),AND(AB132="Baja",AD132="Leve")),"Bajo",IF(OR(AND(AB132="Muy baja",AD132="Moderado"),AND(AB132="Baja",AD132="Menor"),AND(AB132="Baja",AD132="Moderado"),AND(AB132="Media",AD132="Leve"),AND(AB132="Media",AD132="Menor"),AND(AB132="Media",AD132="Moderado"),AND(AB132="Alta",AD132="Leve"),AND(AB132="Alta",AD132="Menor")),"Moderado",IF(OR(AND(AB132="Muy Baja",AD132="Mayor"),AND(AB132="Baja",AD132="Mayor"),AND(AB132="Media",AD132="Mayor"),AND(AB132="Alta",AD132="Moderado"),AND(AB132="Alta",AD132="Mayor"),AND(AB132="Muy Alta",AD132="Leve"),AND(AB132="Muy Alta",AD132="Menor"),AND(AB132="Muy Alta",AD132="Moderado"),AND(AB132="Muy Alta",AD132="Mayor")),"Alto",IF(OR(AND(AB132="Muy Baja",AD132="Catastrófico"),AND(AB132="Baja",AD132="Catastrófico"),AND(AB132="Media",AD132="Catastrófico"),AND(AB132="Alta",AD132="Catastrófico"),AND(AB132="Muy Alta",AD132="Catastrófico")),"Extremo","")))),"")</f>
        <v>Extremo</v>
      </c>
      <c r="AG132" s="1706" t="s">
        <v>195</v>
      </c>
      <c r="AH132" s="1707" t="s">
        <v>297</v>
      </c>
      <c r="AI132" s="1707" t="s">
        <v>298</v>
      </c>
      <c r="AJ132" s="1708">
        <v>45352</v>
      </c>
      <c r="AK132" s="1709"/>
      <c r="AL132" s="1707"/>
      <c r="AM132" s="1710" t="s">
        <v>196</v>
      </c>
      <c r="AN132" s="1711" t="s">
        <v>838</v>
      </c>
      <c r="AO132" s="1676" t="s">
        <v>839</v>
      </c>
    </row>
    <row r="133" spans="1:41" s="1105" customFormat="1" ht="96.6" x14ac:dyDescent="0.25">
      <c r="A133" s="1682">
        <v>2</v>
      </c>
      <c r="B133" s="1712" t="s">
        <v>199</v>
      </c>
      <c r="C133" s="1713" t="s">
        <v>299</v>
      </c>
      <c r="D133" s="1714" t="s">
        <v>300</v>
      </c>
      <c r="E133" s="1715" t="s">
        <v>840</v>
      </c>
      <c r="F133" s="1716" t="s">
        <v>301</v>
      </c>
      <c r="G133" s="1717" t="s">
        <v>202</v>
      </c>
      <c r="H133" s="1718" t="s">
        <v>302</v>
      </c>
      <c r="I133" s="1719" t="s">
        <v>190</v>
      </c>
      <c r="J133" s="1720">
        <v>120000</v>
      </c>
      <c r="K133" s="1692" t="str">
        <f t="shared" si="62"/>
        <v>Muy Alta</v>
      </c>
      <c r="L133" s="1721">
        <f t="shared" si="63"/>
        <v>1</v>
      </c>
      <c r="M133" s="1722" t="s">
        <v>200</v>
      </c>
      <c r="N133" s="1695" t="str">
        <f>IF(NOT(ISERROR(MATCH(M133,'[26]Tabla Impacto'!$B$221:$B$223,0))),'[26]Tabla Impacto'!$F$223&amp;"Por favor no seleccionar los criterios de impacto(Afectación Económica o presupuestal y Pérdida Reputacional)",M133)</f>
        <v xml:space="preserve">     El riesgo afecta la imagen de la entidad con algunos usuarios de relevancia frente al logro de los objetivos</v>
      </c>
      <c r="O133" s="1692" t="str">
        <f>IF(OR(N133='[26]Tabla Impacto'!$C$11,N133='[26]Tabla Impacto'!$D$11),"Leve",IF(OR(N133='[26]Tabla Impacto'!$C$12,N133='[26]Tabla Impacto'!$D$12),"Menor",IF(OR(N133='[26]Tabla Impacto'!$C$13,N133='[26]Tabla Impacto'!$D$13),"Moderado",IF(OR(N133='[26]Tabla Impacto'!$C$14,N133='[26]Tabla Impacto'!$D$14),"Mayor",IF(OR(N133='[26]Tabla Impacto'!$C$15,N133='[26]Tabla Impacto'!$D$15),"Catastrófico","")))))</f>
        <v>Moderado</v>
      </c>
      <c r="P133" s="1721">
        <f t="shared" si="64"/>
        <v>0.6</v>
      </c>
      <c r="Q133" s="1696" t="str">
        <f t="shared" si="65"/>
        <v>Alto</v>
      </c>
      <c r="R133" s="1723">
        <v>1</v>
      </c>
      <c r="S133" s="1724" t="s">
        <v>708</v>
      </c>
      <c r="T133" s="1725" t="str">
        <f t="shared" si="66"/>
        <v>Probabilidad</v>
      </c>
      <c r="U133" s="1726" t="s">
        <v>197</v>
      </c>
      <c r="V133" s="1726" t="s">
        <v>191</v>
      </c>
      <c r="W133" s="1727" t="str">
        <f t="shared" si="67"/>
        <v>40%</v>
      </c>
      <c r="X133" s="1726" t="s">
        <v>198</v>
      </c>
      <c r="Y133" s="1726" t="s">
        <v>193</v>
      </c>
      <c r="Z133" s="1726" t="s">
        <v>194</v>
      </c>
      <c r="AA133" s="1728">
        <f>IFERROR(IF(T133="Probabilidad",(L133-(+L133*W133)),IF(T133="Impacto",L133,"")),"")</f>
        <v>0.6</v>
      </c>
      <c r="AB133" s="1703" t="str">
        <f t="shared" si="68"/>
        <v>Media</v>
      </c>
      <c r="AC133" s="1729">
        <f t="shared" si="69"/>
        <v>0.6</v>
      </c>
      <c r="AD133" s="1703" t="str">
        <f t="shared" si="70"/>
        <v>Moderado</v>
      </c>
      <c r="AE133" s="1729">
        <f>IFERROR(IF(T133="Impacto",(P133-(+P133*W133)),IF(T133="Probabilidad",P133,"")),"")</f>
        <v>0.6</v>
      </c>
      <c r="AF133" s="1705" t="str">
        <f t="shared" si="71"/>
        <v>Moderado</v>
      </c>
      <c r="AG133" s="1730" t="s">
        <v>195</v>
      </c>
      <c r="AH133" s="1731" t="s">
        <v>303</v>
      </c>
      <c r="AI133" s="1731" t="s">
        <v>304</v>
      </c>
      <c r="AJ133" s="1732">
        <v>45352</v>
      </c>
      <c r="AK133" s="1733"/>
      <c r="AL133" s="1731"/>
      <c r="AM133" s="1734" t="s">
        <v>196</v>
      </c>
      <c r="AN133" s="1735" t="s">
        <v>841</v>
      </c>
      <c r="AO133" s="1736"/>
    </row>
    <row r="134" spans="1:41" s="1105" customFormat="1" ht="409.6" x14ac:dyDescent="0.25">
      <c r="A134" s="1682">
        <v>3</v>
      </c>
      <c r="B134" s="1737" t="s">
        <v>189</v>
      </c>
      <c r="C134" s="1738" t="s">
        <v>305</v>
      </c>
      <c r="D134" s="1739" t="s">
        <v>306</v>
      </c>
      <c r="E134" s="1740" t="s">
        <v>842</v>
      </c>
      <c r="F134" s="1741" t="s">
        <v>307</v>
      </c>
      <c r="G134" s="1742" t="s">
        <v>202</v>
      </c>
      <c r="H134" s="1743" t="s">
        <v>308</v>
      </c>
      <c r="I134" s="1744" t="s">
        <v>190</v>
      </c>
      <c r="J134" s="1745">
        <v>5</v>
      </c>
      <c r="K134" s="1692" t="str">
        <f t="shared" si="62"/>
        <v>Baja</v>
      </c>
      <c r="L134" s="1746">
        <f t="shared" si="63"/>
        <v>0.4</v>
      </c>
      <c r="M134" s="1747" t="s">
        <v>200</v>
      </c>
      <c r="N134" s="1695" t="str">
        <f>IF(NOT(ISERROR(MATCH(M134,'[26]Tabla Impacto'!$B$221:$B$223,0))),'[26]Tabla Impacto'!$F$223&amp;"Por favor no seleccionar los criterios de impacto(Afectación Económica o presupuestal y Pérdida Reputacional)",M134)</f>
        <v xml:space="preserve">     El riesgo afecta la imagen de la entidad con algunos usuarios de relevancia frente al logro de los objetivos</v>
      </c>
      <c r="O134" s="1692" t="str">
        <f>IF(OR(N134='[26]Tabla Impacto'!$C$11,N134='[26]Tabla Impacto'!$D$11),"Leve",IF(OR(N134='[26]Tabla Impacto'!$C$12,N134='[26]Tabla Impacto'!$D$12),"Menor",IF(OR(N134='[26]Tabla Impacto'!$C$13,N134='[26]Tabla Impacto'!$D$13),"Moderado",IF(OR(N134='[26]Tabla Impacto'!$C$14,N134='[26]Tabla Impacto'!$D$14),"Mayor",IF(OR(N134='[26]Tabla Impacto'!$C$15,N134='[26]Tabla Impacto'!$D$15),"Catastrófico","")))))</f>
        <v>Moderado</v>
      </c>
      <c r="P134" s="1746">
        <f t="shared" si="64"/>
        <v>0.6</v>
      </c>
      <c r="Q134" s="1696" t="str">
        <f t="shared" si="65"/>
        <v>Moderado</v>
      </c>
      <c r="R134" s="1748">
        <v>1</v>
      </c>
      <c r="S134" s="1749" t="s">
        <v>709</v>
      </c>
      <c r="T134" s="1750" t="str">
        <f t="shared" si="66"/>
        <v>Probabilidad</v>
      </c>
      <c r="U134" s="1751" t="s">
        <v>197</v>
      </c>
      <c r="V134" s="1751" t="s">
        <v>191</v>
      </c>
      <c r="W134" s="1752" t="str">
        <f t="shared" si="67"/>
        <v>40%</v>
      </c>
      <c r="X134" s="1751" t="s">
        <v>198</v>
      </c>
      <c r="Y134" s="1751" t="s">
        <v>193</v>
      </c>
      <c r="Z134" s="1751" t="s">
        <v>194</v>
      </c>
      <c r="AA134" s="1753">
        <f>IFERROR(IF(T134="Probabilidad",(L134-(+L134*W134)),IF(T134="Impacto",L134,"")),"")</f>
        <v>0.24</v>
      </c>
      <c r="AB134" s="1703" t="str">
        <f t="shared" si="68"/>
        <v>Baja</v>
      </c>
      <c r="AC134" s="1754">
        <f t="shared" si="69"/>
        <v>0.24</v>
      </c>
      <c r="AD134" s="1703" t="str">
        <f t="shared" si="70"/>
        <v>Moderado</v>
      </c>
      <c r="AE134" s="1754">
        <f>IFERROR(IF(T134="Impacto",(P134-(+P134*W134)),IF(T134="Probabilidad",P134,"")),"")</f>
        <v>0.6</v>
      </c>
      <c r="AF134" s="1705" t="str">
        <f t="shared" si="71"/>
        <v>Moderado</v>
      </c>
      <c r="AG134" s="1755" t="s">
        <v>195</v>
      </c>
      <c r="AH134" s="1756" t="s">
        <v>309</v>
      </c>
      <c r="AI134" s="1756" t="s">
        <v>310</v>
      </c>
      <c r="AJ134" s="1757">
        <v>45352</v>
      </c>
      <c r="AK134" s="1758"/>
      <c r="AL134" s="1756"/>
      <c r="AM134" s="1759" t="s">
        <v>196</v>
      </c>
      <c r="AN134" s="1711" t="s">
        <v>843</v>
      </c>
      <c r="AO134" s="1736"/>
    </row>
    <row r="135" spans="1:41" s="1105" customFormat="1" ht="55.2" x14ac:dyDescent="0.25">
      <c r="A135" s="1682">
        <v>4</v>
      </c>
      <c r="B135" s="1760" t="s">
        <v>189</v>
      </c>
      <c r="C135" s="1761" t="s">
        <v>311</v>
      </c>
      <c r="D135" s="1762" t="s">
        <v>312</v>
      </c>
      <c r="E135" s="1715" t="s">
        <v>844</v>
      </c>
      <c r="F135" s="1763" t="s">
        <v>313</v>
      </c>
      <c r="G135" s="1717" t="s">
        <v>202</v>
      </c>
      <c r="H135" s="1718" t="s">
        <v>314</v>
      </c>
      <c r="I135" s="1764" t="s">
        <v>190</v>
      </c>
      <c r="J135" s="1765">
        <v>1</v>
      </c>
      <c r="K135" s="1766" t="str">
        <f t="shared" si="62"/>
        <v>Muy Baja</v>
      </c>
      <c r="L135" s="1767">
        <f t="shared" si="63"/>
        <v>0.2</v>
      </c>
      <c r="M135" s="1768" t="s">
        <v>315</v>
      </c>
      <c r="N135" s="1769" t="str">
        <f>IF(NOT(ISERROR(MATCH(M135,'[26]Tabla Impacto'!$B$221:$B$223,0))),'[26]Tabla Impacto'!$F$223&amp;"Por favor no seleccionar los criterios de impacto(Afectación Económica o presupuestal y Pérdida Reputacional)",M135)</f>
        <v xml:space="preserve">     El riesgo afecta la imagen de alguna área de la organización</v>
      </c>
      <c r="O135" s="1766" t="str">
        <f>IF(OR(N135='[26]Tabla Impacto'!$C$11,N135='[26]Tabla Impacto'!$D$11),"Leve",IF(OR(N135='[26]Tabla Impacto'!$C$12,N135='[26]Tabla Impacto'!$D$12),"Menor",IF(OR(N135='[26]Tabla Impacto'!$C$13,N135='[26]Tabla Impacto'!$D$13),"Moderado",IF(OR(N135='[26]Tabla Impacto'!$C$14,N135='[26]Tabla Impacto'!$D$14),"Mayor",IF(OR(N135='[26]Tabla Impacto'!$C$15,N135='[26]Tabla Impacto'!$D$15),"Catastrófico","")))))</f>
        <v>Leve</v>
      </c>
      <c r="P135" s="1767">
        <f t="shared" si="64"/>
        <v>0.2</v>
      </c>
      <c r="Q135" s="1770" t="str">
        <f t="shared" si="65"/>
        <v>Bajo</v>
      </c>
      <c r="R135" s="1723">
        <v>1</v>
      </c>
      <c r="S135" s="1724" t="s">
        <v>710</v>
      </c>
      <c r="T135" s="1725" t="str">
        <f t="shared" si="66"/>
        <v>Probabilidad</v>
      </c>
      <c r="U135" s="1726" t="s">
        <v>197</v>
      </c>
      <c r="V135" s="1726" t="s">
        <v>191</v>
      </c>
      <c r="W135" s="1727" t="str">
        <f t="shared" si="67"/>
        <v>40%</v>
      </c>
      <c r="X135" s="1726" t="s">
        <v>192</v>
      </c>
      <c r="Y135" s="1726" t="s">
        <v>193</v>
      </c>
      <c r="Z135" s="1726" t="s">
        <v>194</v>
      </c>
      <c r="AA135" s="1728">
        <f>IFERROR(IF(T135="Probabilidad",(L135-(+L135*W135)),IF(T135="Impacto",L135,"")),"")</f>
        <v>0.12</v>
      </c>
      <c r="AB135" s="1703" t="str">
        <f t="shared" si="68"/>
        <v>Muy Baja</v>
      </c>
      <c r="AC135" s="1729">
        <f t="shared" si="69"/>
        <v>0.12</v>
      </c>
      <c r="AD135" s="1703" t="str">
        <f t="shared" si="70"/>
        <v>Leve</v>
      </c>
      <c r="AE135" s="1729">
        <f>IFERROR(IF(T135="Impacto",(P135-(+P135*W135)),IF(T135="Probabilidad",P135,"")),"")</f>
        <v>0.2</v>
      </c>
      <c r="AF135" s="1705" t="str">
        <f t="shared" si="71"/>
        <v>Bajo</v>
      </c>
      <c r="AG135" s="1730" t="s">
        <v>195</v>
      </c>
      <c r="AH135" s="1731" t="s">
        <v>316</v>
      </c>
      <c r="AI135" s="1771" t="s">
        <v>304</v>
      </c>
      <c r="AJ135" s="1732">
        <v>45352</v>
      </c>
      <c r="AK135" s="1733"/>
      <c r="AL135" s="1731"/>
      <c r="AM135" s="1734" t="s">
        <v>196</v>
      </c>
      <c r="AN135" s="1772" t="s">
        <v>845</v>
      </c>
      <c r="AO135" s="1736"/>
    </row>
    <row r="136" spans="1:41" s="1105" customFormat="1" ht="199.8" customHeight="1" x14ac:dyDescent="0.25">
      <c r="A136" s="1682">
        <v>5</v>
      </c>
      <c r="B136" s="1773" t="s">
        <v>199</v>
      </c>
      <c r="C136" s="1774" t="s">
        <v>317</v>
      </c>
      <c r="D136" s="1775" t="s">
        <v>318</v>
      </c>
      <c r="E136" s="1776" t="s">
        <v>846</v>
      </c>
      <c r="F136" s="1777" t="s">
        <v>319</v>
      </c>
      <c r="G136" s="1778" t="s">
        <v>203</v>
      </c>
      <c r="H136" s="1779" t="s">
        <v>320</v>
      </c>
      <c r="I136" s="1780" t="s">
        <v>190</v>
      </c>
      <c r="J136" s="1781">
        <v>100</v>
      </c>
      <c r="K136" s="1692" t="str">
        <f t="shared" si="62"/>
        <v>Media</v>
      </c>
      <c r="L136" s="1782">
        <f t="shared" si="63"/>
        <v>0.6</v>
      </c>
      <c r="M136" s="1783" t="s">
        <v>321</v>
      </c>
      <c r="N136" s="1784" t="str">
        <f>IF(NOT(ISERROR(MATCH(M136,'[26]Tabla Impacto'!$B$221:$B$223,0))),'[26]Tabla Impacto'!$F$223&amp;"Por favor no seleccionar los criterios de impacto(Afectación Económica o presupuestal y Pérdida Reputacional)",M136)</f>
        <v xml:space="preserve">     Entre 200 y 1000 SMLMV</v>
      </c>
      <c r="O136" s="1692" t="str">
        <f>IF(OR(N136='[26]Tabla Impacto'!$C$11,N136='[26]Tabla Impacto'!$D$11),"Leve",IF(OR(N136='[26]Tabla Impacto'!$C$12,N136='[26]Tabla Impacto'!$D$12),"Menor",IF(OR(N136='[26]Tabla Impacto'!$C$13,N136='[26]Tabla Impacto'!$D$13),"Moderado",IF(OR(N136='[26]Tabla Impacto'!$C$14,N136='[26]Tabla Impacto'!$D$14),"Mayor",IF(OR(N136='[26]Tabla Impacto'!$C$15,N136='[26]Tabla Impacto'!$D$15),"Catastrófico","")))))</f>
        <v>Menor</v>
      </c>
      <c r="P136" s="1782">
        <f t="shared" si="64"/>
        <v>0.4</v>
      </c>
      <c r="Q136" s="1696" t="str">
        <f t="shared" si="65"/>
        <v>Moderado</v>
      </c>
      <c r="R136" s="1785">
        <v>1</v>
      </c>
      <c r="S136" s="1786" t="s">
        <v>711</v>
      </c>
      <c r="T136" s="1787" t="str">
        <f>IF(OR(U136="Preventivo",U136="Detectivo"),"Probabilidad",IF(U136="Correctivo","Impacto",""))</f>
        <v>Probabilidad</v>
      </c>
      <c r="U136" s="1788" t="s">
        <v>197</v>
      </c>
      <c r="V136" s="1788" t="s">
        <v>191</v>
      </c>
      <c r="W136" s="1789" t="str">
        <f t="shared" si="67"/>
        <v>40%</v>
      </c>
      <c r="X136" s="1788" t="s">
        <v>198</v>
      </c>
      <c r="Y136" s="1788" t="s">
        <v>193</v>
      </c>
      <c r="Z136" s="1788" t="s">
        <v>194</v>
      </c>
      <c r="AA136" s="1790">
        <f>IFERROR(IF(T136="Probabilidad",(L136-(+L136*W136)),IF(T136="Impacto",L136,"")),"")</f>
        <v>0.36</v>
      </c>
      <c r="AB136" s="1703" t="str">
        <f t="shared" si="68"/>
        <v>Baja</v>
      </c>
      <c r="AC136" s="1791">
        <f t="shared" si="69"/>
        <v>0.36</v>
      </c>
      <c r="AD136" s="1703" t="str">
        <f t="shared" si="70"/>
        <v>Menor</v>
      </c>
      <c r="AE136" s="1791">
        <f>IFERROR(IF(T136="Impacto",(P136-(+P136*W136)),IF(T136="Probabilidad",P136,"")),"")</f>
        <v>0.4</v>
      </c>
      <c r="AF136" s="1705" t="str">
        <f t="shared" si="71"/>
        <v>Moderado</v>
      </c>
      <c r="AG136" s="1792" t="s">
        <v>195</v>
      </c>
      <c r="AH136" s="1786" t="s">
        <v>322</v>
      </c>
      <c r="AI136" s="1793" t="s">
        <v>323</v>
      </c>
      <c r="AJ136" s="1794">
        <v>45352</v>
      </c>
      <c r="AK136" s="1795"/>
      <c r="AL136" s="1786"/>
      <c r="AM136" s="1796" t="s">
        <v>196</v>
      </c>
      <c r="AN136" s="1797" t="s">
        <v>847</v>
      </c>
      <c r="AO136" s="1736"/>
    </row>
    <row r="137" spans="1:41" s="1105" customFormat="1" ht="159.6" customHeight="1" x14ac:dyDescent="0.25">
      <c r="A137" s="1798">
        <v>6</v>
      </c>
      <c r="B137" s="1799"/>
      <c r="C137" s="1799"/>
      <c r="D137" s="1800"/>
      <c r="E137" s="1801" t="s">
        <v>848</v>
      </c>
      <c r="F137" s="1777"/>
      <c r="G137" s="1802"/>
      <c r="H137" s="1803" t="s">
        <v>324</v>
      </c>
      <c r="I137" s="1804"/>
      <c r="J137" s="1805">
        <v>300000000</v>
      </c>
      <c r="K137" s="1692" t="str">
        <f t="shared" si="62"/>
        <v>Muy Alta</v>
      </c>
      <c r="L137" s="1806">
        <f t="shared" si="63"/>
        <v>1</v>
      </c>
      <c r="M137" s="1807" t="s">
        <v>325</v>
      </c>
      <c r="N137" s="1808" t="str">
        <f>IF(NOT(ISERROR(MATCH(M137,_xlfn.ANCHORARRAY(F139),0))),L141&amp;"Por favor no seleccionar los criterios de impacto",M137)</f>
        <v xml:space="preserve">     Entre 5000 y 10000 SMLMV</v>
      </c>
      <c r="O137" s="1692" t="str">
        <f>IF(OR(N137='[26]Tabla Impacto'!$C$11,N137='[26]Tabla Impacto'!$D$11),"Leve",IF(OR(N137='[26]Tabla Impacto'!$C$12,N137='[26]Tabla Impacto'!$D$12),"Menor",IF(OR(N137='[26]Tabla Impacto'!$C$13,N137='[26]Tabla Impacto'!$D$13),"Moderado",IF(OR(N137='[26]Tabla Impacto'!$C$14,N137='[26]Tabla Impacto'!$D$14),"Mayor",IF(OR(N137='[26]Tabla Impacto'!$C$15,N137='[26]Tabla Impacto'!$D$15),"Catastrófico","")))))</f>
        <v>Mayor</v>
      </c>
      <c r="P137" s="1806">
        <f t="shared" si="64"/>
        <v>0.8</v>
      </c>
      <c r="Q137" s="1696" t="str">
        <f t="shared" si="65"/>
        <v>Alto</v>
      </c>
      <c r="R137" s="1809">
        <v>2</v>
      </c>
      <c r="S137" s="1810" t="s">
        <v>712</v>
      </c>
      <c r="T137" s="1811" t="str">
        <f>IF(OR(U137="Preventivo",U137="Detectivo"),"Probabilidad",IF(U137="Correctivo","Impacto",""))</f>
        <v>Probabilidad</v>
      </c>
      <c r="U137" s="1812" t="s">
        <v>197</v>
      </c>
      <c r="V137" s="1812" t="s">
        <v>191</v>
      </c>
      <c r="W137" s="1813" t="str">
        <f t="shared" si="67"/>
        <v>40%</v>
      </c>
      <c r="X137" s="1812" t="s">
        <v>198</v>
      </c>
      <c r="Y137" s="1812" t="s">
        <v>193</v>
      </c>
      <c r="Z137" s="1812" t="s">
        <v>194</v>
      </c>
      <c r="AA137" s="1814">
        <f>IFERROR(IF(AND(T136="Probabilidad",T137="Probabilidad"),(AC136-(+AC136*W137)),IF(AND(T136="Impacto",T137="Probabilidad"),(L136-(+L136*W137)),IF(T137="Impacto",AC136,""))),"")</f>
        <v>0.216</v>
      </c>
      <c r="AB137" s="1703" t="str">
        <f t="shared" si="68"/>
        <v>Baja</v>
      </c>
      <c r="AC137" s="1815">
        <f t="shared" si="69"/>
        <v>0.216</v>
      </c>
      <c r="AD137" s="1816" t="str">
        <f t="shared" si="70"/>
        <v>Menor</v>
      </c>
      <c r="AE137" s="1815">
        <f>IFERROR(IF(AND(T136="Impacto",T137="Impacto"),(AE136-(+AE136*W137)),IF(AND(T136="Probabilidad",T137="Impacto"),(P136-(+P136*W137)),IF(T137="Probabilidad",AE136,""))),"")</f>
        <v>0.4</v>
      </c>
      <c r="AF137" s="1705" t="str">
        <f t="shared" si="71"/>
        <v>Moderado</v>
      </c>
      <c r="AG137" s="1817" t="s">
        <v>195</v>
      </c>
      <c r="AH137" s="1818" t="s">
        <v>326</v>
      </c>
      <c r="AI137" s="1818" t="s">
        <v>304</v>
      </c>
      <c r="AJ137" s="1819">
        <v>45597</v>
      </c>
      <c r="AK137" s="1820"/>
      <c r="AL137" s="1810"/>
      <c r="AM137" s="1821" t="s">
        <v>196</v>
      </c>
      <c r="AN137" s="1735" t="s">
        <v>849</v>
      </c>
      <c r="AO137" s="1736"/>
    </row>
    <row r="138" spans="1:41" s="1105" customFormat="1" ht="166.2" customHeight="1" x14ac:dyDescent="0.25">
      <c r="A138" s="1822">
        <v>7</v>
      </c>
      <c r="B138" s="1823" t="s">
        <v>199</v>
      </c>
      <c r="C138" s="1824" t="s">
        <v>327</v>
      </c>
      <c r="D138" s="1825" t="s">
        <v>328</v>
      </c>
      <c r="E138" s="1826" t="s">
        <v>706</v>
      </c>
      <c r="F138" s="1827" t="s">
        <v>329</v>
      </c>
      <c r="G138" s="1828" t="s">
        <v>203</v>
      </c>
      <c r="H138" s="1829" t="s">
        <v>330</v>
      </c>
      <c r="I138" s="1830" t="s">
        <v>190</v>
      </c>
      <c r="J138" s="1831">
        <v>6000</v>
      </c>
      <c r="K138" s="1832" t="str">
        <f t="shared" si="62"/>
        <v>Muy Alta</v>
      </c>
      <c r="L138" s="1833">
        <f t="shared" si="63"/>
        <v>1</v>
      </c>
      <c r="M138" s="1834" t="s">
        <v>325</v>
      </c>
      <c r="N138" s="1835" t="str">
        <f>IF(NOT(ISERROR(MATCH(M138,'[26]Tabla Impacto'!$B$221:$B$223,0))),'[26]Tabla Impacto'!$F$223&amp;"Por favor no seleccionar los criterios de impacto(Afectación Económica o presupuestal y Pérdida Reputacional)",M138)</f>
        <v xml:space="preserve">     Entre 5000 y 10000 SMLMV</v>
      </c>
      <c r="O138" s="1832" t="str">
        <f>IF(OR(N138='[26]Tabla Impacto'!$C$11,N138='[26]Tabla Impacto'!$D$11),"Leve",IF(OR(N138='[26]Tabla Impacto'!$C$12,N138='[26]Tabla Impacto'!$D$12),"Menor",IF(OR(N138='[26]Tabla Impacto'!$C$13,N138='[26]Tabla Impacto'!$D$13),"Moderado",IF(OR(N138='[26]Tabla Impacto'!$C$14,N138='[26]Tabla Impacto'!$D$14),"Mayor",IF(OR(N138='[26]Tabla Impacto'!$C$15,N138='[26]Tabla Impacto'!$D$15),"Catastrófico","")))))</f>
        <v>Mayor</v>
      </c>
      <c r="P138" s="1833">
        <f t="shared" si="64"/>
        <v>0.8</v>
      </c>
      <c r="Q138" s="1836" t="str">
        <f t="shared" si="65"/>
        <v>Alto</v>
      </c>
      <c r="R138" s="1837">
        <v>1</v>
      </c>
      <c r="S138" s="1707" t="s">
        <v>713</v>
      </c>
      <c r="T138" s="1699" t="str">
        <f t="shared" si="66"/>
        <v>Probabilidad</v>
      </c>
      <c r="U138" s="1700" t="s">
        <v>197</v>
      </c>
      <c r="V138" s="1700" t="s">
        <v>191</v>
      </c>
      <c r="W138" s="1701" t="str">
        <f t="shared" si="67"/>
        <v>40%</v>
      </c>
      <c r="X138" s="1700" t="s">
        <v>198</v>
      </c>
      <c r="Y138" s="1700" t="s">
        <v>193</v>
      </c>
      <c r="Z138" s="1700" t="s">
        <v>194</v>
      </c>
      <c r="AA138" s="1702">
        <f>IFERROR(IF(T138="Probabilidad",(L138-(+L138*W138)),IF(T138="Impacto",L138,"")),"")</f>
        <v>0.6</v>
      </c>
      <c r="AB138" s="1703" t="str">
        <f t="shared" si="68"/>
        <v>Media</v>
      </c>
      <c r="AC138" s="1704">
        <f t="shared" si="69"/>
        <v>0.6</v>
      </c>
      <c r="AD138" s="1703" t="str">
        <f t="shared" si="70"/>
        <v>Mayor</v>
      </c>
      <c r="AE138" s="1704">
        <f>IFERROR(IF(T138="Impacto",(P138-(+P138*W138)),IF(T138="Probabilidad",P138,"")),"")</f>
        <v>0.8</v>
      </c>
      <c r="AF138" s="1705" t="str">
        <f t="shared" si="71"/>
        <v>Alto</v>
      </c>
      <c r="AG138" s="1706" t="s">
        <v>195</v>
      </c>
      <c r="AH138" s="1707" t="s">
        <v>331</v>
      </c>
      <c r="AI138" s="1838" t="s">
        <v>298</v>
      </c>
      <c r="AJ138" s="1708">
        <v>45597</v>
      </c>
      <c r="AK138" s="1709"/>
      <c r="AL138" s="1707"/>
      <c r="AM138" s="1839" t="s">
        <v>196</v>
      </c>
      <c r="AN138" s="1735" t="s">
        <v>850</v>
      </c>
      <c r="AO138" s="1736"/>
    </row>
    <row r="139" spans="1:41" s="1105" customFormat="1" x14ac:dyDescent="0.25">
      <c r="A139" s="1109"/>
      <c r="B139" s="1110"/>
      <c r="C139" s="1109"/>
      <c r="D139" s="1109"/>
      <c r="E139" s="1109"/>
      <c r="F139" s="1111"/>
      <c r="G139" s="1111"/>
      <c r="H139" s="1111"/>
      <c r="I139" s="1112"/>
      <c r="J139" s="1111"/>
      <c r="K139" s="1111"/>
      <c r="L139" s="1111"/>
      <c r="M139" s="1111"/>
      <c r="N139" s="1111"/>
      <c r="O139" s="1111"/>
      <c r="P139" s="1111"/>
      <c r="Q139" s="1111"/>
      <c r="R139" s="1111"/>
      <c r="S139" s="1111"/>
      <c r="T139" s="1111"/>
      <c r="U139" s="1111"/>
      <c r="V139" s="1111"/>
      <c r="W139" s="1111"/>
      <c r="X139" s="1111"/>
      <c r="Y139" s="1111"/>
      <c r="Z139" s="1111"/>
      <c r="AA139" s="1111"/>
      <c r="AB139" s="1111"/>
      <c r="AC139" s="1111"/>
      <c r="AD139" s="1111"/>
      <c r="AE139" s="1111"/>
      <c r="AF139" s="1111"/>
      <c r="AG139" s="1111"/>
      <c r="AH139" s="1111"/>
      <c r="AI139" s="1111"/>
      <c r="AJ139" s="1111"/>
      <c r="AK139" s="1111"/>
      <c r="AL139" s="1111"/>
      <c r="AM139" s="1111"/>
    </row>
    <row r="140" spans="1:41" s="1105" customFormat="1" x14ac:dyDescent="0.25">
      <c r="A140" s="1659" t="s">
        <v>148</v>
      </c>
      <c r="B140" s="1660"/>
      <c r="C140" s="1660"/>
      <c r="D140" s="1660"/>
      <c r="E140" s="1660"/>
      <c r="F140" s="1660"/>
      <c r="G140" s="1660"/>
      <c r="H140" s="1660"/>
      <c r="I140" s="1660"/>
      <c r="J140" s="1660"/>
      <c r="K140" s="1660"/>
      <c r="L140" s="1660"/>
      <c r="M140" s="1660"/>
      <c r="N140" s="1660"/>
      <c r="O140" s="1660"/>
      <c r="P140" s="1660"/>
      <c r="Q140" s="1660"/>
      <c r="R140" s="1660"/>
      <c r="S140" s="1660"/>
      <c r="T140" s="1660"/>
      <c r="U140" s="1660"/>
      <c r="V140" s="1660"/>
      <c r="W140" s="1660"/>
      <c r="X140" s="1660"/>
      <c r="Y140" s="1660"/>
      <c r="Z140" s="1660"/>
      <c r="AA140" s="1660"/>
      <c r="AB140" s="1660"/>
      <c r="AC140" s="1660"/>
      <c r="AD140" s="1660"/>
      <c r="AE140" s="1660"/>
      <c r="AF140" s="1660"/>
      <c r="AG140" s="1660"/>
      <c r="AH140" s="1660"/>
      <c r="AI140" s="1660"/>
      <c r="AJ140" s="1660"/>
      <c r="AK140" s="1660"/>
      <c r="AL140" s="1660"/>
      <c r="AM140" s="1661"/>
    </row>
    <row r="141" spans="1:41" s="1105" customFormat="1" x14ac:dyDescent="0.25">
      <c r="A141" s="1662"/>
      <c r="B141" s="1663"/>
      <c r="C141" s="1663"/>
      <c r="D141" s="1663"/>
      <c r="E141" s="1663"/>
      <c r="F141" s="1663"/>
      <c r="G141" s="1663"/>
      <c r="H141" s="1663"/>
      <c r="I141" s="1663"/>
      <c r="J141" s="1663"/>
      <c r="K141" s="1663"/>
      <c r="L141" s="1663"/>
      <c r="M141" s="1663"/>
      <c r="N141" s="1663"/>
      <c r="O141" s="1663"/>
      <c r="P141" s="1663"/>
      <c r="Q141" s="1663"/>
      <c r="R141" s="1663"/>
      <c r="S141" s="1663"/>
      <c r="T141" s="1663"/>
      <c r="U141" s="1663"/>
      <c r="V141" s="1663"/>
      <c r="W141" s="1663"/>
      <c r="X141" s="1663"/>
      <c r="Y141" s="1663"/>
      <c r="Z141" s="1663"/>
      <c r="AA141" s="1663"/>
      <c r="AB141" s="1663"/>
      <c r="AC141" s="1663"/>
      <c r="AD141" s="1663"/>
      <c r="AE141" s="1663"/>
      <c r="AF141" s="1663"/>
      <c r="AG141" s="1663"/>
      <c r="AH141" s="1663"/>
      <c r="AI141" s="1663"/>
      <c r="AJ141" s="1663"/>
      <c r="AK141" s="1663"/>
      <c r="AL141" s="1663"/>
      <c r="AM141" s="1664"/>
    </row>
    <row r="142" spans="1:41" s="1105" customFormat="1" x14ac:dyDescent="0.25">
      <c r="A142" s="1421"/>
      <c r="B142" s="1422"/>
      <c r="C142" s="1421"/>
      <c r="D142" s="1421"/>
      <c r="E142" s="1421"/>
      <c r="F142" s="1423"/>
      <c r="G142" s="1423"/>
      <c r="H142" s="1423"/>
      <c r="I142" s="1424"/>
      <c r="J142" s="1423"/>
      <c r="K142" s="1423"/>
      <c r="L142" s="1423"/>
      <c r="M142" s="1423"/>
      <c r="N142" s="1423"/>
      <c r="O142" s="1423"/>
      <c r="P142" s="1423"/>
      <c r="Q142" s="1423"/>
      <c r="R142" s="1423"/>
      <c r="S142" s="1423"/>
      <c r="T142" s="1423"/>
      <c r="U142" s="1423"/>
      <c r="V142" s="1423"/>
      <c r="W142" s="1423"/>
      <c r="X142" s="1423"/>
      <c r="Y142" s="1423"/>
      <c r="Z142" s="1423"/>
      <c r="AA142" s="1423"/>
      <c r="AB142" s="1423"/>
      <c r="AC142" s="1423"/>
      <c r="AD142" s="1423"/>
      <c r="AE142" s="1423"/>
      <c r="AF142" s="1423"/>
      <c r="AG142" s="1423"/>
      <c r="AH142" s="1423"/>
      <c r="AI142" s="1423"/>
      <c r="AJ142" s="1423"/>
      <c r="AK142" s="1423"/>
      <c r="AL142" s="1423"/>
      <c r="AM142" s="1423"/>
    </row>
    <row r="143" spans="1:41" s="1105" customFormat="1" ht="23.4" x14ac:dyDescent="0.25">
      <c r="A143" s="1425" t="s">
        <v>149</v>
      </c>
      <c r="B143" s="1426"/>
      <c r="C143" s="1499" t="s">
        <v>461</v>
      </c>
      <c r="D143" s="1499"/>
      <c r="E143" s="1499"/>
      <c r="F143" s="1499"/>
      <c r="G143" s="1499"/>
      <c r="H143" s="1499"/>
      <c r="I143" s="1499"/>
      <c r="J143" s="1499"/>
      <c r="K143" s="1499"/>
      <c r="L143" s="1499"/>
      <c r="M143" s="1499"/>
      <c r="N143" s="1499"/>
      <c r="O143" s="1499"/>
      <c r="P143" s="1499"/>
      <c r="Q143" s="1499"/>
      <c r="R143" s="1499"/>
      <c r="S143" s="1499"/>
      <c r="T143" s="1499"/>
      <c r="U143" s="1499"/>
      <c r="V143" s="1499"/>
      <c r="W143" s="1499"/>
      <c r="X143" s="1499"/>
      <c r="Y143" s="1499"/>
      <c r="Z143" s="1499"/>
      <c r="AA143" s="1499"/>
      <c r="AB143" s="1499"/>
      <c r="AC143" s="1499"/>
      <c r="AD143" s="1499"/>
      <c r="AE143" s="1499"/>
      <c r="AF143" s="1499"/>
      <c r="AG143" s="1499"/>
      <c r="AH143" s="1499"/>
      <c r="AI143" s="1499"/>
      <c r="AJ143" s="1499"/>
      <c r="AK143" s="1499"/>
      <c r="AL143" s="1499"/>
      <c r="AM143" s="1499"/>
    </row>
    <row r="144" spans="1:41" s="1105" customFormat="1" ht="23.4" x14ac:dyDescent="0.25">
      <c r="A144" s="1425" t="s">
        <v>150</v>
      </c>
      <c r="B144" s="1426"/>
      <c r="C144" s="1499" t="s">
        <v>462</v>
      </c>
      <c r="D144" s="1499"/>
      <c r="E144" s="1499"/>
      <c r="F144" s="1499"/>
      <c r="G144" s="1499"/>
      <c r="H144" s="1499"/>
      <c r="I144" s="1499"/>
      <c r="J144" s="1499"/>
      <c r="K144" s="1499"/>
      <c r="L144" s="1499"/>
      <c r="M144" s="1499"/>
      <c r="N144" s="1499"/>
      <c r="O144" s="1499"/>
      <c r="P144" s="1499"/>
      <c r="Q144" s="1499"/>
      <c r="R144" s="1499"/>
      <c r="S144" s="1499"/>
      <c r="T144" s="1499"/>
      <c r="U144" s="1499"/>
      <c r="V144" s="1499"/>
      <c r="W144" s="1499"/>
      <c r="X144" s="1499"/>
      <c r="Y144" s="1499"/>
      <c r="Z144" s="1499"/>
      <c r="AA144" s="1499"/>
      <c r="AB144" s="1499"/>
      <c r="AC144" s="1499"/>
      <c r="AD144" s="1499"/>
      <c r="AE144" s="1499"/>
      <c r="AF144" s="1499"/>
      <c r="AG144" s="1499"/>
      <c r="AH144" s="1499"/>
      <c r="AI144" s="1499"/>
      <c r="AJ144" s="1499"/>
      <c r="AK144" s="1499"/>
      <c r="AL144" s="1499"/>
      <c r="AM144" s="1499"/>
    </row>
    <row r="145" spans="1:39" s="1105" customFormat="1" ht="23.4" x14ac:dyDescent="0.25">
      <c r="A145" s="1425" t="s">
        <v>151</v>
      </c>
      <c r="B145" s="1426"/>
      <c r="C145" s="1500" t="s">
        <v>463</v>
      </c>
      <c r="D145" s="1500"/>
      <c r="E145" s="1500"/>
      <c r="F145" s="1500"/>
      <c r="G145" s="1500"/>
      <c r="H145" s="1500"/>
      <c r="I145" s="1500"/>
      <c r="J145" s="1500"/>
      <c r="K145" s="1500"/>
      <c r="L145" s="1500"/>
      <c r="M145" s="1500"/>
      <c r="N145" s="1500"/>
      <c r="O145" s="1500"/>
      <c r="P145" s="1500"/>
      <c r="Q145" s="1500"/>
      <c r="R145" s="1500"/>
      <c r="S145" s="1500"/>
      <c r="T145" s="1500"/>
      <c r="U145" s="1500"/>
      <c r="V145" s="1500"/>
      <c r="W145" s="1500"/>
      <c r="X145" s="1500"/>
      <c r="Y145" s="1500"/>
      <c r="Z145" s="1500"/>
      <c r="AA145" s="1500"/>
      <c r="AB145" s="1500"/>
      <c r="AC145" s="1500"/>
      <c r="AD145" s="1500"/>
      <c r="AE145" s="1500"/>
      <c r="AF145" s="1500"/>
      <c r="AG145" s="1500"/>
      <c r="AH145" s="1500"/>
      <c r="AI145" s="1500"/>
      <c r="AJ145" s="1500"/>
      <c r="AK145" s="1500"/>
      <c r="AL145" s="1500"/>
      <c r="AM145" s="1500"/>
    </row>
    <row r="146" spans="1:39" s="1105" customFormat="1" x14ac:dyDescent="0.25">
      <c r="A146" s="1429" t="s">
        <v>152</v>
      </c>
      <c r="B146" s="1430"/>
      <c r="C146" s="1431"/>
      <c r="D146" s="1431"/>
      <c r="E146" s="1431"/>
      <c r="F146" s="1431"/>
      <c r="G146" s="1431"/>
      <c r="H146" s="1431"/>
      <c r="I146" s="1431"/>
      <c r="J146" s="1432"/>
      <c r="K146" s="1433" t="s">
        <v>153</v>
      </c>
      <c r="L146" s="1431"/>
      <c r="M146" s="1431"/>
      <c r="N146" s="1431"/>
      <c r="O146" s="1431"/>
      <c r="P146" s="1431"/>
      <c r="Q146" s="1432"/>
      <c r="R146" s="1433" t="s">
        <v>154</v>
      </c>
      <c r="S146" s="1431"/>
      <c r="T146" s="1431"/>
      <c r="U146" s="1431"/>
      <c r="V146" s="1431"/>
      <c r="W146" s="1431"/>
      <c r="X146" s="1431"/>
      <c r="Y146" s="1431"/>
      <c r="Z146" s="1432"/>
      <c r="AA146" s="1433" t="s">
        <v>155</v>
      </c>
      <c r="AB146" s="1431"/>
      <c r="AC146" s="1431"/>
      <c r="AD146" s="1431"/>
      <c r="AE146" s="1431"/>
      <c r="AF146" s="1431"/>
      <c r="AG146" s="1432"/>
      <c r="AH146" s="1433" t="s">
        <v>156</v>
      </c>
      <c r="AI146" s="1431"/>
      <c r="AJ146" s="1431"/>
      <c r="AK146" s="1431"/>
      <c r="AL146" s="1431"/>
      <c r="AM146" s="1432"/>
    </row>
    <row r="147" spans="1:39" s="1105" customFormat="1" x14ac:dyDescent="0.25">
      <c r="A147" s="1434" t="s">
        <v>157</v>
      </c>
      <c r="B147" s="1435" t="s">
        <v>141</v>
      </c>
      <c r="C147" s="1436" t="s">
        <v>158</v>
      </c>
      <c r="D147" s="1436" t="s">
        <v>159</v>
      </c>
      <c r="E147" s="1437" t="s">
        <v>160</v>
      </c>
      <c r="F147" s="1438" t="s">
        <v>60</v>
      </c>
      <c r="G147" s="1439"/>
      <c r="H147" s="1439"/>
      <c r="I147" s="1437" t="s">
        <v>161</v>
      </c>
      <c r="J147" s="1436" t="s">
        <v>162</v>
      </c>
      <c r="K147" s="1440" t="s">
        <v>163</v>
      </c>
      <c r="L147" s="1441" t="s">
        <v>164</v>
      </c>
      <c r="M147" s="1437" t="s">
        <v>165</v>
      </c>
      <c r="N147" s="1437" t="s">
        <v>166</v>
      </c>
      <c r="O147" s="1442" t="s">
        <v>167</v>
      </c>
      <c r="P147" s="1441" t="s">
        <v>164</v>
      </c>
      <c r="Q147" s="1436" t="s">
        <v>168</v>
      </c>
      <c r="R147" s="1443" t="s">
        <v>169</v>
      </c>
      <c r="S147" s="1444" t="s">
        <v>170</v>
      </c>
      <c r="T147" s="1437" t="s">
        <v>171</v>
      </c>
      <c r="U147" s="1444" t="s">
        <v>172</v>
      </c>
      <c r="V147" s="1444"/>
      <c r="W147" s="1444"/>
      <c r="X147" s="1444"/>
      <c r="Y147" s="1444"/>
      <c r="Z147" s="1444"/>
      <c r="AA147" s="1445" t="s">
        <v>173</v>
      </c>
      <c r="AB147" s="1445" t="s">
        <v>174</v>
      </c>
      <c r="AC147" s="1445" t="s">
        <v>164</v>
      </c>
      <c r="AD147" s="1445" t="s">
        <v>175</v>
      </c>
      <c r="AE147" s="1445" t="s">
        <v>164</v>
      </c>
      <c r="AF147" s="1445" t="s">
        <v>176</v>
      </c>
      <c r="AG147" s="1443" t="s">
        <v>177</v>
      </c>
      <c r="AH147" s="1444" t="s">
        <v>156</v>
      </c>
      <c r="AI147" s="1444" t="s">
        <v>142</v>
      </c>
      <c r="AJ147" s="1444" t="s">
        <v>178</v>
      </c>
      <c r="AK147" s="1444" t="s">
        <v>179</v>
      </c>
      <c r="AL147" s="1444" t="s">
        <v>851</v>
      </c>
      <c r="AM147" s="1444" t="s">
        <v>181</v>
      </c>
    </row>
    <row r="148" spans="1:39" s="1105" customFormat="1" ht="70.2" x14ac:dyDescent="0.25">
      <c r="A148" s="1446"/>
      <c r="B148" s="1435"/>
      <c r="C148" s="1444"/>
      <c r="D148" s="1444"/>
      <c r="E148" s="1440"/>
      <c r="F148" s="1447"/>
      <c r="G148" s="1439" t="s">
        <v>201</v>
      </c>
      <c r="H148" s="1439" t="s">
        <v>182</v>
      </c>
      <c r="I148" s="1436"/>
      <c r="J148" s="1444"/>
      <c r="K148" s="1436"/>
      <c r="L148" s="1433"/>
      <c r="M148" s="1436"/>
      <c r="N148" s="1436"/>
      <c r="O148" s="1433"/>
      <c r="P148" s="1433"/>
      <c r="Q148" s="1444"/>
      <c r="R148" s="1448"/>
      <c r="S148" s="1444"/>
      <c r="T148" s="1436"/>
      <c r="U148" s="1449" t="s">
        <v>183</v>
      </c>
      <c r="V148" s="1449" t="s">
        <v>184</v>
      </c>
      <c r="W148" s="1449" t="s">
        <v>185</v>
      </c>
      <c r="X148" s="1449" t="s">
        <v>186</v>
      </c>
      <c r="Y148" s="1449" t="s">
        <v>187</v>
      </c>
      <c r="Z148" s="1449" t="s">
        <v>188</v>
      </c>
      <c r="AA148" s="1445"/>
      <c r="AB148" s="1445"/>
      <c r="AC148" s="1445"/>
      <c r="AD148" s="1445"/>
      <c r="AE148" s="1445"/>
      <c r="AF148" s="1445"/>
      <c r="AG148" s="1448"/>
      <c r="AH148" s="1444"/>
      <c r="AI148" s="1444"/>
      <c r="AJ148" s="1444"/>
      <c r="AK148" s="1444"/>
      <c r="AL148" s="1444"/>
      <c r="AM148" s="1444"/>
    </row>
    <row r="149" spans="1:39" s="1105" customFormat="1" ht="110.4" x14ac:dyDescent="0.25">
      <c r="A149" s="1450">
        <v>1</v>
      </c>
      <c r="B149" s="1501" t="s">
        <v>199</v>
      </c>
      <c r="C149" s="1501" t="s">
        <v>465</v>
      </c>
      <c r="D149" s="1840" t="s">
        <v>466</v>
      </c>
      <c r="E149" s="1841" t="s">
        <v>467</v>
      </c>
      <c r="F149" s="1578" t="s">
        <v>468</v>
      </c>
      <c r="G149" s="1578" t="s">
        <v>202</v>
      </c>
      <c r="H149" s="1578" t="s">
        <v>469</v>
      </c>
      <c r="I149" s="1842" t="s">
        <v>457</v>
      </c>
      <c r="J149" s="1507">
        <v>8760</v>
      </c>
      <c r="K149" s="1508" t="str">
        <f>IF(J149&lt;=0,"",IF(J149&lt;=2,"Muy Baja",IF(J149&lt;=24,"Baja",IF(J149&lt;=500,"Media",IF(J149&lt;=5000,"Alta","Muy Alta")))))</f>
        <v>Muy Alta</v>
      </c>
      <c r="L149" s="1509">
        <f>IF(K149="","",IF(K149="Muy Baja",0.2,IF(K149="Baja",0.4,IF(K149="Media",0.6,IF(K149="Alta",0.8,IF(K149="Muy Alta",1,))))))</f>
        <v>1</v>
      </c>
      <c r="M149" s="1510" t="s">
        <v>200</v>
      </c>
      <c r="N149" s="1509" t="str">
        <f>IF(NOT(ISERROR(MATCH(M149,'[6]Tabla Impacto'!$B$221:$B$223,0))),'[6]Tabla Impacto'!$F$223&amp;"Por favor no seleccionar los criterios de impacto(Afectación Económica o presupuestal y Pérdida Reputacional)",M149)</f>
        <v xml:space="preserve">     El riesgo afecta la imagen de la entidad con algunos usuarios de relevancia frente al logro de los objetivos</v>
      </c>
      <c r="O149" s="1508" t="str">
        <f>IF(OR(N149='[6]Tabla Impacto'!$C$11,N149='[6]Tabla Impacto'!$D$11),"Leve",IF(OR(N149='[6]Tabla Impacto'!$C$12,N149='[6]Tabla Impacto'!$D$12),"Menor",IF(OR(N149='[6]Tabla Impacto'!$C$13,N149='[6]Tabla Impacto'!$D$13),"Moderado",IF(OR(N149='[6]Tabla Impacto'!$C$14,N149='[6]Tabla Impacto'!$D$14),"Mayor",IF(OR(N149='[6]Tabla Impacto'!$C$15,N149='[6]Tabla Impacto'!$D$15),"Catastrófico","")))))</f>
        <v>Moderado</v>
      </c>
      <c r="P149" s="1509">
        <f>IF(O149="","",IF(O149="Leve",0.2,IF(O149="Menor",0.4,IF(O149="Moderado",0.6,IF(O149="Mayor",0.8,IF(O149="Catastrófico",1,))))))</f>
        <v>0.6</v>
      </c>
      <c r="Q149" s="1511" t="str">
        <f>IF(OR(AND(K149="Muy Baja",O149="Leve"),AND(K149="Muy Baja",O149="Menor"),AND(K149="Baja",O149="Leve")),"Bajo",IF(OR(AND(K149="Muy baja",O149="Moderado"),AND(K149="Baja",O149="Menor"),AND(K149="Baja",O149="Moderado"),AND(K149="Media",O149="Leve"),AND(K149="Media",O149="Menor"),AND(K149="Media",O149="Moderado"),AND(K149="Alta",O149="Leve"),AND(K149="Alta",O149="Menor")),"Moderado",IF(OR(AND(K149="Muy Baja",O149="Mayor"),AND(K149="Baja",O149="Mayor"),AND(K149="Media",O149="Mayor"),AND(K149="Alta",O149="Moderado"),AND(K149="Alta",O149="Mayor"),AND(K149="Muy Alta",O149="Leve"),AND(K149="Muy Alta",O149="Menor"),AND(K149="Muy Alta",O149="Moderado"),AND(K149="Muy Alta",O149="Mayor")),"Alto",IF(OR(AND(K149="Muy Baja",O149="Catastrófico"),AND(K149="Baja",O149="Catastrófico"),AND(K149="Media",O149="Catastrófico"),AND(K149="Alta",O149="Catastrófico"),AND(K149="Muy Alta",O149="Catastrófico")),"Extremo",""))))</f>
        <v>Alto</v>
      </c>
      <c r="R149" s="1512">
        <v>1</v>
      </c>
      <c r="S149" s="1513" t="s">
        <v>470</v>
      </c>
      <c r="T149" s="1514" t="str">
        <f t="shared" ref="T149:T151" si="72">IF(OR(U149="Preventivo",U149="Detectivo"),"Probabilidad",IF(U149="Correctivo","Impacto",""))</f>
        <v>Probabilidad</v>
      </c>
      <c r="U149" s="1515" t="s">
        <v>197</v>
      </c>
      <c r="V149" s="1515" t="s">
        <v>191</v>
      </c>
      <c r="W149" s="1516" t="str">
        <f>IF(AND(U149="Preventivo",V149="Automático"),"50%",IF(AND(U149="Preventivo",V149="Manual"),"40%",IF(AND(U149="Detectivo",V149="Automático"),"40%",IF(AND(U149="Detectivo",V149="Manual"),"30%",IF(AND(U149="Correctivo",V149="Automático"),"35%",IF(AND(U149="Correctivo",V149="Manual"),"25%",""))))))</f>
        <v>40%</v>
      </c>
      <c r="X149" s="1515" t="s">
        <v>198</v>
      </c>
      <c r="Y149" s="1515" t="s">
        <v>471</v>
      </c>
      <c r="Z149" s="1515" t="s">
        <v>194</v>
      </c>
      <c r="AA149" s="1517">
        <f>IFERROR(IF(T149="Probabilidad",(L149-(+L149*W149)),IF(T149="Impacto",L149,"")),"")</f>
        <v>0.6</v>
      </c>
      <c r="AB149" s="1518" t="str">
        <f>IFERROR(IF(AA149="","",IF(AA149&lt;=0.2,"Muy Baja",IF(AA149&lt;=0.4,"Baja",IF(AA149&lt;=0.6,"Media",IF(AA149&lt;=0.8,"Alta","Muy Alta"))))),"")</f>
        <v>Media</v>
      </c>
      <c r="AC149" s="1519">
        <f>+AA149</f>
        <v>0.6</v>
      </c>
      <c r="AD149" s="1518" t="str">
        <f>IFERROR(IF(AE149="","",IF(AE149&lt;=0.2,"Leve",IF(AE149&lt;=0.4,"Menor",IF(AE149&lt;=0.6,"Moderado",IF(AE149&lt;=0.8,"Mayor","Catastrófico"))))),"")</f>
        <v>Moderado</v>
      </c>
      <c r="AE149" s="1519">
        <f>IFERROR(IF(T149="Impacto",(P149-(+P149*W149)),IF(T149="Probabilidad",P149,"")),"")</f>
        <v>0.6</v>
      </c>
      <c r="AF149" s="1520" t="str">
        <f>IFERROR(IF(OR(AND(AB149="Muy Baja",AD149="Leve"),AND(AB149="Muy Baja",AD149="Menor"),AND(AB149="Baja",AD149="Leve")),"Bajo",IF(OR(AND(AB149="Muy baja",AD149="Moderado"),AND(AB149="Baja",AD149="Menor"),AND(AB149="Baja",AD149="Moderado"),AND(AB149="Media",AD149="Leve"),AND(AB149="Media",AD149="Menor"),AND(AB149="Media",AD149="Moderado"),AND(AB149="Alta",AD149="Leve"),AND(AB149="Alta",AD149="Menor")),"Moderado",IF(OR(AND(AB149="Muy Baja",AD149="Mayor"),AND(AB149="Baja",AD149="Mayor"),AND(AB149="Media",AD149="Mayor"),AND(AB149="Alta",AD149="Moderado"),AND(AB149="Alta",AD149="Mayor"),AND(AB149="Muy Alta",AD149="Leve"),AND(AB149="Muy Alta",AD149="Menor"),AND(AB149="Muy Alta",AD149="Moderado"),AND(AB149="Muy Alta",AD149="Mayor")),"Alto",IF(OR(AND(AB149="Muy Baja",AD149="Catastrófico"),AND(AB149="Baja",AD149="Catastrófico"),AND(AB149="Media",AD149="Catastrófico"),AND(AB149="Alta",AD149="Catastrófico"),AND(AB149="Muy Alta",AD149="Catastrófico")),"Extremo","")))),"")</f>
        <v>Moderado</v>
      </c>
      <c r="AG149" s="1580" t="s">
        <v>195</v>
      </c>
      <c r="AH149" s="1843">
        <f>+'[27]DOFA '!E170</f>
        <v>0</v>
      </c>
      <c r="AI149" s="1844" t="s">
        <v>472</v>
      </c>
      <c r="AJ149" s="1845" t="s">
        <v>852</v>
      </c>
      <c r="AK149" s="1846">
        <v>45534</v>
      </c>
      <c r="AL149" s="1843" t="s">
        <v>853</v>
      </c>
      <c r="AM149" s="1844" t="s">
        <v>685</v>
      </c>
    </row>
    <row r="150" spans="1:39" s="1105" customFormat="1" ht="96.6" x14ac:dyDescent="0.25">
      <c r="A150" s="1475"/>
      <c r="B150" s="1525"/>
      <c r="C150" s="1525"/>
      <c r="D150" s="1847"/>
      <c r="E150" s="1577" t="s">
        <v>475</v>
      </c>
      <c r="F150" s="1584"/>
      <c r="G150" s="1584"/>
      <c r="H150" s="1584"/>
      <c r="I150" s="1848"/>
      <c r="J150" s="1529"/>
      <c r="K150" s="1530"/>
      <c r="L150" s="1531"/>
      <c r="M150" s="1532"/>
      <c r="N150" s="1531">
        <f>IF(NOT(ISERROR(MATCH(M150,_xlfn.ANCHORARRAY(F157),0))),L159&amp;"Por favor no seleccionar los criterios de impacto",M150)</f>
        <v>0</v>
      </c>
      <c r="O150" s="1530"/>
      <c r="P150" s="1531"/>
      <c r="Q150" s="1533"/>
      <c r="R150" s="1512">
        <v>2</v>
      </c>
      <c r="S150" s="1513" t="s">
        <v>476</v>
      </c>
      <c r="T150" s="1514" t="str">
        <f t="shared" si="72"/>
        <v>Probabilidad</v>
      </c>
      <c r="U150" s="1515" t="s">
        <v>197</v>
      </c>
      <c r="V150" s="1515" t="s">
        <v>191</v>
      </c>
      <c r="W150" s="1516" t="str">
        <f t="shared" ref="W150:W152" si="73">IF(AND(U150="Preventivo",V150="Automático"),"50%",IF(AND(U150="Preventivo",V150="Manual"),"40%",IF(AND(U150="Detectivo",V150="Automático"),"40%",IF(AND(U150="Detectivo",V150="Manual"),"30%",IF(AND(U150="Correctivo",V150="Automático"),"35%",IF(AND(U150="Correctivo",V150="Manual"),"25%",""))))))</f>
        <v>40%</v>
      </c>
      <c r="X150" s="1515" t="s">
        <v>198</v>
      </c>
      <c r="Y150" s="1515" t="s">
        <v>471</v>
      </c>
      <c r="Z150" s="1515" t="s">
        <v>194</v>
      </c>
      <c r="AA150" s="1517">
        <f>IFERROR(IF(AND(T149="Probabilidad",T150="Probabilidad"),(AC149-(+AC149*W150)),IF(AND(T149="Impacto",T150="Probabilidad"),(AC148-(+AC148*W150)),IF(T150="Impacto",AC149,""))),"")</f>
        <v>0.36</v>
      </c>
      <c r="AB150" s="1518" t="str">
        <f t="shared" ref="AB150:AB152" si="74">IFERROR(IF(AA150="","",IF(AA150&lt;=0.2,"Muy Baja",IF(AA150&lt;=0.4,"Baja",IF(AA150&lt;=0.6,"Media",IF(AA150&lt;=0.8,"Alta","Muy Alta"))))),"")</f>
        <v>Baja</v>
      </c>
      <c r="AC150" s="1519">
        <f t="shared" ref="AC150:AC152" si="75">+AA150</f>
        <v>0.36</v>
      </c>
      <c r="AD150" s="1518" t="str">
        <f t="shared" ref="AD150:AD152" si="76">IFERROR(IF(AE150="","",IF(AE150&lt;=0.2,"Leve",IF(AE150&lt;=0.4,"Menor",IF(AE150&lt;=0.6,"Moderado",IF(AE150&lt;=0.8,"Mayor","Catastrófico"))))),"")</f>
        <v>Moderado</v>
      </c>
      <c r="AE150" s="1519">
        <f>IFERROR(IF(AND(T149="Impacto",T150="Impacto"),(AE149-(+AE149*W150)),IF(AND(T149="Probabilidad",T150="Impacto"),(AE148-(+AE148*W150)),IF(T150="Probabilidad",AE149,""))),"")</f>
        <v>0.6</v>
      </c>
      <c r="AF150" s="1520" t="str">
        <f t="shared" ref="AF150:AF152" si="77">IFERROR(IF(OR(AND(AB150="Muy Baja",AD150="Leve"),AND(AB150="Muy Baja",AD150="Menor"),AND(AB150="Baja",AD150="Leve")),"Bajo",IF(OR(AND(AB150="Muy baja",AD150="Moderado"),AND(AB150="Baja",AD150="Menor"),AND(AB150="Baja",AD150="Moderado"),AND(AB150="Media",AD150="Leve"),AND(AB150="Media",AD150="Menor"),AND(AB150="Media",AD150="Moderado"),AND(AB150="Alta",AD150="Leve"),AND(AB150="Alta",AD150="Menor")),"Moderado",IF(OR(AND(AB150="Muy Baja",AD150="Mayor"),AND(AB150="Baja",AD150="Mayor"),AND(AB150="Media",AD150="Mayor"),AND(AB150="Alta",AD150="Moderado"),AND(AB150="Alta",AD150="Mayor"),AND(AB150="Muy Alta",AD150="Leve"),AND(AB150="Muy Alta",AD150="Menor"),AND(AB150="Muy Alta",AD150="Moderado"),AND(AB150="Muy Alta",AD150="Mayor")),"Alto",IF(OR(AND(AB150="Muy Baja",AD150="Catastrófico"),AND(AB150="Baja",AD150="Catastrófico"),AND(AB150="Media",AD150="Catastrófico"),AND(AB150="Alta",AD150="Catastrófico"),AND(AB150="Muy Alta",AD150="Catastrófico")),"Extremo","")))),"")</f>
        <v>Moderado</v>
      </c>
      <c r="AG150" s="1580" t="s">
        <v>195</v>
      </c>
      <c r="AH150" s="1849" t="s">
        <v>477</v>
      </c>
      <c r="AI150" s="1844" t="s">
        <v>472</v>
      </c>
      <c r="AJ150" s="1850" t="s">
        <v>854</v>
      </c>
      <c r="AK150" s="1846">
        <v>45534</v>
      </c>
      <c r="AL150" s="1849" t="s">
        <v>855</v>
      </c>
      <c r="AM150" s="1844" t="s">
        <v>685</v>
      </c>
    </row>
    <row r="151" spans="1:39" s="1105" customFormat="1" ht="96.6" x14ac:dyDescent="0.25">
      <c r="A151" s="1475"/>
      <c r="B151" s="1525"/>
      <c r="C151" s="1525"/>
      <c r="D151" s="1847"/>
      <c r="E151" s="1527" t="s">
        <v>479</v>
      </c>
      <c r="F151" s="1584"/>
      <c r="G151" s="1584"/>
      <c r="H151" s="1584"/>
      <c r="I151" s="1848"/>
      <c r="J151" s="1529"/>
      <c r="K151" s="1530"/>
      <c r="L151" s="1531"/>
      <c r="M151" s="1532"/>
      <c r="N151" s="1531">
        <f>IF(NOT(ISERROR(MATCH(M151,_xlfn.ANCHORARRAY(F158),0))),L160&amp;"Por favor no seleccionar los criterios de impacto",M151)</f>
        <v>0</v>
      </c>
      <c r="O151" s="1530"/>
      <c r="P151" s="1531"/>
      <c r="Q151" s="1533"/>
      <c r="R151" s="1512">
        <v>3</v>
      </c>
      <c r="S151" s="1851" t="s">
        <v>480</v>
      </c>
      <c r="T151" s="1514" t="str">
        <f t="shared" si="72"/>
        <v>Probabilidad</v>
      </c>
      <c r="U151" s="1515" t="s">
        <v>197</v>
      </c>
      <c r="V151" s="1515" t="s">
        <v>191</v>
      </c>
      <c r="W151" s="1516" t="str">
        <f t="shared" si="73"/>
        <v>40%</v>
      </c>
      <c r="X151" s="1515" t="s">
        <v>198</v>
      </c>
      <c r="Y151" s="1515" t="s">
        <v>471</v>
      </c>
      <c r="Z151" s="1515" t="s">
        <v>194</v>
      </c>
      <c r="AA151" s="1517">
        <f t="shared" ref="AA151:AA152" si="78">IFERROR(IF(AND(T150="Probabilidad",T151="Probabilidad"),(AC150-(+AC150*W151)),IF(AND(T150="Impacto",T151="Probabilidad"),(AC149-(+AC149*W151)),IF(T151="Impacto",AC150,""))),"")</f>
        <v>0.216</v>
      </c>
      <c r="AB151" s="1518" t="str">
        <f t="shared" si="74"/>
        <v>Baja</v>
      </c>
      <c r="AC151" s="1519">
        <f t="shared" si="75"/>
        <v>0.216</v>
      </c>
      <c r="AD151" s="1518" t="str">
        <f t="shared" si="76"/>
        <v>Moderado</v>
      </c>
      <c r="AE151" s="1519">
        <f t="shared" ref="AE151:AE152" si="79">IFERROR(IF(AND(T150="Impacto",T151="Impacto"),(AE150-(+AE150*W151)),IF(AND(T150="Probabilidad",T151="Impacto"),(AE149-(+AE149*W151)),IF(T151="Probabilidad",AE150,""))),"")</f>
        <v>0.6</v>
      </c>
      <c r="AF151" s="1520" t="str">
        <f t="shared" si="77"/>
        <v>Moderado</v>
      </c>
      <c r="AG151" s="1580" t="s">
        <v>195</v>
      </c>
      <c r="AH151" s="1555">
        <f>+'[27]DOFA '!E172</f>
        <v>0</v>
      </c>
      <c r="AI151" s="1555" t="s">
        <v>481</v>
      </c>
      <c r="AJ151" s="1850" t="s">
        <v>856</v>
      </c>
      <c r="AK151" s="1846">
        <v>45534</v>
      </c>
      <c r="AL151" s="1849" t="s">
        <v>857</v>
      </c>
      <c r="AM151" s="1844" t="s">
        <v>196</v>
      </c>
    </row>
    <row r="152" spans="1:39" s="1105" customFormat="1" ht="96.6" x14ac:dyDescent="0.25">
      <c r="A152" s="1852"/>
      <c r="B152" s="1853"/>
      <c r="C152" s="1853"/>
      <c r="D152" s="1854"/>
      <c r="E152" s="1527" t="s">
        <v>482</v>
      </c>
      <c r="F152" s="1584"/>
      <c r="G152" s="1855"/>
      <c r="H152" s="1855"/>
      <c r="I152" s="1856"/>
      <c r="J152" s="1537"/>
      <c r="K152" s="1857"/>
      <c r="L152" s="1858"/>
      <c r="M152" s="1859"/>
      <c r="N152" s="1860"/>
      <c r="O152" s="1857"/>
      <c r="P152" s="1860"/>
      <c r="Q152" s="1861"/>
      <c r="R152" s="1512">
        <v>4</v>
      </c>
      <c r="S152" s="1851" t="s">
        <v>483</v>
      </c>
      <c r="T152" s="1514" t="s">
        <v>484</v>
      </c>
      <c r="U152" s="1515" t="s">
        <v>197</v>
      </c>
      <c r="V152" s="1515" t="s">
        <v>191</v>
      </c>
      <c r="W152" s="1516" t="str">
        <f t="shared" si="73"/>
        <v>40%</v>
      </c>
      <c r="X152" s="1515" t="s">
        <v>192</v>
      </c>
      <c r="Y152" s="1515" t="s">
        <v>471</v>
      </c>
      <c r="Z152" s="1515" t="s">
        <v>485</v>
      </c>
      <c r="AA152" s="1517">
        <f t="shared" si="78"/>
        <v>0.12959999999999999</v>
      </c>
      <c r="AB152" s="1518" t="str">
        <f t="shared" si="74"/>
        <v>Muy Baja</v>
      </c>
      <c r="AC152" s="1519">
        <f t="shared" si="75"/>
        <v>0.12959999999999999</v>
      </c>
      <c r="AD152" s="1518" t="str">
        <f t="shared" si="76"/>
        <v>Moderado</v>
      </c>
      <c r="AE152" s="1519">
        <f t="shared" si="79"/>
        <v>0.6</v>
      </c>
      <c r="AF152" s="1520" t="str">
        <f t="shared" si="77"/>
        <v>Moderado</v>
      </c>
      <c r="AG152" s="1580" t="s">
        <v>195</v>
      </c>
      <c r="AH152" s="1555">
        <f>+'[27]DOFA '!E186</f>
        <v>0</v>
      </c>
      <c r="AI152" s="1555" t="s">
        <v>481</v>
      </c>
      <c r="AJ152" s="1850" t="s">
        <v>858</v>
      </c>
      <c r="AK152" s="1846">
        <v>45473</v>
      </c>
      <c r="AL152" s="1849" t="s">
        <v>859</v>
      </c>
      <c r="AM152" s="1844" t="s">
        <v>685</v>
      </c>
    </row>
    <row r="153" spans="1:39" s="1105" customFormat="1" x14ac:dyDescent="0.25">
      <c r="A153" s="1109"/>
      <c r="B153" s="1110"/>
      <c r="C153" s="1109"/>
      <c r="D153" s="1109"/>
      <c r="E153" s="1109"/>
      <c r="F153" s="1111"/>
      <c r="G153" s="1111"/>
      <c r="H153" s="1111"/>
      <c r="I153" s="1112"/>
      <c r="J153" s="1111"/>
      <c r="K153" s="1111"/>
      <c r="L153" s="1111"/>
      <c r="M153" s="1111"/>
      <c r="N153" s="1111"/>
      <c r="O153" s="1111"/>
      <c r="P153" s="1111"/>
      <c r="Q153" s="1111"/>
      <c r="R153" s="1111"/>
      <c r="S153" s="1111"/>
      <c r="T153" s="1111"/>
      <c r="U153" s="1111"/>
      <c r="V153" s="1111"/>
      <c r="W153" s="1111"/>
      <c r="X153" s="1111"/>
      <c r="Y153" s="1111"/>
      <c r="Z153" s="1111"/>
      <c r="AA153" s="1111"/>
      <c r="AB153" s="1111"/>
      <c r="AC153" s="1111"/>
      <c r="AD153" s="1111"/>
      <c r="AE153" s="1111"/>
      <c r="AF153" s="1111"/>
      <c r="AG153" s="1111"/>
      <c r="AH153" s="1111"/>
      <c r="AI153" s="1111"/>
      <c r="AJ153" s="1111"/>
      <c r="AK153" s="1111"/>
      <c r="AL153" s="1111"/>
      <c r="AM153" s="1111"/>
    </row>
    <row r="154" spans="1:39" s="1105" customFormat="1" x14ac:dyDescent="0.25">
      <c r="A154" s="1659" t="s">
        <v>148</v>
      </c>
      <c r="B154" s="1660"/>
      <c r="C154" s="1660"/>
      <c r="D154" s="1660"/>
      <c r="E154" s="1660"/>
      <c r="F154" s="1660"/>
      <c r="G154" s="1660"/>
      <c r="H154" s="1660"/>
      <c r="I154" s="1660"/>
      <c r="J154" s="1660"/>
      <c r="K154" s="1660"/>
      <c r="L154" s="1660"/>
      <c r="M154" s="1660"/>
      <c r="N154" s="1660"/>
      <c r="O154" s="1660"/>
      <c r="P154" s="1660"/>
      <c r="Q154" s="1660"/>
      <c r="R154" s="1660"/>
      <c r="S154" s="1660"/>
      <c r="T154" s="1660"/>
      <c r="U154" s="1660"/>
      <c r="V154" s="1660"/>
      <c r="W154" s="1660"/>
      <c r="X154" s="1660"/>
      <c r="Y154" s="1660"/>
      <c r="Z154" s="1660"/>
      <c r="AA154" s="1660"/>
      <c r="AB154" s="1660"/>
      <c r="AC154" s="1660"/>
      <c r="AD154" s="1660"/>
      <c r="AE154" s="1660"/>
      <c r="AF154" s="1660"/>
      <c r="AG154" s="1660"/>
      <c r="AH154" s="1660"/>
      <c r="AI154" s="1660"/>
      <c r="AJ154" s="1660"/>
      <c r="AK154" s="1660"/>
      <c r="AL154" s="1660"/>
      <c r="AM154" s="1661"/>
    </row>
    <row r="155" spans="1:39" s="1105" customFormat="1" x14ac:dyDescent="0.25">
      <c r="A155" s="1662"/>
      <c r="B155" s="1663"/>
      <c r="C155" s="1663"/>
      <c r="D155" s="1663"/>
      <c r="E155" s="1663"/>
      <c r="F155" s="1663"/>
      <c r="G155" s="1663"/>
      <c r="H155" s="1663"/>
      <c r="I155" s="1663"/>
      <c r="J155" s="1663"/>
      <c r="K155" s="1663"/>
      <c r="L155" s="1663"/>
      <c r="M155" s="1663"/>
      <c r="N155" s="1663"/>
      <c r="O155" s="1663"/>
      <c r="P155" s="1663"/>
      <c r="Q155" s="1663"/>
      <c r="R155" s="1663"/>
      <c r="S155" s="1663"/>
      <c r="T155" s="1663"/>
      <c r="U155" s="1663"/>
      <c r="V155" s="1663"/>
      <c r="W155" s="1663"/>
      <c r="X155" s="1663"/>
      <c r="Y155" s="1663"/>
      <c r="Z155" s="1663"/>
      <c r="AA155" s="1663"/>
      <c r="AB155" s="1663"/>
      <c r="AC155" s="1663"/>
      <c r="AD155" s="1663"/>
      <c r="AE155" s="1663"/>
      <c r="AF155" s="1663"/>
      <c r="AG155" s="1663"/>
      <c r="AH155" s="1663"/>
      <c r="AI155" s="1663"/>
      <c r="AJ155" s="1663"/>
      <c r="AK155" s="1663"/>
      <c r="AL155" s="1663"/>
      <c r="AM155" s="1664"/>
    </row>
    <row r="156" spans="1:39" s="1105" customFormat="1" x14ac:dyDescent="0.25">
      <c r="A156" s="1421"/>
      <c r="B156" s="1422"/>
      <c r="C156" s="1421"/>
      <c r="D156" s="1421"/>
      <c r="E156" s="1421"/>
      <c r="F156" s="1423"/>
      <c r="G156" s="1423"/>
      <c r="H156" s="1423"/>
      <c r="I156" s="1424"/>
      <c r="J156" s="1423"/>
      <c r="K156" s="1423"/>
      <c r="L156" s="1423"/>
      <c r="M156" s="1423"/>
      <c r="N156" s="1423"/>
      <c r="O156" s="1423"/>
      <c r="P156" s="1423"/>
      <c r="Q156" s="1423"/>
      <c r="R156" s="1423"/>
      <c r="S156" s="1423"/>
      <c r="T156" s="1423"/>
      <c r="U156" s="1423"/>
      <c r="V156" s="1423"/>
      <c r="W156" s="1423"/>
      <c r="X156" s="1423"/>
      <c r="Y156" s="1423"/>
      <c r="Z156" s="1423"/>
      <c r="AA156" s="1423"/>
      <c r="AB156" s="1423"/>
      <c r="AC156" s="1423"/>
      <c r="AD156" s="1423"/>
      <c r="AE156" s="1423"/>
      <c r="AF156" s="1423"/>
      <c r="AG156" s="1423"/>
      <c r="AH156" s="1423"/>
      <c r="AI156" s="1862"/>
      <c r="AJ156" s="1862"/>
      <c r="AK156" s="1862"/>
      <c r="AL156" s="1423"/>
      <c r="AM156" s="1423"/>
    </row>
    <row r="157" spans="1:39" s="1105" customFormat="1" ht="23.4" x14ac:dyDescent="0.25">
      <c r="A157" s="1425" t="s">
        <v>149</v>
      </c>
      <c r="B157" s="1426"/>
      <c r="C157" s="1499" t="s">
        <v>860</v>
      </c>
      <c r="D157" s="1499"/>
      <c r="E157" s="1499"/>
      <c r="F157" s="1499"/>
      <c r="G157" s="1499"/>
      <c r="H157" s="1499"/>
      <c r="I157" s="1499"/>
      <c r="J157" s="1499"/>
      <c r="K157" s="1499"/>
      <c r="L157" s="1499"/>
      <c r="M157" s="1499"/>
      <c r="N157" s="1499"/>
      <c r="O157" s="1499"/>
      <c r="P157" s="1499"/>
      <c r="Q157" s="1499"/>
      <c r="R157" s="1499"/>
      <c r="S157" s="1499"/>
      <c r="T157" s="1499"/>
      <c r="U157" s="1499"/>
      <c r="V157" s="1499"/>
      <c r="W157" s="1499"/>
      <c r="X157" s="1499"/>
      <c r="Y157" s="1499"/>
      <c r="Z157" s="1499"/>
      <c r="AA157" s="1499"/>
      <c r="AB157" s="1499"/>
      <c r="AC157" s="1499"/>
      <c r="AD157" s="1499"/>
      <c r="AE157" s="1499"/>
      <c r="AF157" s="1499"/>
      <c r="AG157" s="1499"/>
      <c r="AH157" s="1499"/>
      <c r="AI157" s="1499"/>
      <c r="AJ157" s="1499"/>
      <c r="AK157" s="1499"/>
      <c r="AL157" s="1499"/>
      <c r="AM157" s="1499"/>
    </row>
    <row r="158" spans="1:39" s="1105" customFormat="1" ht="23.4" x14ac:dyDescent="0.25">
      <c r="A158" s="1425" t="s">
        <v>150</v>
      </c>
      <c r="B158" s="1426"/>
      <c r="C158" s="1500" t="s">
        <v>861</v>
      </c>
      <c r="D158" s="1500"/>
      <c r="E158" s="1500"/>
      <c r="F158" s="1500"/>
      <c r="G158" s="1500"/>
      <c r="H158" s="1500"/>
      <c r="I158" s="1500"/>
      <c r="J158" s="1500"/>
      <c r="K158" s="1500"/>
      <c r="L158" s="1500"/>
      <c r="M158" s="1500"/>
      <c r="N158" s="1500"/>
      <c r="O158" s="1500"/>
      <c r="P158" s="1500"/>
      <c r="Q158" s="1500"/>
      <c r="R158" s="1500"/>
      <c r="S158" s="1500"/>
      <c r="T158" s="1500"/>
      <c r="U158" s="1500"/>
      <c r="V158" s="1500"/>
      <c r="W158" s="1500"/>
      <c r="X158" s="1500"/>
      <c r="Y158" s="1500"/>
      <c r="Z158" s="1500"/>
      <c r="AA158" s="1500"/>
      <c r="AB158" s="1500"/>
      <c r="AC158" s="1500"/>
      <c r="AD158" s="1500"/>
      <c r="AE158" s="1500"/>
      <c r="AF158" s="1500"/>
      <c r="AG158" s="1500"/>
      <c r="AH158" s="1500"/>
      <c r="AI158" s="1500"/>
      <c r="AJ158" s="1500"/>
      <c r="AK158" s="1500"/>
      <c r="AL158" s="1500"/>
      <c r="AM158" s="1500"/>
    </row>
    <row r="159" spans="1:39" s="1105" customFormat="1" ht="23.4" x14ac:dyDescent="0.25">
      <c r="A159" s="1425" t="s">
        <v>151</v>
      </c>
      <c r="B159" s="1426"/>
      <c r="C159" s="1500" t="s">
        <v>862</v>
      </c>
      <c r="D159" s="1500"/>
      <c r="E159" s="1500"/>
      <c r="F159" s="1500"/>
      <c r="G159" s="1500"/>
      <c r="H159" s="1500"/>
      <c r="I159" s="1500"/>
      <c r="J159" s="1500"/>
      <c r="K159" s="1500"/>
      <c r="L159" s="1500"/>
      <c r="M159" s="1500"/>
      <c r="N159" s="1500"/>
      <c r="O159" s="1500"/>
      <c r="P159" s="1500"/>
      <c r="Q159" s="1500"/>
      <c r="R159" s="1500"/>
      <c r="S159" s="1500"/>
      <c r="T159" s="1500"/>
      <c r="U159" s="1500"/>
      <c r="V159" s="1500"/>
      <c r="W159" s="1500"/>
      <c r="X159" s="1500"/>
      <c r="Y159" s="1500"/>
      <c r="Z159" s="1500"/>
      <c r="AA159" s="1500"/>
      <c r="AB159" s="1500"/>
      <c r="AC159" s="1500"/>
      <c r="AD159" s="1500"/>
      <c r="AE159" s="1500"/>
      <c r="AF159" s="1500"/>
      <c r="AG159" s="1500"/>
      <c r="AH159" s="1500"/>
      <c r="AI159" s="1500"/>
      <c r="AJ159" s="1500"/>
      <c r="AK159" s="1500"/>
      <c r="AL159" s="1500"/>
      <c r="AM159" s="1500"/>
    </row>
    <row r="160" spans="1:39" s="1105" customFormat="1" x14ac:dyDescent="0.25">
      <c r="A160" s="1429" t="s">
        <v>152</v>
      </c>
      <c r="B160" s="1430"/>
      <c r="C160" s="1431"/>
      <c r="D160" s="1431"/>
      <c r="E160" s="1431"/>
      <c r="F160" s="1431"/>
      <c r="G160" s="1431"/>
      <c r="H160" s="1431"/>
      <c r="I160" s="1431"/>
      <c r="J160" s="1432"/>
      <c r="K160" s="1433" t="s">
        <v>153</v>
      </c>
      <c r="L160" s="1431"/>
      <c r="M160" s="1431"/>
      <c r="N160" s="1431"/>
      <c r="O160" s="1431"/>
      <c r="P160" s="1431"/>
      <c r="Q160" s="1432"/>
      <c r="R160" s="1433" t="s">
        <v>154</v>
      </c>
      <c r="S160" s="1431"/>
      <c r="T160" s="1431"/>
      <c r="U160" s="1431"/>
      <c r="V160" s="1431"/>
      <c r="W160" s="1431"/>
      <c r="X160" s="1431"/>
      <c r="Y160" s="1431"/>
      <c r="Z160" s="1432"/>
      <c r="AA160" s="1433" t="s">
        <v>155</v>
      </c>
      <c r="AB160" s="1431"/>
      <c r="AC160" s="1431"/>
      <c r="AD160" s="1431"/>
      <c r="AE160" s="1431"/>
      <c r="AF160" s="1431"/>
      <c r="AG160" s="1432"/>
      <c r="AH160" s="1433" t="s">
        <v>156</v>
      </c>
      <c r="AI160" s="1431"/>
      <c r="AJ160" s="1431"/>
      <c r="AK160" s="1431"/>
      <c r="AL160" s="1431"/>
      <c r="AM160" s="1432"/>
    </row>
    <row r="161" spans="1:54" s="1105" customFormat="1" x14ac:dyDescent="0.25">
      <c r="A161" s="1434" t="s">
        <v>157</v>
      </c>
      <c r="B161" s="1435" t="s">
        <v>141</v>
      </c>
      <c r="C161" s="1436" t="s">
        <v>158</v>
      </c>
      <c r="D161" s="1436" t="s">
        <v>159</v>
      </c>
      <c r="E161" s="1437" t="s">
        <v>160</v>
      </c>
      <c r="F161" s="1438" t="s">
        <v>60</v>
      </c>
      <c r="G161" s="1439"/>
      <c r="H161" s="1439"/>
      <c r="I161" s="1437" t="s">
        <v>161</v>
      </c>
      <c r="J161" s="1436" t="s">
        <v>162</v>
      </c>
      <c r="K161" s="1440" t="s">
        <v>163</v>
      </c>
      <c r="L161" s="1441" t="s">
        <v>164</v>
      </c>
      <c r="M161" s="1437" t="s">
        <v>165</v>
      </c>
      <c r="N161" s="1437" t="s">
        <v>166</v>
      </c>
      <c r="O161" s="1442" t="s">
        <v>167</v>
      </c>
      <c r="P161" s="1441" t="s">
        <v>164</v>
      </c>
      <c r="Q161" s="1436" t="s">
        <v>168</v>
      </c>
      <c r="R161" s="1443" t="s">
        <v>169</v>
      </c>
      <c r="S161" s="1444" t="s">
        <v>170</v>
      </c>
      <c r="T161" s="1437" t="s">
        <v>171</v>
      </c>
      <c r="U161" s="1444" t="s">
        <v>172</v>
      </c>
      <c r="V161" s="1444"/>
      <c r="W161" s="1444"/>
      <c r="X161" s="1444"/>
      <c r="Y161" s="1444"/>
      <c r="Z161" s="1444"/>
      <c r="AA161" s="1445" t="s">
        <v>173</v>
      </c>
      <c r="AB161" s="1445" t="s">
        <v>174</v>
      </c>
      <c r="AC161" s="1445" t="s">
        <v>164</v>
      </c>
      <c r="AD161" s="1445" t="s">
        <v>175</v>
      </c>
      <c r="AE161" s="1445" t="s">
        <v>164</v>
      </c>
      <c r="AF161" s="1445" t="s">
        <v>176</v>
      </c>
      <c r="AG161" s="1443" t="s">
        <v>177</v>
      </c>
      <c r="AH161" s="1444" t="s">
        <v>156</v>
      </c>
      <c r="AI161" s="1444" t="s">
        <v>142</v>
      </c>
      <c r="AJ161" s="1444" t="s">
        <v>178</v>
      </c>
      <c r="AK161" s="1444" t="s">
        <v>179</v>
      </c>
      <c r="AL161" s="1444" t="s">
        <v>863</v>
      </c>
      <c r="AM161" s="1444" t="s">
        <v>181</v>
      </c>
    </row>
    <row r="162" spans="1:54" s="1105" customFormat="1" ht="70.2" x14ac:dyDescent="0.25">
      <c r="A162" s="1446"/>
      <c r="B162" s="1435"/>
      <c r="C162" s="1444"/>
      <c r="D162" s="1444"/>
      <c r="E162" s="1440"/>
      <c r="F162" s="1447"/>
      <c r="G162" s="1439" t="s">
        <v>201</v>
      </c>
      <c r="H162" s="1439" t="s">
        <v>182</v>
      </c>
      <c r="I162" s="1436"/>
      <c r="J162" s="1444"/>
      <c r="K162" s="1436"/>
      <c r="L162" s="1433"/>
      <c r="M162" s="1436"/>
      <c r="N162" s="1436"/>
      <c r="O162" s="1433"/>
      <c r="P162" s="1433"/>
      <c r="Q162" s="1444"/>
      <c r="R162" s="1448"/>
      <c r="S162" s="1444"/>
      <c r="T162" s="1436"/>
      <c r="U162" s="1449" t="s">
        <v>183</v>
      </c>
      <c r="V162" s="1449" t="s">
        <v>184</v>
      </c>
      <c r="W162" s="1449" t="s">
        <v>185</v>
      </c>
      <c r="X162" s="1449" t="s">
        <v>186</v>
      </c>
      <c r="Y162" s="1449" t="s">
        <v>187</v>
      </c>
      <c r="Z162" s="1449" t="s">
        <v>188</v>
      </c>
      <c r="AA162" s="1445"/>
      <c r="AB162" s="1445"/>
      <c r="AC162" s="1445"/>
      <c r="AD162" s="1445"/>
      <c r="AE162" s="1445"/>
      <c r="AF162" s="1445"/>
      <c r="AG162" s="1448"/>
      <c r="AH162" s="1444"/>
      <c r="AI162" s="1444"/>
      <c r="AJ162" s="1444"/>
      <c r="AK162" s="1444"/>
      <c r="AL162" s="1444"/>
      <c r="AM162" s="1444"/>
    </row>
    <row r="163" spans="1:54" s="1105" customFormat="1" ht="156" x14ac:dyDescent="0.25">
      <c r="A163" s="1450">
        <v>1</v>
      </c>
      <c r="B163" s="1501" t="s">
        <v>199</v>
      </c>
      <c r="C163" s="1501" t="s">
        <v>864</v>
      </c>
      <c r="D163" s="1502" t="s">
        <v>865</v>
      </c>
      <c r="E163" s="1863" t="s">
        <v>866</v>
      </c>
      <c r="F163" s="1504" t="s">
        <v>867</v>
      </c>
      <c r="G163" s="1578" t="s">
        <v>202</v>
      </c>
      <c r="H163" s="1504" t="s">
        <v>868</v>
      </c>
      <c r="I163" s="1506" t="s">
        <v>190</v>
      </c>
      <c r="J163" s="1507">
        <v>365</v>
      </c>
      <c r="K163" s="1508" t="str">
        <f>IF(J163&lt;=0,"",IF(J163&lt;=2,"Muy Baja",IF(J163&lt;=24,"Baja",IF(J163&lt;=500,"Media",IF(J163&lt;=5000,"Alta","Muy Alta")))))</f>
        <v>Media</v>
      </c>
      <c r="L163" s="1509">
        <f>IF(K163="","",IF(K163="Muy Baja",0.2,IF(K163="Baja",0.4,IF(K163="Media",0.6,IF(K163="Alta",0.8,IF(K163="Muy Alta",1,))))))</f>
        <v>0.6</v>
      </c>
      <c r="M163" s="1510" t="s">
        <v>757</v>
      </c>
      <c r="N163" s="1509" t="str">
        <f>IF(NOT(ISERROR(MATCH(M163,'[28]Tabla Impacto'!$B$221:$B$223,0))),'[28]Tabla Impacto'!$F$223&amp;"Por favor no seleccionar los criterios de impacto(Afectación Económica o presupuestal y Pérdida Reputacional)",M163)</f>
        <v xml:space="preserve">     El riesgo afecta la imagen de la entidad a nivel nacional, con efecto publicitarios sostenible a nivel país</v>
      </c>
      <c r="O163" s="1508" t="str">
        <f>IF(OR(N163='[28]Tabla Impacto'!$C$11,N163='[28]Tabla Impacto'!$D$11),"Leve",IF(OR(N163='[28]Tabla Impacto'!$C$12,N163='[28]Tabla Impacto'!$D$12),"Menor",IF(OR(N163='[28]Tabla Impacto'!$C$13,N163='[28]Tabla Impacto'!$D$13),"Moderado",IF(OR(N163='[28]Tabla Impacto'!$C$14,N163='[28]Tabla Impacto'!$D$14),"Mayor",IF(OR(N163='[28]Tabla Impacto'!$C$15,N163='[28]Tabla Impacto'!$D$15),"Catastrófico","")))))</f>
        <v>Catastrófico</v>
      </c>
      <c r="P163" s="1509">
        <f>IF(O163="","",IF(O163="Leve",0.2,IF(O163="Menor",0.4,IF(O163="Moderado",0.6,IF(O163="Mayor",0.8,IF(O163="Catastrófico",1,))))))</f>
        <v>1</v>
      </c>
      <c r="Q163" s="1511" t="str">
        <f>IF(OR(AND(K163="Muy Baja",O163="Leve"),AND(K163="Muy Baja",O163="Menor"),AND(K163="Baja",O163="Leve")),"Bajo",IF(OR(AND(K163="Muy baja",O163="Moderado"),AND(K163="Baja",O163="Menor"),AND(K163="Baja",O163="Moderado"),AND(K163="Media",O163="Leve"),AND(K163="Media",O163="Menor"),AND(K163="Media",O163="Moderado"),AND(K163="Alta",O163="Leve"),AND(K163="Alta",O163="Menor")),"Moderado",IF(OR(AND(K163="Muy Baja",O163="Mayor"),AND(K163="Baja",O163="Mayor"),AND(K163="Media",O163="Mayor"),AND(K163="Alta",O163="Moderado"),AND(K163="Alta",O163="Mayor"),AND(K163="Muy Alta",O163="Leve"),AND(K163="Muy Alta",O163="Menor"),AND(K163="Muy Alta",O163="Moderado"),AND(K163="Muy Alta",O163="Mayor")),"Alto",IF(OR(AND(K163="Muy Baja",O163="Catastrófico"),AND(K163="Baja",O163="Catastrófico"),AND(K163="Media",O163="Catastrófico"),AND(K163="Alta",O163="Catastrófico"),AND(K163="Muy Alta",O163="Catastrófico")),"Extremo",""))))</f>
        <v>Extremo</v>
      </c>
      <c r="R163" s="1512">
        <v>1</v>
      </c>
      <c r="S163" s="1851" t="s">
        <v>869</v>
      </c>
      <c r="T163" s="1514" t="str">
        <f>IF(OR(U163="Preventivo",U163="Detectivo"),"Probabilidad",IF(U163="Correctivo","Impacto",""))</f>
        <v>Probabilidad</v>
      </c>
      <c r="U163" s="1515" t="s">
        <v>197</v>
      </c>
      <c r="V163" s="1515" t="s">
        <v>191</v>
      </c>
      <c r="W163" s="1516" t="str">
        <f>IF(AND(U163="Preventivo",V163="Automático"),"50%",IF(AND(U163="Preventivo",V163="Manual"),"40%",IF(AND(U163="Detectivo",V163="Automático"),"40%",IF(AND(U163="Detectivo",V163="Manual"),"30%",IF(AND(U163="Correctivo",V163="Automático"),"35%",IF(AND(U163="Correctivo",V163="Manual"),"25%",""))))))</f>
        <v>40%</v>
      </c>
      <c r="X163" s="1515" t="s">
        <v>198</v>
      </c>
      <c r="Y163" s="1515" t="s">
        <v>193</v>
      </c>
      <c r="Z163" s="1515" t="s">
        <v>194</v>
      </c>
      <c r="AA163" s="1517">
        <f>IFERROR(IF(T163="Probabilidad",(L163-(+L163*W163)),IF(T163="Impacto",L163,"")),"")</f>
        <v>0.36</v>
      </c>
      <c r="AB163" s="1518" t="str">
        <f>IFERROR(IF(AA163="","",IF(AA163&lt;=0.2,"Muy Baja",IF(AA163&lt;=0.4,"Baja",IF(AA163&lt;=0.6,"Media",IF(AA163&lt;=0.8,"Alta","Muy Alta"))))),"")</f>
        <v>Baja</v>
      </c>
      <c r="AC163" s="1519">
        <f>+AA163</f>
        <v>0.36</v>
      </c>
      <c r="AD163" s="1518" t="str">
        <f>IFERROR(IF(AE163="","",IF(AE163&lt;=0.2,"Leve",IF(AE163&lt;=0.4,"Menor",IF(AE163&lt;=0.6,"Moderado",IF(AE163&lt;=0.8,"Mayor","Catastrófico"))))),"")</f>
        <v>Catastrófico</v>
      </c>
      <c r="AE163" s="1519">
        <f>IFERROR(IF(T163="Impacto",(P163-(+P163*W163)),IF(T163="Probabilidad",P163,"")),"")</f>
        <v>1</v>
      </c>
      <c r="AF163" s="1520" t="str">
        <f>IFERROR(IF(OR(AND(AB163="Muy Baja",AD163="Leve"),AND(AB163="Muy Baja",AD163="Menor"),AND(AB163="Baja",AD163="Leve")),"Bajo",IF(OR(AND(AB163="Muy baja",AD163="Moderado"),AND(AB163="Baja",AD163="Menor"),AND(AB163="Baja",AD163="Moderado"),AND(AB163="Media",AD163="Leve"),AND(AB163="Media",AD163="Menor"),AND(AB163="Media",AD163="Moderado"),AND(AB163="Alta",AD163="Leve"),AND(AB163="Alta",AD163="Menor")),"Moderado",IF(OR(AND(AB163="Muy Baja",AD163="Mayor"),AND(AB163="Baja",AD163="Mayor"),AND(AB163="Media",AD163="Mayor"),AND(AB163="Alta",AD163="Moderado"),AND(AB163="Alta",AD163="Mayor"),AND(AB163="Muy Alta",AD163="Leve"),AND(AB163="Muy Alta",AD163="Menor"),AND(AB163="Muy Alta",AD163="Moderado"),AND(AB163="Muy Alta",AD163="Mayor")),"Alto",IF(OR(AND(AB163="Muy Baja",AD163="Catastrófico"),AND(AB163="Baja",AD163="Catastrófico"),AND(AB163="Media",AD163="Catastrófico"),AND(AB163="Alta",AD163="Catastrófico"),AND(AB163="Muy Alta",AD163="Catastrófico")),"Extremo","")))),"")</f>
        <v>Extremo</v>
      </c>
      <c r="AG163" s="1580" t="s">
        <v>195</v>
      </c>
      <c r="AH163" s="1864" t="s">
        <v>870</v>
      </c>
      <c r="AI163" s="1865" t="s">
        <v>472</v>
      </c>
      <c r="AJ163" s="1845" t="s">
        <v>871</v>
      </c>
      <c r="AK163" s="1845">
        <v>45660</v>
      </c>
      <c r="AL163" s="1865" t="s">
        <v>872</v>
      </c>
      <c r="AM163" s="1844" t="s">
        <v>685</v>
      </c>
    </row>
    <row r="164" spans="1:54" s="1105" customFormat="1" ht="196.8" customHeight="1" x14ac:dyDescent="0.25">
      <c r="A164" s="1475"/>
      <c r="B164" s="1525"/>
      <c r="C164" s="1525"/>
      <c r="D164" s="1526"/>
      <c r="E164" s="1863" t="s">
        <v>873</v>
      </c>
      <c r="F164" s="1504"/>
      <c r="G164" s="1584"/>
      <c r="H164" s="1504"/>
      <c r="I164" s="1528"/>
      <c r="J164" s="1529"/>
      <c r="K164" s="1530"/>
      <c r="L164" s="1531"/>
      <c r="M164" s="1532"/>
      <c r="N164" s="1531">
        <f>IF(NOT(ISERROR(MATCH(M164,_xlfn.ANCHORARRAY(F173),0))),L175&amp;"Por favor no seleccionar los criterios de impacto",M164)</f>
        <v>0</v>
      </c>
      <c r="O164" s="1530"/>
      <c r="P164" s="1531"/>
      <c r="Q164" s="1533"/>
      <c r="R164" s="1512">
        <v>2</v>
      </c>
      <c r="S164" s="1851" t="s">
        <v>874</v>
      </c>
      <c r="T164" s="1514" t="str">
        <f>IF(OR(U164="Preventivo",U164="Detectivo"),"Probabilidad",IF(U164="Correctivo","Impacto",""))</f>
        <v>Impacto</v>
      </c>
      <c r="U164" s="1515" t="s">
        <v>379</v>
      </c>
      <c r="V164" s="1515" t="s">
        <v>191</v>
      </c>
      <c r="W164" s="1516" t="str">
        <f t="shared" ref="W164:W166" si="80">IF(AND(U164="Preventivo",V164="Automático"),"50%",IF(AND(U164="Preventivo",V164="Manual"),"40%",IF(AND(U164="Detectivo",V164="Automático"),"40%",IF(AND(U164="Detectivo",V164="Manual"),"30%",IF(AND(U164="Correctivo",V164="Automático"),"35%",IF(AND(U164="Correctivo",V164="Manual"),"25%",""))))))</f>
        <v>25%</v>
      </c>
      <c r="X164" s="1515" t="s">
        <v>192</v>
      </c>
      <c r="Y164" s="1515" t="s">
        <v>193</v>
      </c>
      <c r="Z164" s="1515" t="s">
        <v>194</v>
      </c>
      <c r="AA164" s="1517">
        <f>IFERROR(IF(AND(T163="Probabilidad",T164="Probabilidad"),(AC163-(+AC163*W164)),IF(AND(T163="Impacto",T164="Probabilidad"),(L163-(+L163*W164)),IF(T164="Impacto",AC163,""))),"")</f>
        <v>0.36</v>
      </c>
      <c r="AB164" s="1518" t="str">
        <f t="shared" ref="AB164:AB166" si="81">IFERROR(IF(AA164="","",IF(AA164&lt;=0.2,"Muy Baja",IF(AA164&lt;=0.4,"Baja",IF(AA164&lt;=0.6,"Media",IF(AA164&lt;=0.8,"Alta","Muy Alta"))))),"")</f>
        <v>Baja</v>
      </c>
      <c r="AC164" s="1519">
        <f>+AA164</f>
        <v>0.36</v>
      </c>
      <c r="AD164" s="1518" t="str">
        <f t="shared" ref="AD164:AD166" si="82">IFERROR(IF(AE164="","",IF(AE164&lt;=0.2,"Leve",IF(AE164&lt;=0.4,"Menor",IF(AE164&lt;=0.6,"Moderado",IF(AE164&lt;=0.8,"Mayor","Catastrófico"))))),"")</f>
        <v>Mayor</v>
      </c>
      <c r="AE164" s="1519">
        <f>IFERROR(IF(AND(T163="Impacto",T164="Impacto"),(AE163-(+AE163*W164)),IF(AND(T163="Probabilidad",T164="Impacto"),(P163-(+P163*W164)),IF(T164="Probabilidad",AE163,""))),"")</f>
        <v>0.75</v>
      </c>
      <c r="AF164" s="1520" t="str">
        <f t="shared" ref="AF164:AF166" si="83">IFERROR(IF(OR(AND(AB164="Muy Baja",AD164="Leve"),AND(AB164="Muy Baja",AD164="Menor"),AND(AB164="Baja",AD164="Leve")),"Bajo",IF(OR(AND(AB164="Muy baja",AD164="Moderado"),AND(AB164="Baja",AD164="Menor"),AND(AB164="Baja",AD164="Moderado"),AND(AB164="Media",AD164="Leve"),AND(AB164="Media",AD164="Menor"),AND(AB164="Media",AD164="Moderado"),AND(AB164="Alta",AD164="Leve"),AND(AB164="Alta",AD164="Menor")),"Moderado",IF(OR(AND(AB164="Muy Baja",AD164="Mayor"),AND(AB164="Baja",AD164="Mayor"),AND(AB164="Media",AD164="Mayor"),AND(AB164="Alta",AD164="Moderado"),AND(AB164="Alta",AD164="Mayor"),AND(AB164="Muy Alta",AD164="Leve"),AND(AB164="Muy Alta",AD164="Menor"),AND(AB164="Muy Alta",AD164="Moderado"),AND(AB164="Muy Alta",AD164="Mayor")),"Alto",IF(OR(AND(AB164="Muy Baja",AD164="Catastrófico"),AND(AB164="Baja",AD164="Catastrófico"),AND(AB164="Media",AD164="Catastrófico"),AND(AB164="Alta",AD164="Catastrófico"),AND(AB164="Muy Alta",AD164="Catastrófico")),"Extremo","")))),"")</f>
        <v>Alto</v>
      </c>
      <c r="AG164" s="1580" t="s">
        <v>195</v>
      </c>
      <c r="AH164" s="1849" t="s">
        <v>875</v>
      </c>
      <c r="AI164" s="1555" t="s">
        <v>472</v>
      </c>
      <c r="AJ164" s="1850" t="s">
        <v>871</v>
      </c>
      <c r="AK164" s="1850">
        <v>45660</v>
      </c>
      <c r="AL164" s="1555" t="s">
        <v>876</v>
      </c>
      <c r="AM164" s="1556" t="s">
        <v>196</v>
      </c>
    </row>
    <row r="165" spans="1:54" s="1105" customFormat="1" ht="138" x14ac:dyDescent="0.25">
      <c r="A165" s="1475"/>
      <c r="B165" s="1525"/>
      <c r="C165" s="1525"/>
      <c r="D165" s="1526"/>
      <c r="E165" s="1527" t="s">
        <v>877</v>
      </c>
      <c r="F165" s="1504"/>
      <c r="G165" s="1584"/>
      <c r="H165" s="1504"/>
      <c r="I165" s="1528"/>
      <c r="J165" s="1529"/>
      <c r="K165" s="1530"/>
      <c r="L165" s="1531"/>
      <c r="M165" s="1532"/>
      <c r="N165" s="1531">
        <f>IF(NOT(ISERROR(MATCH(M165,_xlfn.ANCHORARRAY(F174),0))),L176&amp;"Por favor no seleccionar los criterios de impacto",M165)</f>
        <v>0</v>
      </c>
      <c r="O165" s="1530"/>
      <c r="P165" s="1531"/>
      <c r="Q165" s="1533"/>
      <c r="R165" s="1512">
        <v>3</v>
      </c>
      <c r="S165" s="1866" t="s">
        <v>878</v>
      </c>
      <c r="T165" s="1514" t="str">
        <f t="shared" ref="T165:T166" si="84">IF(OR(U165="Preventivo",U165="Detectivo"),"Probabilidad",IF(U165="Correctivo","Impacto",""))</f>
        <v>Impacto</v>
      </c>
      <c r="U165" s="1515" t="s">
        <v>379</v>
      </c>
      <c r="V165" s="1515" t="s">
        <v>191</v>
      </c>
      <c r="W165" s="1516" t="str">
        <f t="shared" si="80"/>
        <v>25%</v>
      </c>
      <c r="X165" s="1515" t="s">
        <v>192</v>
      </c>
      <c r="Y165" s="1515" t="s">
        <v>193</v>
      </c>
      <c r="Z165" s="1515" t="s">
        <v>194</v>
      </c>
      <c r="AA165" s="1517">
        <f>IFERROR(IF(AND(T164="Probabilidad",T165="Probabilidad"),(AC164-(+AC164*W165)),IF(AND(T164="Impacto",T165="Probabilidad"),(AC163-(+AC163*W165)),IF(T165="Impacto",AC164,""))),"")</f>
        <v>0.36</v>
      </c>
      <c r="AB165" s="1518" t="str">
        <f t="shared" si="81"/>
        <v>Baja</v>
      </c>
      <c r="AC165" s="1519">
        <f t="shared" ref="AC165:AC166" si="85">+AA165</f>
        <v>0.36</v>
      </c>
      <c r="AD165" s="1518" t="str">
        <f t="shared" si="82"/>
        <v>Moderado</v>
      </c>
      <c r="AE165" s="1519">
        <f t="shared" ref="AE165:AE166" si="86">IFERROR(IF(AND(T164="Impacto",T165="Impacto"),(AE164-(+AE164*W165)),IF(AND(T164="Probabilidad",T165="Impacto"),(AE163-(+AE163*W165)),IF(T165="Probabilidad",AE164,""))),"")</f>
        <v>0.5625</v>
      </c>
      <c r="AF165" s="1520" t="str">
        <f t="shared" si="83"/>
        <v>Moderado</v>
      </c>
      <c r="AG165" s="1580" t="s">
        <v>195</v>
      </c>
      <c r="AH165" s="1849" t="s">
        <v>879</v>
      </c>
      <c r="AI165" s="1555" t="s">
        <v>472</v>
      </c>
      <c r="AJ165" s="1850" t="s">
        <v>871</v>
      </c>
      <c r="AK165" s="1850">
        <v>45660</v>
      </c>
      <c r="AL165" s="1555" t="s">
        <v>880</v>
      </c>
      <c r="AM165" s="1556" t="s">
        <v>196</v>
      </c>
    </row>
    <row r="166" spans="1:54" s="1105" customFormat="1" ht="184.2" customHeight="1" x14ac:dyDescent="0.25">
      <c r="A166" s="1475"/>
      <c r="B166" s="1525"/>
      <c r="C166" s="1525"/>
      <c r="D166" s="1526"/>
      <c r="E166" s="1527" t="s">
        <v>881</v>
      </c>
      <c r="F166" s="1504"/>
      <c r="G166" s="1584"/>
      <c r="H166" s="1504"/>
      <c r="I166" s="1528"/>
      <c r="J166" s="1529"/>
      <c r="K166" s="1530"/>
      <c r="L166" s="1531"/>
      <c r="M166" s="1532"/>
      <c r="N166" s="1531">
        <f>IF(NOT(ISERROR(MATCH(M166,_xlfn.ANCHORARRAY(F175),0))),L177&amp;"Por favor no seleccionar los criterios de impacto",M166)</f>
        <v>0</v>
      </c>
      <c r="O166" s="1530"/>
      <c r="P166" s="1531"/>
      <c r="Q166" s="1533"/>
      <c r="R166" s="1512">
        <v>4</v>
      </c>
      <c r="S166" s="1851" t="s">
        <v>882</v>
      </c>
      <c r="T166" s="1514" t="str">
        <f t="shared" si="84"/>
        <v>Probabilidad</v>
      </c>
      <c r="U166" s="1515" t="s">
        <v>243</v>
      </c>
      <c r="V166" s="1515" t="s">
        <v>191</v>
      </c>
      <c r="W166" s="1516" t="str">
        <f t="shared" si="80"/>
        <v>30%</v>
      </c>
      <c r="X166" s="1515" t="s">
        <v>192</v>
      </c>
      <c r="Y166" s="1515" t="s">
        <v>193</v>
      </c>
      <c r="Z166" s="1515" t="s">
        <v>194</v>
      </c>
      <c r="AA166" s="1517">
        <f t="shared" ref="AA166" si="87">IFERROR(IF(AND(T165="Probabilidad",T166="Probabilidad"),(AC165-(+AC165*W166)),IF(AND(T165="Impacto",T166="Probabilidad"),(AC164-(+AC164*W166)),IF(T166="Impacto",AC165,""))),"")</f>
        <v>0.252</v>
      </c>
      <c r="AB166" s="1518" t="str">
        <f t="shared" si="81"/>
        <v>Baja</v>
      </c>
      <c r="AC166" s="1519">
        <f t="shared" si="85"/>
        <v>0.252</v>
      </c>
      <c r="AD166" s="1518" t="str">
        <f t="shared" si="82"/>
        <v>Moderado</v>
      </c>
      <c r="AE166" s="1519">
        <f t="shared" si="86"/>
        <v>0.5625</v>
      </c>
      <c r="AF166" s="1520" t="str">
        <f t="shared" si="83"/>
        <v>Moderado</v>
      </c>
      <c r="AG166" s="1580" t="s">
        <v>507</v>
      </c>
      <c r="AH166" s="1849" t="s">
        <v>883</v>
      </c>
      <c r="AI166" s="1555" t="s">
        <v>472</v>
      </c>
      <c r="AJ166" s="1850" t="s">
        <v>871</v>
      </c>
      <c r="AK166" s="1850">
        <v>45660</v>
      </c>
      <c r="AL166" s="1867" t="s">
        <v>884</v>
      </c>
      <c r="AM166" s="1556" t="s">
        <v>685</v>
      </c>
    </row>
    <row r="167" spans="1:54" s="1105" customFormat="1" x14ac:dyDescent="0.25">
      <c r="A167" s="1109"/>
      <c r="B167" s="1110"/>
      <c r="C167" s="1109"/>
      <c r="D167" s="1109"/>
      <c r="E167" s="1109"/>
      <c r="F167" s="1111"/>
      <c r="G167" s="1111"/>
      <c r="H167" s="1111"/>
      <c r="I167" s="1112"/>
      <c r="J167" s="1111"/>
      <c r="K167" s="1111"/>
      <c r="L167" s="1111"/>
      <c r="M167" s="1111"/>
      <c r="N167" s="1111"/>
      <c r="O167" s="1111"/>
      <c r="P167" s="1111"/>
      <c r="Q167" s="1111"/>
      <c r="R167" s="1111"/>
      <c r="S167" s="1111"/>
      <c r="T167" s="1111"/>
      <c r="U167" s="1111"/>
      <c r="V167" s="1111"/>
      <c r="W167" s="1111"/>
      <c r="X167" s="1111"/>
      <c r="Y167" s="1111"/>
      <c r="Z167" s="1111"/>
      <c r="AA167" s="1111"/>
      <c r="AB167" s="1111"/>
      <c r="AC167" s="1111"/>
      <c r="AD167" s="1111"/>
      <c r="AE167" s="1111"/>
      <c r="AF167" s="1111"/>
      <c r="AG167" s="1111"/>
      <c r="AH167" s="1111"/>
      <c r="AI167" s="1111"/>
      <c r="AJ167" s="1111"/>
      <c r="AK167" s="1111"/>
      <c r="AL167" s="1111"/>
      <c r="AM167" s="1111"/>
    </row>
    <row r="168" spans="1:54" s="1105" customFormat="1" ht="28.2" x14ac:dyDescent="0.25">
      <c r="A168" s="1659" t="s">
        <v>148</v>
      </c>
      <c r="B168" s="1660"/>
      <c r="C168" s="1660"/>
      <c r="D168" s="1660"/>
      <c r="E168" s="1660"/>
      <c r="F168" s="1660"/>
      <c r="G168" s="1660"/>
      <c r="H168" s="1660"/>
      <c r="I168" s="1660"/>
      <c r="J168" s="1660"/>
      <c r="K168" s="1660"/>
      <c r="L168" s="1660"/>
      <c r="M168" s="1660"/>
      <c r="N168" s="1660"/>
      <c r="O168" s="1660"/>
      <c r="P168" s="1660"/>
      <c r="Q168" s="1660"/>
      <c r="R168" s="1660"/>
      <c r="S168" s="1660"/>
      <c r="T168" s="1660"/>
      <c r="U168" s="1660"/>
      <c r="V168" s="1660"/>
      <c r="W168" s="1660"/>
      <c r="X168" s="1660"/>
      <c r="Y168" s="1660"/>
      <c r="Z168" s="1660"/>
      <c r="AA168" s="1660"/>
      <c r="AB168" s="1660"/>
      <c r="AC168" s="1660"/>
      <c r="AD168" s="1660"/>
      <c r="AE168" s="1660"/>
      <c r="AF168" s="1660"/>
      <c r="AG168" s="1660"/>
      <c r="AH168" s="1660"/>
      <c r="AI168" s="1660"/>
      <c r="AJ168" s="1660"/>
      <c r="AK168" s="1660"/>
      <c r="AL168" s="1660"/>
      <c r="AM168" s="1661"/>
      <c r="AN168" s="1868"/>
      <c r="AO168" s="1423"/>
      <c r="AP168" s="1423"/>
      <c r="AQ168" s="1423"/>
      <c r="AR168" s="1869"/>
      <c r="AS168" s="1423"/>
      <c r="AT168" s="1423"/>
      <c r="AU168" s="1423"/>
      <c r="AV168" s="1423"/>
      <c r="AW168" s="1423"/>
      <c r="AX168" s="1423"/>
      <c r="AY168" s="1423"/>
      <c r="AZ168" s="1423"/>
      <c r="BA168" s="1423"/>
      <c r="BB168" s="1423"/>
    </row>
    <row r="169" spans="1:54" s="1105" customFormat="1" ht="28.2" x14ac:dyDescent="0.25">
      <c r="A169" s="1662"/>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AM169" s="1664"/>
      <c r="AN169" s="1868"/>
      <c r="AO169" s="1870"/>
      <c r="AP169" s="1423"/>
      <c r="AQ169" s="1423"/>
      <c r="AR169" s="1869"/>
      <c r="AS169" s="1423"/>
      <c r="AT169" s="1423"/>
      <c r="AU169" s="1423"/>
      <c r="AV169" s="1423"/>
      <c r="AW169" s="1423"/>
      <c r="AX169" s="1423"/>
      <c r="AY169" s="1423"/>
      <c r="AZ169" s="1423"/>
      <c r="BA169" s="1423"/>
      <c r="BB169" s="1423"/>
    </row>
    <row r="170" spans="1:54" s="1105" customFormat="1" x14ac:dyDescent="0.25">
      <c r="A170" s="1421"/>
      <c r="B170" s="1422"/>
      <c r="C170" s="1421"/>
      <c r="D170" s="1421"/>
      <c r="E170" s="1421"/>
      <c r="F170" s="1423"/>
      <c r="G170" s="1423"/>
      <c r="H170" s="1423"/>
      <c r="I170" s="1424"/>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871"/>
      <c r="AP170" s="1423"/>
      <c r="AQ170" s="1423"/>
      <c r="AR170" s="1869"/>
      <c r="AS170" s="1423"/>
      <c r="AT170" s="1423"/>
      <c r="AU170" s="1423"/>
      <c r="AV170" s="1423"/>
      <c r="AW170" s="1423"/>
      <c r="AX170" s="1423"/>
      <c r="AY170" s="1423"/>
      <c r="AZ170" s="1423"/>
      <c r="BA170" s="1423"/>
      <c r="BB170" s="1423"/>
    </row>
    <row r="171" spans="1:54" s="1105" customFormat="1" ht="23.4" x14ac:dyDescent="0.25">
      <c r="A171" s="1425" t="s">
        <v>149</v>
      </c>
      <c r="B171" s="1426"/>
      <c r="C171" s="1499" t="s">
        <v>885</v>
      </c>
      <c r="D171" s="1499"/>
      <c r="E171" s="1499"/>
      <c r="F171" s="1499"/>
      <c r="G171" s="1499"/>
      <c r="H171" s="1499"/>
      <c r="I171" s="1499"/>
      <c r="J171" s="1499"/>
      <c r="K171" s="1499"/>
      <c r="L171" s="1499"/>
      <c r="M171" s="1499"/>
      <c r="N171" s="1499"/>
      <c r="O171" s="1499"/>
      <c r="P171" s="1499"/>
      <c r="Q171" s="1499"/>
      <c r="R171" s="1499"/>
      <c r="S171" s="1499"/>
      <c r="T171" s="1499"/>
      <c r="U171" s="1499"/>
      <c r="V171" s="1499"/>
      <c r="W171" s="1499"/>
      <c r="X171" s="1499"/>
      <c r="Y171" s="1499"/>
      <c r="Z171" s="1499"/>
      <c r="AA171" s="1499"/>
      <c r="AB171" s="1499"/>
      <c r="AC171" s="1499"/>
      <c r="AD171" s="1499"/>
      <c r="AE171" s="1499"/>
      <c r="AF171" s="1499"/>
      <c r="AG171" s="1499"/>
      <c r="AH171" s="1499"/>
      <c r="AI171" s="1499"/>
      <c r="AJ171" s="1499"/>
      <c r="AK171" s="1499"/>
      <c r="AL171" s="1499"/>
      <c r="AM171" s="1499"/>
      <c r="AN171" s="1872"/>
      <c r="AO171" s="1423"/>
      <c r="AP171" s="1423"/>
      <c r="AQ171" s="1423"/>
      <c r="AR171" s="1869"/>
      <c r="AS171" s="1423"/>
      <c r="AT171" s="1423"/>
      <c r="AU171" s="1423"/>
      <c r="AV171" s="1423"/>
      <c r="AW171" s="1423"/>
      <c r="AX171" s="1423"/>
      <c r="AY171" s="1423"/>
      <c r="AZ171" s="1423"/>
      <c r="BA171" s="1423"/>
      <c r="BB171" s="1423"/>
    </row>
    <row r="172" spans="1:54" s="1105" customFormat="1" ht="23.4" x14ac:dyDescent="0.25">
      <c r="A172" s="1425" t="s">
        <v>150</v>
      </c>
      <c r="B172" s="1426"/>
      <c r="C172" s="1500" t="s">
        <v>886</v>
      </c>
      <c r="D172" s="1500"/>
      <c r="E172" s="1500"/>
      <c r="F172" s="1500"/>
      <c r="G172" s="1500"/>
      <c r="H172" s="1500"/>
      <c r="I172" s="1500"/>
      <c r="J172" s="1500"/>
      <c r="K172" s="1500"/>
      <c r="L172" s="1500"/>
      <c r="M172" s="1500"/>
      <c r="N172" s="1500"/>
      <c r="O172" s="1500"/>
      <c r="P172" s="1500"/>
      <c r="Q172" s="1500"/>
      <c r="R172" s="1500"/>
      <c r="S172" s="1500"/>
      <c r="T172" s="1500"/>
      <c r="U172" s="1500"/>
      <c r="V172" s="1500"/>
      <c r="W172" s="1500"/>
      <c r="X172" s="1500"/>
      <c r="Y172" s="1500"/>
      <c r="Z172" s="1500"/>
      <c r="AA172" s="1500"/>
      <c r="AB172" s="1500"/>
      <c r="AC172" s="1500"/>
      <c r="AD172" s="1500"/>
      <c r="AE172" s="1500"/>
      <c r="AF172" s="1500"/>
      <c r="AG172" s="1500"/>
      <c r="AH172" s="1500"/>
      <c r="AI172" s="1500"/>
      <c r="AJ172" s="1500"/>
      <c r="AK172" s="1500"/>
      <c r="AL172" s="1500"/>
      <c r="AM172" s="1500"/>
      <c r="AN172" s="1873"/>
      <c r="AO172" s="1874"/>
      <c r="AP172" s="1423"/>
      <c r="AQ172" s="1423"/>
      <c r="AR172" s="1423"/>
      <c r="AS172" s="1423"/>
      <c r="AT172" s="1423"/>
      <c r="AU172" s="1423"/>
      <c r="AV172" s="1423"/>
      <c r="AW172" s="1423"/>
      <c r="AX172" s="1423"/>
      <c r="AY172" s="1423"/>
      <c r="AZ172" s="1423"/>
      <c r="BA172" s="1423"/>
      <c r="BB172" s="1423"/>
    </row>
    <row r="173" spans="1:54" s="1105" customFormat="1" ht="23.4" x14ac:dyDescent="0.25">
      <c r="A173" s="1425" t="s">
        <v>151</v>
      </c>
      <c r="B173" s="1426"/>
      <c r="C173" s="1500" t="s">
        <v>887</v>
      </c>
      <c r="D173" s="1500"/>
      <c r="E173" s="1500"/>
      <c r="F173" s="1500"/>
      <c r="G173" s="1500"/>
      <c r="H173" s="1500"/>
      <c r="I173" s="1500"/>
      <c r="J173" s="1500"/>
      <c r="K173" s="1500"/>
      <c r="L173" s="1500"/>
      <c r="M173" s="1500"/>
      <c r="N173" s="1500"/>
      <c r="O173" s="1500"/>
      <c r="P173" s="1500"/>
      <c r="Q173" s="1500"/>
      <c r="R173" s="1500"/>
      <c r="S173" s="1500"/>
      <c r="T173" s="1500"/>
      <c r="U173" s="1500"/>
      <c r="V173" s="1500"/>
      <c r="W173" s="1500"/>
      <c r="X173" s="1500"/>
      <c r="Y173" s="1500"/>
      <c r="Z173" s="1500"/>
      <c r="AA173" s="1500"/>
      <c r="AB173" s="1500"/>
      <c r="AC173" s="1500"/>
      <c r="AD173" s="1500"/>
      <c r="AE173" s="1500"/>
      <c r="AF173" s="1500"/>
      <c r="AG173" s="1500"/>
      <c r="AH173" s="1875"/>
      <c r="AI173" s="1875"/>
      <c r="AJ173" s="1875"/>
      <c r="AK173" s="1875"/>
      <c r="AL173" s="1875"/>
      <c r="AM173" s="1875"/>
      <c r="AN173" s="1873"/>
      <c r="AO173" s="1874"/>
      <c r="AP173" s="1423"/>
      <c r="AQ173" s="1423"/>
    </row>
    <row r="174" spans="1:54" s="1105" customFormat="1" x14ac:dyDescent="0.25">
      <c r="A174" s="1429" t="s">
        <v>152</v>
      </c>
      <c r="B174" s="1430"/>
      <c r="C174" s="1431"/>
      <c r="D174" s="1431"/>
      <c r="E174" s="1431"/>
      <c r="F174" s="1431"/>
      <c r="G174" s="1431"/>
      <c r="H174" s="1431"/>
      <c r="I174" s="1431"/>
      <c r="J174" s="1432"/>
      <c r="K174" s="1433" t="s">
        <v>153</v>
      </c>
      <c r="L174" s="1431"/>
      <c r="M174" s="1431"/>
      <c r="N174" s="1431"/>
      <c r="O174" s="1431"/>
      <c r="P174" s="1431"/>
      <c r="Q174" s="1432"/>
      <c r="R174" s="1433" t="s">
        <v>154</v>
      </c>
      <c r="S174" s="1431"/>
      <c r="T174" s="1431"/>
      <c r="U174" s="1431"/>
      <c r="V174" s="1431"/>
      <c r="W174" s="1431"/>
      <c r="X174" s="1431"/>
      <c r="Y174" s="1431"/>
      <c r="Z174" s="1432"/>
      <c r="AA174" s="1433" t="s">
        <v>155</v>
      </c>
      <c r="AB174" s="1431"/>
      <c r="AC174" s="1431"/>
      <c r="AD174" s="1431"/>
      <c r="AE174" s="1431"/>
      <c r="AF174" s="1431"/>
      <c r="AG174" s="1431"/>
      <c r="AH174" s="1876" t="s">
        <v>156</v>
      </c>
      <c r="AI174" s="1877"/>
      <c r="AJ174" s="1877"/>
      <c r="AK174" s="1877"/>
      <c r="AL174" s="1877"/>
      <c r="AM174" s="1877"/>
      <c r="AN174" s="1877"/>
      <c r="AO174" s="1877"/>
      <c r="AP174" s="1877"/>
      <c r="AQ174" s="1878"/>
    </row>
    <row r="175" spans="1:54" s="1105" customFormat="1" ht="13.8" customHeight="1" x14ac:dyDescent="0.25">
      <c r="A175" s="1434" t="s">
        <v>157</v>
      </c>
      <c r="B175" s="1435" t="s">
        <v>141</v>
      </c>
      <c r="C175" s="1436" t="s">
        <v>158</v>
      </c>
      <c r="D175" s="1436" t="s">
        <v>159</v>
      </c>
      <c r="E175" s="1437" t="s">
        <v>160</v>
      </c>
      <c r="F175" s="1438" t="s">
        <v>60</v>
      </c>
      <c r="G175" s="1439"/>
      <c r="H175" s="1439"/>
      <c r="I175" s="1437" t="s">
        <v>161</v>
      </c>
      <c r="J175" s="1436" t="s">
        <v>162</v>
      </c>
      <c r="K175" s="1440" t="s">
        <v>163</v>
      </c>
      <c r="L175" s="1441" t="s">
        <v>164</v>
      </c>
      <c r="M175" s="1437" t="s">
        <v>165</v>
      </c>
      <c r="N175" s="1437" t="s">
        <v>166</v>
      </c>
      <c r="O175" s="1442" t="s">
        <v>167</v>
      </c>
      <c r="P175" s="1441" t="s">
        <v>164</v>
      </c>
      <c r="Q175" s="1436" t="s">
        <v>168</v>
      </c>
      <c r="R175" s="1443" t="s">
        <v>169</v>
      </c>
      <c r="S175" s="1444" t="s">
        <v>170</v>
      </c>
      <c r="T175" s="1437" t="s">
        <v>171</v>
      </c>
      <c r="U175" s="1444" t="s">
        <v>172</v>
      </c>
      <c r="V175" s="1444"/>
      <c r="W175" s="1444"/>
      <c r="X175" s="1444"/>
      <c r="Y175" s="1444"/>
      <c r="Z175" s="1444"/>
      <c r="AA175" s="1445" t="s">
        <v>173</v>
      </c>
      <c r="AB175" s="1445" t="s">
        <v>174</v>
      </c>
      <c r="AC175" s="1445" t="s">
        <v>164</v>
      </c>
      <c r="AD175" s="1445" t="s">
        <v>175</v>
      </c>
      <c r="AE175" s="1445" t="s">
        <v>164</v>
      </c>
      <c r="AF175" s="1445" t="s">
        <v>176</v>
      </c>
      <c r="AG175" s="1879" t="s">
        <v>177</v>
      </c>
      <c r="AH175" s="1880" t="s">
        <v>156</v>
      </c>
      <c r="AI175" s="1880" t="s">
        <v>142</v>
      </c>
      <c r="AJ175" s="1880" t="s">
        <v>178</v>
      </c>
      <c r="AK175" s="1881" t="s">
        <v>179</v>
      </c>
      <c r="AL175" s="1881" t="s">
        <v>888</v>
      </c>
      <c r="AM175" s="1881" t="s">
        <v>181</v>
      </c>
      <c r="AN175" s="1881" t="s">
        <v>181</v>
      </c>
      <c r="AO175" s="1880" t="s">
        <v>179</v>
      </c>
      <c r="AP175" s="1880" t="s">
        <v>889</v>
      </c>
      <c r="AQ175" s="1880" t="s">
        <v>181</v>
      </c>
    </row>
    <row r="176" spans="1:54" s="1105" customFormat="1" ht="70.2" x14ac:dyDescent="0.25">
      <c r="A176" s="1446"/>
      <c r="B176" s="1447"/>
      <c r="C176" s="1437"/>
      <c r="D176" s="1437"/>
      <c r="E176" s="1440"/>
      <c r="F176" s="1447"/>
      <c r="G176" s="1439" t="s">
        <v>201</v>
      </c>
      <c r="H176" s="1439" t="s">
        <v>182</v>
      </c>
      <c r="I176" s="1440"/>
      <c r="J176" s="1437"/>
      <c r="K176" s="1440"/>
      <c r="L176" s="1441"/>
      <c r="M176" s="1440"/>
      <c r="N176" s="1436"/>
      <c r="O176" s="1433"/>
      <c r="P176" s="1441"/>
      <c r="Q176" s="1437"/>
      <c r="R176" s="1448"/>
      <c r="S176" s="1444"/>
      <c r="T176" s="1436"/>
      <c r="U176" s="1449" t="s">
        <v>183</v>
      </c>
      <c r="V176" s="1449" t="s">
        <v>184</v>
      </c>
      <c r="W176" s="1449" t="s">
        <v>185</v>
      </c>
      <c r="X176" s="1449" t="s">
        <v>186</v>
      </c>
      <c r="Y176" s="1449" t="s">
        <v>187</v>
      </c>
      <c r="Z176" s="1449" t="s">
        <v>188</v>
      </c>
      <c r="AA176" s="1445"/>
      <c r="AB176" s="1445"/>
      <c r="AC176" s="1445"/>
      <c r="AD176" s="1445"/>
      <c r="AE176" s="1445"/>
      <c r="AF176" s="1445"/>
      <c r="AG176" s="1882"/>
      <c r="AH176" s="1880"/>
      <c r="AI176" s="1880"/>
      <c r="AJ176" s="1880"/>
      <c r="AK176" s="1881"/>
      <c r="AL176" s="1881"/>
      <c r="AM176" s="1881"/>
      <c r="AN176" s="1881"/>
      <c r="AO176" s="1880"/>
      <c r="AP176" s="1880"/>
      <c r="AQ176" s="1880"/>
    </row>
    <row r="177" spans="1:43" s="1105" customFormat="1" ht="207" x14ac:dyDescent="0.25">
      <c r="A177" s="1883">
        <v>1</v>
      </c>
      <c r="B177" s="1884" t="s">
        <v>199</v>
      </c>
      <c r="C177" s="1885" t="s">
        <v>890</v>
      </c>
      <c r="D177" s="1885" t="s">
        <v>891</v>
      </c>
      <c r="E177" s="1886" t="s">
        <v>892</v>
      </c>
      <c r="F177" s="1887" t="s">
        <v>893</v>
      </c>
      <c r="G177" s="1887" t="s">
        <v>202</v>
      </c>
      <c r="H177" s="1887" t="s">
        <v>894</v>
      </c>
      <c r="I177" s="1884" t="s">
        <v>190</v>
      </c>
      <c r="J177" s="1888">
        <v>240</v>
      </c>
      <c r="K177" s="1889" t="str">
        <f>IF(J177&lt;=0,"",IF(J177&lt;=2,"Muy Baja",IF(J177&lt;=24,"Baja",IF(J177&lt;=500,"Media",IF(J177&lt;=5000,"Alta","Muy Alta")))))</f>
        <v>Media</v>
      </c>
      <c r="L177" s="1890">
        <f>IF(K177="","",IF(K177="Muy Baja",0.2,IF(K177="Baja",0.4,IF(K177="Media",0.6,IF(K177="Alta",0.8,IF(K177="Muy Alta",1,))))))</f>
        <v>0.6</v>
      </c>
      <c r="M177" s="1891" t="s">
        <v>214</v>
      </c>
      <c r="N177" s="1891" t="str">
        <f>IF(NOT(ISERROR(MATCH(M177,'[29]Tabla Impacto'!$B$221:$B$223,0))),'[29]Tabla Impacto'!$F$223&amp;"Por favor no seleccionar los criterios de impacto(Afectación Económica o presupuestal y Pérdida Reputacional)",M177)</f>
        <v xml:space="preserve">     El riesgo afecta la imagen de de la entidad con efecto publicitario sostenido a nivel de sector administrativo, nivel departamental o municipal</v>
      </c>
      <c r="O177" s="1892" t="str">
        <f>IF(OR(N177='[29]Tabla Impacto'!$C$11,N177='[29]Tabla Impacto'!$D$11),"Leve",IF(OR(N177='[29]Tabla Impacto'!$C$12,N177='[29]Tabla Impacto'!$D$12),"Menor",IF(OR(N177='[29]Tabla Impacto'!$C$13,N177='[29]Tabla Impacto'!$D$13),"Moderado",IF(OR(N177='[29]Tabla Impacto'!$C$14,N177='[29]Tabla Impacto'!$D$14),"Mayor",IF(OR(N177='[29]Tabla Impacto'!$C$15,N177='[29]Tabla Impacto'!$D$15),"Catastrófico","")))))</f>
        <v>Mayor</v>
      </c>
      <c r="P177" s="1890">
        <f>IF(O177="","",IF(O177="Leve",0.2,IF(O177="Menor",0.4,IF(O177="Moderado",0.6,IF(O177="Mayor",0.8,IF(O177="Catastrófico",1,))))))</f>
        <v>0.8</v>
      </c>
      <c r="Q177" s="1893" t="str">
        <f>IF(OR(AND(K177="Muy Baja",O177="Leve"),AND(K177="Muy Baja",O177="Menor"),AND(K177="Baja",O177="Leve")),"Bajo",IF(OR(AND(K177="Muy baja",O177="Moderado"),AND(K177="Baja",O177="Menor"),AND(K177="Baja",O177="Moderado"),AND(K177="Media",O177="Leve"),AND(K177="Media",O177="Menor"),AND(K177="Media",O177="Moderado"),AND(K177="Alta",O177="Leve"),AND(K177="Alta",O177="Menor")),"Moderado",IF(OR(AND(K177="Muy Baja",O177="Mayor"),AND(K177="Baja",O177="Mayor"),AND(K177="Media",O177="Mayor"),AND(K177="Alta",O177="Moderado"),AND(K177="Alta",O177="Mayor"),AND(K177="Muy Alta",O177="Leve"),AND(K177="Muy Alta",O177="Menor"),AND(K177="Muy Alta",O177="Moderado"),AND(K177="Muy Alta",O177="Mayor")),"Alto",IF(OR(AND(K177="Muy Baja",O177="Catastrófico"),AND(K177="Baja",O177="Catastrófico"),AND(K177="Media",O177="Catastrófico"),AND(K177="Alta",O177="Catastrófico"),AND(K177="Muy Alta",O177="Catastrófico")),"Extremo",""))))</f>
        <v>Alto</v>
      </c>
      <c r="R177" s="1894">
        <v>1</v>
      </c>
      <c r="S177" s="1314" t="s">
        <v>895</v>
      </c>
      <c r="T177" s="1464" t="str">
        <f>IF(OR(U177="Preventivo",U177="Detectivo"),"Probabilidad",IF(U177="Correctivo","Impacto",""))</f>
        <v>Probabilidad</v>
      </c>
      <c r="U177" s="1465" t="s">
        <v>197</v>
      </c>
      <c r="V177" s="1465" t="s">
        <v>191</v>
      </c>
      <c r="W177" s="1466" t="str">
        <f>IF(AND(U177="Preventivo",V177="Automático"),"50%",IF(AND(U177="Preventivo",V177="Manual"),"40%",IF(AND(U177="Detectivo",V177="Automático"),"40%",IF(AND(U177="Detectivo",V177="Manual"),"30%",IF(AND(U177="Correctivo",V177="Automático"),"35%",IF(AND(U177="Correctivo",V177="Manual"),"25%",""))))))</f>
        <v>40%</v>
      </c>
      <c r="X177" s="1465" t="s">
        <v>198</v>
      </c>
      <c r="Y177" s="1465" t="s">
        <v>193</v>
      </c>
      <c r="Z177" s="1465" t="s">
        <v>194</v>
      </c>
      <c r="AA177" s="1467">
        <f>IFERROR(IF(T177="Probabilidad",(L177-(+L177*W177)),IF(T177="Impacto",L177,"")),"")</f>
        <v>0.36</v>
      </c>
      <c r="AB177" s="1468" t="str">
        <f>IFERROR(IF(AA177="","",IF(AA177&lt;=0.2,"Muy Baja",IF(AA177&lt;=0.4,"Baja",IF(AA177&lt;=0.6,"Media",IF(AA177&lt;=0.8,"Alta","Muy Alta"))))),"")</f>
        <v>Baja</v>
      </c>
      <c r="AC177" s="1469">
        <f>+AA177</f>
        <v>0.36</v>
      </c>
      <c r="AD177" s="1468" t="str">
        <f>IFERROR(IF(AE177="","",IF(AE177&lt;=0.2,"Leve",IF(AE177&lt;=0.4,"Menor",IF(AE177&lt;=0.6,"Moderado",IF(AE177&lt;=0.8,"Mayor","Catastrófico"))))),"")</f>
        <v>Mayor</v>
      </c>
      <c r="AE177" s="1469">
        <f>IFERROR(IF(T177="Impacto",(P177-(+P177*W177)),IF(T177="Probabilidad",P177,"")),"")</f>
        <v>0.8</v>
      </c>
      <c r="AF177" s="1470" t="str">
        <f>IFERROR(IF(OR(AND(AB177="Muy Baja",AD177="Leve"),AND(AB177="Muy Baja",AD177="Menor"),AND(AB177="Baja",AD177="Leve")),"Bajo",IF(OR(AND(AB177="Muy baja",AD177="Moderado"),AND(AB177="Baja",AD177="Menor"),AND(AB177="Baja",AD177="Moderado"),AND(AB177="Media",AD177="Leve"),AND(AB177="Media",AD177="Menor"),AND(AB177="Media",AD177="Moderado"),AND(AB177="Alta",AD177="Leve"),AND(AB177="Alta",AD177="Menor")),"Moderado",IF(OR(AND(AB177="Muy Baja",AD177="Mayor"),AND(AB177="Baja",AD177="Mayor"),AND(AB177="Media",AD177="Mayor"),AND(AB177="Alta",AD177="Moderado"),AND(AB177="Alta",AD177="Mayor"),AND(AB177="Muy Alta",AD177="Leve"),AND(AB177="Muy Alta",AD177="Menor"),AND(AB177="Muy Alta",AD177="Moderado"),AND(AB177="Muy Alta",AD177="Mayor")),"Alto",IF(OR(AND(AB177="Muy Baja",AD177="Catastrófico"),AND(AB177="Baja",AD177="Catastrófico"),AND(AB177="Media",AD177="Catastrófico"),AND(AB177="Alta",AD177="Catastrófico"),AND(AB177="Muy Alta",AD177="Catastrófico")),"Extremo","")))),"")</f>
        <v>Alto</v>
      </c>
      <c r="AG177" s="1895" t="s">
        <v>195</v>
      </c>
      <c r="AH177" s="1896" t="s">
        <v>896</v>
      </c>
      <c r="AI177" s="1897" t="s">
        <v>897</v>
      </c>
      <c r="AJ177" s="1898">
        <v>45168</v>
      </c>
      <c r="AK177" s="1899">
        <v>45338</v>
      </c>
      <c r="AL177" s="1900" t="s">
        <v>898</v>
      </c>
      <c r="AM177" s="1901" t="s">
        <v>196</v>
      </c>
      <c r="AN177" s="1901" t="s">
        <v>196</v>
      </c>
      <c r="AO177" s="1899">
        <v>45656</v>
      </c>
      <c r="AP177" s="1902" t="s">
        <v>899</v>
      </c>
      <c r="AQ177" s="1901" t="s">
        <v>685</v>
      </c>
    </row>
    <row r="178" spans="1:43" s="1105" customFormat="1" ht="100.8" customHeight="1" x14ac:dyDescent="0.25">
      <c r="A178" s="1903"/>
      <c r="B178" s="1884"/>
      <c r="C178" s="1885"/>
      <c r="D178" s="1885"/>
      <c r="E178" s="1886" t="s">
        <v>900</v>
      </c>
      <c r="F178" s="1887"/>
      <c r="G178" s="1887"/>
      <c r="H178" s="1887"/>
      <c r="I178" s="1884"/>
      <c r="J178" s="1888"/>
      <c r="K178" s="1889"/>
      <c r="L178" s="1890"/>
      <c r="M178" s="1891"/>
      <c r="N178" s="1891">
        <f>IF(NOT(ISERROR(MATCH(M178,_xlfn.ANCHORARRAY(F186),0))),L188&amp;"Por favor no seleccionar los criterios de impacto",M178)</f>
        <v>0</v>
      </c>
      <c r="O178" s="1904"/>
      <c r="P178" s="1890"/>
      <c r="Q178" s="1893"/>
      <c r="R178" s="1894">
        <v>2</v>
      </c>
      <c r="S178" s="1314" t="s">
        <v>901</v>
      </c>
      <c r="T178" s="1464" t="str">
        <f>IF(OR(U178="Preventivo",U178="Detectivo"),"Probabilidad",IF(U178="Correctivo","Impacto",""))</f>
        <v>Probabilidad</v>
      </c>
      <c r="U178" s="1465" t="s">
        <v>197</v>
      </c>
      <c r="V178" s="1465" t="s">
        <v>191</v>
      </c>
      <c r="W178" s="1466" t="str">
        <f>IF(AND(U178="Preventivo",V178="Automático"),"50%",IF(AND(U178="Preventivo",V178="Manual"),"40%",IF(AND(U178="Detectivo",V178="Automático"),"40%",IF(AND(U178="Detectivo",V178="Manual"),"30%",IF(AND(U178="Correctivo",V178="Automático"),"35%",IF(AND(U178="Correctivo",V178="Manual"),"25%",""))))))</f>
        <v>40%</v>
      </c>
      <c r="X178" s="1465" t="s">
        <v>192</v>
      </c>
      <c r="Y178" s="1465" t="s">
        <v>193</v>
      </c>
      <c r="Z178" s="1465" t="s">
        <v>194</v>
      </c>
      <c r="AA178" s="1467">
        <f>IFERROR(IF(AND(T177="Probabilidad",T178="Probabilidad"),(AC177-(+AC177*W178)),IF(AND(T177="Impacto",T178="Probabilidad"),(L177-(+L177*W178)),IF(T178="Impacto",AC177,""))),"")</f>
        <v>0.216</v>
      </c>
      <c r="AB178" s="1468" t="str">
        <f t="shared" ref="AB178:AB179" si="88">IFERROR(IF(AA178="","",IF(AA178&lt;=0.2,"Muy Baja",IF(AA178&lt;=0.4,"Baja",IF(AA178&lt;=0.6,"Media",IF(AA178&lt;=0.8,"Alta","Muy Alta"))))),"")</f>
        <v>Baja</v>
      </c>
      <c r="AC178" s="1469">
        <f>+AA178</f>
        <v>0.216</v>
      </c>
      <c r="AD178" s="1468" t="str">
        <f t="shared" ref="AD178:AD179" si="89">IFERROR(IF(AE178="","",IF(AE178&lt;=0.2,"Leve",IF(AE178&lt;=0.4,"Menor",IF(AE178&lt;=0.6,"Moderado",IF(AE178&lt;=0.8,"Mayor","Catastrófico"))))),"")</f>
        <v>Mayor</v>
      </c>
      <c r="AE178" s="1469">
        <f>IFERROR(IF(AND(T177="Impacto",T178="Impacto"),(AE177-(+AE177*W178)),IF(AND(T177="Probabilidad",T178="Impacto"),(P177-(+P177*W178)),IF(T178="Probabilidad",AE177,""))),"")</f>
        <v>0.8</v>
      </c>
      <c r="AF178" s="1470" t="str">
        <f t="shared" ref="AF178:AF179" si="90">IFERROR(IF(OR(AND(AB178="Muy Baja",AD178="Leve"),AND(AB178="Muy Baja",AD178="Menor"),AND(AB178="Baja",AD178="Leve")),"Bajo",IF(OR(AND(AB178="Muy baja",AD178="Moderado"),AND(AB178="Baja",AD178="Menor"),AND(AB178="Baja",AD178="Moderado"),AND(AB178="Media",AD178="Leve"),AND(AB178="Media",AD178="Menor"),AND(AB178="Media",AD178="Moderado"),AND(AB178="Alta",AD178="Leve"),AND(AB178="Alta",AD178="Menor")),"Moderado",IF(OR(AND(AB178="Muy Baja",AD178="Mayor"),AND(AB178="Baja",AD178="Mayor"),AND(AB178="Media",AD178="Mayor"),AND(AB178="Alta",AD178="Moderado"),AND(AB178="Alta",AD178="Mayor"),AND(AB178="Muy Alta",AD178="Leve"),AND(AB178="Muy Alta",AD178="Menor"),AND(AB178="Muy Alta",AD178="Moderado"),AND(AB178="Muy Alta",AD178="Mayor")),"Alto",IF(OR(AND(AB178="Muy Baja",AD178="Catastrófico"),AND(AB178="Baja",AD178="Catastrófico"),AND(AB178="Media",AD178="Catastrófico"),AND(AB178="Alta",AD178="Catastrófico"),AND(AB178="Muy Alta",AD178="Catastrófico")),"Extremo","")))),"")</f>
        <v>Alto</v>
      </c>
      <c r="AG178" s="1905"/>
      <c r="AH178" s="1906" t="s">
        <v>902</v>
      </c>
      <c r="AI178" s="1907" t="s">
        <v>897</v>
      </c>
      <c r="AJ178" s="1908">
        <v>45168</v>
      </c>
      <c r="AK178" s="1909">
        <v>45338</v>
      </c>
      <c r="AL178" s="1910" t="s">
        <v>903</v>
      </c>
      <c r="AM178" s="1474" t="s">
        <v>196</v>
      </c>
      <c r="AN178" s="1474" t="s">
        <v>196</v>
      </c>
      <c r="AO178" s="1909">
        <v>45656</v>
      </c>
      <c r="AP178" s="1902" t="s">
        <v>904</v>
      </c>
      <c r="AQ178" s="1474" t="s">
        <v>685</v>
      </c>
    </row>
    <row r="179" spans="1:43" s="1105" customFormat="1" ht="106.8" customHeight="1" x14ac:dyDescent="0.25">
      <c r="A179" s="1903"/>
      <c r="B179" s="1884"/>
      <c r="C179" s="1885"/>
      <c r="D179" s="1885"/>
      <c r="E179" s="1886" t="s">
        <v>905</v>
      </c>
      <c r="F179" s="1887"/>
      <c r="G179" s="1887"/>
      <c r="H179" s="1887"/>
      <c r="I179" s="1884"/>
      <c r="J179" s="1888"/>
      <c r="K179" s="1889"/>
      <c r="L179" s="1890"/>
      <c r="M179" s="1891"/>
      <c r="N179" s="1891">
        <f>IF(NOT(ISERROR(MATCH(M179,_xlfn.ANCHORARRAY(F187),0))),L189&amp;"Por favor no seleccionar los criterios de impacto",M179)</f>
        <v>0</v>
      </c>
      <c r="O179" s="1904"/>
      <c r="P179" s="1890"/>
      <c r="Q179" s="1893"/>
      <c r="R179" s="1894">
        <v>3</v>
      </c>
      <c r="S179" s="1314" t="s">
        <v>906</v>
      </c>
      <c r="T179" s="1464" t="str">
        <f>IF(OR(U179="Preventivo",U179="Detectivo"),"Probabilidad",IF(U179="Correctivo","Impacto",""))</f>
        <v>Probabilidad</v>
      </c>
      <c r="U179" s="1465" t="s">
        <v>197</v>
      </c>
      <c r="V179" s="1465" t="s">
        <v>191</v>
      </c>
      <c r="W179" s="1466" t="str">
        <f>IF(AND(U179="Preventivo",V179="Automático"),"50%",IF(AND(U179="Preventivo",V179="Manual"),"40%",IF(AND(U179="Detectivo",V179="Automático"),"40%",IF(AND(U179="Detectivo",V179="Manual"),"30%",IF(AND(U179="Correctivo",V179="Automático"),"35%",IF(AND(U179="Correctivo",V179="Manual"),"25%",""))))))</f>
        <v>40%</v>
      </c>
      <c r="X179" s="1465" t="s">
        <v>192</v>
      </c>
      <c r="Y179" s="1465" t="s">
        <v>193</v>
      </c>
      <c r="Z179" s="1465" t="s">
        <v>194</v>
      </c>
      <c r="AA179" s="1467">
        <f>IFERROR(IF(AND(T178="Probabilidad",T179="Probabilidad"),(AC178-(+AC178*W179)),IF(AND(T178="Impacto",T179="Probabilidad"),(AC177-(+AC177*W179)),IF(T179="Impacto",AC178,""))),"")</f>
        <v>0.12959999999999999</v>
      </c>
      <c r="AB179" s="1468" t="str">
        <f t="shared" si="88"/>
        <v>Muy Baja</v>
      </c>
      <c r="AC179" s="1469">
        <f t="shared" ref="AC179" si="91">+AA179</f>
        <v>0.12959999999999999</v>
      </c>
      <c r="AD179" s="1468" t="str">
        <f t="shared" si="89"/>
        <v>Mayor</v>
      </c>
      <c r="AE179" s="1469">
        <f t="shared" ref="AE179" si="92">IFERROR(IF(AND(T178="Impacto",T179="Impacto"),(AE178-(+AE178*W179)),IF(AND(T178="Probabilidad",T179="Impacto"),(AE177-(+AE177*W179)),IF(T179="Probabilidad",AE178,""))),"")</f>
        <v>0.8</v>
      </c>
      <c r="AF179" s="1470" t="str">
        <f t="shared" si="90"/>
        <v>Alto</v>
      </c>
      <c r="AG179" s="1911"/>
      <c r="AH179" s="1906" t="s">
        <v>907</v>
      </c>
      <c r="AI179" s="1907" t="s">
        <v>897</v>
      </c>
      <c r="AJ179" s="1908">
        <v>45168</v>
      </c>
      <c r="AK179" s="1908">
        <v>45345</v>
      </c>
      <c r="AL179" s="1902" t="s">
        <v>908</v>
      </c>
      <c r="AM179" s="1474" t="s">
        <v>196</v>
      </c>
      <c r="AN179" s="1474" t="s">
        <v>196</v>
      </c>
      <c r="AO179" s="1909">
        <v>45656</v>
      </c>
      <c r="AP179" s="1902" t="s">
        <v>909</v>
      </c>
      <c r="AQ179" s="1474" t="s">
        <v>685</v>
      </c>
    </row>
    <row r="180" spans="1:43" s="1105" customFormat="1" x14ac:dyDescent="0.25">
      <c r="A180" s="1102" t="s">
        <v>594</v>
      </c>
      <c r="B180" s="1369"/>
      <c r="C180" s="1369"/>
      <c r="D180" s="1369"/>
      <c r="E180" s="1369"/>
      <c r="F180" s="1369"/>
      <c r="G180" s="1369"/>
      <c r="H180" s="1369"/>
      <c r="I180" s="1369"/>
      <c r="J180" s="1369"/>
      <c r="K180" s="1369"/>
      <c r="L180" s="1369"/>
      <c r="M180" s="1369"/>
      <c r="N180" s="1369"/>
      <c r="O180" s="1369"/>
      <c r="P180" s="1369"/>
      <c r="Q180" s="1369"/>
      <c r="R180" s="1369"/>
      <c r="S180" s="1369"/>
      <c r="T180" s="1369"/>
      <c r="U180" s="1369"/>
      <c r="V180" s="1369"/>
      <c r="W180" s="1369"/>
      <c r="X180" s="1369"/>
      <c r="Y180" s="1369"/>
      <c r="Z180" s="1369"/>
      <c r="AA180" s="1369"/>
      <c r="AB180" s="1369"/>
      <c r="AC180" s="1369"/>
      <c r="AD180" s="1369"/>
      <c r="AE180" s="1369"/>
      <c r="AF180" s="1369"/>
      <c r="AG180" s="1369"/>
      <c r="AH180" s="1369"/>
      <c r="AI180" s="1369"/>
      <c r="AJ180" s="1369"/>
      <c r="AK180" s="1369"/>
      <c r="AL180" s="1369"/>
      <c r="AM180" s="1370"/>
    </row>
    <row r="181" spans="1:43" s="1105" customFormat="1" x14ac:dyDescent="0.25">
      <c r="A181" s="1134"/>
      <c r="B181" s="1120"/>
      <c r="C181" s="1120"/>
      <c r="D181" s="1120"/>
      <c r="E181" s="1120"/>
      <c r="F181" s="1120"/>
      <c r="G181" s="1120"/>
      <c r="H181" s="1120"/>
      <c r="I181" s="1120"/>
      <c r="J181" s="1120"/>
      <c r="K181" s="1120"/>
      <c r="L181" s="1120"/>
      <c r="M181" s="1120"/>
      <c r="N181" s="1120"/>
      <c r="O181" s="1120"/>
      <c r="P181" s="1120"/>
      <c r="Q181" s="1120"/>
      <c r="R181" s="1120"/>
      <c r="S181" s="1120"/>
      <c r="T181" s="1120"/>
      <c r="U181" s="1120"/>
      <c r="V181" s="1120"/>
      <c r="W181" s="1120"/>
      <c r="X181" s="1120"/>
      <c r="Y181" s="1120"/>
      <c r="Z181" s="1120"/>
      <c r="AA181" s="1120"/>
      <c r="AB181" s="1120"/>
      <c r="AC181" s="1120"/>
      <c r="AD181" s="1120"/>
      <c r="AE181" s="1120"/>
      <c r="AF181" s="1120"/>
      <c r="AG181" s="1120"/>
      <c r="AH181" s="1120"/>
      <c r="AI181" s="1120"/>
      <c r="AJ181" s="1120"/>
      <c r="AK181" s="1120"/>
      <c r="AL181" s="1120"/>
      <c r="AM181" s="1121"/>
    </row>
    <row r="182" spans="1:43" s="1105" customFormat="1" x14ac:dyDescent="0.25">
      <c r="A182" s="1109"/>
      <c r="B182" s="1110"/>
      <c r="C182" s="1109"/>
      <c r="D182" s="1109"/>
      <c r="E182" s="1109"/>
      <c r="F182" s="1111"/>
      <c r="G182" s="1111"/>
      <c r="H182" s="1111"/>
      <c r="I182" s="1112"/>
      <c r="J182" s="1111"/>
      <c r="K182" s="1111"/>
      <c r="L182" s="1111"/>
      <c r="M182" s="1111"/>
      <c r="N182" s="1111"/>
      <c r="O182" s="1111"/>
      <c r="P182" s="1111"/>
      <c r="Q182" s="1111"/>
      <c r="R182" s="1111"/>
      <c r="S182" s="1111"/>
      <c r="T182" s="1111"/>
      <c r="U182" s="1111"/>
      <c r="V182" s="1111"/>
      <c r="W182" s="1111"/>
      <c r="X182" s="1111"/>
      <c r="Y182" s="1111"/>
      <c r="Z182" s="1111"/>
      <c r="AA182" s="1111"/>
      <c r="AB182" s="1111"/>
      <c r="AC182" s="1111"/>
      <c r="AD182" s="1111"/>
      <c r="AE182" s="1111"/>
      <c r="AF182" s="1111"/>
      <c r="AG182" s="1111"/>
      <c r="AH182" s="1111"/>
      <c r="AI182" s="1111"/>
      <c r="AJ182" s="1111"/>
      <c r="AK182" s="1111"/>
      <c r="AL182" s="1111"/>
      <c r="AM182" s="1111"/>
    </row>
    <row r="183" spans="1:43" s="1105" customFormat="1" ht="23.4" x14ac:dyDescent="0.3">
      <c r="A183" s="1113" t="s">
        <v>149</v>
      </c>
      <c r="B183" s="1114"/>
      <c r="C183" s="1115" t="s">
        <v>595</v>
      </c>
      <c r="D183" s="1114"/>
      <c r="E183" s="1114"/>
      <c r="F183" s="1114"/>
      <c r="G183" s="1114"/>
      <c r="H183" s="1114"/>
      <c r="I183" s="1114"/>
      <c r="J183" s="1114"/>
      <c r="K183" s="1114"/>
      <c r="L183" s="1114"/>
      <c r="M183" s="1114"/>
      <c r="N183" s="1114"/>
      <c r="O183" s="1114"/>
      <c r="P183" s="1114"/>
      <c r="Q183" s="1114"/>
      <c r="R183" s="1114"/>
      <c r="S183" s="1114"/>
      <c r="T183" s="1114"/>
      <c r="U183" s="1114"/>
      <c r="V183" s="1114"/>
      <c r="W183" s="1114"/>
      <c r="X183" s="1114"/>
      <c r="Y183" s="1114"/>
      <c r="Z183" s="1114"/>
      <c r="AA183" s="1114"/>
      <c r="AB183" s="1114"/>
      <c r="AC183" s="1114"/>
      <c r="AD183" s="1114"/>
      <c r="AE183" s="1114"/>
      <c r="AF183" s="1114"/>
      <c r="AG183" s="1114"/>
      <c r="AH183" s="1114"/>
      <c r="AI183" s="1114"/>
      <c r="AJ183" s="1114"/>
      <c r="AK183" s="1114"/>
      <c r="AL183" s="1114"/>
      <c r="AM183" s="1116"/>
    </row>
    <row r="184" spans="1:43" s="1105" customFormat="1" ht="23.4" x14ac:dyDescent="0.3">
      <c r="A184" s="1113" t="s">
        <v>150</v>
      </c>
      <c r="B184" s="1114"/>
      <c r="C184" s="1117" t="s">
        <v>596</v>
      </c>
      <c r="D184" s="1114"/>
      <c r="E184" s="1114"/>
      <c r="F184" s="1114"/>
      <c r="G184" s="1114"/>
      <c r="H184" s="1114"/>
      <c r="I184" s="1114"/>
      <c r="J184" s="1114"/>
      <c r="K184" s="1114"/>
      <c r="L184" s="1114"/>
      <c r="M184" s="1114"/>
      <c r="N184" s="1114"/>
      <c r="O184" s="1114"/>
      <c r="P184" s="1114"/>
      <c r="Q184" s="1114"/>
      <c r="R184" s="1114"/>
      <c r="S184" s="1114"/>
      <c r="T184" s="1114"/>
      <c r="U184" s="1114"/>
      <c r="V184" s="1114"/>
      <c r="W184" s="1114"/>
      <c r="X184" s="1114"/>
      <c r="Y184" s="1114"/>
      <c r="Z184" s="1114"/>
      <c r="AA184" s="1114"/>
      <c r="AB184" s="1114"/>
      <c r="AC184" s="1114"/>
      <c r="AD184" s="1114"/>
      <c r="AE184" s="1114"/>
      <c r="AF184" s="1114"/>
      <c r="AG184" s="1114"/>
      <c r="AH184" s="1114"/>
      <c r="AI184" s="1114"/>
      <c r="AJ184" s="1114"/>
      <c r="AK184" s="1114"/>
      <c r="AL184" s="1114"/>
      <c r="AM184" s="1116"/>
    </row>
    <row r="185" spans="1:43" s="1105" customFormat="1" ht="23.4" x14ac:dyDescent="0.3">
      <c r="A185" s="1113" t="s">
        <v>151</v>
      </c>
      <c r="B185" s="1114"/>
      <c r="C185" s="1117" t="s">
        <v>597</v>
      </c>
      <c r="D185" s="1114"/>
      <c r="E185" s="1114"/>
      <c r="F185" s="1114"/>
      <c r="G185" s="1114"/>
      <c r="H185" s="1114"/>
      <c r="I185" s="1114"/>
      <c r="J185" s="1114"/>
      <c r="K185" s="1114"/>
      <c r="L185" s="1114"/>
      <c r="M185" s="1114"/>
      <c r="N185" s="1114"/>
      <c r="O185" s="1114"/>
      <c r="P185" s="1114"/>
      <c r="Q185" s="1114"/>
      <c r="R185" s="1114"/>
      <c r="S185" s="1114"/>
      <c r="T185" s="1114"/>
      <c r="U185" s="1114"/>
      <c r="V185" s="1114"/>
      <c r="W185" s="1114"/>
      <c r="X185" s="1114"/>
      <c r="Y185" s="1114"/>
      <c r="Z185" s="1114"/>
      <c r="AA185" s="1114"/>
      <c r="AB185" s="1114"/>
      <c r="AC185" s="1114"/>
      <c r="AD185" s="1114"/>
      <c r="AE185" s="1114"/>
      <c r="AF185" s="1114"/>
      <c r="AG185" s="1114"/>
      <c r="AH185" s="1114"/>
      <c r="AI185" s="1114"/>
      <c r="AJ185" s="1114"/>
      <c r="AK185" s="1114"/>
      <c r="AL185" s="1114"/>
      <c r="AM185" s="1116"/>
    </row>
    <row r="186" spans="1:43" s="1105" customFormat="1" ht="13.8" customHeight="1" x14ac:dyDescent="0.3">
      <c r="A186" s="1118" t="s">
        <v>152</v>
      </c>
      <c r="B186" s="1114"/>
      <c r="C186" s="1114"/>
      <c r="D186" s="1114"/>
      <c r="E186" s="1114"/>
      <c r="F186" s="1114"/>
      <c r="G186" s="1114"/>
      <c r="H186" s="1114"/>
      <c r="I186" s="1114"/>
      <c r="J186" s="1116"/>
      <c r="K186" s="1119" t="s">
        <v>153</v>
      </c>
      <c r="L186" s="1120"/>
      <c r="M186" s="1120"/>
      <c r="N186" s="1120"/>
      <c r="O186" s="1120"/>
      <c r="P186" s="1120"/>
      <c r="Q186" s="1121"/>
      <c r="R186" s="1119" t="s">
        <v>154</v>
      </c>
      <c r="S186" s="1120"/>
      <c r="T186" s="1120"/>
      <c r="U186" s="1120"/>
      <c r="V186" s="1120"/>
      <c r="W186" s="1120"/>
      <c r="X186" s="1120"/>
      <c r="Y186" s="1120"/>
      <c r="Z186" s="1121"/>
      <c r="AA186" s="1119" t="s">
        <v>155</v>
      </c>
      <c r="AB186" s="1120"/>
      <c r="AC186" s="1120"/>
      <c r="AD186" s="1120"/>
      <c r="AE186" s="1120"/>
      <c r="AF186" s="1120"/>
      <c r="AG186" s="1121"/>
      <c r="AH186" s="1119" t="s">
        <v>156</v>
      </c>
      <c r="AI186" s="1120"/>
      <c r="AJ186" s="1120"/>
      <c r="AK186" s="1120"/>
      <c r="AL186" s="1120"/>
      <c r="AM186" s="1121"/>
    </row>
    <row r="187" spans="1:43" s="1105" customFormat="1" ht="14.4" x14ac:dyDescent="0.3">
      <c r="A187" s="1122" t="s">
        <v>157</v>
      </c>
      <c r="B187" s="1123" t="s">
        <v>141</v>
      </c>
      <c r="C187" s="1124" t="s">
        <v>158</v>
      </c>
      <c r="D187" s="1124" t="s">
        <v>159</v>
      </c>
      <c r="E187" s="1125" t="s">
        <v>160</v>
      </c>
      <c r="F187" s="1126" t="s">
        <v>60</v>
      </c>
      <c r="G187" s="1127"/>
      <c r="H187" s="1127"/>
      <c r="I187" s="1125" t="s">
        <v>161</v>
      </c>
      <c r="J187" s="1124" t="s">
        <v>162</v>
      </c>
      <c r="K187" s="1124" t="s">
        <v>163</v>
      </c>
      <c r="L187" s="1128" t="s">
        <v>164</v>
      </c>
      <c r="M187" s="1125" t="s">
        <v>165</v>
      </c>
      <c r="N187" s="1125" t="s">
        <v>166</v>
      </c>
      <c r="O187" s="1129" t="s">
        <v>167</v>
      </c>
      <c r="P187" s="1128" t="s">
        <v>164</v>
      </c>
      <c r="Q187" s="1124" t="s">
        <v>168</v>
      </c>
      <c r="R187" s="1130" t="s">
        <v>169</v>
      </c>
      <c r="S187" s="1125" t="s">
        <v>170</v>
      </c>
      <c r="T187" s="1125" t="s">
        <v>171</v>
      </c>
      <c r="U187" s="1131" t="s">
        <v>172</v>
      </c>
      <c r="V187" s="1114"/>
      <c r="W187" s="1114"/>
      <c r="X187" s="1114"/>
      <c r="Y187" s="1114"/>
      <c r="Z187" s="1116"/>
      <c r="AA187" s="1130" t="s">
        <v>173</v>
      </c>
      <c r="AB187" s="1130" t="s">
        <v>174</v>
      </c>
      <c r="AC187" s="1130" t="s">
        <v>164</v>
      </c>
      <c r="AD187" s="1130" t="s">
        <v>175</v>
      </c>
      <c r="AE187" s="1130" t="s">
        <v>164</v>
      </c>
      <c r="AF187" s="1130" t="s">
        <v>176</v>
      </c>
      <c r="AG187" s="1130" t="s">
        <v>177</v>
      </c>
      <c r="AH187" s="1125" t="s">
        <v>156</v>
      </c>
      <c r="AI187" s="1125" t="s">
        <v>142</v>
      </c>
      <c r="AJ187" s="1125" t="s">
        <v>178</v>
      </c>
      <c r="AK187" s="1125" t="s">
        <v>179</v>
      </c>
      <c r="AL187" s="1125" t="s">
        <v>910</v>
      </c>
      <c r="AM187" s="1125" t="s">
        <v>181</v>
      </c>
    </row>
    <row r="188" spans="1:43" s="1105" customFormat="1" ht="70.2" x14ac:dyDescent="0.25">
      <c r="A188" s="1132"/>
      <c r="B188" s="1132"/>
      <c r="C188" s="1132"/>
      <c r="D188" s="1132"/>
      <c r="E188" s="1133"/>
      <c r="F188" s="1133"/>
      <c r="G188" s="1127" t="s">
        <v>201</v>
      </c>
      <c r="H188" s="1127" t="s">
        <v>182</v>
      </c>
      <c r="I188" s="1132"/>
      <c r="J188" s="1132"/>
      <c r="K188" s="1132"/>
      <c r="L188" s="1134"/>
      <c r="M188" s="1132"/>
      <c r="N188" s="1132"/>
      <c r="O188" s="1134"/>
      <c r="P188" s="1134"/>
      <c r="Q188" s="1132"/>
      <c r="R188" s="1132"/>
      <c r="S188" s="1132"/>
      <c r="T188" s="1132"/>
      <c r="U188" s="1135" t="s">
        <v>183</v>
      </c>
      <c r="V188" s="1135" t="s">
        <v>184</v>
      </c>
      <c r="W188" s="1135" t="s">
        <v>185</v>
      </c>
      <c r="X188" s="1135" t="s">
        <v>186</v>
      </c>
      <c r="Y188" s="1135" t="s">
        <v>187</v>
      </c>
      <c r="Z188" s="1135" t="s">
        <v>188</v>
      </c>
      <c r="AA188" s="1132"/>
      <c r="AB188" s="1132"/>
      <c r="AC188" s="1132"/>
      <c r="AD188" s="1132"/>
      <c r="AE188" s="1132"/>
      <c r="AF188" s="1132"/>
      <c r="AG188" s="1132"/>
      <c r="AH188" s="1132"/>
      <c r="AI188" s="1132"/>
      <c r="AJ188" s="1132"/>
      <c r="AK188" s="1132"/>
      <c r="AL188" s="1132"/>
      <c r="AM188" s="1132"/>
    </row>
    <row r="189" spans="1:43" s="1105" customFormat="1" ht="409.6" customHeight="1" x14ac:dyDescent="0.25">
      <c r="A189" s="1136">
        <v>1</v>
      </c>
      <c r="B189" s="1154" t="s">
        <v>199</v>
      </c>
      <c r="C189" s="1154" t="s">
        <v>599</v>
      </c>
      <c r="D189" s="1912" t="s">
        <v>600</v>
      </c>
      <c r="E189" s="1635" t="s">
        <v>624</v>
      </c>
      <c r="F189" s="1154" t="s">
        <v>911</v>
      </c>
      <c r="G189" s="1154" t="s">
        <v>202</v>
      </c>
      <c r="H189" s="1154" t="s">
        <v>602</v>
      </c>
      <c r="I189" s="1913" t="s">
        <v>190</v>
      </c>
      <c r="J189" s="1156">
        <v>360</v>
      </c>
      <c r="K189" s="1914" t="str">
        <f>IF(J189&lt;=0,"",IF(J189&lt;=2,"Muy Baja",IF(J189&lt;=24,"Baja",IF(J189&lt;=500,"Media",IF(J189&lt;=5000,"Alta","Muy Alta")))))</f>
        <v>Media</v>
      </c>
      <c r="L189" s="1915">
        <f>IF(K189="","",IF(K189="Muy Baja",0.2,IF(K189="Baja",0.4,IF(K189="Media",0.6,IF(K189="Alta",0.8,IF(K189="Muy Alta",1,))))))</f>
        <v>0.6</v>
      </c>
      <c r="M189" s="1915" t="s">
        <v>200</v>
      </c>
      <c r="N189" s="1915" t="str">
        <f>IF(NOT(ISERROR(MATCH(M189,'[30]Tabla Impacto'!$B$221:$B$223,0))),'[30]Tabla Impacto'!$F$223&amp;"Por favor no seleccionar los criterios de impacto(Afectación Económica o presupuestal y Pérdida Reputacional)",M189)</f>
        <v xml:space="preserve">     El riesgo afecta la imagen de la entidad con algunos usuarios de relevancia frente al logro de los objetivos</v>
      </c>
      <c r="O189" s="1914" t="str">
        <f>IF(OR(N189='[30]Tabla Impacto'!$C$11,N189='[30]Tabla Impacto'!$D$11),"Leve",IF(OR(N189='[30]Tabla Impacto'!$C$12,N189='[30]Tabla Impacto'!$D$12),"Menor",IF(OR(N189='[30]Tabla Impacto'!$C$13,N189='[30]Tabla Impacto'!$D$13),"Moderado",IF(OR(N189='[30]Tabla Impacto'!$C$14,N189='[30]Tabla Impacto'!$D$14),"Mayor",IF(OR(N189='[30]Tabla Impacto'!$C$15,N189='[30]Tabla Impacto'!$D$15),"Catastrófico","")))))</f>
        <v>Moderado</v>
      </c>
      <c r="P189" s="1915">
        <f>IF(O189="","",IF(O189="Leve",0.2,IF(O189="Menor",0.4,IF(O189="Moderado",0.6,IF(O189="Mayor",0.8,IF(O189="Catastrófico",1,))))))</f>
        <v>0.6</v>
      </c>
      <c r="Q189" s="1916" t="str">
        <f>IF(OR(AND(K189="Muy Baja",O189="Leve"),AND(K189="Muy Baja",O189="Menor"),AND(K189="Baja",O189="Leve")),"Bajo",IF(OR(AND(K189="Muy baja",O189="Moderado"),AND(K189="Baja",O189="Menor"),AND(K189="Baja",O189="Moderado"),AND(K189="Media",O189="Leve"),AND(K189="Media",O189="Menor"),AND(K189="Media",O189="Moderado"),AND(K189="Alta",O189="Leve"),AND(K189="Alta",O189="Menor")),"Moderado",IF(OR(AND(K189="Muy Baja",O189="Mayor"),AND(K189="Baja",O189="Mayor"),AND(K189="Media",O189="Mayor"),AND(K189="Alta",O189="Moderado"),AND(K189="Alta",O189="Mayor"),AND(K189="Muy Alta",O189="Leve"),AND(K189="Muy Alta",O189="Menor"),AND(K189="Muy Alta",O189="Moderado"),AND(K189="Muy Alta",O189="Mayor")),"Alto",IF(OR(AND(K189="Muy Baja",O189="Catastrófico"),AND(K189="Baja",O189="Catastrófico"),AND(K189="Media",O189="Catastrófico"),AND(K189="Alta",O189="Catastrófico"),AND(K189="Muy Alta",O189="Catastrófico")),"Extremo",""))))</f>
        <v>Moderado</v>
      </c>
      <c r="R189" s="1917">
        <v>1</v>
      </c>
      <c r="S189" s="1918" t="s">
        <v>603</v>
      </c>
      <c r="T189" s="1917" t="str">
        <f>IF(OR(U190="preventivo",U190="detectivo"),"probabilidad",IF(U190="Correctivo","impacto",""))</f>
        <v>probabilidad</v>
      </c>
      <c r="U189" s="1919" t="s">
        <v>197</v>
      </c>
      <c r="V189" s="1919" t="s">
        <v>191</v>
      </c>
      <c r="W189" s="1920" t="str">
        <f t="shared" ref="W189:W194" si="93">IF(AND(U189="Preventivo",V189="Automático"),"50%",IF(AND(U189="Preventivo",V189="Manual"),"40%",IF(AND(U189="Detectivo",V189="Automático"),"40%",IF(AND(U189="Detectivo",V189="Manual"),"30%",IF(AND(U189="Correctivo",V189="Automático"),"35%",IF(AND(U189="Correctivo",V189="Manual"),"25%",""))))))</f>
        <v>40%</v>
      </c>
      <c r="X189" s="1919" t="s">
        <v>198</v>
      </c>
      <c r="Y189" s="1919" t="s">
        <v>193</v>
      </c>
      <c r="Z189" s="1919" t="s">
        <v>194</v>
      </c>
      <c r="AA189" s="1921">
        <f>IFERROR(IF(T189="Probabilidad",(L189-(+L189*W189)),IF(T189="Impacto",L189,"")),"")</f>
        <v>0.36</v>
      </c>
      <c r="AB189" s="1922" t="str">
        <f t="shared" ref="AB189:AB194" si="94">IFERROR(IF(AA189="","",IF(AA189&lt;=0.2,"Muy Baja",IF(AA189&lt;=0.4,"Baja",IF(AA189&lt;=0.6,"Media",IF(AA189&lt;=0.8,"Alta","Muy Alta"))))),"")</f>
        <v>Baja</v>
      </c>
      <c r="AC189" s="1923">
        <f t="shared" ref="AC189:AC194" si="95">+AA189</f>
        <v>0.36</v>
      </c>
      <c r="AD189" s="1922" t="str">
        <f t="shared" ref="AD189:AD194" si="96">IFERROR(IF(AE189="","",IF(AE189&lt;=0.2,"Leve",IF(AE189&lt;=0.4,"Menor",IF(AE189&lt;=0.6,"Moderado",IF(AE189&lt;=0.8,"Mayor","Catastrófico"))))),"")</f>
        <v>Moderado</v>
      </c>
      <c r="AE189" s="1923">
        <f>IFERROR(IF(T189="Impacto",(P189-(+P189*W189)),IF(T189="Probabilidad",P189,"")),"")</f>
        <v>0.6</v>
      </c>
      <c r="AF189" s="1924" t="str">
        <f t="shared" ref="AF189:AF194" si="97">IFERROR(IF(OR(AND(AB189="Muy Baja",AD189="Leve"),AND(AB189="Muy Baja",AD189="Menor"),AND(AB189="Baja",AD189="Leve")),"Bajo",IF(OR(AND(AB189="Muy baja",AD189="Moderado"),AND(AB189="Baja",AD189="Menor"),AND(AB189="Baja",AD189="Moderado"),AND(AB189="Media",AD189="Leve"),AND(AB189="Media",AD189="Menor"),AND(AB189="Media",AD189="Moderado"),AND(AB189="Alta",AD189="Leve"),AND(AB189="Alta",AD189="Menor")),"Moderado",IF(OR(AND(AB189="Muy Baja",AD189="Mayor"),AND(AB189="Baja",AD189="Mayor"),AND(AB189="Media",AD189="Mayor"),AND(AB189="Alta",AD189="Moderado"),AND(AB189="Alta",AD189="Mayor"),AND(AB189="Muy Alta",AD189="Leve"),AND(AB189="Muy Alta",AD189="Menor"),AND(AB189="Muy Alta",AD189="Moderado"),AND(AB189="Muy Alta",AD189="Mayor")),"Alto",IF(OR(AND(AB189="Muy Baja",AD189="Catastrófico"),AND(AB189="Baja",AD189="Catastrófico"),AND(AB189="Media",AD189="Catastrófico"),AND(AB189="Alta",AD189="Catastrófico"),AND(AB189="Muy Alta",AD189="Catastrófico")),"Extremo","")))),"")</f>
        <v>Moderado</v>
      </c>
      <c r="AG189" s="1925" t="s">
        <v>195</v>
      </c>
      <c r="AH189" s="1926" t="s">
        <v>912</v>
      </c>
      <c r="AI189" s="1926" t="s">
        <v>604</v>
      </c>
      <c r="AJ189" s="1927">
        <v>45293</v>
      </c>
      <c r="AK189" s="1927">
        <v>45656</v>
      </c>
      <c r="AL189" s="1393" t="s">
        <v>913</v>
      </c>
      <c r="AM189" s="1928" t="s">
        <v>196</v>
      </c>
    </row>
    <row r="190" spans="1:43" s="1105" customFormat="1" ht="132.6" customHeight="1" x14ac:dyDescent="0.25">
      <c r="A190" s="1133"/>
      <c r="B190" s="1133"/>
      <c r="C190" s="1133"/>
      <c r="D190" s="1157"/>
      <c r="E190" s="1635" t="s">
        <v>625</v>
      </c>
      <c r="F190" s="1133"/>
      <c r="G190" s="1133"/>
      <c r="H190" s="1133"/>
      <c r="I190" s="1158"/>
      <c r="J190" s="1133"/>
      <c r="K190" s="1133"/>
      <c r="L190" s="1133"/>
      <c r="M190" s="1133"/>
      <c r="N190" s="1133"/>
      <c r="O190" s="1133"/>
      <c r="P190" s="1133"/>
      <c r="Q190" s="1133"/>
      <c r="R190" s="1917">
        <v>2</v>
      </c>
      <c r="S190" s="1918" t="s">
        <v>606</v>
      </c>
      <c r="T190" s="1917" t="str">
        <f t="shared" ref="T190:T193" si="98">IF(OR(U190="Preventivo",U190="Detectivo"),"Probabilidad",IF(U190="Correctivo","Impacto",""))</f>
        <v>Probabilidad</v>
      </c>
      <c r="U190" s="1919" t="s">
        <v>197</v>
      </c>
      <c r="V190" s="1919" t="s">
        <v>191</v>
      </c>
      <c r="W190" s="1920" t="str">
        <f t="shared" si="93"/>
        <v>40%</v>
      </c>
      <c r="X190" s="1919" t="s">
        <v>198</v>
      </c>
      <c r="Y190" s="1919" t="s">
        <v>193</v>
      </c>
      <c r="Z190" s="1919" t="s">
        <v>194</v>
      </c>
      <c r="AA190" s="1921">
        <f>IFERROR(IF(AND(T189="Probabilidad",T190="Probabilidad"),(AC189-(+AC189*W190)),IF(AND(T189="Impacto",T190="Probabilidad"),(L189-(+L189*W190)),IF(T190="Impacto",AC189,""))),"")</f>
        <v>0.216</v>
      </c>
      <c r="AB190" s="1922" t="str">
        <f t="shared" si="94"/>
        <v>Baja</v>
      </c>
      <c r="AC190" s="1923">
        <f t="shared" si="95"/>
        <v>0.216</v>
      </c>
      <c r="AD190" s="1922" t="str">
        <f t="shared" si="96"/>
        <v>Moderado</v>
      </c>
      <c r="AE190" s="1923">
        <f>IFERROR(IF(AND(T189="Impacto",T190="Impacto"),(AE189-(+AE189*W190)),IF(AND(T189="Probabilidad",T190="Impacto"),(P189-(+P189*W190)),IF(T190="Probabilidad",AE189,""))),"")</f>
        <v>0.6</v>
      </c>
      <c r="AF190" s="1924" t="str">
        <f t="shared" si="97"/>
        <v>Moderado</v>
      </c>
      <c r="AG190" s="1925" t="s">
        <v>195</v>
      </c>
      <c r="AH190" s="1407" t="s">
        <v>914</v>
      </c>
      <c r="AI190" s="1926" t="s">
        <v>604</v>
      </c>
      <c r="AJ190" s="1927">
        <v>45293</v>
      </c>
      <c r="AK190" s="1927">
        <v>45656</v>
      </c>
      <c r="AL190" s="1132"/>
      <c r="AM190" s="1145" t="s">
        <v>196</v>
      </c>
    </row>
    <row r="191" spans="1:43" s="1105" customFormat="1" ht="220.8" x14ac:dyDescent="0.25">
      <c r="A191" s="1136">
        <v>2</v>
      </c>
      <c r="B191" s="1400" t="s">
        <v>354</v>
      </c>
      <c r="C191" s="1400" t="s">
        <v>607</v>
      </c>
      <c r="D191" s="1929" t="s">
        <v>608</v>
      </c>
      <c r="E191" s="1407" t="s">
        <v>626</v>
      </c>
      <c r="F191" s="1401" t="s">
        <v>915</v>
      </c>
      <c r="G191" s="1154" t="s">
        <v>203</v>
      </c>
      <c r="H191" s="1401" t="s">
        <v>610</v>
      </c>
      <c r="I191" s="1930" t="s">
        <v>190</v>
      </c>
      <c r="J191" s="1136">
        <v>360</v>
      </c>
      <c r="K191" s="1931" t="str">
        <f>IF(J191&lt;=0,"",IF(J191&lt;=2,"Muy Baja",IF(J191&lt;=24,"Baja",IF(J191&lt;=500,"Media",IF(J191&lt;=5000,"Alta","Muy Alta")))))</f>
        <v>Media</v>
      </c>
      <c r="L191" s="1932">
        <f>IF(K191="","",IF(K191="Muy Baja",0.2,IF(K191="Baja",0.4,IF(K191="Media",0.6,IF(K191="Alta",0.8,IF(K191="Muy Alta",1,))))))</f>
        <v>0.6</v>
      </c>
      <c r="M191" s="1932" t="s">
        <v>321</v>
      </c>
      <c r="N191" s="1932" t="str">
        <f>IF(NOT(ISERROR(MATCH(M191,'[30]Tabla Impacto'!$B$221:$B$223,0))),'[30]Tabla Impacto'!$F$223&amp;"Por favor no seleccionar los criterios de impacto(Afectación Económica o presupuestal y Pérdida Reputacional)",M191)</f>
        <v xml:space="preserve">     Entre 200 y 1000 SMLMV</v>
      </c>
      <c r="O191" s="1931" t="str">
        <f>IF(OR(N191='[30]Tabla Impacto'!$C$11,N191='[30]Tabla Impacto'!$D$11),"Leve",IF(OR(N191='[30]Tabla Impacto'!$C$12,N191='[30]Tabla Impacto'!$D$12),"Menor",IF(OR(N191='[30]Tabla Impacto'!$C$13,N191='[30]Tabla Impacto'!$D$13),"Moderado",IF(OR(N191='[30]Tabla Impacto'!$C$14,N191='[30]Tabla Impacto'!$D$14),"Mayor",IF(OR(N191='[30]Tabla Impacto'!$C$15,N191='[30]Tabla Impacto'!$D$15),"Catastrófico","")))))</f>
        <v>Menor</v>
      </c>
      <c r="P191" s="1932">
        <f>IF(O191="","",IF(O191="Leve",0.2,IF(O191="Menor",0.4,IF(O191="Moderado",0.6,IF(O191="Mayor",0.8,IF(O191="Catastrófico",1,))))))</f>
        <v>0.4</v>
      </c>
      <c r="Q191" s="1933" t="str">
        <f>IF(OR(AND(K191="Muy Baja",O191="Leve"),AND(K191="Muy Baja",O191="Menor"),AND(K191="Baja",O191="Leve")),"Bajo",IF(OR(AND(K191="Muy baja",O191="Moderado"),AND(K191="Baja",O191="Menor"),AND(K191="Baja",O191="Moderado"),AND(K191="Media",O191="Leve"),AND(K191="Media",O191="Menor"),AND(K191="Media",O191="Moderado"),AND(K191="Alta",O191="Leve"),AND(K191="Alta",O191="Menor")),"Moderado",IF(OR(AND(K191="Muy Baja",O191="Mayor"),AND(K191="Baja",O191="Mayor"),AND(K191="Media",O191="Mayor"),AND(K191="Alta",O191="Moderado"),AND(K191="Alta",O191="Mayor"),AND(K191="Muy Alta",O191="Leve"),AND(K191="Muy Alta",O191="Menor"),AND(K191="Muy Alta",O191="Moderado"),AND(K191="Muy Alta",O191="Mayor")),"Alto",IF(OR(AND(K191="Muy Baja",O191="Catastrófico"),AND(K191="Baja",O191="Catastrófico"),AND(K191="Media",O191="Catastrófico"),AND(K191="Alta",O191="Catastrófico"),AND(K191="Muy Alta",O191="Catastrófico")),"Extremo",""))))</f>
        <v>Moderado</v>
      </c>
      <c r="R191" s="1145">
        <v>1</v>
      </c>
      <c r="S191" s="1934" t="s">
        <v>611</v>
      </c>
      <c r="T191" s="1145" t="str">
        <f t="shared" si="98"/>
        <v>Probabilidad</v>
      </c>
      <c r="U191" s="1147" t="s">
        <v>197</v>
      </c>
      <c r="V191" s="1147" t="s">
        <v>191</v>
      </c>
      <c r="W191" s="1148" t="str">
        <f t="shared" si="93"/>
        <v>40%</v>
      </c>
      <c r="X191" s="1147" t="s">
        <v>198</v>
      </c>
      <c r="Y191" s="1147" t="s">
        <v>193</v>
      </c>
      <c r="Z191" s="1147" t="s">
        <v>194</v>
      </c>
      <c r="AA191" s="1149">
        <f>IFERROR(IF(T191="Probabilidad",(L191-(+L191*W191)),IF(T191="Impacto",L191,"")),"")</f>
        <v>0.36</v>
      </c>
      <c r="AB191" s="1150" t="str">
        <f t="shared" si="94"/>
        <v>Baja</v>
      </c>
      <c r="AC191" s="1151">
        <f t="shared" si="95"/>
        <v>0.36</v>
      </c>
      <c r="AD191" s="1150" t="str">
        <f t="shared" si="96"/>
        <v>Menor</v>
      </c>
      <c r="AE191" s="1151">
        <f>IFERROR(IF(T191="Impacto",(P191-(+P191*W191)),IF(T191="Probabilidad",P191,"")),"")</f>
        <v>0.4</v>
      </c>
      <c r="AF191" s="1152" t="str">
        <f t="shared" si="97"/>
        <v>Moderado</v>
      </c>
      <c r="AG191" s="1398" t="s">
        <v>195</v>
      </c>
      <c r="AH191" s="1935" t="s">
        <v>916</v>
      </c>
      <c r="AI191" s="1926" t="s">
        <v>612</v>
      </c>
      <c r="AJ191" s="1927">
        <v>45293</v>
      </c>
      <c r="AK191" s="1927">
        <v>45656</v>
      </c>
      <c r="AL191" s="1936" t="s">
        <v>917</v>
      </c>
      <c r="AM191" s="1145" t="s">
        <v>196</v>
      </c>
    </row>
    <row r="192" spans="1:43" s="1105" customFormat="1" ht="138" x14ac:dyDescent="0.25">
      <c r="A192" s="1133"/>
      <c r="B192" s="1133"/>
      <c r="C192" s="1133"/>
      <c r="D192" s="1157"/>
      <c r="E192" s="1407" t="s">
        <v>627</v>
      </c>
      <c r="F192" s="1133"/>
      <c r="G192" s="1133"/>
      <c r="H192" s="1133"/>
      <c r="I192" s="1158"/>
      <c r="J192" s="1937"/>
      <c r="K192" s="1133"/>
      <c r="L192" s="1133"/>
      <c r="M192" s="1133"/>
      <c r="N192" s="1133"/>
      <c r="O192" s="1133"/>
      <c r="P192" s="1133"/>
      <c r="Q192" s="1133"/>
      <c r="R192" s="1145">
        <v>2</v>
      </c>
      <c r="S192" s="1938" t="s">
        <v>614</v>
      </c>
      <c r="T192" s="1145" t="str">
        <f t="shared" si="98"/>
        <v>Probabilidad</v>
      </c>
      <c r="U192" s="1147" t="s">
        <v>197</v>
      </c>
      <c r="V192" s="1147" t="s">
        <v>191</v>
      </c>
      <c r="W192" s="1148" t="str">
        <f t="shared" si="93"/>
        <v>40%</v>
      </c>
      <c r="X192" s="1147" t="s">
        <v>198</v>
      </c>
      <c r="Y192" s="1147" t="s">
        <v>193</v>
      </c>
      <c r="Z192" s="1147" t="s">
        <v>194</v>
      </c>
      <c r="AA192" s="1149">
        <f t="shared" ref="AA192:AA194" si="99">IFERROR(IF(AND(T191="Probabilidad",T192="Probabilidad"),(AC191-(+AC191*W192)),IF(AND(T191="Impacto",T192="Probabilidad"),(L191-(+L191*W192)),IF(T192="Impacto",AC191,""))),"")</f>
        <v>0.216</v>
      </c>
      <c r="AB192" s="1150" t="str">
        <f t="shared" si="94"/>
        <v>Baja</v>
      </c>
      <c r="AC192" s="1151">
        <f t="shared" si="95"/>
        <v>0.216</v>
      </c>
      <c r="AD192" s="1150" t="str">
        <f t="shared" si="96"/>
        <v>Menor</v>
      </c>
      <c r="AE192" s="1151">
        <f t="shared" ref="AE192:AE194" si="100">IFERROR(IF(AND(T191="Impacto",T192="Impacto"),(AE191-(+AE191*W192)),IF(AND(T191="Probabilidad",T192="Impacto"),(P191-(+P191*W192)),IF(T192="Probabilidad",AE191,""))),"")</f>
        <v>0.4</v>
      </c>
      <c r="AF192" s="1152" t="str">
        <f t="shared" si="97"/>
        <v>Moderado</v>
      </c>
      <c r="AG192" s="1398" t="s">
        <v>195</v>
      </c>
      <c r="AH192" s="1649" t="s">
        <v>918</v>
      </c>
      <c r="AI192" s="1926" t="s">
        <v>612</v>
      </c>
      <c r="AJ192" s="1927">
        <v>45293</v>
      </c>
      <c r="AK192" s="1927">
        <v>45656</v>
      </c>
      <c r="AL192" s="1939" t="s">
        <v>919</v>
      </c>
      <c r="AM192" s="1145" t="s">
        <v>196</v>
      </c>
    </row>
    <row r="193" spans="1:39" s="1105" customFormat="1" ht="193.2" x14ac:dyDescent="0.25">
      <c r="A193" s="1133"/>
      <c r="B193" s="1133"/>
      <c r="C193" s="1133"/>
      <c r="D193" s="1157"/>
      <c r="E193" s="1407" t="s">
        <v>628</v>
      </c>
      <c r="F193" s="1132"/>
      <c r="G193" s="1133"/>
      <c r="H193" s="1132"/>
      <c r="I193" s="1158"/>
      <c r="J193" s="1937"/>
      <c r="K193" s="1133"/>
      <c r="L193" s="1133"/>
      <c r="M193" s="1133"/>
      <c r="N193" s="1133"/>
      <c r="O193" s="1133"/>
      <c r="P193" s="1133"/>
      <c r="Q193" s="1133"/>
      <c r="R193" s="1145">
        <v>3</v>
      </c>
      <c r="S193" s="1940" t="s">
        <v>615</v>
      </c>
      <c r="T193" s="1145" t="str">
        <f t="shared" si="98"/>
        <v>Probabilidad</v>
      </c>
      <c r="U193" s="1147" t="s">
        <v>197</v>
      </c>
      <c r="V193" s="1147" t="s">
        <v>191</v>
      </c>
      <c r="W193" s="1148" t="str">
        <f t="shared" si="93"/>
        <v>40%</v>
      </c>
      <c r="X193" s="1147" t="s">
        <v>198</v>
      </c>
      <c r="Y193" s="1147" t="s">
        <v>193</v>
      </c>
      <c r="Z193" s="1149" t="str">
        <f>IFERROR(IF(AND(S192="Probabilidad",S193="Probabilidad"),(AB192-(+AB192*V193)),IF(AND(S192="Impacto",S193="Probabilidad"),(AB191-(+AB191*V193)),IF(S193="Impacto",AB192,""))),"")</f>
        <v/>
      </c>
      <c r="AA193" s="1149">
        <f t="shared" si="99"/>
        <v>0.12959999999999999</v>
      </c>
      <c r="AB193" s="1150" t="str">
        <f t="shared" si="94"/>
        <v>Muy Baja</v>
      </c>
      <c r="AC193" s="1151">
        <f t="shared" si="95"/>
        <v>0.12959999999999999</v>
      </c>
      <c r="AD193" s="1150" t="str">
        <f t="shared" si="96"/>
        <v>Menor</v>
      </c>
      <c r="AE193" s="1151">
        <f t="shared" si="100"/>
        <v>0.4</v>
      </c>
      <c r="AF193" s="1152" t="str">
        <f t="shared" si="97"/>
        <v>Bajo</v>
      </c>
      <c r="AG193" s="1398" t="s">
        <v>195</v>
      </c>
      <c r="AH193" s="1407" t="s">
        <v>920</v>
      </c>
      <c r="AI193" s="1917" t="s">
        <v>612</v>
      </c>
      <c r="AJ193" s="1941">
        <v>45293</v>
      </c>
      <c r="AK193" s="1927">
        <v>45656</v>
      </c>
      <c r="AL193" s="1942" t="s">
        <v>616</v>
      </c>
      <c r="AM193" s="1145" t="s">
        <v>196</v>
      </c>
    </row>
    <row r="194" spans="1:39" s="1105" customFormat="1" ht="141" customHeight="1" x14ac:dyDescent="0.25">
      <c r="A194" s="1136">
        <v>3</v>
      </c>
      <c r="B194" s="1400" t="s">
        <v>354</v>
      </c>
      <c r="C194" s="1400" t="s">
        <v>607</v>
      </c>
      <c r="D194" s="1943" t="s">
        <v>617</v>
      </c>
      <c r="E194" s="1407" t="s">
        <v>629</v>
      </c>
      <c r="F194" s="1401" t="s">
        <v>921</v>
      </c>
      <c r="G194" s="1154" t="s">
        <v>203</v>
      </c>
      <c r="H194" s="1929" t="s">
        <v>619</v>
      </c>
      <c r="I194" s="1930" t="s">
        <v>190</v>
      </c>
      <c r="J194" s="1136">
        <v>360</v>
      </c>
      <c r="K194" s="1944" t="str">
        <f>IF(J194&lt;=0,"",IF(J194&lt;=2,"Muy Baja",IF(J194&lt;=24,"Baja",IF(J194&lt;=500,"Media",IF(J194&lt;=5000,"Alta","Muy Alta")))))</f>
        <v>Media</v>
      </c>
      <c r="L194" s="1627">
        <f>IF(K194="","",IF(K194="Muy Baja",0.2,IF(K194="Baja",0.4,IF(K194="Media",0.6,IF(K194="Alta",0.8,IF(K194="Muy Alta",1,))))))</f>
        <v>0.6</v>
      </c>
      <c r="M194" s="1627" t="s">
        <v>321</v>
      </c>
      <c r="N194" s="1627" t="str">
        <f>IF(NOT(ISERROR(MATCH(M194,'[30]Tabla Impacto'!$B$221:$B$223,0))),'[30]Tabla Impacto'!$F$223&amp;"Por favor no seleccionar los criterios de impacto(Afectación Económica o presupuestal y Pérdida Reputacional)",M194)</f>
        <v xml:space="preserve">     Entre 200 y 1000 SMLMV</v>
      </c>
      <c r="O194" s="1944" t="str">
        <f>IF(OR(N194='[30]Tabla Impacto'!$C$11,N194='[30]Tabla Impacto'!$D$11),"Leve",IF(OR(N194='[30]Tabla Impacto'!$C$12,N194='[30]Tabla Impacto'!$D$12),"Menor",IF(OR(N194='[30]Tabla Impacto'!$C$13,N194='[30]Tabla Impacto'!$D$13),"Moderado",IF(OR(N194='[30]Tabla Impacto'!$C$14,N194='[30]Tabla Impacto'!$D$14),"Mayor",IF(OR(N194='[30]Tabla Impacto'!$C$15,N194='[30]Tabla Impacto'!$D$15),"Catastrófico","")))))</f>
        <v>Menor</v>
      </c>
      <c r="P194" s="1627">
        <f>IF(O194="","",IF(O194="Leve",0.2,IF(O194="Menor",0.4,IF(O194="Moderado",0.6,IF(O194="Mayor",0.8,IF(O194="Catastrófico",1,))))))</f>
        <v>0.4</v>
      </c>
      <c r="Q194" s="1945" t="str">
        <f>IF(OR(AND(K194="Muy Baja",O194="Leve"),AND(K194="Muy Baja",O194="Menor"),AND(K194="Baja",O194="Leve")),"Bajo",IF(OR(AND(K194="Muy baja",O194="Moderado"),AND(K194="Baja",O194="Menor"),AND(K194="Baja",O194="Moderado"),AND(K194="Media",O194="Leve"),AND(K194="Media",O194="Menor"),AND(K194="Media",O194="Moderado"),AND(K194="Alta",O194="Leve"),AND(K194="Alta",O194="Menor")),"Moderado",IF(OR(AND(K194="Muy Baja",O194="Mayor"),AND(K194="Baja",O194="Mayor"),AND(K194="Media",O194="Mayor"),AND(K194="Alta",O194="Moderado"),AND(K194="Alta",O194="Mayor"),AND(K194="Muy Alta",O194="Leve"),AND(K194="Muy Alta",O194="Menor"),AND(K194="Muy Alta",O194="Moderado"),AND(K194="Muy Alta",O194="Mayor")),"Alto",IF(OR(AND(K194="Muy Baja",O194="Catastrófico"),AND(K194="Baja",O194="Catastrófico"),AND(K194="Media",O194="Catastrófico"),AND(K194="Alta",O194="Catastrófico"),AND(K194="Muy Alta",O194="Catastrófico")),"Extremo",""))))</f>
        <v>Moderado</v>
      </c>
      <c r="R194" s="1136">
        <v>1</v>
      </c>
      <c r="S194" s="1401" t="s">
        <v>620</v>
      </c>
      <c r="T194" s="1136" t="s">
        <v>484</v>
      </c>
      <c r="U194" s="1153" t="s">
        <v>197</v>
      </c>
      <c r="V194" s="1153" t="s">
        <v>191</v>
      </c>
      <c r="W194" s="1946" t="str">
        <f t="shared" si="93"/>
        <v>40%</v>
      </c>
      <c r="X194" s="1153" t="s">
        <v>198</v>
      </c>
      <c r="Y194" s="1153" t="s">
        <v>193</v>
      </c>
      <c r="Z194" s="1153" t="s">
        <v>194</v>
      </c>
      <c r="AA194" s="1947">
        <f t="shared" si="99"/>
        <v>7.7759999999999996E-2</v>
      </c>
      <c r="AB194" s="1948" t="str">
        <f t="shared" si="94"/>
        <v>Muy Baja</v>
      </c>
      <c r="AC194" s="1946">
        <f t="shared" si="95"/>
        <v>7.7759999999999996E-2</v>
      </c>
      <c r="AD194" s="1948" t="str">
        <f t="shared" si="96"/>
        <v>Menor</v>
      </c>
      <c r="AE194" s="1946">
        <f t="shared" si="100"/>
        <v>0.4</v>
      </c>
      <c r="AF194" s="1949" t="str">
        <f t="shared" si="97"/>
        <v>Bajo</v>
      </c>
      <c r="AG194" s="1153" t="s">
        <v>195</v>
      </c>
      <c r="AH194" s="1625" t="s">
        <v>922</v>
      </c>
      <c r="AI194" s="1407" t="s">
        <v>604</v>
      </c>
      <c r="AJ194" s="1927">
        <v>45293</v>
      </c>
      <c r="AK194" s="1927">
        <v>45656</v>
      </c>
      <c r="AL194" s="1393" t="s">
        <v>923</v>
      </c>
      <c r="AM194" s="1145" t="s">
        <v>196</v>
      </c>
    </row>
    <row r="195" spans="1:39" s="1105" customFormat="1" ht="409.2" customHeight="1" x14ac:dyDescent="0.25">
      <c r="A195" s="1133"/>
      <c r="B195" s="1133"/>
      <c r="C195" s="1133"/>
      <c r="D195" s="1157"/>
      <c r="E195" s="1407" t="s">
        <v>630</v>
      </c>
      <c r="F195" s="1133"/>
      <c r="G195" s="1133"/>
      <c r="H195" s="1157"/>
      <c r="I195" s="1158"/>
      <c r="J195" s="1937"/>
      <c r="K195" s="1133"/>
      <c r="L195" s="1133"/>
      <c r="M195" s="1133"/>
      <c r="N195" s="1133"/>
      <c r="O195" s="1133"/>
      <c r="P195" s="1133"/>
      <c r="Q195" s="1133"/>
      <c r="R195" s="1132"/>
      <c r="S195" s="1132"/>
      <c r="T195" s="1132"/>
      <c r="U195" s="1132"/>
      <c r="V195" s="1132"/>
      <c r="W195" s="1132"/>
      <c r="X195" s="1132"/>
      <c r="Y195" s="1132"/>
      <c r="Z195" s="1132"/>
      <c r="AA195" s="1132"/>
      <c r="AB195" s="1132"/>
      <c r="AC195" s="1132"/>
      <c r="AD195" s="1132"/>
      <c r="AE195" s="1132"/>
      <c r="AF195" s="1132"/>
      <c r="AG195" s="1132"/>
      <c r="AH195" s="1649" t="s">
        <v>924</v>
      </c>
      <c r="AI195" s="1407" t="s">
        <v>604</v>
      </c>
      <c r="AJ195" s="1927">
        <v>45383</v>
      </c>
      <c r="AK195" s="1927">
        <v>45656</v>
      </c>
      <c r="AL195" s="1133"/>
      <c r="AM195" s="1145" t="s">
        <v>196</v>
      </c>
    </row>
    <row r="196" spans="1:39" s="1105" customFormat="1" ht="219" customHeight="1" x14ac:dyDescent="0.25">
      <c r="A196" s="1133"/>
      <c r="B196" s="1133"/>
      <c r="C196" s="1133"/>
      <c r="D196" s="1157"/>
      <c r="E196" s="1405" t="s">
        <v>631</v>
      </c>
      <c r="F196" s="1132"/>
      <c r="G196" s="1133"/>
      <c r="H196" s="1134"/>
      <c r="I196" s="1158"/>
      <c r="J196" s="1937"/>
      <c r="K196" s="1133"/>
      <c r="L196" s="1133"/>
      <c r="M196" s="1133"/>
      <c r="N196" s="1133"/>
      <c r="O196" s="1133"/>
      <c r="P196" s="1133"/>
      <c r="Q196" s="1133"/>
      <c r="R196" s="1145">
        <v>2</v>
      </c>
      <c r="S196" s="1407" t="s">
        <v>622</v>
      </c>
      <c r="T196" s="1145" t="str">
        <f t="shared" ref="T196" si="101">IF(OR(U196="Preventivo",U196="Detectivo"),"Probabilidad",IF(U196="Correctivo","Impacto",""))</f>
        <v>Probabilidad</v>
      </c>
      <c r="U196" s="1147" t="s">
        <v>197</v>
      </c>
      <c r="V196" s="1147" t="s">
        <v>191</v>
      </c>
      <c r="W196" s="1148" t="str">
        <f t="shared" ref="W196" si="102">IF(AND(U196="Preventivo",V196="Automático"),"50%",IF(AND(U196="Preventivo",V196="Manual"),"40%",IF(AND(U196="Detectivo",V196="Automático"),"40%",IF(AND(U196="Detectivo",V196="Manual"),"30%",IF(AND(U196="Correctivo",V196="Automático"),"35%",IF(AND(U196="Correctivo",V196="Manual"),"25%",""))))))</f>
        <v>40%</v>
      </c>
      <c r="X196" s="1147" t="s">
        <v>198</v>
      </c>
      <c r="Y196" s="1147" t="s">
        <v>193</v>
      </c>
      <c r="Z196" s="1147" t="s">
        <v>194</v>
      </c>
      <c r="AA196" s="1149">
        <f>AA194</f>
        <v>7.7759999999999996E-2</v>
      </c>
      <c r="AB196" s="1150" t="str">
        <f t="shared" ref="AB196" si="103">IFERROR(IF(AA196="","",IF(AA196&lt;=0.2,"Muy Baja",IF(AA196&lt;=0.4,"Baja",IF(AA196&lt;=0.6,"Media",IF(AA196&lt;=0.8,"Alta","Muy Alta"))))),"")</f>
        <v>Muy Baja</v>
      </c>
      <c r="AC196" s="1151">
        <f t="shared" ref="AC196" si="104">+AA196</f>
        <v>7.7759999999999996E-2</v>
      </c>
      <c r="AD196" s="1150" t="str">
        <f t="shared" ref="AD196" si="105">IFERROR(IF(AE196="","",IF(AE196&lt;=0.2,"Leve",IF(AE196&lt;=0.4,"Menor",IF(AE196&lt;=0.6,"Moderado",IF(AE196&lt;=0.8,"Mayor","Catastrófico"))))),"")</f>
        <v>Leve</v>
      </c>
      <c r="AE196" s="1151">
        <f>IFERROR(IF(AND(T195="Impacto",T196="Impacto"),(AE195-(+AE195*W196)),IF(AND(T195="Probabilidad",T196="Impacto"),(P195-(+P195*W196)),IF(T196="Probabilidad",AE195,""))),"")</f>
        <v>0</v>
      </c>
      <c r="AF196" s="1152" t="str">
        <f t="shared" ref="AF196" si="106">IFERROR(IF(OR(AND(AB196="Muy Baja",AD196="Leve"),AND(AB196="Muy Baja",AD196="Menor"),AND(AB196="Baja",AD196="Leve")),"Bajo",IF(OR(AND(AB196="Muy baja",AD196="Moderado"),AND(AB196="Baja",AD196="Menor"),AND(AB196="Baja",AD196="Moderado"),AND(AB196="Media",AD196="Leve"),AND(AB196="Media",AD196="Menor"),AND(AB196="Media",AD196="Moderado"),AND(AB196="Alta",AD196="Leve"),AND(AB196="Alta",AD196="Menor")),"Moderado",IF(OR(AND(AB196="Muy Baja",AD196="Mayor"),AND(AB196="Baja",AD196="Mayor"),AND(AB196="Media",AD196="Mayor"),AND(AB196="Alta",AD196="Moderado"),AND(AB196="Alta",AD196="Mayor"),AND(AB196="Muy Alta",AD196="Leve"),AND(AB196="Muy Alta",AD196="Menor"),AND(AB196="Muy Alta",AD196="Moderado"),AND(AB196="Muy Alta",AD196="Mayor")),"Alto",IF(OR(AND(AB196="Muy Baja",AD196="Catastrófico"),AND(AB196="Baja",AD196="Catastrófico"),AND(AB196="Media",AD196="Catastrófico"),AND(AB196="Alta",AD196="Catastrófico"),AND(AB196="Muy Alta",AD196="Catastrófico")),"Extremo","")))),"")</f>
        <v>Bajo</v>
      </c>
      <c r="AG196" s="1398" t="s">
        <v>195</v>
      </c>
      <c r="AH196" s="1935" t="s">
        <v>925</v>
      </c>
      <c r="AI196" s="1407" t="s">
        <v>604</v>
      </c>
      <c r="AJ196" s="1941">
        <v>45352</v>
      </c>
      <c r="AK196" s="1927">
        <v>45656</v>
      </c>
      <c r="AL196" s="1950" t="s">
        <v>623</v>
      </c>
      <c r="AM196" s="1145" t="s">
        <v>196</v>
      </c>
    </row>
    <row r="197" spans="1:39" s="1105" customFormat="1" x14ac:dyDescent="0.25">
      <c r="A197" s="1951" t="s">
        <v>148</v>
      </c>
      <c r="B197" s="1369"/>
      <c r="C197" s="1369"/>
      <c r="D197" s="1369"/>
      <c r="E197" s="1369"/>
      <c r="F197" s="1369"/>
      <c r="G197" s="1369"/>
      <c r="H197" s="1369"/>
      <c r="I197" s="1369"/>
      <c r="J197" s="1369"/>
      <c r="K197" s="1369"/>
      <c r="L197" s="1369"/>
      <c r="M197" s="1369"/>
      <c r="N197" s="1369"/>
      <c r="O197" s="1369"/>
      <c r="P197" s="1369"/>
      <c r="Q197" s="1369"/>
      <c r="R197" s="1369"/>
      <c r="S197" s="1369"/>
      <c r="T197" s="1369"/>
      <c r="U197" s="1369"/>
      <c r="V197" s="1369"/>
      <c r="W197" s="1369"/>
      <c r="X197" s="1369"/>
      <c r="Y197" s="1369"/>
      <c r="Z197" s="1369"/>
      <c r="AA197" s="1369"/>
      <c r="AB197" s="1369"/>
      <c r="AC197" s="1369"/>
      <c r="AD197" s="1369"/>
      <c r="AE197" s="1369"/>
      <c r="AF197" s="1369"/>
      <c r="AG197" s="1369"/>
      <c r="AH197" s="1369"/>
      <c r="AI197" s="1369"/>
      <c r="AJ197" s="1369"/>
      <c r="AK197" s="1369"/>
      <c r="AL197" s="1369"/>
      <c r="AM197" s="1370"/>
    </row>
    <row r="198" spans="1:39" s="1105" customFormat="1" x14ac:dyDescent="0.25">
      <c r="A198" s="1134"/>
      <c r="B198" s="1120"/>
      <c r="C198" s="1120"/>
      <c r="D198" s="1120"/>
      <c r="E198" s="1120"/>
      <c r="F198" s="1120"/>
      <c r="G198" s="1120"/>
      <c r="H198" s="1120"/>
      <c r="I198" s="1120"/>
      <c r="J198" s="1120"/>
      <c r="K198" s="1120"/>
      <c r="L198" s="1120"/>
      <c r="M198" s="1120"/>
      <c r="N198" s="1120"/>
      <c r="O198" s="1120"/>
      <c r="P198" s="1120"/>
      <c r="Q198" s="1120"/>
      <c r="R198" s="1120"/>
      <c r="S198" s="1120"/>
      <c r="T198" s="1120"/>
      <c r="U198" s="1120"/>
      <c r="V198" s="1120"/>
      <c r="W198" s="1120"/>
      <c r="X198" s="1120"/>
      <c r="Y198" s="1120"/>
      <c r="Z198" s="1120"/>
      <c r="AA198" s="1120"/>
      <c r="AB198" s="1120"/>
      <c r="AC198" s="1120"/>
      <c r="AD198" s="1120"/>
      <c r="AE198" s="1120"/>
      <c r="AF198" s="1120"/>
      <c r="AG198" s="1120"/>
      <c r="AH198" s="1120"/>
      <c r="AI198" s="1120"/>
      <c r="AJ198" s="1120"/>
      <c r="AK198" s="1120"/>
      <c r="AL198" s="1120"/>
      <c r="AM198" s="1121"/>
    </row>
    <row r="199" spans="1:39" s="1105" customFormat="1" x14ac:dyDescent="0.25">
      <c r="A199" s="1109"/>
      <c r="B199" s="1110"/>
      <c r="C199" s="1109"/>
      <c r="D199" s="1109"/>
      <c r="E199" s="1109"/>
      <c r="F199" s="1111"/>
      <c r="G199" s="1111"/>
      <c r="H199" s="1111"/>
      <c r="I199" s="1112"/>
      <c r="J199" s="1111"/>
      <c r="K199" s="1111"/>
      <c r="L199" s="1111"/>
      <c r="M199" s="1111"/>
      <c r="N199" s="1111"/>
      <c r="O199" s="1111"/>
      <c r="P199" s="1111"/>
      <c r="Q199" s="1111"/>
      <c r="R199" s="1111"/>
      <c r="S199" s="1111"/>
      <c r="T199" s="1111"/>
      <c r="U199" s="1111"/>
      <c r="V199" s="1111"/>
      <c r="W199" s="1111"/>
      <c r="X199" s="1111"/>
      <c r="Y199" s="1111"/>
      <c r="Z199" s="1111"/>
      <c r="AA199" s="1111"/>
      <c r="AB199" s="1111"/>
      <c r="AC199" s="1111"/>
      <c r="AD199" s="1111"/>
      <c r="AE199" s="1111"/>
      <c r="AF199" s="1111"/>
      <c r="AG199" s="1111"/>
      <c r="AH199" s="1111"/>
      <c r="AI199" s="1111"/>
      <c r="AJ199" s="1111"/>
      <c r="AK199" s="1111"/>
      <c r="AL199" s="1111"/>
      <c r="AM199" s="1111"/>
    </row>
    <row r="200" spans="1:39" s="1105" customFormat="1" ht="23.4" x14ac:dyDescent="0.3">
      <c r="A200" s="1113" t="s">
        <v>149</v>
      </c>
      <c r="B200" s="1114"/>
      <c r="C200" s="1115" t="s">
        <v>926</v>
      </c>
      <c r="D200" s="1114"/>
      <c r="E200" s="1114"/>
      <c r="F200" s="1114"/>
      <c r="G200" s="1114"/>
      <c r="H200" s="1114"/>
      <c r="I200" s="1114"/>
      <c r="J200" s="1114"/>
      <c r="K200" s="1114"/>
      <c r="L200" s="1114"/>
      <c r="M200" s="1114"/>
      <c r="N200" s="1114"/>
      <c r="O200" s="1114"/>
      <c r="P200" s="1114"/>
      <c r="Q200" s="1114"/>
      <c r="R200" s="1114"/>
      <c r="S200" s="1114"/>
      <c r="T200" s="1114"/>
      <c r="U200" s="1114"/>
      <c r="V200" s="1114"/>
      <c r="W200" s="1114"/>
      <c r="X200" s="1114"/>
      <c r="Y200" s="1114"/>
      <c r="Z200" s="1114"/>
      <c r="AA200" s="1114"/>
      <c r="AB200" s="1114"/>
      <c r="AC200" s="1114"/>
      <c r="AD200" s="1114"/>
      <c r="AE200" s="1114"/>
      <c r="AF200" s="1114"/>
      <c r="AG200" s="1114"/>
      <c r="AH200" s="1114"/>
      <c r="AI200" s="1114"/>
      <c r="AJ200" s="1114"/>
      <c r="AK200" s="1114"/>
      <c r="AL200" s="1114"/>
      <c r="AM200" s="1116"/>
    </row>
    <row r="201" spans="1:39" s="1105" customFormat="1" ht="23.4" x14ac:dyDescent="0.3">
      <c r="A201" s="1113" t="s">
        <v>150</v>
      </c>
      <c r="B201" s="1114"/>
      <c r="C201" s="1117" t="s">
        <v>927</v>
      </c>
      <c r="D201" s="1114"/>
      <c r="E201" s="1114"/>
      <c r="F201" s="1114"/>
      <c r="G201" s="1114"/>
      <c r="H201" s="1114"/>
      <c r="I201" s="1114"/>
      <c r="J201" s="1114"/>
      <c r="K201" s="1114"/>
      <c r="L201" s="1114"/>
      <c r="M201" s="1114"/>
      <c r="N201" s="1114"/>
      <c r="O201" s="1114"/>
      <c r="P201" s="1114"/>
      <c r="Q201" s="1114"/>
      <c r="R201" s="1114"/>
      <c r="S201" s="1114"/>
      <c r="T201" s="1114"/>
      <c r="U201" s="1114"/>
      <c r="V201" s="1114"/>
      <c r="W201" s="1114"/>
      <c r="X201" s="1114"/>
      <c r="Y201" s="1114"/>
      <c r="Z201" s="1114"/>
      <c r="AA201" s="1114"/>
      <c r="AB201" s="1114"/>
      <c r="AC201" s="1114"/>
      <c r="AD201" s="1114"/>
      <c r="AE201" s="1114"/>
      <c r="AF201" s="1114"/>
      <c r="AG201" s="1114"/>
      <c r="AH201" s="1114"/>
      <c r="AI201" s="1114"/>
      <c r="AJ201" s="1114"/>
      <c r="AK201" s="1114"/>
      <c r="AL201" s="1114"/>
      <c r="AM201" s="1116"/>
    </row>
    <row r="202" spans="1:39" s="1105" customFormat="1" ht="23.4" x14ac:dyDescent="0.3">
      <c r="A202" s="1113" t="s">
        <v>151</v>
      </c>
      <c r="B202" s="1114"/>
      <c r="C202" s="1117" t="s">
        <v>928</v>
      </c>
      <c r="D202" s="1114"/>
      <c r="E202" s="1114"/>
      <c r="F202" s="1114"/>
      <c r="G202" s="1114"/>
      <c r="H202" s="1114"/>
      <c r="I202" s="1114"/>
      <c r="J202" s="1114"/>
      <c r="K202" s="1114"/>
      <c r="L202" s="1114"/>
      <c r="M202" s="1114"/>
      <c r="N202" s="1114"/>
      <c r="O202" s="1114"/>
      <c r="P202" s="1114"/>
      <c r="Q202" s="1114"/>
      <c r="R202" s="1114"/>
      <c r="S202" s="1114"/>
      <c r="T202" s="1114"/>
      <c r="U202" s="1114"/>
      <c r="V202" s="1114"/>
      <c r="W202" s="1114"/>
      <c r="X202" s="1114"/>
      <c r="Y202" s="1114"/>
      <c r="Z202" s="1114"/>
      <c r="AA202" s="1114"/>
      <c r="AB202" s="1114"/>
      <c r="AC202" s="1114"/>
      <c r="AD202" s="1114"/>
      <c r="AE202" s="1114"/>
      <c r="AF202" s="1114"/>
      <c r="AG202" s="1114"/>
      <c r="AH202" s="1114"/>
      <c r="AI202" s="1114"/>
      <c r="AJ202" s="1114"/>
      <c r="AK202" s="1114"/>
      <c r="AL202" s="1114"/>
      <c r="AM202" s="1116"/>
    </row>
    <row r="203" spans="1:39" s="1105" customFormat="1" ht="14.4" x14ac:dyDescent="0.3">
      <c r="A203" s="1118" t="s">
        <v>152</v>
      </c>
      <c r="B203" s="1114"/>
      <c r="C203" s="1114"/>
      <c r="D203" s="1114"/>
      <c r="E203" s="1114"/>
      <c r="F203" s="1114"/>
      <c r="G203" s="1114"/>
      <c r="H203" s="1114"/>
      <c r="I203" s="1114"/>
      <c r="J203" s="1116"/>
      <c r="K203" s="1119" t="s">
        <v>153</v>
      </c>
      <c r="L203" s="1120"/>
      <c r="M203" s="1120"/>
      <c r="N203" s="1120"/>
      <c r="O203" s="1120"/>
      <c r="P203" s="1120"/>
      <c r="Q203" s="1121"/>
      <c r="R203" s="1119" t="s">
        <v>154</v>
      </c>
      <c r="S203" s="1120"/>
      <c r="T203" s="1120"/>
      <c r="U203" s="1120"/>
      <c r="V203" s="1120"/>
      <c r="W203" s="1120"/>
      <c r="X203" s="1120"/>
      <c r="Y203" s="1120"/>
      <c r="Z203" s="1121"/>
      <c r="AA203" s="1119" t="s">
        <v>155</v>
      </c>
      <c r="AB203" s="1120"/>
      <c r="AC203" s="1120"/>
      <c r="AD203" s="1120"/>
      <c r="AE203" s="1120"/>
      <c r="AF203" s="1120"/>
      <c r="AG203" s="1121"/>
      <c r="AH203" s="1119" t="s">
        <v>156</v>
      </c>
      <c r="AI203" s="1120"/>
      <c r="AJ203" s="1120"/>
      <c r="AK203" s="1120"/>
      <c r="AL203" s="1120"/>
      <c r="AM203" s="1121"/>
    </row>
    <row r="204" spans="1:39" s="1105" customFormat="1" ht="14.4" x14ac:dyDescent="0.3">
      <c r="A204" s="1122" t="s">
        <v>157</v>
      </c>
      <c r="B204" s="1123" t="s">
        <v>141</v>
      </c>
      <c r="C204" s="1124" t="s">
        <v>158</v>
      </c>
      <c r="D204" s="1124" t="s">
        <v>159</v>
      </c>
      <c r="E204" s="1125" t="s">
        <v>160</v>
      </c>
      <c r="F204" s="1126" t="s">
        <v>60</v>
      </c>
      <c r="G204" s="1127"/>
      <c r="H204" s="1127"/>
      <c r="I204" s="1125" t="s">
        <v>161</v>
      </c>
      <c r="J204" s="1124" t="s">
        <v>162</v>
      </c>
      <c r="K204" s="1124" t="s">
        <v>163</v>
      </c>
      <c r="L204" s="1128" t="s">
        <v>164</v>
      </c>
      <c r="M204" s="1125" t="s">
        <v>165</v>
      </c>
      <c r="N204" s="1125" t="s">
        <v>166</v>
      </c>
      <c r="O204" s="1129" t="s">
        <v>167</v>
      </c>
      <c r="P204" s="1128" t="s">
        <v>164</v>
      </c>
      <c r="Q204" s="1124" t="s">
        <v>168</v>
      </c>
      <c r="R204" s="1130" t="s">
        <v>169</v>
      </c>
      <c r="S204" s="1125" t="s">
        <v>170</v>
      </c>
      <c r="T204" s="1125" t="s">
        <v>171</v>
      </c>
      <c r="U204" s="1131" t="s">
        <v>172</v>
      </c>
      <c r="V204" s="1114"/>
      <c r="W204" s="1114"/>
      <c r="X204" s="1114"/>
      <c r="Y204" s="1114"/>
      <c r="Z204" s="1116"/>
      <c r="AA204" s="1130" t="s">
        <v>173</v>
      </c>
      <c r="AB204" s="1130" t="s">
        <v>174</v>
      </c>
      <c r="AC204" s="1130" t="s">
        <v>164</v>
      </c>
      <c r="AD204" s="1130" t="s">
        <v>175</v>
      </c>
      <c r="AE204" s="1130" t="s">
        <v>164</v>
      </c>
      <c r="AF204" s="1130" t="s">
        <v>176</v>
      </c>
      <c r="AG204" s="1130" t="s">
        <v>177</v>
      </c>
      <c r="AH204" s="1125" t="s">
        <v>156</v>
      </c>
      <c r="AI204" s="1125" t="s">
        <v>142</v>
      </c>
      <c r="AJ204" s="1125" t="s">
        <v>178</v>
      </c>
      <c r="AK204" s="1125" t="s">
        <v>179</v>
      </c>
      <c r="AL204" s="1125" t="s">
        <v>180</v>
      </c>
      <c r="AM204" s="1125" t="s">
        <v>181</v>
      </c>
    </row>
    <row r="205" spans="1:39" s="1105" customFormat="1" ht="70.2" x14ac:dyDescent="0.25">
      <c r="A205" s="1132"/>
      <c r="B205" s="1132"/>
      <c r="C205" s="1132"/>
      <c r="D205" s="1132"/>
      <c r="E205" s="1133"/>
      <c r="F205" s="1133"/>
      <c r="G205" s="1127" t="s">
        <v>201</v>
      </c>
      <c r="H205" s="1127" t="s">
        <v>182</v>
      </c>
      <c r="I205" s="1132"/>
      <c r="J205" s="1132"/>
      <c r="K205" s="1132"/>
      <c r="L205" s="1134"/>
      <c r="M205" s="1132"/>
      <c r="N205" s="1132"/>
      <c r="O205" s="1134"/>
      <c r="P205" s="1134"/>
      <c r="Q205" s="1132"/>
      <c r="R205" s="1132"/>
      <c r="S205" s="1132"/>
      <c r="T205" s="1132"/>
      <c r="U205" s="1135" t="s">
        <v>183</v>
      </c>
      <c r="V205" s="1135" t="s">
        <v>184</v>
      </c>
      <c r="W205" s="1135" t="s">
        <v>185</v>
      </c>
      <c r="X205" s="1135" t="s">
        <v>186</v>
      </c>
      <c r="Y205" s="1135" t="s">
        <v>187</v>
      </c>
      <c r="Z205" s="1135" t="s">
        <v>188</v>
      </c>
      <c r="AA205" s="1132"/>
      <c r="AB205" s="1132"/>
      <c r="AC205" s="1132"/>
      <c r="AD205" s="1132"/>
      <c r="AE205" s="1132"/>
      <c r="AF205" s="1132"/>
      <c r="AG205" s="1132"/>
      <c r="AH205" s="1132"/>
      <c r="AI205" s="1132"/>
      <c r="AJ205" s="1132"/>
      <c r="AK205" s="1132"/>
      <c r="AL205" s="1132"/>
      <c r="AM205" s="1132"/>
    </row>
    <row r="206" spans="1:39" s="1105" customFormat="1" ht="409.6" x14ac:dyDescent="0.25">
      <c r="A206" s="1136">
        <v>1</v>
      </c>
      <c r="B206" s="1154" t="s">
        <v>189</v>
      </c>
      <c r="C206" s="1154" t="s">
        <v>929</v>
      </c>
      <c r="D206" s="1912" t="s">
        <v>930</v>
      </c>
      <c r="E206" s="1139" t="s">
        <v>931</v>
      </c>
      <c r="F206" s="1154" t="s">
        <v>932</v>
      </c>
      <c r="G206" s="1154" t="s">
        <v>202</v>
      </c>
      <c r="H206" s="1952" t="s">
        <v>933</v>
      </c>
      <c r="I206" s="1913" t="s">
        <v>190</v>
      </c>
      <c r="J206" s="1156">
        <f>246*412</f>
        <v>101352</v>
      </c>
      <c r="K206" s="1142" t="str">
        <f>IF(J206&lt;=0,"",IF(J206&lt;=2,"Muy Baja",IF(J206&lt;=24,"Baja",IF(J206&lt;=500,"Media",IF(J206&lt;=5000,"Alta","Muy Alta")))))</f>
        <v>Muy Alta</v>
      </c>
      <c r="L206" s="1143">
        <f>IF(K206="","",IF(K206="Muy Baja",0.2,IF(K206="Baja",0.4,IF(K206="Media",0.6,IF(K206="Alta",0.8,IF(K206="Muy Alta",1,))))))</f>
        <v>1</v>
      </c>
      <c r="M206" s="1143" t="s">
        <v>214</v>
      </c>
      <c r="N206" s="1143" t="str">
        <f>IF(NOT(ISERROR(MATCH(M206,'[31]Tabla Impacto'!$B$221:$B$223,0))),'[31]Tabla Impacto'!$F$223&amp;"Por favor no seleccionar los criterios de impacto(Afectación Económica o presupuestal y Pérdida Reputacional)",M206)</f>
        <v xml:space="preserve">     El riesgo afecta la imagen de de la entidad con efecto publicitario sostenido a nivel de sector administrativo, nivel departamental o municipal</v>
      </c>
      <c r="O206" s="1142" t="str">
        <f>IF(OR(N206='[31]Tabla Impacto'!$C$11,N206='[31]Tabla Impacto'!$D$11),"Leve",IF(OR(N206='[31]Tabla Impacto'!$C$12,N206='[31]Tabla Impacto'!$D$12),"Menor",IF(OR(N206='[31]Tabla Impacto'!$C$13,N206='[31]Tabla Impacto'!$D$13),"Moderado",IF(OR(N206='[31]Tabla Impacto'!$C$14,N206='[31]Tabla Impacto'!$D$14),"Mayor",IF(OR(N206='[31]Tabla Impacto'!$C$15,N206='[31]Tabla Impacto'!$D$15),"Catastrófico","")))))</f>
        <v>Mayor</v>
      </c>
      <c r="P206" s="1143">
        <f>IF(O206="","",IF(O206="Leve",0.2,IF(O206="Menor",0.4,IF(O206="Moderado",0.6,IF(O206="Mayor",0.8,IF(O206="Catastrófico",1,))))))</f>
        <v>0.8</v>
      </c>
      <c r="Q206" s="1144" t="str">
        <f>IF(OR(AND(K206="Muy Baja",O206="Leve"),AND(K206="Muy Baja",O206="Menor"),AND(K206="Baja",O206="Leve")),"Bajo",IF(OR(AND(K206="Muy baja",O206="Moderado"),AND(K206="Baja",O206="Menor"),AND(K206="Baja",O206="Moderado"),AND(K206="Media",O206="Leve"),AND(K206="Media",O206="Menor"),AND(K206="Media",O206="Moderado"),AND(K206="Alta",O206="Leve"),AND(K206="Alta",O206="Menor")),"Moderado",IF(OR(AND(K206="Muy Baja",O206="Mayor"),AND(K206="Baja",O206="Mayor"),AND(K206="Media",O206="Mayor"),AND(K206="Alta",O206="Moderado"),AND(K206="Alta",O206="Mayor"),AND(K206="Muy Alta",O206="Leve"),AND(K206="Muy Alta",O206="Menor"),AND(K206="Muy Alta",O206="Moderado"),AND(K206="Muy Alta",O206="Mayor")),"Alto",IF(OR(AND(K206="Muy Baja",O206="Catastrófico"),AND(K206="Baja",O206="Catastrófico"),AND(K206="Media",O206="Catastrófico"),AND(K206="Alta",O206="Catastrófico"),AND(K206="Muy Alta",O206="Catastrófico")),"Extremo",""))))</f>
        <v>Alto</v>
      </c>
      <c r="R206" s="1145">
        <v>1</v>
      </c>
      <c r="S206" s="1146" t="s">
        <v>934</v>
      </c>
      <c r="T206" s="1145" t="str">
        <f t="shared" ref="T206:T209" si="107">IF(OR(U206="Preventivo",U206="Detectivo"),"Probabilidad",IF(U206="Correctivo","Impacto",""))</f>
        <v>Probabilidad</v>
      </c>
      <c r="U206" s="1147" t="s">
        <v>243</v>
      </c>
      <c r="V206" s="1147" t="s">
        <v>191</v>
      </c>
      <c r="W206" s="1148" t="str">
        <f t="shared" ref="W206:W209" si="108">IF(AND(U206="Preventivo",V206="Automático"),"50%",IF(AND(U206="Preventivo",V206="Manual"),"40%",IF(AND(U206="Detectivo",V206="Automático"),"40%",IF(AND(U206="Detectivo",V206="Manual"),"30%",IF(AND(U206="Correctivo",V206="Automático"),"35%",IF(AND(U206="Correctivo",V206="Manual"),"25%",""))))))</f>
        <v>30%</v>
      </c>
      <c r="X206" s="1147" t="s">
        <v>192</v>
      </c>
      <c r="Y206" s="1147" t="s">
        <v>193</v>
      </c>
      <c r="Z206" s="1147" t="s">
        <v>194</v>
      </c>
      <c r="AA206" s="1149">
        <f>IFERROR(IF(T206="Probabilidad",(L206-(+L206*W206)),IF(T206="Impacto",L206,"")),"")</f>
        <v>0.7</v>
      </c>
      <c r="AB206" s="1150" t="str">
        <f t="shared" ref="AB206:AB209" si="109">IFERROR(IF(AA206="","",IF(AA206&lt;=0.2,"Muy Baja",IF(AA206&lt;=0.4,"Baja",IF(AA206&lt;=0.6,"Media",IF(AA206&lt;=0.8,"Alta","Muy Alta"))))),"")</f>
        <v>Alta</v>
      </c>
      <c r="AC206" s="1151">
        <f t="shared" ref="AC206:AC209" si="110">+AA206</f>
        <v>0.7</v>
      </c>
      <c r="AD206" s="1150" t="str">
        <f t="shared" ref="AD206:AD209" si="111">IFERROR(IF(AE206="","",IF(AE206&lt;=0.2,"Leve",IF(AE206&lt;=0.4,"Menor",IF(AE206&lt;=0.6,"Moderado",IF(AE206&lt;=0.8,"Mayor","Catastrófico"))))),"")</f>
        <v>Mayor</v>
      </c>
      <c r="AE206" s="1151">
        <f>IFERROR(IF(T206="Impacto",(P206-(+P206*W206)),IF(T206="Probabilidad",P206,"")),"")</f>
        <v>0.8</v>
      </c>
      <c r="AF206" s="1152" t="str">
        <f t="shared" ref="AF206:AF209" si="112">IFERROR(IF(OR(AND(AB206="Muy Baja",AD206="Leve"),AND(AB206="Muy Baja",AD206="Menor"),AND(AB206="Baja",AD206="Leve")),"Bajo",IF(OR(AND(AB206="Muy baja",AD206="Moderado"),AND(AB206="Baja",AD206="Menor"),AND(AB206="Baja",AD206="Moderado"),AND(AB206="Media",AD206="Leve"),AND(AB206="Media",AD206="Menor"),AND(AB206="Media",AD206="Moderado"),AND(AB206="Alta",AD206="Leve"),AND(AB206="Alta",AD206="Menor")),"Moderado",IF(OR(AND(AB206="Muy Baja",AD206="Mayor"),AND(AB206="Baja",AD206="Mayor"),AND(AB206="Media",AD206="Mayor"),AND(AB206="Alta",AD206="Moderado"),AND(AB206="Alta",AD206="Mayor"),AND(AB206="Muy Alta",AD206="Leve"),AND(AB206="Muy Alta",AD206="Menor"),AND(AB206="Muy Alta",AD206="Moderado"),AND(AB206="Muy Alta",AD206="Mayor")),"Alto",IF(OR(AND(AB206="Muy Baja",AD206="Catastrófico"),AND(AB206="Baja",AD206="Catastrófico"),AND(AB206="Media",AD206="Catastrófico"),AND(AB206="Alta",AD206="Catastrófico"),AND(AB206="Muy Alta",AD206="Catastrófico")),"Extremo","")))),"")</f>
        <v>Alto</v>
      </c>
      <c r="AG206" s="1398" t="s">
        <v>195</v>
      </c>
      <c r="AH206" s="1953" t="s">
        <v>935</v>
      </c>
      <c r="AI206" s="1953" t="s">
        <v>936</v>
      </c>
      <c r="AJ206" s="1954" t="s">
        <v>937</v>
      </c>
      <c r="AK206" s="1955" t="s">
        <v>938</v>
      </c>
      <c r="AL206" s="1953" t="s">
        <v>939</v>
      </c>
      <c r="AM206" s="1928" t="s">
        <v>196</v>
      </c>
    </row>
    <row r="207" spans="1:39" s="1105" customFormat="1" ht="409.6" x14ac:dyDescent="0.25">
      <c r="A207" s="1956"/>
      <c r="B207" s="1956"/>
      <c r="C207" s="1956"/>
      <c r="D207" s="1957"/>
      <c r="E207" s="1958" t="s">
        <v>940</v>
      </c>
      <c r="F207" s="1956"/>
      <c r="G207" s="1956"/>
      <c r="H207" s="1959" t="s">
        <v>941</v>
      </c>
      <c r="I207" s="1960"/>
      <c r="J207" s="1956"/>
      <c r="K207" s="1133"/>
      <c r="L207" s="1133"/>
      <c r="M207" s="1133"/>
      <c r="N207" s="1133"/>
      <c r="O207" s="1133"/>
      <c r="P207" s="1133"/>
      <c r="Q207" s="1133"/>
      <c r="R207" s="1145">
        <v>2</v>
      </c>
      <c r="S207" s="1396" t="s">
        <v>942</v>
      </c>
      <c r="T207" s="1145" t="str">
        <f t="shared" si="107"/>
        <v>Probabilidad</v>
      </c>
      <c r="U207" s="1147" t="s">
        <v>197</v>
      </c>
      <c r="V207" s="1147" t="s">
        <v>191</v>
      </c>
      <c r="W207" s="1148" t="str">
        <f t="shared" si="108"/>
        <v>40%</v>
      </c>
      <c r="X207" s="1147" t="s">
        <v>192</v>
      </c>
      <c r="Y207" s="1147" t="s">
        <v>471</v>
      </c>
      <c r="Z207" s="1147" t="s">
        <v>194</v>
      </c>
      <c r="AA207" s="1149">
        <f>IFERROR(IF(AND(T206="Probabilidad",T207="Probabilidad"),(AC206-(+AC206*W207)),IF(AND(T206="Impacto",T207="Probabilidad"),(L206-(+L206*W207)),IF(T207="Impacto",AC206,""))),"")</f>
        <v>0.42</v>
      </c>
      <c r="AB207" s="1150" t="str">
        <f t="shared" si="109"/>
        <v>Media</v>
      </c>
      <c r="AC207" s="1151">
        <f t="shared" si="110"/>
        <v>0.42</v>
      </c>
      <c r="AD207" s="1150" t="str">
        <f t="shared" si="111"/>
        <v>Mayor</v>
      </c>
      <c r="AE207" s="1151">
        <f>IFERROR(IF(AND(T206="Impacto",T207="Impacto"),(AE206-(+AE206*W207)),IF(AND(T206="Probabilidad",T207="Impacto"),(P206-(+P206*W207)),IF(T207="Probabilidad",AE206,""))),"")</f>
        <v>0.8</v>
      </c>
      <c r="AF207" s="1152" t="str">
        <f t="shared" si="112"/>
        <v>Alto</v>
      </c>
      <c r="AG207" s="1398"/>
      <c r="AH207" s="1405" t="s">
        <v>943</v>
      </c>
      <c r="AI207" s="1405" t="s">
        <v>944</v>
      </c>
      <c r="AJ207" s="1954" t="s">
        <v>937</v>
      </c>
      <c r="AK207" s="1955" t="s">
        <v>938</v>
      </c>
      <c r="AL207" s="1405" t="s">
        <v>945</v>
      </c>
      <c r="AM207" s="1145"/>
    </row>
    <row r="208" spans="1:39" s="1105" customFormat="1" ht="303.60000000000002" x14ac:dyDescent="0.25">
      <c r="A208" s="1956"/>
      <c r="B208" s="1956"/>
      <c r="C208" s="1956"/>
      <c r="D208" s="1957"/>
      <c r="E208" s="1926" t="s">
        <v>946</v>
      </c>
      <c r="F208" s="1956"/>
      <c r="G208" s="1956"/>
      <c r="H208" s="1959" t="s">
        <v>947</v>
      </c>
      <c r="I208" s="1960"/>
      <c r="J208" s="1956"/>
      <c r="K208" s="1133"/>
      <c r="L208" s="1133"/>
      <c r="M208" s="1133"/>
      <c r="N208" s="1133"/>
      <c r="O208" s="1133"/>
      <c r="P208" s="1133"/>
      <c r="Q208" s="1133"/>
      <c r="R208" s="1145">
        <v>3</v>
      </c>
      <c r="S208" s="1146" t="s">
        <v>948</v>
      </c>
      <c r="T208" s="1145" t="str">
        <f t="shared" si="107"/>
        <v>Probabilidad</v>
      </c>
      <c r="U208" s="1147" t="s">
        <v>243</v>
      </c>
      <c r="V208" s="1147" t="s">
        <v>191</v>
      </c>
      <c r="W208" s="1148" t="str">
        <f t="shared" si="108"/>
        <v>30%</v>
      </c>
      <c r="X208" s="1147" t="s">
        <v>192</v>
      </c>
      <c r="Y208" s="1147" t="s">
        <v>193</v>
      </c>
      <c r="Z208" s="1147" t="s">
        <v>194</v>
      </c>
      <c r="AA208" s="1149">
        <f t="shared" ref="AA208:AA209" si="113">IFERROR(IF(AND(T207="Probabilidad",T208="Probabilidad"),(AC207-(+AC207*W208)),IF(AND(T207="Impacto",T208="Probabilidad"),(AC206-(+AC206*W208)),IF(T208="Impacto",AC207,""))),"")</f>
        <v>0.29399999999999998</v>
      </c>
      <c r="AB208" s="1150" t="str">
        <f t="shared" si="109"/>
        <v>Baja</v>
      </c>
      <c r="AC208" s="1151">
        <f t="shared" si="110"/>
        <v>0.29399999999999998</v>
      </c>
      <c r="AD208" s="1150" t="str">
        <f t="shared" si="111"/>
        <v>Mayor</v>
      </c>
      <c r="AE208" s="1151">
        <f t="shared" ref="AE208:AE209" si="114">IFERROR(IF(AND(T207="Impacto",T208="Impacto"),(AE207-(+AE207*W208)),IF(AND(T207="Probabilidad",T208="Impacto"),(AE206-(+AE206*W208)),IF(T208="Probabilidad",AE207,""))),"")</f>
        <v>0.8</v>
      </c>
      <c r="AF208" s="1152" t="str">
        <f t="shared" si="112"/>
        <v>Alto</v>
      </c>
      <c r="AG208" s="1398" t="s">
        <v>195</v>
      </c>
      <c r="AH208" s="1405" t="s">
        <v>949</v>
      </c>
      <c r="AI208" s="1405" t="s">
        <v>950</v>
      </c>
      <c r="AJ208" s="1954" t="s">
        <v>937</v>
      </c>
      <c r="AK208" s="1955" t="s">
        <v>938</v>
      </c>
      <c r="AL208" s="1405" t="s">
        <v>951</v>
      </c>
      <c r="AM208" s="1145"/>
    </row>
    <row r="209" spans="1:39" s="1105" customFormat="1" ht="409.6" x14ac:dyDescent="0.25">
      <c r="A209" s="1956"/>
      <c r="B209" s="1956"/>
      <c r="C209" s="1956"/>
      <c r="D209" s="1957"/>
      <c r="E209" s="1926" t="s">
        <v>952</v>
      </c>
      <c r="F209" s="1956"/>
      <c r="G209" s="1956"/>
      <c r="H209" s="1959" t="s">
        <v>941</v>
      </c>
      <c r="I209" s="1960"/>
      <c r="J209" s="1956"/>
      <c r="K209" s="1133"/>
      <c r="L209" s="1133"/>
      <c r="M209" s="1133"/>
      <c r="N209" s="1133"/>
      <c r="O209" s="1133"/>
      <c r="P209" s="1133"/>
      <c r="Q209" s="1133"/>
      <c r="R209" s="1145">
        <v>4</v>
      </c>
      <c r="S209" s="1396" t="s">
        <v>953</v>
      </c>
      <c r="T209" s="1145" t="str">
        <f t="shared" si="107"/>
        <v>Probabilidad</v>
      </c>
      <c r="U209" s="1147" t="s">
        <v>243</v>
      </c>
      <c r="V209" s="1147" t="s">
        <v>191</v>
      </c>
      <c r="W209" s="1148" t="str">
        <f t="shared" si="108"/>
        <v>30%</v>
      </c>
      <c r="X209" s="1147" t="s">
        <v>192</v>
      </c>
      <c r="Y209" s="1147" t="s">
        <v>193</v>
      </c>
      <c r="Z209" s="1147" t="s">
        <v>194</v>
      </c>
      <c r="AA209" s="1149">
        <f t="shared" si="113"/>
        <v>0.20579999999999998</v>
      </c>
      <c r="AB209" s="1150" t="str">
        <f t="shared" si="109"/>
        <v>Baja</v>
      </c>
      <c r="AC209" s="1151">
        <f t="shared" si="110"/>
        <v>0.20579999999999998</v>
      </c>
      <c r="AD209" s="1150" t="str">
        <f t="shared" si="111"/>
        <v>Mayor</v>
      </c>
      <c r="AE209" s="1151">
        <f t="shared" si="114"/>
        <v>0.8</v>
      </c>
      <c r="AF209" s="1152" t="str">
        <f t="shared" si="112"/>
        <v>Alto</v>
      </c>
      <c r="AG209" s="1398" t="s">
        <v>195</v>
      </c>
      <c r="AH209" s="1961" t="s">
        <v>954</v>
      </c>
      <c r="AI209" s="1405" t="s">
        <v>950</v>
      </c>
      <c r="AJ209" s="1954" t="s">
        <v>937</v>
      </c>
      <c r="AK209" s="1955" t="s">
        <v>938</v>
      </c>
      <c r="AL209" s="1405" t="s">
        <v>955</v>
      </c>
      <c r="AM209" s="1145"/>
    </row>
    <row r="210" spans="1:39" s="1105" customFormat="1" x14ac:dyDescent="0.25">
      <c r="A210" s="1659" t="s">
        <v>148</v>
      </c>
      <c r="B210" s="1660"/>
      <c r="C210" s="1660"/>
      <c r="D210" s="1660"/>
      <c r="E210" s="1660"/>
      <c r="F210" s="1660"/>
      <c r="G210" s="1660"/>
      <c r="H210" s="1660"/>
      <c r="I210" s="1660"/>
      <c r="J210" s="1660"/>
      <c r="K210" s="1660"/>
      <c r="L210" s="1660"/>
      <c r="M210" s="1660"/>
      <c r="N210" s="1660"/>
      <c r="O210" s="1660"/>
      <c r="P210" s="1660"/>
      <c r="Q210" s="1660"/>
      <c r="R210" s="1660"/>
      <c r="S210" s="1660"/>
      <c r="T210" s="1660"/>
      <c r="U210" s="1660"/>
      <c r="V210" s="1660"/>
      <c r="W210" s="1660"/>
      <c r="X210" s="1660"/>
      <c r="Y210" s="1660"/>
      <c r="Z210" s="1660"/>
      <c r="AA210" s="1660"/>
      <c r="AB210" s="1660"/>
      <c r="AC210" s="1660"/>
      <c r="AD210" s="1660"/>
      <c r="AE210" s="1660"/>
      <c r="AF210" s="1660"/>
      <c r="AG210" s="1660"/>
      <c r="AH210" s="1660"/>
      <c r="AI210" s="1660"/>
      <c r="AJ210" s="1660"/>
      <c r="AK210" s="1660"/>
      <c r="AL210" s="1660"/>
      <c r="AM210" s="1661"/>
    </row>
    <row r="211" spans="1:39" s="1105" customFormat="1" x14ac:dyDescent="0.25">
      <c r="A211" s="1662"/>
      <c r="B211" s="1663"/>
      <c r="C211" s="1663"/>
      <c r="D211" s="1663"/>
      <c r="E211" s="1663"/>
      <c r="F211" s="1663"/>
      <c r="G211" s="1663"/>
      <c r="H211" s="1663"/>
      <c r="I211" s="1663"/>
      <c r="J211" s="1663"/>
      <c r="K211" s="1663"/>
      <c r="L211" s="1663"/>
      <c r="M211" s="1663"/>
      <c r="N211" s="1663"/>
      <c r="O211" s="1663"/>
      <c r="P211" s="1663"/>
      <c r="Q211" s="1663"/>
      <c r="R211" s="1663"/>
      <c r="S211" s="1663"/>
      <c r="T211" s="1663"/>
      <c r="U211" s="1663"/>
      <c r="V211" s="1663"/>
      <c r="W211" s="1663"/>
      <c r="X211" s="1663"/>
      <c r="Y211" s="1663"/>
      <c r="Z211" s="1663"/>
      <c r="AA211" s="1663"/>
      <c r="AB211" s="1663"/>
      <c r="AC211" s="1663"/>
      <c r="AD211" s="1663"/>
      <c r="AE211" s="1663"/>
      <c r="AF211" s="1663"/>
      <c r="AG211" s="1663"/>
      <c r="AH211" s="1663"/>
      <c r="AI211" s="1663"/>
      <c r="AJ211" s="1663"/>
      <c r="AK211" s="1663"/>
      <c r="AL211" s="1663"/>
      <c r="AM211" s="1664"/>
    </row>
    <row r="212" spans="1:39" s="1105" customFormat="1" x14ac:dyDescent="0.25">
      <c r="A212" s="1421"/>
      <c r="B212" s="1422"/>
      <c r="C212" s="1421"/>
      <c r="D212" s="1421"/>
      <c r="E212" s="1421"/>
      <c r="F212" s="1423"/>
      <c r="G212" s="1423"/>
      <c r="H212" s="1423"/>
      <c r="I212" s="1424"/>
      <c r="J212" s="1423"/>
      <c r="K212" s="1423"/>
      <c r="L212" s="1423"/>
      <c r="M212" s="1423"/>
      <c r="N212" s="1423"/>
      <c r="O212" s="1423"/>
      <c r="P212" s="1423"/>
      <c r="Q212" s="1423"/>
      <c r="R212" s="1423"/>
      <c r="S212" s="1423"/>
      <c r="T212" s="1423"/>
      <c r="U212" s="1423"/>
      <c r="V212" s="1423"/>
      <c r="W212" s="1423"/>
      <c r="X212" s="1423"/>
      <c r="Y212" s="1423"/>
      <c r="Z212" s="1423"/>
      <c r="AA212" s="1423"/>
      <c r="AB212" s="1423"/>
      <c r="AC212" s="1423"/>
      <c r="AD212" s="1423"/>
      <c r="AE212" s="1423"/>
      <c r="AF212" s="1423"/>
      <c r="AG212" s="1423"/>
      <c r="AH212" s="1423"/>
      <c r="AI212" s="1423"/>
      <c r="AJ212" s="1423"/>
      <c r="AK212" s="1423"/>
      <c r="AL212" s="1423"/>
      <c r="AM212" s="1423"/>
    </row>
    <row r="213" spans="1:39" s="1105" customFormat="1" ht="23.4" x14ac:dyDescent="0.25">
      <c r="A213" s="1425" t="s">
        <v>149</v>
      </c>
      <c r="B213" s="1426"/>
      <c r="C213" s="1962" t="s">
        <v>956</v>
      </c>
      <c r="D213" s="1962"/>
      <c r="E213" s="1962"/>
      <c r="F213" s="1962"/>
      <c r="G213" s="1962"/>
      <c r="H213" s="1962"/>
      <c r="I213" s="1962"/>
      <c r="J213" s="1962"/>
      <c r="K213" s="1962"/>
      <c r="L213" s="1962"/>
      <c r="M213" s="1962"/>
      <c r="N213" s="1962"/>
      <c r="O213" s="1962"/>
      <c r="P213" s="1962"/>
      <c r="Q213" s="1962"/>
      <c r="R213" s="1962"/>
      <c r="S213" s="1962"/>
      <c r="T213" s="1962"/>
      <c r="U213" s="1962"/>
      <c r="V213" s="1962"/>
      <c r="W213" s="1962"/>
      <c r="X213" s="1962"/>
      <c r="Y213" s="1962"/>
      <c r="Z213" s="1962"/>
      <c r="AA213" s="1962"/>
      <c r="AB213" s="1962"/>
      <c r="AC213" s="1962"/>
      <c r="AD213" s="1962"/>
      <c r="AE213" s="1962"/>
      <c r="AF213" s="1962"/>
      <c r="AG213" s="1962"/>
      <c r="AH213" s="1962"/>
      <c r="AI213" s="1962"/>
      <c r="AJ213" s="1962"/>
      <c r="AK213" s="1962"/>
      <c r="AL213" s="1962"/>
      <c r="AM213" s="1962"/>
    </row>
    <row r="214" spans="1:39" s="1105" customFormat="1" ht="23.4" x14ac:dyDescent="0.25">
      <c r="A214" s="1425" t="s">
        <v>150</v>
      </c>
      <c r="B214" s="1426"/>
      <c r="C214" s="1963" t="s">
        <v>957</v>
      </c>
      <c r="D214" s="1963"/>
      <c r="E214" s="1963"/>
      <c r="F214" s="1963"/>
      <c r="G214" s="1963"/>
      <c r="H214" s="1963"/>
      <c r="I214" s="1963"/>
      <c r="J214" s="1963"/>
      <c r="K214" s="1963"/>
      <c r="L214" s="1963"/>
      <c r="M214" s="1963"/>
      <c r="N214" s="1963"/>
      <c r="O214" s="1963"/>
      <c r="P214" s="1963"/>
      <c r="Q214" s="1963"/>
      <c r="R214" s="1963"/>
      <c r="S214" s="1963"/>
      <c r="T214" s="1963"/>
      <c r="U214" s="1963"/>
      <c r="V214" s="1963"/>
      <c r="W214" s="1963"/>
      <c r="X214" s="1963"/>
      <c r="Y214" s="1963"/>
      <c r="Z214" s="1963"/>
      <c r="AA214" s="1963"/>
      <c r="AB214" s="1963"/>
      <c r="AC214" s="1963"/>
      <c r="AD214" s="1963"/>
      <c r="AE214" s="1963"/>
      <c r="AF214" s="1963"/>
      <c r="AG214" s="1963"/>
      <c r="AH214" s="1963"/>
      <c r="AI214" s="1963"/>
      <c r="AJ214" s="1963"/>
      <c r="AK214" s="1963"/>
      <c r="AL214" s="1963"/>
      <c r="AM214" s="1963"/>
    </row>
    <row r="215" spans="1:39" s="1105" customFormat="1" ht="23.4" x14ac:dyDescent="0.25">
      <c r="A215" s="1425" t="s">
        <v>151</v>
      </c>
      <c r="B215" s="1426"/>
      <c r="C215" s="1963" t="s">
        <v>958</v>
      </c>
      <c r="D215" s="1963"/>
      <c r="E215" s="1963"/>
      <c r="F215" s="1963"/>
      <c r="G215" s="1963"/>
      <c r="H215" s="1963"/>
      <c r="I215" s="1963"/>
      <c r="J215" s="1963"/>
      <c r="K215" s="1963"/>
      <c r="L215" s="1963"/>
      <c r="M215" s="1963"/>
      <c r="N215" s="1963"/>
      <c r="O215" s="1963"/>
      <c r="P215" s="1963"/>
      <c r="Q215" s="1963"/>
      <c r="R215" s="1963"/>
      <c r="S215" s="1963"/>
      <c r="T215" s="1963"/>
      <c r="U215" s="1963"/>
      <c r="V215" s="1963"/>
      <c r="W215" s="1963"/>
      <c r="X215" s="1963"/>
      <c r="Y215" s="1963"/>
      <c r="Z215" s="1963"/>
      <c r="AA215" s="1963"/>
      <c r="AB215" s="1963"/>
      <c r="AC215" s="1963"/>
      <c r="AD215" s="1963"/>
      <c r="AE215" s="1963"/>
      <c r="AF215" s="1963"/>
      <c r="AG215" s="1963"/>
      <c r="AH215" s="1963"/>
      <c r="AI215" s="1963"/>
      <c r="AJ215" s="1963"/>
      <c r="AK215" s="1963"/>
      <c r="AL215" s="1963"/>
      <c r="AM215" s="1963"/>
    </row>
    <row r="216" spans="1:39" s="1105" customFormat="1" x14ac:dyDescent="0.25">
      <c r="A216" s="1429" t="s">
        <v>152</v>
      </c>
      <c r="B216" s="1430"/>
      <c r="C216" s="1431"/>
      <c r="D216" s="1431"/>
      <c r="E216" s="1431"/>
      <c r="F216" s="1431"/>
      <c r="G216" s="1431"/>
      <c r="H216" s="1431"/>
      <c r="I216" s="1431"/>
      <c r="J216" s="1432"/>
      <c r="K216" s="1433" t="s">
        <v>153</v>
      </c>
      <c r="L216" s="1431"/>
      <c r="M216" s="1431"/>
      <c r="N216" s="1431"/>
      <c r="O216" s="1431"/>
      <c r="P216" s="1431"/>
      <c r="Q216" s="1432"/>
      <c r="R216" s="1433" t="s">
        <v>154</v>
      </c>
      <c r="S216" s="1431"/>
      <c r="T216" s="1431"/>
      <c r="U216" s="1431"/>
      <c r="V216" s="1431"/>
      <c r="W216" s="1431"/>
      <c r="X216" s="1431"/>
      <c r="Y216" s="1431"/>
      <c r="Z216" s="1432"/>
      <c r="AA216" s="1433" t="s">
        <v>155</v>
      </c>
      <c r="AB216" s="1431"/>
      <c r="AC216" s="1431"/>
      <c r="AD216" s="1431"/>
      <c r="AE216" s="1431"/>
      <c r="AF216" s="1431"/>
      <c r="AG216" s="1432"/>
      <c r="AH216" s="1433" t="s">
        <v>156</v>
      </c>
      <c r="AI216" s="1431"/>
      <c r="AJ216" s="1431"/>
      <c r="AK216" s="1431"/>
      <c r="AL216" s="1431"/>
      <c r="AM216" s="1432"/>
    </row>
    <row r="217" spans="1:39" s="1105" customFormat="1" x14ac:dyDescent="0.25">
      <c r="A217" s="1434" t="s">
        <v>157</v>
      </c>
      <c r="B217" s="1435" t="s">
        <v>141</v>
      </c>
      <c r="C217" s="1436" t="s">
        <v>158</v>
      </c>
      <c r="D217" s="1436" t="s">
        <v>159</v>
      </c>
      <c r="E217" s="1437" t="s">
        <v>160</v>
      </c>
      <c r="F217" s="1438" t="s">
        <v>60</v>
      </c>
      <c r="G217" s="1439"/>
      <c r="H217" s="1439"/>
      <c r="I217" s="1437" t="s">
        <v>161</v>
      </c>
      <c r="J217" s="1436" t="s">
        <v>162</v>
      </c>
      <c r="K217" s="1440" t="s">
        <v>163</v>
      </c>
      <c r="L217" s="1441" t="s">
        <v>164</v>
      </c>
      <c r="M217" s="1437" t="s">
        <v>165</v>
      </c>
      <c r="N217" s="1437" t="s">
        <v>166</v>
      </c>
      <c r="O217" s="1442" t="s">
        <v>167</v>
      </c>
      <c r="P217" s="1441" t="s">
        <v>164</v>
      </c>
      <c r="Q217" s="1436" t="s">
        <v>168</v>
      </c>
      <c r="R217" s="1443" t="s">
        <v>169</v>
      </c>
      <c r="S217" s="1444" t="s">
        <v>170</v>
      </c>
      <c r="T217" s="1437" t="s">
        <v>171</v>
      </c>
      <c r="U217" s="1444" t="s">
        <v>172</v>
      </c>
      <c r="V217" s="1444"/>
      <c r="W217" s="1444"/>
      <c r="X217" s="1444"/>
      <c r="Y217" s="1444"/>
      <c r="Z217" s="1444"/>
      <c r="AA217" s="1445" t="s">
        <v>173</v>
      </c>
      <c r="AB217" s="1445" t="s">
        <v>174</v>
      </c>
      <c r="AC217" s="1445" t="s">
        <v>164</v>
      </c>
      <c r="AD217" s="1445" t="s">
        <v>175</v>
      </c>
      <c r="AE217" s="1445" t="s">
        <v>164</v>
      </c>
      <c r="AF217" s="1445" t="s">
        <v>176</v>
      </c>
      <c r="AG217" s="1443" t="s">
        <v>177</v>
      </c>
      <c r="AH217" s="1444" t="s">
        <v>156</v>
      </c>
      <c r="AI217" s="1444" t="s">
        <v>142</v>
      </c>
      <c r="AJ217" s="1444" t="s">
        <v>178</v>
      </c>
      <c r="AK217" s="1444" t="s">
        <v>179</v>
      </c>
      <c r="AL217" s="1444" t="s">
        <v>180</v>
      </c>
      <c r="AM217" s="1444" t="s">
        <v>181</v>
      </c>
    </row>
    <row r="218" spans="1:39" s="1105" customFormat="1" ht="70.2" x14ac:dyDescent="0.25">
      <c r="A218" s="1446"/>
      <c r="B218" s="1435"/>
      <c r="C218" s="1444"/>
      <c r="D218" s="1444"/>
      <c r="E218" s="1440"/>
      <c r="F218" s="1447"/>
      <c r="G218" s="1439" t="s">
        <v>201</v>
      </c>
      <c r="H218" s="1439" t="s">
        <v>182</v>
      </c>
      <c r="I218" s="1440"/>
      <c r="J218" s="1437"/>
      <c r="K218" s="1440"/>
      <c r="L218" s="1441"/>
      <c r="M218" s="1436"/>
      <c r="N218" s="1436"/>
      <c r="O218" s="1433"/>
      <c r="P218" s="1433"/>
      <c r="Q218" s="1444"/>
      <c r="R218" s="1448"/>
      <c r="S218" s="1444"/>
      <c r="T218" s="1436"/>
      <c r="U218" s="1449" t="s">
        <v>183</v>
      </c>
      <c r="V218" s="1449" t="s">
        <v>184</v>
      </c>
      <c r="W218" s="1449" t="s">
        <v>185</v>
      </c>
      <c r="X218" s="1449" t="s">
        <v>186</v>
      </c>
      <c r="Y218" s="1449" t="s">
        <v>187</v>
      </c>
      <c r="Z218" s="1449" t="s">
        <v>188</v>
      </c>
      <c r="AA218" s="1443"/>
      <c r="AB218" s="1445"/>
      <c r="AC218" s="1445"/>
      <c r="AD218" s="1445"/>
      <c r="AE218" s="1445"/>
      <c r="AF218" s="1445"/>
      <c r="AG218" s="1448"/>
      <c r="AH218" s="1444"/>
      <c r="AI218" s="1444"/>
      <c r="AJ218" s="1444"/>
      <c r="AK218" s="1444"/>
      <c r="AL218" s="1444"/>
      <c r="AM218" s="1444"/>
    </row>
    <row r="219" spans="1:39" s="1105" customFormat="1" ht="247.2" customHeight="1" x14ac:dyDescent="0.25">
      <c r="A219" s="1450">
        <v>1</v>
      </c>
      <c r="B219" s="1964" t="s">
        <v>189</v>
      </c>
      <c r="C219" s="1964" t="s">
        <v>959</v>
      </c>
      <c r="D219" s="1965" t="s">
        <v>960</v>
      </c>
      <c r="E219" s="1966" t="s">
        <v>281</v>
      </c>
      <c r="F219" s="1967" t="s">
        <v>961</v>
      </c>
      <c r="G219" s="1968" t="s">
        <v>202</v>
      </c>
      <c r="H219" s="1969" t="s">
        <v>962</v>
      </c>
      <c r="I219" s="1970" t="s">
        <v>278</v>
      </c>
      <c r="J219" s="1971">
        <v>25</v>
      </c>
      <c r="K219" s="1972" t="str">
        <f>IF(J219&lt;=0,"",IF(J219&lt;=2,"Muy Baja",IF(J219&lt;=24,"Baja",IF(J219&lt;=500,"Media",IF(J219&lt;=5000,"Alta","Muy Alta")))))</f>
        <v>Media</v>
      </c>
      <c r="L219" s="1973">
        <f>IF(K219="","",IF(K219="Muy Baja",0.2,IF(K219="Baja",0.4,IF(K219="Media",0.6,IF(K219="Alta",0.8,IF(K219="Muy Alta",1,))))))</f>
        <v>0.6</v>
      </c>
      <c r="M219" s="1974" t="s">
        <v>200</v>
      </c>
      <c r="N219" s="1509" t="str">
        <f>IF(NOT(ISERROR(MATCH(M219,'[32]Tabla Impacto'!$B$221:$B$223,0))),'[32]Tabla Impacto'!$F$223&amp;"Por favor no seleccionar los criterios de impacto(Afectación Económica o presupuestal y Pérdida Reputacional)",M219)</f>
        <v xml:space="preserve">     El riesgo afecta la imagen de la entidad con algunos usuarios de relevancia frente al logro de los objetivos</v>
      </c>
      <c r="O219" s="1508" t="str">
        <f>IF(OR(N219='[32]Tabla Impacto'!$C$11,N219='[32]Tabla Impacto'!$D$11),"Leve",IF(OR(N219='[32]Tabla Impacto'!$C$12,N219='[32]Tabla Impacto'!$D$12),"Menor",IF(OR(N219='[32]Tabla Impacto'!$C$13,N219='[32]Tabla Impacto'!$D$13),"Moderado",IF(OR(N219='[32]Tabla Impacto'!$C$14,N219='[32]Tabla Impacto'!$D$14),"Mayor",IF(OR(N219='[32]Tabla Impacto'!$C$15,N219='[32]Tabla Impacto'!$D$15),"Catastrófico","")))))</f>
        <v>Moderado</v>
      </c>
      <c r="P219" s="1509">
        <f>IF(O219="","",IF(O219="Leve",0.2,IF(O219="Menor",0.4,IF(O219="Moderado",0.6,IF(O219="Mayor",0.8,IF(O219="Catastrófico",1,))))))</f>
        <v>0.6</v>
      </c>
      <c r="Q219" s="1511" t="str">
        <f>IF(OR(AND(K219="Muy Baja",O219="Leve"),AND(K219="Muy Baja",O219="Menor"),AND(K219="Baja",O219="Leve")),"Bajo",IF(OR(AND(K219="Muy baja",O219="Moderado"),AND(K219="Baja",O219="Menor"),AND(K219="Baja",O219="Moderado"),AND(K219="Media",O219="Leve"),AND(K219="Media",O219="Menor"),AND(K219="Media",O219="Moderado"),AND(K219="Alta",O219="Leve"),AND(K219="Alta",O219="Menor")),"Moderado",IF(OR(AND(K219="Muy Baja",O219="Mayor"),AND(K219="Baja",O219="Mayor"),AND(K219="Media",O219="Mayor"),AND(K219="Alta",O219="Moderado"),AND(K219="Alta",O219="Mayor"),AND(K219="Muy Alta",O219="Leve"),AND(K219="Muy Alta",O219="Menor"),AND(K219="Muy Alta",O219="Moderado"),AND(K219="Muy Alta",O219="Mayor")),"Alto",IF(OR(AND(K219="Muy Baja",O219="Catastrófico"),AND(K219="Baja",O219="Catastrófico"),AND(K219="Media",O219="Catastrófico"),AND(K219="Alta",O219="Catastrófico"),AND(K219="Muy Alta",O219="Catastrófico")),"Extremo",""))))</f>
        <v>Moderado</v>
      </c>
      <c r="R219" s="1512">
        <v>1</v>
      </c>
      <c r="S219" s="1513" t="s">
        <v>963</v>
      </c>
      <c r="T219" s="1514" t="str">
        <f>IF(OR(U219="Preventivo",U219="Detectivo"),"Probabilidad",IF(U219="Correctivo","Impacto",""))</f>
        <v>Probabilidad</v>
      </c>
      <c r="U219" s="1515" t="s">
        <v>197</v>
      </c>
      <c r="V219" s="1515" t="s">
        <v>191</v>
      </c>
      <c r="W219" s="1516" t="str">
        <f>IF(AND(U219="Preventivo",V219="Automático"),"50%",IF(AND(U219="Preventivo",V219="Manual"),"40%",IF(AND(U219="Detectivo",V219="Automático"),"40%",IF(AND(U219="Detectivo",V219="Manual"),"30%",IF(AND(U219="Correctivo",V219="Automático"),"35%",IF(AND(U219="Correctivo",V219="Manual"),"25%",""))))))</f>
        <v>40%</v>
      </c>
      <c r="X219" s="1515" t="s">
        <v>198</v>
      </c>
      <c r="Y219" s="1515" t="s">
        <v>193</v>
      </c>
      <c r="Z219" s="1975" t="s">
        <v>194</v>
      </c>
      <c r="AA219" s="1976">
        <f>IFERROR(IF(T219="Probabilidad",(L219-(+L219*W219)),IF(T219="Impacto",L219,"")),"")</f>
        <v>0.36</v>
      </c>
      <c r="AB219" s="1977" t="str">
        <f>IFERROR(IF(AA219="","",IF(AA219&lt;=0.2,"Muy Baja",IF(AA219&lt;=0.4,"Baja",IF(AA219&lt;=0.6,"Media",IF(AA219&lt;=0.8,"Alta","Muy Alta"))))),"")</f>
        <v>Baja</v>
      </c>
      <c r="AC219" s="1519">
        <f>+AA219</f>
        <v>0.36</v>
      </c>
      <c r="AD219" s="1978" t="str">
        <f>IFERROR(IF(AE219="","",IF(AE219&lt;=0.2,"Leve",IF(AE219&lt;=0.4,"Menor",IF(AE219&lt;=0.6,"Moderado",IF(AE219&lt;=0.8,"Mayor","Catastrófico"))))),"")</f>
        <v>Moderado</v>
      </c>
      <c r="AE219" s="1519">
        <f>IFERROR(IF(T219="Impacto",(P219-(+P219*W219)),IF(T219="Probabilidad",P219,"")),"")</f>
        <v>0.6</v>
      </c>
      <c r="AF219" s="1591" t="str">
        <f>IFERROR(IF(OR(AND(AB219="Muy Baja",AD219="Leve"),AND(AB219="Muy Baja",AD219="Menor"),AND(AB219="Baja",AD219="Leve")),"Bajo",IF(OR(AND(AB219="Muy baja",AD219="Moderado"),AND(AB219="Baja",AD219="Menor"),AND(AB219="Baja",AD219="Moderado"),AND(AB219="Media",AD219="Leve"),AND(AB219="Media",AD219="Menor"),AND(AB219="Media",AD219="Moderado"),AND(AB219="Alta",AD219="Leve"),AND(AB219="Alta",AD219="Menor")),"Moderado",IF(OR(AND(AB219="Muy Baja",AD219="Mayor"),AND(AB219="Baja",AD219="Mayor"),AND(AB219="Media",AD219="Mayor"),AND(AB219="Alta",AD219="Moderado"),AND(AB219="Alta",AD219="Mayor"),AND(AB219="Muy Alta",AD219="Leve"),AND(AB219="Muy Alta",AD219="Menor"),AND(AB219="Muy Alta",AD219="Moderado"),AND(AB219="Muy Alta",AD219="Mayor")),"Alto",IF(OR(AND(AB219="Muy Baja",AD219="Catastrófico"),AND(AB219="Baja",AD219="Catastrófico"),AND(AB219="Media",AD219="Catastrófico"),AND(AB219="Alta",AD219="Catastrófico"),AND(AB219="Muy Alta",AD219="Catastrófico")),"Extremo","")))),"")</f>
        <v>Moderado</v>
      </c>
      <c r="AG219" s="1580" t="s">
        <v>195</v>
      </c>
      <c r="AH219" s="1579" t="s">
        <v>261</v>
      </c>
      <c r="AI219" s="1579" t="s">
        <v>964</v>
      </c>
      <c r="AJ219" s="1979" t="s">
        <v>263</v>
      </c>
      <c r="AK219" s="1845" t="s">
        <v>965</v>
      </c>
      <c r="AL219" s="1865"/>
      <c r="AM219" s="1844"/>
    </row>
    <row r="220" spans="1:39" s="1105" customFormat="1" ht="227.4" customHeight="1" x14ac:dyDescent="0.25">
      <c r="A220" s="1475"/>
      <c r="B220" s="1980"/>
      <c r="C220" s="1980"/>
      <c r="D220" s="1981"/>
      <c r="E220" s="1966" t="s">
        <v>282</v>
      </c>
      <c r="F220" s="1967"/>
      <c r="G220" s="1982"/>
      <c r="H220" s="1969"/>
      <c r="I220" s="1983" t="s">
        <v>278</v>
      </c>
      <c r="J220" s="1984">
        <v>25</v>
      </c>
      <c r="K220" s="1985" t="str">
        <f t="shared" ref="K220:K222" si="115">IF(J220&lt;=0,"",IF(J220&lt;=2,"Muy Baja",IF(J220&lt;=24,"Baja",IF(J220&lt;=500,"Media",IF(J220&lt;=5000,"Alta","Muy Alta")))))</f>
        <v>Media</v>
      </c>
      <c r="L220" s="1986">
        <f t="shared" ref="L220:L222" si="116">IF(K220="","",IF(K220="Muy Baja",0.2,IF(K220="Baja",0.4,IF(K220="Media",0.6,IF(K220="Alta",0.8,IF(K220="Muy Alta",1,))))))</f>
        <v>0.6</v>
      </c>
      <c r="M220" s="1987"/>
      <c r="N220" s="1531">
        <f>IF(NOT(ISERROR(MATCH(M220,_xlfn.ANCHORARRAY(F224),0))),L226&amp;"Por favor no seleccionar los criterios de impacto",M220)</f>
        <v>0</v>
      </c>
      <c r="O220" s="1530"/>
      <c r="P220" s="1531"/>
      <c r="Q220" s="1533"/>
      <c r="R220" s="1512">
        <v>2</v>
      </c>
      <c r="S220" s="1851" t="s">
        <v>266</v>
      </c>
      <c r="T220" s="1514" t="str">
        <f>IF(OR(U220="Preventivo",U220="Detectivo"),"Probabilidad",IF(U220="Correctivo","Impacto",""))</f>
        <v>Probabilidad</v>
      </c>
      <c r="U220" s="1515" t="s">
        <v>197</v>
      </c>
      <c r="V220" s="1515" t="s">
        <v>191</v>
      </c>
      <c r="W220" s="1516" t="str">
        <f t="shared" ref="W220:W222" si="117">IF(AND(U220="Preventivo",V220="Automático"),"50%",IF(AND(U220="Preventivo",V220="Manual"),"40%",IF(AND(U220="Detectivo",V220="Automático"),"40%",IF(AND(U220="Detectivo",V220="Manual"),"30%",IF(AND(U220="Correctivo",V220="Automático"),"35%",IF(AND(U220="Correctivo",V220="Manual"),"25%",""))))))</f>
        <v>40%</v>
      </c>
      <c r="X220" s="1515" t="s">
        <v>198</v>
      </c>
      <c r="Y220" s="1515" t="s">
        <v>193</v>
      </c>
      <c r="Z220" s="1975" t="s">
        <v>485</v>
      </c>
      <c r="AA220" s="1517">
        <f>IFERROR(IF(AND(T219="Probabilidad",T220="Probabilidad"),(AC219-(+AC219*W220)),IF(AND(T219="Impacto",T220="Probabilidad"),(L219-(+L219*W220)),IF(T220="Impacto",AC219,""))),"")</f>
        <v>0.216</v>
      </c>
      <c r="AB220" s="1977" t="str">
        <f t="shared" ref="AB220:AB223" si="118">IFERROR(IF(AA220="","",IF(AA220&lt;=0.2,"Muy Baja",IF(AA220&lt;=0.4,"Baja",IF(AA220&lt;=0.6,"Media",IF(AA220&lt;=0.8,"Alta","Muy Alta"))))),"")</f>
        <v>Baja</v>
      </c>
      <c r="AC220" s="1519">
        <f>+AA220</f>
        <v>0.216</v>
      </c>
      <c r="AD220" s="1978" t="str">
        <f t="shared" ref="AD220:AD222" si="119">IFERROR(IF(AE220="","",IF(AE220&lt;=0.2,"Leve",IF(AE220&lt;=0.4,"Menor",IF(AE220&lt;=0.6,"Moderado",IF(AE220&lt;=0.8,"Mayor","Catastrófico"))))),"")</f>
        <v>Moderado</v>
      </c>
      <c r="AE220" s="1519">
        <f>IFERROR(IF(AND(T219="Impacto",T220="Impacto"),(AE219-(+AE219*W220)),IF(AND(T219="Probabilidad",T220="Impacto"),(P219-(+P219*W220)),IF(T220="Probabilidad",AE219,""))),"")</f>
        <v>0.6</v>
      </c>
      <c r="AF220" s="1988"/>
      <c r="AG220" s="1580"/>
      <c r="AH220" s="1513" t="s">
        <v>966</v>
      </c>
      <c r="AI220" s="1513" t="s">
        <v>964</v>
      </c>
      <c r="AJ220" s="1979" t="s">
        <v>263</v>
      </c>
      <c r="AK220" s="1850" t="s">
        <v>965</v>
      </c>
      <c r="AL220" s="1555"/>
      <c r="AM220" s="1556"/>
    </row>
    <row r="221" spans="1:39" s="1105" customFormat="1" ht="387.6" customHeight="1" x14ac:dyDescent="0.25">
      <c r="A221" s="1475"/>
      <c r="B221" s="1980"/>
      <c r="C221" s="1980"/>
      <c r="D221" s="1981"/>
      <c r="E221" s="1989" t="s">
        <v>283</v>
      </c>
      <c r="F221" s="1967"/>
      <c r="G221" s="1982"/>
      <c r="H221" s="1969"/>
      <c r="I221" s="1990" t="s">
        <v>278</v>
      </c>
      <c r="J221" s="1991">
        <v>25</v>
      </c>
      <c r="K221" s="1992" t="str">
        <f t="shared" si="115"/>
        <v>Media</v>
      </c>
      <c r="L221" s="1993">
        <f t="shared" si="116"/>
        <v>0.6</v>
      </c>
      <c r="M221" s="1987"/>
      <c r="N221" s="1531">
        <f>IF(NOT(ISERROR(MATCH(M221,_xlfn.ANCHORARRAY(F225),0))),L227&amp;"Por favor no seleccionar los criterios de impacto",M221)</f>
        <v>0</v>
      </c>
      <c r="O221" s="1530"/>
      <c r="P221" s="1531"/>
      <c r="Q221" s="1533"/>
      <c r="R221" s="1512">
        <v>3</v>
      </c>
      <c r="S221" s="1513" t="s">
        <v>967</v>
      </c>
      <c r="T221" s="1514" t="str">
        <f t="shared" ref="T221:T222" si="120">IF(OR(U221="Preventivo",U221="Detectivo"),"Probabilidad",IF(U221="Correctivo","Impacto",""))</f>
        <v>Probabilidad</v>
      </c>
      <c r="U221" s="1515" t="s">
        <v>197</v>
      </c>
      <c r="V221" s="1515" t="s">
        <v>191</v>
      </c>
      <c r="W221" s="1516" t="str">
        <f t="shared" si="117"/>
        <v>40%</v>
      </c>
      <c r="X221" s="1515" t="s">
        <v>198</v>
      </c>
      <c r="Y221" s="1515" t="s">
        <v>193</v>
      </c>
      <c r="Z221" s="1975" t="s">
        <v>194</v>
      </c>
      <c r="AA221" s="1517">
        <f>IFERROR(IF(AND(T220="Probabilidad",T221="Probabilidad"),(AC220-(+AC220*W221)),IF(AND(T220="Impacto",T221="Probabilidad"),(AC219-(+AC219*W221)),IF(T221="Impacto",AC220,""))),"")</f>
        <v>0.12959999999999999</v>
      </c>
      <c r="AB221" s="1977" t="str">
        <f t="shared" si="118"/>
        <v>Muy Baja</v>
      </c>
      <c r="AC221" s="1519">
        <f t="shared" ref="AC221:AC222" si="121">+AA221</f>
        <v>0.12959999999999999</v>
      </c>
      <c r="AD221" s="1978" t="str">
        <f t="shared" si="119"/>
        <v>Moderado</v>
      </c>
      <c r="AE221" s="1519">
        <f t="shared" ref="AE221:AE222" si="122">IFERROR(IF(AND(T220="Impacto",T221="Impacto"),(AE220-(+AE220*W221)),IF(AND(T220="Probabilidad",T221="Impacto"),(AE219-(+AE219*W221)),IF(T221="Probabilidad",AE220,""))),"")</f>
        <v>0.6</v>
      </c>
      <c r="AF221" s="1988"/>
      <c r="AG221" s="1580"/>
      <c r="AH221" s="1513" t="s">
        <v>270</v>
      </c>
      <c r="AI221" s="1513" t="s">
        <v>964</v>
      </c>
      <c r="AJ221" s="1979" t="s">
        <v>968</v>
      </c>
      <c r="AK221" s="1850" t="s">
        <v>969</v>
      </c>
      <c r="AL221" s="1555"/>
      <c r="AM221" s="1556"/>
    </row>
    <row r="222" spans="1:39" s="1105" customFormat="1" ht="180" customHeight="1" x14ac:dyDescent="0.25">
      <c r="A222" s="1475"/>
      <c r="B222" s="1980"/>
      <c r="C222" s="1980"/>
      <c r="D222" s="1981"/>
      <c r="E222" s="1989" t="s">
        <v>284</v>
      </c>
      <c r="F222" s="1967"/>
      <c r="G222" s="1982"/>
      <c r="H222" s="1969"/>
      <c r="I222" s="1994" t="s">
        <v>278</v>
      </c>
      <c r="J222" s="1995">
        <v>25</v>
      </c>
      <c r="K222" s="1996" t="str">
        <f t="shared" si="115"/>
        <v>Media</v>
      </c>
      <c r="L222" s="1997">
        <f t="shared" si="116"/>
        <v>0.6</v>
      </c>
      <c r="M222" s="1987"/>
      <c r="N222" s="1531">
        <f>IF(NOT(ISERROR(MATCH(M222,_xlfn.ANCHORARRAY(F226),0))),L228&amp;"Por favor no seleccionar los criterios de impacto",M222)</f>
        <v>0</v>
      </c>
      <c r="O222" s="1530"/>
      <c r="P222" s="1531"/>
      <c r="Q222" s="1533"/>
      <c r="R222" s="1512">
        <v>4</v>
      </c>
      <c r="S222" s="1851" t="s">
        <v>970</v>
      </c>
      <c r="T222" s="1514" t="str">
        <f t="shared" si="120"/>
        <v>Probabilidad</v>
      </c>
      <c r="U222" s="1515" t="s">
        <v>197</v>
      </c>
      <c r="V222" s="1515" t="s">
        <v>191</v>
      </c>
      <c r="W222" s="1516" t="str">
        <f t="shared" si="117"/>
        <v>40%</v>
      </c>
      <c r="X222" s="1515" t="s">
        <v>198</v>
      </c>
      <c r="Y222" s="1515" t="s">
        <v>193</v>
      </c>
      <c r="Z222" s="1975" t="s">
        <v>194</v>
      </c>
      <c r="AA222" s="1517">
        <f t="shared" ref="AA222" si="123">IFERROR(IF(AND(T221="Probabilidad",T222="Probabilidad"),(AC221-(+AC221*W222)),IF(AND(T221="Impacto",T222="Probabilidad"),(AC220-(+AC220*W222)),IF(T222="Impacto",AC221,""))),"")</f>
        <v>7.7759999999999996E-2</v>
      </c>
      <c r="AB222" s="1977" t="str">
        <f t="shared" si="118"/>
        <v>Muy Baja</v>
      </c>
      <c r="AC222" s="1519">
        <f t="shared" si="121"/>
        <v>7.7759999999999996E-2</v>
      </c>
      <c r="AD222" s="1978" t="str">
        <f t="shared" si="119"/>
        <v>Moderado</v>
      </c>
      <c r="AE222" s="1519">
        <f t="shared" si="122"/>
        <v>0.6</v>
      </c>
      <c r="AF222" s="1998"/>
      <c r="AG222" s="1580"/>
      <c r="AH222" s="1513" t="s">
        <v>971</v>
      </c>
      <c r="AI222" s="1513" t="s">
        <v>964</v>
      </c>
      <c r="AJ222" s="1979" t="s">
        <v>972</v>
      </c>
      <c r="AK222" s="1850" t="s">
        <v>973</v>
      </c>
      <c r="AL222" s="1555"/>
      <c r="AM222" s="1556"/>
    </row>
    <row r="223" spans="1:39" s="1105" customFormat="1" ht="273.60000000000002" customHeight="1" x14ac:dyDescent="0.25">
      <c r="A223" s="1822">
        <v>2</v>
      </c>
      <c r="B223" s="1999" t="s">
        <v>189</v>
      </c>
      <c r="C223" s="1999" t="s">
        <v>274</v>
      </c>
      <c r="D223" s="2000" t="s">
        <v>974</v>
      </c>
      <c r="E223" s="2001" t="s">
        <v>975</v>
      </c>
      <c r="F223" s="2002" t="s">
        <v>976</v>
      </c>
      <c r="G223" s="2003" t="s">
        <v>202</v>
      </c>
      <c r="H223" s="2002" t="s">
        <v>977</v>
      </c>
      <c r="I223" s="2004" t="s">
        <v>278</v>
      </c>
      <c r="J223" s="2005">
        <v>4</v>
      </c>
      <c r="K223" s="2006" t="str">
        <f>IF(J223&lt;=0,"",IF(J223&lt;=2,"Muy Baja",IF(J223&lt;=24,"Baja",IF(J223&lt;=500,"Media",IF(J223&lt;=5000,"Alta","Muy Alta")))))</f>
        <v>Baja</v>
      </c>
      <c r="L223" s="2007">
        <f>IF(K223="","",IF(K223="Muy Baja",0.2,IF(K223="Baja",0.4,IF(K223="Media",0.6,IF(K223="Alta",0.8,IF(K223="Muy Alta",1,))))))</f>
        <v>0.4</v>
      </c>
      <c r="M223" s="2008" t="s">
        <v>200</v>
      </c>
      <c r="N223" s="1835" t="str">
        <f>IF(NOT(ISERROR(MATCH(M223,'[32]Tabla Impacto'!$B$221:$B$223,0))),'[32]Tabla Impacto'!$F$223&amp;"Por favor no seleccionar los criterios de impacto(Afectación Económica o presupuestal y Pérdida Reputacional)",M223)</f>
        <v xml:space="preserve">     El riesgo afecta la imagen de la entidad con algunos usuarios de relevancia frente al logro de los objetivos</v>
      </c>
      <c r="O223" s="2009" t="str">
        <f>IF(OR(N223='[32]Tabla Impacto'!$C$11,N223='[32]Tabla Impacto'!$D$11),"Leve",IF(OR(N223='[32]Tabla Impacto'!$C$12,N223='[32]Tabla Impacto'!$D$12),"Menor",IF(OR(N223='[32]Tabla Impacto'!$C$13,N223='[32]Tabla Impacto'!$D$13),"Moderado",IF(OR(N223='[32]Tabla Impacto'!$C$14,N223='[32]Tabla Impacto'!$D$14),"Mayor",IF(OR(N223='[32]Tabla Impacto'!$C$15,N223='[32]Tabla Impacto'!$D$15),"Catastrófico","")))))</f>
        <v>Moderado</v>
      </c>
      <c r="P223" s="1835">
        <f>IF(O223="","",IF(O223="Leve",0.2,IF(O223="Menor",0.4,IF(O223="Moderado",0.6,IF(O223="Mayor",0.8,IF(O223="Catastrófico",1,))))))</f>
        <v>0.6</v>
      </c>
      <c r="Q223" s="2010" t="str">
        <f>IF(OR(AND(K223="Muy Baja",O223="Leve"),AND(K223="Muy Baja",O223="Menor"),AND(K223="Baja",O223="Leve")),"Bajo",IF(OR(AND(K223="Muy baja",O223="Moderado"),AND(K223="Baja",O223="Menor"),AND(K223="Baja",O223="Moderado"),AND(K223="Media",O223="Leve"),AND(K223="Media",O223="Menor"),AND(K223="Media",O223="Moderado"),AND(K223="Alta",O223="Leve"),AND(K223="Alta",O223="Menor")),"Moderado",IF(OR(AND(K223="Muy Baja",O223="Mayor"),AND(K223="Baja",O223="Mayor"),AND(K223="Media",O223="Mayor"),AND(K223="Alta",O223="Moderado"),AND(K223="Alta",O223="Mayor"),AND(K223="Muy Alta",O223="Leve"),AND(K223="Muy Alta",O223="Menor"),AND(K223="Muy Alta",O223="Moderado"),AND(K223="Muy Alta",O223="Mayor")),"Alto",IF(OR(AND(K223="Muy Baja",O223="Catastrófico"),AND(K223="Baja",O223="Catastrófico"),AND(K223="Media",O223="Catastrófico"),AND(K223="Alta",O223="Catastrófico"),AND(K223="Muy Alta",O223="Catastrófico")),"Extremo",""))))</f>
        <v>Moderado</v>
      </c>
      <c r="R223" s="1512">
        <v>1</v>
      </c>
      <c r="S223" s="1851" t="s">
        <v>978</v>
      </c>
      <c r="T223" s="1514" t="str">
        <f>IF(OR(U223="Preventivo",U223="Detectivo"),"Probabilidad",IF(U223="Correctivo","Impacto",""))</f>
        <v>Probabilidad</v>
      </c>
      <c r="U223" s="1515" t="s">
        <v>197</v>
      </c>
      <c r="V223" s="1515" t="s">
        <v>191</v>
      </c>
      <c r="W223" s="1516" t="str">
        <f>IF(AND(U223="Preventivo",V223="Automático"),"50%",IF(AND(U223="Preventivo",V223="Manual"),"40%",IF(AND(U223="Detectivo",V223="Automático"),"40%",IF(AND(U223="Detectivo",V223="Manual"),"30%",IF(AND(U223="Correctivo",V223="Automático"),"35%",IF(AND(U223="Correctivo",V223="Manual"),"25%",""))))))</f>
        <v>40%</v>
      </c>
      <c r="X223" s="1515" t="s">
        <v>198</v>
      </c>
      <c r="Y223" s="1515" t="s">
        <v>193</v>
      </c>
      <c r="Z223" s="1515" t="s">
        <v>194</v>
      </c>
      <c r="AA223" s="2011">
        <f>IFERROR(IF(T223="Probabilidad",(L223-(+L223*W223)),IF(T223="Impacto",L223,"")),"")</f>
        <v>0.24</v>
      </c>
      <c r="AB223" s="1977" t="str">
        <f t="shared" si="118"/>
        <v>Baja</v>
      </c>
      <c r="AC223" s="1519">
        <f>+AA223</f>
        <v>0.24</v>
      </c>
      <c r="AD223" s="1518" t="str">
        <f>IFERROR(IF(AE223="","",IF(AE223&lt;=0.2,"Leve",IF(AE223&lt;=0.4,"Menor",IF(AE223&lt;=0.6,"Moderado",IF(AE223&lt;=0.8,"Mayor","Catastrófico"))))),"")</f>
        <v>Moderado</v>
      </c>
      <c r="AE223" s="1519">
        <f>IFERROR(IF(T223="Impacto",(P223-(+P223*W223)),IF(T223="Probabilidad",P223,"")),"")</f>
        <v>0.6</v>
      </c>
      <c r="AF223" s="1520" t="str">
        <f>IFERROR(IF(OR(AND(AB223="Muy Baja",AD223="Leve"),AND(AB223="Muy Baja",AD223="Menor"),AND(AB223="Baja",AD223="Leve")),"Bajo",IF(OR(AND(AB223="Muy baja",AD223="Moderado"),AND(AB223="Baja",AD223="Menor"),AND(AB223="Baja",AD223="Moderado"),AND(AB223="Media",AD223="Leve"),AND(AB223="Media",AD223="Menor"),AND(AB223="Media",AD223="Moderado"),AND(AB223="Alta",AD223="Leve"),AND(AB223="Alta",AD223="Menor")),"Moderado",IF(OR(AND(AB223="Muy Baja",AD223="Mayor"),AND(AB223="Baja",AD223="Mayor"),AND(AB223="Media",AD223="Mayor"),AND(AB223="Alta",AD223="Moderado"),AND(AB223="Alta",AD223="Mayor"),AND(AB223="Muy Alta",AD223="Leve"),AND(AB223="Muy Alta",AD223="Menor"),AND(AB223="Muy Alta",AD223="Moderado"),AND(AB223="Muy Alta",AD223="Mayor")),"Alto",IF(OR(AND(AB223="Muy Baja",AD223="Catastrófico"),AND(AB223="Baja",AD223="Catastrófico"),AND(AB223="Media",AD223="Catastrófico"),AND(AB223="Alta",AD223="Catastrófico"),AND(AB223="Muy Alta",AD223="Catastrófico")),"Extremo","")))),"")</f>
        <v>Moderado</v>
      </c>
      <c r="AG223" s="1580" t="s">
        <v>195</v>
      </c>
      <c r="AH223" s="1513" t="s">
        <v>280</v>
      </c>
      <c r="AI223" s="1513" t="s">
        <v>964</v>
      </c>
      <c r="AJ223" s="1979" t="s">
        <v>972</v>
      </c>
      <c r="AK223" s="1850" t="s">
        <v>973</v>
      </c>
      <c r="AL223" s="1555"/>
      <c r="AM223" s="1556"/>
    </row>
    <row r="224" spans="1:39" s="1105" customFormat="1" x14ac:dyDescent="0.25">
      <c r="A224" s="1109"/>
      <c r="B224" s="1110"/>
      <c r="C224" s="1109"/>
      <c r="D224" s="1109"/>
      <c r="E224" s="1109"/>
      <c r="F224" s="1111"/>
      <c r="G224" s="1111"/>
      <c r="H224" s="1111"/>
      <c r="I224" s="1112"/>
      <c r="J224" s="1111"/>
      <c r="K224" s="1111"/>
      <c r="L224" s="1111"/>
      <c r="M224" s="1111"/>
      <c r="N224" s="1111"/>
      <c r="O224" s="1111"/>
      <c r="P224" s="1111"/>
      <c r="Q224" s="1111"/>
      <c r="R224" s="1111"/>
      <c r="S224" s="1111"/>
      <c r="T224" s="1111"/>
      <c r="U224" s="1111"/>
      <c r="V224" s="1111"/>
      <c r="W224" s="1111"/>
      <c r="X224" s="1111"/>
      <c r="Y224" s="1111"/>
      <c r="Z224" s="1111"/>
      <c r="AA224" s="1111"/>
      <c r="AB224" s="1111"/>
      <c r="AC224" s="1111"/>
      <c r="AD224" s="1111"/>
      <c r="AE224" s="1111"/>
      <c r="AF224" s="1111"/>
      <c r="AG224" s="1111"/>
      <c r="AH224" s="1111"/>
      <c r="AI224" s="1111"/>
      <c r="AJ224" s="1111"/>
      <c r="AK224" s="1111"/>
      <c r="AL224" s="1111"/>
      <c r="AM224" s="1111"/>
    </row>
    <row r="225" spans="1:40" s="1105" customFormat="1" x14ac:dyDescent="0.25">
      <c r="A225" s="1659" t="s">
        <v>148</v>
      </c>
      <c r="B225" s="1660"/>
      <c r="C225" s="1660"/>
      <c r="D225" s="1660"/>
      <c r="E225" s="1660"/>
      <c r="F225" s="1660"/>
      <c r="G225" s="1660"/>
      <c r="H225" s="1660"/>
      <c r="I225" s="1660"/>
      <c r="J225" s="1660"/>
      <c r="K225" s="1660"/>
      <c r="L225" s="1660"/>
      <c r="M225" s="1660"/>
      <c r="N225" s="1660"/>
      <c r="O225" s="1660"/>
      <c r="P225" s="1660"/>
      <c r="Q225" s="1660"/>
      <c r="R225" s="1660"/>
      <c r="S225" s="1660"/>
      <c r="T225" s="1660"/>
      <c r="U225" s="1660"/>
      <c r="V225" s="1660"/>
      <c r="W225" s="1660"/>
      <c r="X225" s="1660"/>
      <c r="Y225" s="1660"/>
      <c r="Z225" s="1660"/>
      <c r="AA225" s="1660"/>
      <c r="AB225" s="1660"/>
      <c r="AC225" s="1660"/>
      <c r="AD225" s="1660"/>
      <c r="AE225" s="1660"/>
      <c r="AF225" s="1660"/>
      <c r="AG225" s="1660"/>
      <c r="AH225" s="1660"/>
      <c r="AI225" s="1660"/>
      <c r="AJ225" s="1660"/>
      <c r="AK225" s="1660"/>
      <c r="AL225" s="1660"/>
      <c r="AM225" s="1661"/>
      <c r="AN225" s="1423"/>
    </row>
    <row r="226" spans="1:40" s="1105" customFormat="1" x14ac:dyDescent="0.25">
      <c r="A226" s="1662"/>
      <c r="B226" s="1663"/>
      <c r="C226" s="1663"/>
      <c r="D226" s="1663"/>
      <c r="E226" s="1663"/>
      <c r="F226" s="1663"/>
      <c r="G226" s="1663"/>
      <c r="H226" s="1663"/>
      <c r="I226" s="1663"/>
      <c r="J226" s="1663"/>
      <c r="K226" s="1663"/>
      <c r="L226" s="1663"/>
      <c r="M226" s="1663"/>
      <c r="N226" s="1663"/>
      <c r="O226" s="1663"/>
      <c r="P226" s="1663"/>
      <c r="Q226" s="1663"/>
      <c r="R226" s="1663"/>
      <c r="S226" s="1663"/>
      <c r="T226" s="1663"/>
      <c r="U226" s="1663"/>
      <c r="V226" s="1663"/>
      <c r="W226" s="1663"/>
      <c r="X226" s="1663"/>
      <c r="Y226" s="1663"/>
      <c r="Z226" s="1663"/>
      <c r="AA226" s="1663"/>
      <c r="AB226" s="1663"/>
      <c r="AC226" s="1663"/>
      <c r="AD226" s="1663"/>
      <c r="AE226" s="1663"/>
      <c r="AF226" s="1663"/>
      <c r="AG226" s="1663"/>
      <c r="AH226" s="1663"/>
      <c r="AI226" s="1663"/>
      <c r="AJ226" s="1663"/>
      <c r="AK226" s="1663"/>
      <c r="AL226" s="1663"/>
      <c r="AM226" s="1664"/>
      <c r="AN226" s="1423"/>
    </row>
    <row r="227" spans="1:40" s="1105" customFormat="1" x14ac:dyDescent="0.25">
      <c r="A227" s="1421"/>
      <c r="B227" s="1422"/>
      <c r="C227" s="1421"/>
      <c r="D227" s="1421"/>
      <c r="E227" s="1421"/>
      <c r="F227" s="1423"/>
      <c r="G227" s="1423"/>
      <c r="H227" s="1423"/>
      <c r="I227" s="1424"/>
      <c r="J227" s="1423"/>
      <c r="K227" s="1423"/>
      <c r="L227" s="1423"/>
      <c r="M227" s="1423"/>
      <c r="N227" s="1423"/>
      <c r="O227" s="1423"/>
      <c r="P227" s="1423"/>
      <c r="Q227" s="1423"/>
      <c r="R227" s="1423"/>
      <c r="S227" s="1423"/>
      <c r="T227" s="1423"/>
      <c r="U227" s="1423"/>
      <c r="V227" s="1423"/>
      <c r="W227" s="1423"/>
      <c r="X227" s="1423"/>
      <c r="Y227" s="1423"/>
      <c r="Z227" s="1423"/>
      <c r="AA227" s="1423"/>
      <c r="AB227" s="1423"/>
      <c r="AC227" s="1423"/>
      <c r="AD227" s="1423"/>
      <c r="AE227" s="1423"/>
      <c r="AF227" s="1423"/>
      <c r="AG227" s="1423"/>
      <c r="AH227" s="1423"/>
      <c r="AI227" s="1423"/>
      <c r="AJ227" s="1423"/>
      <c r="AK227" s="1423"/>
      <c r="AL227" s="1423"/>
      <c r="AM227" s="1423"/>
      <c r="AN227" s="1423"/>
    </row>
    <row r="228" spans="1:40" s="1105" customFormat="1" ht="23.4" x14ac:dyDescent="0.25">
      <c r="A228" s="1425" t="s">
        <v>149</v>
      </c>
      <c r="B228" s="1426"/>
      <c r="C228" s="1499" t="s">
        <v>332</v>
      </c>
      <c r="D228" s="1499"/>
      <c r="E228" s="1499"/>
      <c r="F228" s="1499"/>
      <c r="G228" s="1499"/>
      <c r="H228" s="1499"/>
      <c r="I228" s="1499"/>
      <c r="J228" s="1499"/>
      <c r="K228" s="1499"/>
      <c r="L228" s="1499"/>
      <c r="M228" s="1499"/>
      <c r="N228" s="1499"/>
      <c r="O228" s="1499"/>
      <c r="P228" s="1499"/>
      <c r="Q228" s="1499"/>
      <c r="R228" s="1499"/>
      <c r="S228" s="1499"/>
      <c r="T228" s="1499"/>
      <c r="U228" s="1499"/>
      <c r="V228" s="1499"/>
      <c r="W228" s="1499"/>
      <c r="X228" s="1499"/>
      <c r="Y228" s="1499"/>
      <c r="Z228" s="1499"/>
      <c r="AA228" s="1499"/>
      <c r="AB228" s="1499"/>
      <c r="AC228" s="1499"/>
      <c r="AD228" s="1499"/>
      <c r="AE228" s="1499"/>
      <c r="AF228" s="1499"/>
      <c r="AG228" s="1499"/>
      <c r="AH228" s="1499"/>
      <c r="AI228" s="1499"/>
      <c r="AJ228" s="1499"/>
      <c r="AK228" s="1499"/>
      <c r="AL228" s="1499"/>
      <c r="AM228" s="1499"/>
      <c r="AN228" s="1423"/>
    </row>
    <row r="229" spans="1:40" s="1105" customFormat="1" ht="23.4" x14ac:dyDescent="0.25">
      <c r="A229" s="1425" t="s">
        <v>150</v>
      </c>
      <c r="B229" s="1426"/>
      <c r="C229" s="1500" t="s">
        <v>333</v>
      </c>
      <c r="D229" s="1500"/>
      <c r="E229" s="1500"/>
      <c r="F229" s="1500"/>
      <c r="G229" s="1500"/>
      <c r="H229" s="1500"/>
      <c r="I229" s="1500"/>
      <c r="J229" s="1500"/>
      <c r="K229" s="1500"/>
      <c r="L229" s="1500"/>
      <c r="M229" s="1500"/>
      <c r="N229" s="1500"/>
      <c r="O229" s="1500"/>
      <c r="P229" s="1500"/>
      <c r="Q229" s="1500"/>
      <c r="R229" s="1500"/>
      <c r="S229" s="1500"/>
      <c r="T229" s="1500"/>
      <c r="U229" s="1500"/>
      <c r="V229" s="1500"/>
      <c r="W229" s="1500"/>
      <c r="X229" s="1500"/>
      <c r="Y229" s="1500"/>
      <c r="Z229" s="1500"/>
      <c r="AA229" s="1500"/>
      <c r="AB229" s="1500"/>
      <c r="AC229" s="1500"/>
      <c r="AD229" s="1500"/>
      <c r="AE229" s="1500"/>
      <c r="AF229" s="1500"/>
      <c r="AG229" s="1500"/>
      <c r="AH229" s="1500"/>
      <c r="AI229" s="1500"/>
      <c r="AJ229" s="1500"/>
      <c r="AK229" s="1500"/>
      <c r="AL229" s="1500"/>
      <c r="AM229" s="1500"/>
      <c r="AN229" s="1423"/>
    </row>
    <row r="230" spans="1:40" s="1105" customFormat="1" ht="23.4" x14ac:dyDescent="0.25">
      <c r="A230" s="1425" t="s">
        <v>151</v>
      </c>
      <c r="B230" s="1426"/>
      <c r="C230" s="1500" t="s">
        <v>334</v>
      </c>
      <c r="D230" s="1500"/>
      <c r="E230" s="1500"/>
      <c r="F230" s="1500"/>
      <c r="G230" s="1500"/>
      <c r="H230" s="1500"/>
      <c r="I230" s="1500"/>
      <c r="J230" s="1500"/>
      <c r="K230" s="1500"/>
      <c r="L230" s="1500"/>
      <c r="M230" s="1500"/>
      <c r="N230" s="1500"/>
      <c r="O230" s="1500"/>
      <c r="P230" s="1500"/>
      <c r="Q230" s="1500"/>
      <c r="R230" s="1500"/>
      <c r="S230" s="1500"/>
      <c r="T230" s="1500"/>
      <c r="U230" s="1500"/>
      <c r="V230" s="1500"/>
      <c r="W230" s="1500"/>
      <c r="X230" s="1500"/>
      <c r="Y230" s="1500"/>
      <c r="Z230" s="1500"/>
      <c r="AA230" s="1500"/>
      <c r="AB230" s="1500"/>
      <c r="AC230" s="1500"/>
      <c r="AD230" s="1500"/>
      <c r="AE230" s="1500"/>
      <c r="AF230" s="1500"/>
      <c r="AG230" s="1500"/>
      <c r="AH230" s="1500"/>
      <c r="AI230" s="1500"/>
      <c r="AJ230" s="1500"/>
      <c r="AK230" s="1500"/>
      <c r="AL230" s="1500"/>
      <c r="AM230" s="1500"/>
      <c r="AN230" s="1423"/>
    </row>
    <row r="231" spans="1:40" s="1105" customFormat="1" x14ac:dyDescent="0.25">
      <c r="A231" s="1429" t="s">
        <v>152</v>
      </c>
      <c r="B231" s="1430"/>
      <c r="C231" s="1431"/>
      <c r="D231" s="1431"/>
      <c r="E231" s="1431"/>
      <c r="F231" s="1431"/>
      <c r="G231" s="1431"/>
      <c r="H231" s="1431"/>
      <c r="I231" s="1431"/>
      <c r="J231" s="1432"/>
      <c r="K231" s="1433" t="s">
        <v>153</v>
      </c>
      <c r="L231" s="1431"/>
      <c r="M231" s="1431"/>
      <c r="N231" s="1431"/>
      <c r="O231" s="1431"/>
      <c r="P231" s="1431"/>
      <c r="Q231" s="1432"/>
      <c r="R231" s="1433" t="s">
        <v>154</v>
      </c>
      <c r="S231" s="1431"/>
      <c r="T231" s="1431"/>
      <c r="U231" s="1431"/>
      <c r="V231" s="1431"/>
      <c r="W231" s="1431"/>
      <c r="X231" s="1431"/>
      <c r="Y231" s="1431"/>
      <c r="Z231" s="1432"/>
      <c r="AA231" s="1433" t="s">
        <v>155</v>
      </c>
      <c r="AB231" s="1431"/>
      <c r="AC231" s="1431"/>
      <c r="AD231" s="1431"/>
      <c r="AE231" s="1431"/>
      <c r="AF231" s="1431"/>
      <c r="AG231" s="1432"/>
      <c r="AH231" s="1433" t="s">
        <v>156</v>
      </c>
      <c r="AI231" s="1431"/>
      <c r="AJ231" s="1431"/>
      <c r="AK231" s="1431"/>
      <c r="AL231" s="1431"/>
      <c r="AM231" s="1432"/>
      <c r="AN231" s="1441" t="s">
        <v>208</v>
      </c>
    </row>
    <row r="232" spans="1:40" s="1105" customFormat="1" x14ac:dyDescent="0.25">
      <c r="A232" s="1434" t="s">
        <v>157</v>
      </c>
      <c r="B232" s="1435" t="s">
        <v>141</v>
      </c>
      <c r="C232" s="1436" t="s">
        <v>158</v>
      </c>
      <c r="D232" s="1436" t="s">
        <v>159</v>
      </c>
      <c r="E232" s="1437" t="s">
        <v>160</v>
      </c>
      <c r="F232" s="1438" t="s">
        <v>60</v>
      </c>
      <c r="G232" s="1439"/>
      <c r="H232" s="1439"/>
      <c r="I232" s="1437" t="s">
        <v>161</v>
      </c>
      <c r="J232" s="1436" t="s">
        <v>162</v>
      </c>
      <c r="K232" s="1440" t="s">
        <v>163</v>
      </c>
      <c r="L232" s="1441" t="s">
        <v>164</v>
      </c>
      <c r="M232" s="1437" t="s">
        <v>165</v>
      </c>
      <c r="N232" s="1437" t="s">
        <v>166</v>
      </c>
      <c r="O232" s="1442" t="s">
        <v>167</v>
      </c>
      <c r="P232" s="1441" t="s">
        <v>164</v>
      </c>
      <c r="Q232" s="1436" t="s">
        <v>168</v>
      </c>
      <c r="R232" s="1443" t="s">
        <v>169</v>
      </c>
      <c r="S232" s="1444" t="s">
        <v>170</v>
      </c>
      <c r="T232" s="1437" t="s">
        <v>171</v>
      </c>
      <c r="U232" s="1444" t="s">
        <v>172</v>
      </c>
      <c r="V232" s="1444"/>
      <c r="W232" s="1444"/>
      <c r="X232" s="1444"/>
      <c r="Y232" s="1444"/>
      <c r="Z232" s="1444"/>
      <c r="AA232" s="1445" t="s">
        <v>173</v>
      </c>
      <c r="AB232" s="1445" t="s">
        <v>174</v>
      </c>
      <c r="AC232" s="1445" t="s">
        <v>164</v>
      </c>
      <c r="AD232" s="1445" t="s">
        <v>175</v>
      </c>
      <c r="AE232" s="1445" t="s">
        <v>164</v>
      </c>
      <c r="AF232" s="1445" t="s">
        <v>176</v>
      </c>
      <c r="AG232" s="1443" t="s">
        <v>177</v>
      </c>
      <c r="AH232" s="1444" t="s">
        <v>156</v>
      </c>
      <c r="AI232" s="1444" t="s">
        <v>142</v>
      </c>
      <c r="AJ232" s="1444" t="s">
        <v>178</v>
      </c>
      <c r="AK232" s="1444" t="s">
        <v>179</v>
      </c>
      <c r="AL232" s="1444" t="s">
        <v>180</v>
      </c>
      <c r="AM232" s="1444" t="s">
        <v>181</v>
      </c>
      <c r="AN232" s="1441"/>
    </row>
    <row r="233" spans="1:40" s="1105" customFormat="1" ht="70.2" x14ac:dyDescent="0.25">
      <c r="A233" s="1446"/>
      <c r="B233" s="1435"/>
      <c r="C233" s="1444"/>
      <c r="D233" s="1444"/>
      <c r="E233" s="1440"/>
      <c r="F233" s="1447"/>
      <c r="G233" s="1439" t="s">
        <v>201</v>
      </c>
      <c r="H233" s="1439" t="s">
        <v>182</v>
      </c>
      <c r="I233" s="1436"/>
      <c r="J233" s="1444"/>
      <c r="K233" s="1436"/>
      <c r="L233" s="1433"/>
      <c r="M233" s="1436"/>
      <c r="N233" s="1436"/>
      <c r="O233" s="1433"/>
      <c r="P233" s="1433"/>
      <c r="Q233" s="1444"/>
      <c r="R233" s="1448"/>
      <c r="S233" s="1444"/>
      <c r="T233" s="1436"/>
      <c r="U233" s="1449" t="s">
        <v>183</v>
      </c>
      <c r="V233" s="1449" t="s">
        <v>184</v>
      </c>
      <c r="W233" s="1449" t="s">
        <v>185</v>
      </c>
      <c r="X233" s="1449" t="s">
        <v>186</v>
      </c>
      <c r="Y233" s="1449" t="s">
        <v>187</v>
      </c>
      <c r="Z233" s="1449" t="s">
        <v>188</v>
      </c>
      <c r="AA233" s="1445"/>
      <c r="AB233" s="1445"/>
      <c r="AC233" s="1445"/>
      <c r="AD233" s="1445"/>
      <c r="AE233" s="1445"/>
      <c r="AF233" s="1445"/>
      <c r="AG233" s="1448"/>
      <c r="AH233" s="1444"/>
      <c r="AI233" s="1444"/>
      <c r="AJ233" s="1444"/>
      <c r="AK233" s="1444"/>
      <c r="AL233" s="1444"/>
      <c r="AM233" s="1444"/>
      <c r="AN233" s="1441"/>
    </row>
    <row r="234" spans="1:40" s="1105" customFormat="1" ht="409.6" x14ac:dyDescent="0.25">
      <c r="A234" s="1450">
        <v>1</v>
      </c>
      <c r="B234" s="1501" t="s">
        <v>199</v>
      </c>
      <c r="C234" s="1501" t="s">
        <v>336</v>
      </c>
      <c r="D234" s="1502" t="s">
        <v>337</v>
      </c>
      <c r="E234" s="2012" t="s">
        <v>338</v>
      </c>
      <c r="F234" s="1504" t="s">
        <v>339</v>
      </c>
      <c r="G234" s="1578" t="s">
        <v>202</v>
      </c>
      <c r="H234" s="1504" t="s">
        <v>340</v>
      </c>
      <c r="I234" s="1506" t="s">
        <v>190</v>
      </c>
      <c r="J234" s="1507">
        <v>300</v>
      </c>
      <c r="K234" s="1508" t="str">
        <f>IF(J234&lt;=0,"",IF(J234&lt;=2,"Muy Baja",IF(J234&lt;=24,"Baja",IF(J234&lt;=500,"Media",IF(J234&lt;=5000,"Alta","Muy Alta")))))</f>
        <v>Media</v>
      </c>
      <c r="L234" s="1509">
        <f>IF(K234="","",IF(K234="Muy Baja",0.2,IF(K234="Baja",0.4,IF(K234="Media",0.6,IF(K234="Alta",0.8,IF(K234="Muy Alta",1,))))))</f>
        <v>0.6</v>
      </c>
      <c r="M234" s="1510" t="s">
        <v>315</v>
      </c>
      <c r="N234" s="1509" t="str">
        <f>IF(NOT(ISERROR(MATCH(M234,'[33]Tabla Impacto'!$B$221:$B$223,0))),'[33]Tabla Impacto'!$F$223&amp;"Por favor no seleccionar los criterios de impacto(Afectación Económica o presupuestal y Pérdida Reputacional)",M234)</f>
        <v xml:space="preserve">     El riesgo afecta la imagen de alguna área de la organización</v>
      </c>
      <c r="O234" s="1508" t="str">
        <f>IF(OR(N234='[33]Tabla Impacto'!$C$11,N234='[33]Tabla Impacto'!$D$11),"Leve",IF(OR(N234='[33]Tabla Impacto'!$C$12,N234='[33]Tabla Impacto'!$D$12),"Menor",IF(OR(N234='[33]Tabla Impacto'!$C$13,N234='[33]Tabla Impacto'!$D$13),"Moderado",IF(OR(N234='[33]Tabla Impacto'!$C$14,N234='[33]Tabla Impacto'!$D$14),"Mayor",IF(OR(N234='[33]Tabla Impacto'!$C$15,N234='[33]Tabla Impacto'!$D$15),"Catastrófico","")))))</f>
        <v>Leve</v>
      </c>
      <c r="P234" s="1509">
        <f>IF(O234="","",IF(O234="Leve",0.2,IF(O234="Menor",0.4,IF(O234="Moderado",0.6,IF(O234="Mayor",0.8,IF(O234="Catastrófico",1,))))))</f>
        <v>0.2</v>
      </c>
      <c r="Q234" s="1511" t="str">
        <f>IF(OR(AND(K234="Muy Baja",O234="Leve"),AND(K234="Muy Baja",O234="Menor"),AND(K234="Baja",O234="Leve")),"Bajo",IF(OR(AND(K234="Muy baja",O234="Moderado"),AND(K234="Baja",O234="Menor"),AND(K234="Baja",O234="Moderado"),AND(K234="Media",O234="Leve"),AND(K234="Media",O234="Menor"),AND(K234="Media",O234="Moderado"),AND(K234="Alta",O234="Leve"),AND(K234="Alta",O234="Menor")),"Moderado",IF(OR(AND(K234="Muy Baja",O234="Mayor"),AND(K234="Baja",O234="Mayor"),AND(K234="Media",O234="Mayor"),AND(K234="Alta",O234="Moderado"),AND(K234="Alta",O234="Mayor"),AND(K234="Muy Alta",O234="Leve"),AND(K234="Muy Alta",O234="Menor"),AND(K234="Muy Alta",O234="Moderado"),AND(K234="Muy Alta",O234="Mayor")),"Alto",IF(OR(AND(K234="Muy Baja",O234="Catastrófico"),AND(K234="Baja",O234="Catastrófico"),AND(K234="Media",O234="Catastrófico"),AND(K234="Alta",O234="Catastrófico"),AND(K234="Muy Alta",O234="Catastrófico")),"Extremo",""))))</f>
        <v>Moderado</v>
      </c>
      <c r="R234" s="1512">
        <v>1</v>
      </c>
      <c r="S234" s="1534">
        <f>+[33]DOFA!E260</f>
        <v>0</v>
      </c>
      <c r="T234" s="1514" t="str">
        <f>IF(OR(U234="Preventivo",U234="Detectivo"),"Probabilidad",IF(U234="Correctivo","Impacto",""))</f>
        <v>Probabilidad</v>
      </c>
      <c r="U234" s="1515" t="s">
        <v>197</v>
      </c>
      <c r="V234" s="1515" t="s">
        <v>191</v>
      </c>
      <c r="W234" s="1516" t="str">
        <f>IF(AND(U234="Preventivo",V234="Automático"),"50%",IF(AND(U234="Preventivo",V234="Manual"),"40%",IF(AND(U234="Detectivo",V234="Automático"),"40%",IF(AND(U234="Detectivo",V234="Manual"),"30%",IF(AND(U234="Correctivo",V234="Automático"),"35%",IF(AND(U234="Correctivo",V234="Manual"),"25%",""))))))</f>
        <v>40%</v>
      </c>
      <c r="X234" s="1515" t="s">
        <v>198</v>
      </c>
      <c r="Y234" s="1515" t="s">
        <v>193</v>
      </c>
      <c r="Z234" s="1515" t="s">
        <v>194</v>
      </c>
      <c r="AA234" s="1517">
        <f>IFERROR(IF(T234="Probabilidad",(L234-(+L234*W234)),IF(T234="Impacto",L234,"")),"")</f>
        <v>0.36</v>
      </c>
      <c r="AB234" s="1518" t="str">
        <f>IFERROR(IF(AA234="","",IF(AA234&lt;=0.2,"Muy Baja",IF(AA234&lt;=0.4,"Baja",IF(AA234&lt;=0.6,"Media",IF(AA234&lt;=0.8,"Alta","Muy Alta"))))),"")</f>
        <v>Baja</v>
      </c>
      <c r="AC234" s="1519">
        <f>+AA234</f>
        <v>0.36</v>
      </c>
      <c r="AD234" s="1518" t="str">
        <f>IFERROR(IF(AE234="","",IF(AE234&lt;=0.2,"Leve",IF(AE234&lt;=0.4,"Menor",IF(AE234&lt;=0.6,"Moderado",IF(AE234&lt;=0.8,"Mayor","Catastrófico"))))),"")</f>
        <v>Leve</v>
      </c>
      <c r="AE234" s="1519">
        <f>IFERROR(IF(T234="Impacto",(P234-(+P234*W234)),IF(T234="Probabilidad",P234,"")),"")</f>
        <v>0.2</v>
      </c>
      <c r="AF234" s="1520" t="str">
        <f>IFERROR(IF(OR(AND(AB234="Muy Baja",AD234="Leve"),AND(AB234="Muy Baja",AD234="Menor"),AND(AB234="Baja",AD234="Leve")),"Bajo",IF(OR(AND(AB234="Muy baja",AD234="Moderado"),AND(AB234="Baja",AD234="Menor"),AND(AB234="Baja",AD234="Moderado"),AND(AB234="Media",AD234="Leve"),AND(AB234="Media",AD234="Menor"),AND(AB234="Media",AD234="Moderado"),AND(AB234="Alta",AD234="Leve"),AND(AB234="Alta",AD234="Menor")),"Moderado",IF(OR(AND(AB234="Muy Baja",AD234="Mayor"),AND(AB234="Baja",AD234="Mayor"),AND(AB234="Media",AD234="Mayor"),AND(AB234="Alta",AD234="Moderado"),AND(AB234="Alta",AD234="Mayor"),AND(AB234="Muy Alta",AD234="Leve"),AND(AB234="Muy Alta",AD234="Menor"),AND(AB234="Muy Alta",AD234="Moderado"),AND(AB234="Muy Alta",AD234="Mayor")),"Alto",IF(OR(AND(AB234="Muy Baja",AD234="Catastrófico"),AND(AB234="Baja",AD234="Catastrófico"),AND(AB234="Media",AD234="Catastrófico"),AND(AB234="Alta",AD234="Catastrófico"),AND(AB234="Muy Alta",AD234="Catastrófico")),"Extremo","")))),"")</f>
        <v>Bajo</v>
      </c>
      <c r="AG234" s="1580" t="s">
        <v>195</v>
      </c>
      <c r="AH234" s="2013"/>
      <c r="AI234" s="1865"/>
      <c r="AJ234" s="1845"/>
      <c r="AK234" s="1845"/>
      <c r="AL234" s="1865"/>
      <c r="AM234" s="2014"/>
      <c r="AN234" s="2015" t="s">
        <v>341</v>
      </c>
    </row>
    <row r="235" spans="1:40" s="1105" customFormat="1" ht="41.4" x14ac:dyDescent="0.25">
      <c r="A235" s="1475"/>
      <c r="B235" s="1525"/>
      <c r="C235" s="1525"/>
      <c r="D235" s="1526"/>
      <c r="E235" s="2016" t="s">
        <v>342</v>
      </c>
      <c r="F235" s="1504"/>
      <c r="G235" s="1584"/>
      <c r="H235" s="1504"/>
      <c r="I235" s="1528"/>
      <c r="J235" s="1529"/>
      <c r="K235" s="1530"/>
      <c r="L235" s="1531"/>
      <c r="M235" s="1532"/>
      <c r="N235" s="1531">
        <f>IF(NOT(ISERROR(MATCH(M235,_xlfn.ANCHORARRAY(F240),0))),#REF!&amp;"Por favor no seleccionar los criterios de impacto",M235)</f>
        <v>0</v>
      </c>
      <c r="O235" s="1530"/>
      <c r="P235" s="1531"/>
      <c r="Q235" s="1533"/>
      <c r="R235" s="1512">
        <v>2</v>
      </c>
      <c r="S235" s="1851"/>
      <c r="T235" s="1514" t="str">
        <f>IF(OR(U235="Preventivo",U235="Detectivo"),"Probabilidad",IF(U235="Correctivo","Impacto",""))</f>
        <v/>
      </c>
      <c r="U235" s="1515"/>
      <c r="V235" s="1515"/>
      <c r="W235" s="1516" t="str">
        <f t="shared" ref="W235:W237" si="124">IF(AND(U235="Preventivo",V235="Automático"),"50%",IF(AND(U235="Preventivo",V235="Manual"),"40%",IF(AND(U235="Detectivo",V235="Automático"),"40%",IF(AND(U235="Detectivo",V235="Manual"),"30%",IF(AND(U235="Correctivo",V235="Automático"),"35%",IF(AND(U235="Correctivo",V235="Manual"),"25%",""))))))</f>
        <v/>
      </c>
      <c r="X235" s="1515"/>
      <c r="Y235" s="1515"/>
      <c r="Z235" s="1515"/>
      <c r="AA235" s="1517" t="str">
        <f>IFERROR(IF(AND(T234="Probabilidad",T235="Probabilidad"),(AC234-(+AC234*W235)),IF(AND(T234="Impacto",T235="Probabilidad"),(L234-(+L234*W235)),IF(T235="Impacto",AC234,""))),"")</f>
        <v/>
      </c>
      <c r="AB235" s="1518" t="str">
        <f t="shared" ref="AB235:AB237" si="125">IFERROR(IF(AA235="","",IF(AA235&lt;=0.2,"Muy Baja",IF(AA235&lt;=0.4,"Baja",IF(AA235&lt;=0.6,"Media",IF(AA235&lt;=0.8,"Alta","Muy Alta"))))),"")</f>
        <v/>
      </c>
      <c r="AC235" s="1519" t="str">
        <f>+AA235</f>
        <v/>
      </c>
      <c r="AD235" s="1518" t="str">
        <f t="shared" ref="AD235:AD237" si="126">IFERROR(IF(AE235="","",IF(AE235&lt;=0.2,"Leve",IF(AE235&lt;=0.4,"Menor",IF(AE235&lt;=0.6,"Moderado",IF(AE235&lt;=0.8,"Mayor","Catastrófico"))))),"")</f>
        <v/>
      </c>
      <c r="AE235" s="1519" t="str">
        <f>IFERROR(IF(AND(T234="Impacto",T235="Impacto"),(AE234-(+AE234*W235)),IF(AND(T234="Probabilidad",T235="Impacto"),(P234-(+P234*W235)),IF(T235="Probabilidad",AE234,""))),"")</f>
        <v/>
      </c>
      <c r="AF235" s="1520" t="str">
        <f t="shared" ref="AF235:AF237" si="127">IFERROR(IF(OR(AND(AB235="Muy Baja",AD235="Leve"),AND(AB235="Muy Baja",AD235="Menor"),AND(AB235="Baja",AD235="Leve")),"Bajo",IF(OR(AND(AB235="Muy baja",AD235="Moderado"),AND(AB235="Baja",AD235="Menor"),AND(AB235="Baja",AD235="Moderado"),AND(AB235="Media",AD235="Leve"),AND(AB235="Media",AD235="Menor"),AND(AB235="Media",AD235="Moderado"),AND(AB235="Alta",AD235="Leve"),AND(AB235="Alta",AD235="Menor")),"Moderado",IF(OR(AND(AB235="Muy Baja",AD235="Mayor"),AND(AB235="Baja",AD235="Mayor"),AND(AB235="Media",AD235="Mayor"),AND(AB235="Alta",AD235="Moderado"),AND(AB235="Alta",AD235="Mayor"),AND(AB235="Muy Alta",AD235="Leve"),AND(AB235="Muy Alta",AD235="Menor"),AND(AB235="Muy Alta",AD235="Moderado"),AND(AB235="Muy Alta",AD235="Mayor")),"Alto",IF(OR(AND(AB235="Muy Baja",AD235="Catastrófico"),AND(AB235="Baja",AD235="Catastrófico"),AND(AB235="Media",AD235="Catastrófico"),AND(AB235="Alta",AD235="Catastrófico"),AND(AB235="Muy Alta",AD235="Catastrófico")),"Extremo","")))),"")</f>
        <v/>
      </c>
      <c r="AG235" s="1580"/>
      <c r="AH235" s="2013"/>
      <c r="AI235" s="1556"/>
      <c r="AJ235" s="1557"/>
      <c r="AK235" s="1557"/>
      <c r="AL235" s="1555"/>
      <c r="AM235" s="2017"/>
      <c r="AN235" s="2018"/>
    </row>
    <row r="236" spans="1:40" s="1105" customFormat="1" ht="15.6" x14ac:dyDescent="0.25">
      <c r="A236" s="1475"/>
      <c r="B236" s="1525"/>
      <c r="C236" s="1525"/>
      <c r="D236" s="1526"/>
      <c r="E236" s="2019"/>
      <c r="F236" s="1504"/>
      <c r="G236" s="1584"/>
      <c r="H236" s="1504"/>
      <c r="I236" s="1528"/>
      <c r="J236" s="1529"/>
      <c r="K236" s="1530"/>
      <c r="L236" s="1531"/>
      <c r="M236" s="1532"/>
      <c r="N236" s="1531">
        <f>IF(NOT(ISERROR(MATCH(M236,_xlfn.ANCHORARRAY(#REF!),0))),#REF!&amp;"Por favor no seleccionar los criterios de impacto",M236)</f>
        <v>0</v>
      </c>
      <c r="O236" s="1530"/>
      <c r="P236" s="1531"/>
      <c r="Q236" s="1533"/>
      <c r="R236" s="1512">
        <v>3</v>
      </c>
      <c r="S236" s="1534"/>
      <c r="T236" s="1514" t="str">
        <f t="shared" ref="T236:T237" si="128">IF(OR(U236="Preventivo",U236="Detectivo"),"Probabilidad",IF(U236="Correctivo","Impacto",""))</f>
        <v/>
      </c>
      <c r="U236" s="1515"/>
      <c r="V236" s="1515"/>
      <c r="W236" s="1516" t="str">
        <f t="shared" si="124"/>
        <v/>
      </c>
      <c r="X236" s="1515"/>
      <c r="Y236" s="1515"/>
      <c r="Z236" s="1515"/>
      <c r="AA236" s="1517" t="str">
        <f>IFERROR(IF(AND(T235="Probabilidad",T236="Probabilidad"),(AC235-(+AC235*W236)),IF(AND(T235="Impacto",T236="Probabilidad"),(AC234-(+AC234*W236)),IF(T236="Impacto",AC235,""))),"")</f>
        <v/>
      </c>
      <c r="AB236" s="1518" t="str">
        <f t="shared" si="125"/>
        <v/>
      </c>
      <c r="AC236" s="1519" t="str">
        <f t="shared" ref="AC236:AC237" si="129">+AA236</f>
        <v/>
      </c>
      <c r="AD236" s="1518" t="str">
        <f t="shared" si="126"/>
        <v/>
      </c>
      <c r="AE236" s="1519" t="str">
        <f t="shared" ref="AE236:AE237" si="130">IFERROR(IF(AND(T235="Impacto",T236="Impacto"),(AE235-(+AE235*W236)),IF(AND(T235="Probabilidad",T236="Impacto"),(AE234-(+AE234*W236)),IF(T236="Probabilidad",AE235,""))),"")</f>
        <v/>
      </c>
      <c r="AF236" s="1520" t="str">
        <f t="shared" si="127"/>
        <v/>
      </c>
      <c r="AG236" s="1580"/>
      <c r="AH236" s="2013"/>
      <c r="AI236" s="1556"/>
      <c r="AJ236" s="1557"/>
      <c r="AK236" s="1557"/>
      <c r="AL236" s="1555"/>
      <c r="AM236" s="2017"/>
      <c r="AN236" s="2018"/>
    </row>
    <row r="237" spans="1:40" s="1105" customFormat="1" ht="15.6" x14ac:dyDescent="0.25">
      <c r="A237" s="1475"/>
      <c r="B237" s="1525"/>
      <c r="C237" s="1525"/>
      <c r="D237" s="1526"/>
      <c r="E237" s="2020"/>
      <c r="F237" s="1504"/>
      <c r="G237" s="1584"/>
      <c r="H237" s="1504"/>
      <c r="I237" s="1528"/>
      <c r="J237" s="1529"/>
      <c r="K237" s="1530"/>
      <c r="L237" s="1531"/>
      <c r="M237" s="1532"/>
      <c r="N237" s="1531">
        <f>IF(NOT(ISERROR(MATCH(M237,_xlfn.ANCHORARRAY(#REF!),0))),#REF!&amp;"Por favor no seleccionar los criterios de impacto",M237)</f>
        <v>0</v>
      </c>
      <c r="O237" s="1530"/>
      <c r="P237" s="1531"/>
      <c r="Q237" s="1533"/>
      <c r="R237" s="1512">
        <v>4</v>
      </c>
      <c r="S237" s="1851"/>
      <c r="T237" s="1514" t="str">
        <f t="shared" si="128"/>
        <v/>
      </c>
      <c r="U237" s="1515"/>
      <c r="V237" s="1515"/>
      <c r="W237" s="1516" t="str">
        <f t="shared" si="124"/>
        <v/>
      </c>
      <c r="X237" s="1515"/>
      <c r="Y237" s="1515"/>
      <c r="Z237" s="1515"/>
      <c r="AA237" s="1517" t="str">
        <f t="shared" ref="AA237" si="131">IFERROR(IF(AND(T236="Probabilidad",T237="Probabilidad"),(AC236-(+AC236*W237)),IF(AND(T236="Impacto",T237="Probabilidad"),(AC235-(+AC235*W237)),IF(T237="Impacto",AC236,""))),"")</f>
        <v/>
      </c>
      <c r="AB237" s="1518" t="str">
        <f t="shared" si="125"/>
        <v/>
      </c>
      <c r="AC237" s="1519" t="str">
        <f t="shared" si="129"/>
        <v/>
      </c>
      <c r="AD237" s="1518" t="str">
        <f t="shared" si="126"/>
        <v/>
      </c>
      <c r="AE237" s="1519" t="str">
        <f t="shared" si="130"/>
        <v/>
      </c>
      <c r="AF237" s="1520" t="str">
        <f t="shared" si="127"/>
        <v/>
      </c>
      <c r="AG237" s="1580"/>
      <c r="AH237" s="2013"/>
      <c r="AI237" s="1556"/>
      <c r="AJ237" s="1557"/>
      <c r="AK237" s="1557"/>
      <c r="AL237" s="1555"/>
      <c r="AM237" s="2017"/>
      <c r="AN237" s="2018"/>
    </row>
    <row r="238" spans="1:40" s="1105" customFormat="1" ht="92.4" x14ac:dyDescent="0.25">
      <c r="A238" s="1450">
        <v>2</v>
      </c>
      <c r="B238" s="1541" t="s">
        <v>199</v>
      </c>
      <c r="C238" s="1541" t="s">
        <v>343</v>
      </c>
      <c r="D238" s="1542" t="s">
        <v>344</v>
      </c>
      <c r="E238" s="1543" t="s">
        <v>345</v>
      </c>
      <c r="F238" s="1544" t="s">
        <v>346</v>
      </c>
      <c r="G238" s="1578" t="s">
        <v>202</v>
      </c>
      <c r="H238" s="2021" t="s">
        <v>347</v>
      </c>
      <c r="I238" s="1547" t="s">
        <v>190</v>
      </c>
      <c r="J238" s="1548">
        <v>500</v>
      </c>
      <c r="K238" s="1549" t="str">
        <f>IF(J238&lt;=0,"",IF(J238&lt;=2,"Muy Baja",IF(J238&lt;=24,"Baja",IF(J238&lt;=500,"Media",IF(J238&lt;=5000,"Alta","Muy Alta")))))</f>
        <v>Media</v>
      </c>
      <c r="L238" s="1550">
        <f>IF(K238="","",IF(K238="Muy Baja",0.2,IF(K238="Baja",0.4,IF(K238="Media",0.6,IF(K238="Alta",0.8,IF(K238="Muy Alta",1,))))))</f>
        <v>0.6</v>
      </c>
      <c r="M238" s="1551" t="s">
        <v>315</v>
      </c>
      <c r="N238" s="1550" t="str">
        <f>IF(NOT(ISERROR(MATCH(M238,'[33]Tabla Impacto'!$B$221:$B$223,0))),'[33]Tabla Impacto'!$F$223&amp;"Por favor no seleccionar los criterios de impacto(Afectación Económica o presupuestal y Pérdida Reputacional)",M238)</f>
        <v xml:space="preserve">     El riesgo afecta la imagen de alguna área de la organización</v>
      </c>
      <c r="O238" s="1549" t="str">
        <f>IF(OR(N238='[33]Tabla Impacto'!$C$11,N238='[33]Tabla Impacto'!$D$11),"Leve",IF(OR(N238='[33]Tabla Impacto'!$C$12,N238='[33]Tabla Impacto'!$D$12),"Menor",IF(OR(N238='[33]Tabla Impacto'!$C$13,N238='[33]Tabla Impacto'!$D$13),"Moderado",IF(OR(N238='[33]Tabla Impacto'!$C$14,N238='[33]Tabla Impacto'!$D$14),"Mayor",IF(OR(N238='[33]Tabla Impacto'!$C$15,N238='[33]Tabla Impacto'!$D$15),"Catastrófico","")))))</f>
        <v>Leve</v>
      </c>
      <c r="P238" s="1550">
        <f>IF(O238="","",IF(O238="Leve",0.2,IF(O238="Menor",0.4,IF(O238="Moderado",0.6,IF(O238="Mayor",0.8,IF(O238="Catastrófico",1,))))))</f>
        <v>0.2</v>
      </c>
      <c r="Q238" s="1552" t="str">
        <f>IF(OR(AND(K238="Muy Baja",O238="Leve"),AND(K238="Muy Baja",O238="Menor"),AND(K238="Baja",O238="Leve")),"Bajo",IF(OR(AND(K238="Muy baja",O238="Moderado"),AND(K238="Baja",O238="Menor"),AND(K238="Baja",O238="Moderado"),AND(K238="Media",O238="Leve"),AND(K238="Media",O238="Menor"),AND(K238="Media",O238="Moderado"),AND(K238="Alta",O238="Leve"),AND(K238="Alta",O238="Menor")),"Moderado",IF(OR(AND(K238="Muy Baja",O238="Mayor"),AND(K238="Baja",O238="Mayor"),AND(K238="Media",O238="Mayor"),AND(K238="Alta",O238="Moderado"),AND(K238="Alta",O238="Mayor"),AND(K238="Muy Alta",O238="Leve"),AND(K238="Muy Alta",O238="Menor"),AND(K238="Muy Alta",O238="Moderado"),AND(K238="Muy Alta",O238="Mayor")),"Alto",IF(OR(AND(K238="Muy Baja",O238="Catastrófico"),AND(K238="Baja",O238="Catastrófico"),AND(K238="Media",O238="Catastrófico"),AND(K238="Alta",O238="Catastrófico"),AND(K238="Muy Alta",O238="Catastrófico")),"Extremo",""))))</f>
        <v>Moderado</v>
      </c>
      <c r="R238" s="1512">
        <v>1</v>
      </c>
      <c r="S238" s="1851" t="s">
        <v>348</v>
      </c>
      <c r="T238" s="1514" t="str">
        <f>IF(OR(U238="Preventivo",U238="Detectivo"),"Probabilidad",IF(U238="Correctivo","Impacto",""))</f>
        <v>Probabilidad</v>
      </c>
      <c r="U238" s="1515" t="s">
        <v>197</v>
      </c>
      <c r="V238" s="1515" t="s">
        <v>191</v>
      </c>
      <c r="W238" s="1516" t="str">
        <f>IF(AND(U238="Preventivo",V238="Automático"),"50%",IF(AND(U238="Preventivo",V238="Manual"),"40%",IF(AND(U238="Detectivo",V238="Automático"),"40%",IF(AND(U238="Detectivo",V238="Manual"),"30%",IF(AND(U238="Correctivo",V238="Automático"),"35%",IF(AND(U238="Correctivo",V238="Manual"),"25%",""))))))</f>
        <v>40%</v>
      </c>
      <c r="X238" s="1515" t="s">
        <v>198</v>
      </c>
      <c r="Y238" s="1515" t="s">
        <v>193</v>
      </c>
      <c r="Z238" s="1515" t="s">
        <v>194</v>
      </c>
      <c r="AA238" s="1517">
        <f>IFERROR(IF(T238="Probabilidad",(L238-(+L238*W238)),IF(T238="Impacto",L238,"")),"")</f>
        <v>0.36</v>
      </c>
      <c r="AB238" s="1518" t="str">
        <f>IFERROR(IF(AA238="","",IF(AA238&lt;=0.2,"Muy Baja",IF(AA238&lt;=0.4,"Baja",IF(AA238&lt;=0.6,"Media",IF(AA238&lt;=0.8,"Alta","Muy Alta"))))),"")</f>
        <v>Baja</v>
      </c>
      <c r="AC238" s="1519">
        <f>+AA238</f>
        <v>0.36</v>
      </c>
      <c r="AD238" s="1518" t="str">
        <f>IFERROR(IF(AE238="","",IF(AE238&lt;=0.2,"Leve",IF(AE238&lt;=0.4,"Menor",IF(AE238&lt;=0.6,"Moderado",IF(AE238&lt;=0.8,"Mayor","Catastrófico"))))),"")</f>
        <v>Leve</v>
      </c>
      <c r="AE238" s="1519">
        <f>IFERROR(IF(T238="Impacto",(P238-(+P238*W238)),IF(T238="Probabilidad",P238,"")),"")</f>
        <v>0.2</v>
      </c>
      <c r="AF238" s="1520" t="str">
        <f>IFERROR(IF(OR(AND(AB238="Muy Baja",AD238="Leve"),AND(AB238="Muy Baja",AD238="Menor"),AND(AB238="Baja",AD238="Leve")),"Bajo",IF(OR(AND(AB238="Muy baja",AD238="Moderado"),AND(AB238="Baja",AD238="Menor"),AND(AB238="Baja",AD238="Moderado"),AND(AB238="Media",AD238="Leve"),AND(AB238="Media",AD238="Menor"),AND(AB238="Media",AD238="Moderado"),AND(AB238="Alta",AD238="Leve"),AND(AB238="Alta",AD238="Menor")),"Moderado",IF(OR(AND(AB238="Muy Baja",AD238="Mayor"),AND(AB238="Baja",AD238="Mayor"),AND(AB238="Media",AD238="Mayor"),AND(AB238="Alta",AD238="Moderado"),AND(AB238="Alta",AD238="Mayor"),AND(AB238="Muy Alta",AD238="Leve"),AND(AB238="Muy Alta",AD238="Menor"),AND(AB238="Muy Alta",AD238="Moderado"),AND(AB238="Muy Alta",AD238="Mayor")),"Alto",IF(OR(AND(AB238="Muy Baja",AD238="Catastrófico"),AND(AB238="Baja",AD238="Catastrófico"),AND(AB238="Media",AD238="Catastrófico"),AND(AB238="Alta",AD238="Catastrófico"),AND(AB238="Muy Alta",AD238="Catastrófico")),"Extremo","")))),"")</f>
        <v>Bajo</v>
      </c>
      <c r="AG238" s="1580"/>
      <c r="AH238" s="2022"/>
      <c r="AI238" s="2023"/>
      <c r="AJ238" s="1845"/>
      <c r="AK238" s="1845"/>
      <c r="AL238" s="1555"/>
      <c r="AM238" s="2017"/>
      <c r="AN238" s="2024" t="s">
        <v>349</v>
      </c>
    </row>
    <row r="239" spans="1:40" s="1105" customFormat="1" ht="79.2" x14ac:dyDescent="0.25">
      <c r="A239" s="1475"/>
      <c r="B239" s="1559"/>
      <c r="C239" s="1559"/>
      <c r="D239" s="1560"/>
      <c r="E239" s="1543" t="s">
        <v>350</v>
      </c>
      <c r="F239" s="1544"/>
      <c r="G239" s="1584"/>
      <c r="H239" s="2021" t="s">
        <v>351</v>
      </c>
      <c r="I239" s="1563"/>
      <c r="J239" s="1564"/>
      <c r="K239" s="1565"/>
      <c r="L239" s="1566"/>
      <c r="M239" s="1567"/>
      <c r="N239" s="1566">
        <f>IF(NOT(ISERROR(MATCH(M239,_xlfn.ANCHORARRAY(F241),0))),#REF!&amp;"Por favor no seleccionar los criterios de impacto",M239)</f>
        <v>0</v>
      </c>
      <c r="O239" s="1565"/>
      <c r="P239" s="1566"/>
      <c r="Q239" s="1568"/>
      <c r="R239" s="1512">
        <v>2</v>
      </c>
      <c r="S239" s="1851" t="s">
        <v>352</v>
      </c>
      <c r="T239" s="1514" t="str">
        <f>IF(OR(U239="Preventivo",U239="Detectivo"),"Probabilidad",IF(U239="Correctivo","Impacto",""))</f>
        <v>Probabilidad</v>
      </c>
      <c r="U239" s="1515" t="s">
        <v>197</v>
      </c>
      <c r="V239" s="1515" t="s">
        <v>191</v>
      </c>
      <c r="W239" s="1516" t="str">
        <f t="shared" ref="W239" si="132">IF(AND(U239="Preventivo",V239="Automático"),"50%",IF(AND(U239="Preventivo",V239="Manual"),"40%",IF(AND(U239="Detectivo",V239="Automático"),"40%",IF(AND(U239="Detectivo",V239="Manual"),"30%",IF(AND(U239="Correctivo",V239="Automático"),"35%",IF(AND(U239="Correctivo",V239="Manual"),"25%",""))))))</f>
        <v>40%</v>
      </c>
      <c r="X239" s="1515" t="s">
        <v>198</v>
      </c>
      <c r="Y239" s="1515" t="s">
        <v>193</v>
      </c>
      <c r="Z239" s="1515" t="s">
        <v>194</v>
      </c>
      <c r="AA239" s="1517">
        <f>IFERROR(IF(AND(T238="Probabilidad",T239="Probabilidad"),(AC238-(+AC238*W239)),IF(AND(T238="Impacto",T239="Probabilidad"),(L238-(+L238*W239)),IF(T239="Impacto",AC238,""))),"")</f>
        <v>0.216</v>
      </c>
      <c r="AB239" s="1518" t="str">
        <f t="shared" ref="AB239" si="133">IFERROR(IF(AA239="","",IF(AA239&lt;=0.2,"Muy Baja",IF(AA239&lt;=0.4,"Baja",IF(AA239&lt;=0.6,"Media",IF(AA239&lt;=0.8,"Alta","Muy Alta"))))),"")</f>
        <v>Baja</v>
      </c>
      <c r="AC239" s="1519">
        <f>+AA239</f>
        <v>0.216</v>
      </c>
      <c r="AD239" s="1518" t="str">
        <f t="shared" ref="AD239" si="134">IFERROR(IF(AE239="","",IF(AE239&lt;=0.2,"Leve",IF(AE239&lt;=0.4,"Menor",IF(AE239&lt;=0.6,"Moderado",IF(AE239&lt;=0.8,"Mayor","Catastrófico"))))),"")</f>
        <v>Leve</v>
      </c>
      <c r="AE239" s="1519">
        <f>IFERROR(IF(AND(T238="Impacto",T239="Impacto"),(AE238-(+AE238*W239)),IF(AND(T238="Probabilidad",T239="Impacto"),(P238-(+P238*W239)),IF(T239="Probabilidad",AE238,""))),"")</f>
        <v>0.2</v>
      </c>
      <c r="AF239" s="1520" t="str">
        <f t="shared" ref="AF239" si="135">IFERROR(IF(OR(AND(AB239="Muy Baja",AD239="Leve"),AND(AB239="Muy Baja",AD239="Menor"),AND(AB239="Baja",AD239="Leve")),"Bajo",IF(OR(AND(AB239="Muy baja",AD239="Moderado"),AND(AB239="Baja",AD239="Menor"),AND(AB239="Baja",AD239="Moderado"),AND(AB239="Media",AD239="Leve"),AND(AB239="Media",AD239="Menor"),AND(AB239="Media",AD239="Moderado"),AND(AB239="Alta",AD239="Leve"),AND(AB239="Alta",AD239="Menor")),"Moderado",IF(OR(AND(AB239="Muy Baja",AD239="Mayor"),AND(AB239="Baja",AD239="Mayor"),AND(AB239="Media",AD239="Mayor"),AND(AB239="Alta",AD239="Moderado"),AND(AB239="Alta",AD239="Mayor"),AND(AB239="Muy Alta",AD239="Leve"),AND(AB239="Muy Alta",AD239="Menor"),AND(AB239="Muy Alta",AD239="Moderado"),AND(AB239="Muy Alta",AD239="Mayor")),"Alto",IF(OR(AND(AB239="Muy Baja",AD239="Catastrófico"),AND(AB239="Baja",AD239="Catastrófico"),AND(AB239="Media",AD239="Catastrófico"),AND(AB239="Alta",AD239="Catastrófico"),AND(AB239="Muy Alta",AD239="Catastrófico")),"Extremo","")))),"")</f>
        <v>Bajo</v>
      </c>
      <c r="AG239" s="1580"/>
      <c r="AH239" s="2025"/>
      <c r="AI239" s="2026"/>
      <c r="AJ239" s="1557"/>
      <c r="AK239" s="1557"/>
      <c r="AL239" s="1555"/>
      <c r="AM239" s="2017"/>
      <c r="AN239" s="2024" t="s">
        <v>353</v>
      </c>
    </row>
    <row r="240" spans="1:40" s="1105" customFormat="1" ht="330" x14ac:dyDescent="0.25">
      <c r="A240" s="1822">
        <v>3</v>
      </c>
      <c r="B240" s="2027" t="s">
        <v>354</v>
      </c>
      <c r="C240" s="2027" t="s">
        <v>355</v>
      </c>
      <c r="D240" s="2028" t="s">
        <v>356</v>
      </c>
      <c r="E240" s="2029" t="s">
        <v>357</v>
      </c>
      <c r="F240" s="2030" t="s">
        <v>358</v>
      </c>
      <c r="G240" s="2031" t="s">
        <v>203</v>
      </c>
      <c r="H240" s="2032" t="s">
        <v>359</v>
      </c>
      <c r="I240" s="2033" t="s">
        <v>190</v>
      </c>
      <c r="J240" s="2034">
        <v>12</v>
      </c>
      <c r="K240" s="2009" t="str">
        <f t="shared" ref="K240:K241" si="136">IF(J240&lt;=0,"",IF(J240&lt;=2,"Muy Baja",IF(J240&lt;=24,"Baja",IF(J240&lt;=500,"Media",IF(J240&lt;=5000,"Alta","Muy Alta")))))</f>
        <v>Baja</v>
      </c>
      <c r="L240" s="1835">
        <f t="shared" ref="L240:L241" si="137">IF(K240="","",IF(K240="Muy Baja",0.2,IF(K240="Baja",0.4,IF(K240="Media",0.6,IF(K240="Alta",0.8,IF(K240="Muy Alta",1,))))))</f>
        <v>0.4</v>
      </c>
      <c r="M240" s="2008"/>
      <c r="N240" s="1835">
        <f>IF(NOT(ISERROR(MATCH(M240,'[33]Tabla Impacto'!$B$221:$B$223,0))),'[33]Tabla Impacto'!$F$223&amp;"Por favor no seleccionar los criterios de impacto(Afectación Económica o presupuestal y Pérdida Reputacional)",M240)</f>
        <v>0</v>
      </c>
      <c r="O240" s="2009" t="str">
        <f>IF(OR(N240='[33]Tabla Impacto'!$C$11,N240='[33]Tabla Impacto'!$D$11),"Leve",IF(OR(N240='[33]Tabla Impacto'!$C$12,N240='[33]Tabla Impacto'!$D$12),"Menor",IF(OR(N240='[33]Tabla Impacto'!$C$13,N240='[33]Tabla Impacto'!$D$13),"Moderado",IF(OR(N240='[33]Tabla Impacto'!$C$14,N240='[33]Tabla Impacto'!$D$14),"Mayor",IF(OR(N240='[33]Tabla Impacto'!$C$15,N240='[33]Tabla Impacto'!$D$15),"Catastrófico","")))))</f>
        <v/>
      </c>
      <c r="P240" s="1835" t="str">
        <f t="shared" ref="P240:P241" si="138">IF(O240="","",IF(O240="Leve",0.2,IF(O240="Menor",0.4,IF(O240="Moderado",0.6,IF(O240="Mayor",0.8,IF(O240="Catastrófico",1,))))))</f>
        <v/>
      </c>
      <c r="Q240" s="2010" t="str">
        <f t="shared" ref="Q240:Q241" si="139">IF(OR(AND(K240="Muy Baja",O240="Leve"),AND(K240="Muy Baja",O240="Menor"),AND(K240="Baja",O240="Leve")),"Bajo",IF(OR(AND(K240="Muy baja",O240="Moderado"),AND(K240="Baja",O240="Menor"),AND(K240="Baja",O240="Moderado"),AND(K240="Media",O240="Leve"),AND(K240="Media",O240="Menor"),AND(K240="Media",O240="Moderado"),AND(K240="Alta",O240="Leve"),AND(K240="Alta",O240="Menor")),"Moderado",IF(OR(AND(K240="Muy Baja",O240="Mayor"),AND(K240="Baja",O240="Mayor"),AND(K240="Media",O240="Mayor"),AND(K240="Alta",O240="Moderado"),AND(K240="Alta",O240="Mayor"),AND(K240="Muy Alta",O240="Leve"),AND(K240="Muy Alta",O240="Menor"),AND(K240="Muy Alta",O240="Moderado"),AND(K240="Muy Alta",O240="Mayor")),"Alto",IF(OR(AND(K240="Muy Baja",O240="Catastrófico"),AND(K240="Baja",O240="Catastrófico"),AND(K240="Media",O240="Catastrófico"),AND(K240="Alta",O240="Catastrófico"),AND(K240="Muy Alta",O240="Catastrófico")),"Extremo",""))))</f>
        <v/>
      </c>
      <c r="R240" s="1512">
        <v>1</v>
      </c>
      <c r="S240" s="1851" t="s">
        <v>360</v>
      </c>
      <c r="T240" s="1514" t="str">
        <f>IF(OR(U240="Preventivo",U240="Detectivo"),"Probabilidad",IF(U240="Correctivo","Impacto",""))</f>
        <v>Probabilidad</v>
      </c>
      <c r="U240" s="1515" t="s">
        <v>197</v>
      </c>
      <c r="V240" s="1515" t="s">
        <v>191</v>
      </c>
      <c r="W240" s="1516" t="str">
        <f>IF(AND(U240="Preventivo",V240="Automático"),"50%",IF(AND(U240="Preventivo",V240="Manual"),"40%",IF(AND(U240="Detectivo",V240="Automático"),"40%",IF(AND(U240="Detectivo",V240="Manual"),"30%",IF(AND(U240="Correctivo",V240="Automático"),"35%",IF(AND(U240="Correctivo",V240="Manual"),"25%",""))))))</f>
        <v>40%</v>
      </c>
      <c r="X240" s="1515" t="s">
        <v>198</v>
      </c>
      <c r="Y240" s="1515" t="s">
        <v>193</v>
      </c>
      <c r="Z240" s="1515" t="s">
        <v>194</v>
      </c>
      <c r="AA240" s="1517">
        <f>IFERROR(IF(T240="Probabilidad",(L240-(+L240*W240)),IF(T240="Impacto",L240,"")),"")</f>
        <v>0.24</v>
      </c>
      <c r="AB240" s="1518" t="str">
        <f>IFERROR(IF(AA240="","",IF(AA240&lt;=0.2,"Muy Baja",IF(AA240&lt;=0.4,"Baja",IF(AA240&lt;=0.6,"Media",IF(AA240&lt;=0.8,"Alta","Muy Alta"))))),"")</f>
        <v>Baja</v>
      </c>
      <c r="AC240" s="1519">
        <f>+AA240</f>
        <v>0.24</v>
      </c>
      <c r="AD240" s="1518" t="str">
        <f>IFERROR(IF(AE240="","",IF(AE240&lt;=0.2,"Leve",IF(AE240&lt;=0.4,"Menor",IF(AE240&lt;=0.6,"Moderado",IF(AE240&lt;=0.8,"Mayor","Catastrófico"))))),"")</f>
        <v/>
      </c>
      <c r="AE240" s="1519" t="str">
        <f>IFERROR(IF(T240="Impacto",(P240-(+P240*W240)),IF(T240="Probabilidad",P240,"")),"")</f>
        <v/>
      </c>
      <c r="AF240" s="1520" t="str">
        <f>IFERROR(IF(OR(AND(AB240="Muy Baja",AD240="Leve"),AND(AB240="Muy Baja",AD240="Menor"),AND(AB240="Baja",AD240="Leve")),"Bajo",IF(OR(AND(AB240="Muy baja",AD240="Moderado"),AND(AB240="Baja",AD240="Menor"),AND(AB240="Baja",AD240="Moderado"),AND(AB240="Media",AD240="Leve"),AND(AB240="Media",AD240="Menor"),AND(AB240="Media",AD240="Moderado"),AND(AB240="Alta",AD240="Leve"),AND(AB240="Alta",AD240="Menor")),"Moderado",IF(OR(AND(AB240="Muy Baja",AD240="Mayor"),AND(AB240="Baja",AD240="Mayor"),AND(AB240="Media",AD240="Mayor"),AND(AB240="Alta",AD240="Moderado"),AND(AB240="Alta",AD240="Mayor"),AND(AB240="Muy Alta",AD240="Leve"),AND(AB240="Muy Alta",AD240="Menor"),AND(AB240="Muy Alta",AD240="Moderado"),AND(AB240="Muy Alta",AD240="Mayor")),"Alto",IF(OR(AND(AB240="Muy Baja",AD240="Catastrófico"),AND(AB240="Baja",AD240="Catastrófico"),AND(AB240="Media",AD240="Catastrófico"),AND(AB240="Alta",AD240="Catastrófico"),AND(AB240="Muy Alta",AD240="Catastrófico")),"Extremo","")))),"")</f>
        <v/>
      </c>
      <c r="AG240" s="1580"/>
      <c r="AH240" s="2035"/>
      <c r="AI240" s="2036"/>
      <c r="AJ240" s="2037"/>
      <c r="AK240" s="2037"/>
      <c r="AL240" s="2038"/>
      <c r="AM240" s="2039"/>
      <c r="AN240" s="2040" t="s">
        <v>361</v>
      </c>
    </row>
    <row r="241" spans="1:41" s="1105" customFormat="1" ht="82.8" x14ac:dyDescent="0.25">
      <c r="A241" s="1822">
        <v>4</v>
      </c>
      <c r="B241" s="2027" t="s">
        <v>354</v>
      </c>
      <c r="C241" s="2027" t="s">
        <v>362</v>
      </c>
      <c r="D241" s="2041" t="s">
        <v>363</v>
      </c>
      <c r="E241" s="2029" t="s">
        <v>364</v>
      </c>
      <c r="F241" s="2030" t="s">
        <v>365</v>
      </c>
      <c r="G241" s="2042" t="s">
        <v>203</v>
      </c>
      <c r="H241" s="2032" t="s">
        <v>359</v>
      </c>
      <c r="I241" s="2033" t="s">
        <v>190</v>
      </c>
      <c r="J241" s="2034">
        <v>300</v>
      </c>
      <c r="K241" s="2009" t="str">
        <f t="shared" si="136"/>
        <v>Media</v>
      </c>
      <c r="L241" s="1835">
        <f t="shared" si="137"/>
        <v>0.6</v>
      </c>
      <c r="M241" s="2008" t="s">
        <v>321</v>
      </c>
      <c r="N241" s="1835" t="str">
        <f>IF(NOT(ISERROR(MATCH(M241,'[33]Tabla Impacto'!$B$221:$B$223,0))),'[33]Tabla Impacto'!$F$223&amp;"Por favor no seleccionar los criterios de impacto(Afectación Económica o presupuestal y Pérdida Reputacional)",M241)</f>
        <v xml:space="preserve">     Entre 200 y 1000 SMLMV</v>
      </c>
      <c r="O241" s="2009" t="str">
        <f>IF(OR(N241='[33]Tabla Impacto'!$C$11,N241='[33]Tabla Impacto'!$D$11),"Leve",IF(OR(N241='[33]Tabla Impacto'!$C$12,N241='[33]Tabla Impacto'!$D$12),"Menor",IF(OR(N241='[33]Tabla Impacto'!$C$13,N241='[33]Tabla Impacto'!$D$13),"Moderado",IF(OR(N241='[33]Tabla Impacto'!$C$14,N241='[33]Tabla Impacto'!$D$14),"Mayor",IF(OR(N241='[33]Tabla Impacto'!$C$15,N241='[33]Tabla Impacto'!$D$15),"Catastrófico","")))))</f>
        <v>Menor</v>
      </c>
      <c r="P241" s="1835">
        <f t="shared" si="138"/>
        <v>0.4</v>
      </c>
      <c r="Q241" s="2010" t="str">
        <f t="shared" si="139"/>
        <v>Moderado</v>
      </c>
      <c r="R241" s="1512">
        <v>1</v>
      </c>
      <c r="S241" s="1851" t="s">
        <v>366</v>
      </c>
      <c r="T241" s="1514" t="str">
        <f>IF(OR(U241="Preventivo",U241="Detectivo"),"Probabilidad",IF(U241="Correctivo","Impacto",""))</f>
        <v>Probabilidad</v>
      </c>
      <c r="U241" s="1515" t="s">
        <v>197</v>
      </c>
      <c r="V241" s="1515" t="s">
        <v>191</v>
      </c>
      <c r="W241" s="1516" t="str">
        <f>IF(AND(U241="Preventivo",V241="Automático"),"50%",IF(AND(U241="Preventivo",V241="Manual"),"40%",IF(AND(U241="Detectivo",V241="Automático"),"40%",IF(AND(U241="Detectivo",V241="Manual"),"30%",IF(AND(U241="Correctivo",V241="Automático"),"35%",IF(AND(U241="Correctivo",V241="Manual"),"25%",""))))))</f>
        <v>40%</v>
      </c>
      <c r="X241" s="1515" t="s">
        <v>198</v>
      </c>
      <c r="Y241" s="1515" t="s">
        <v>193</v>
      </c>
      <c r="Z241" s="1975" t="s">
        <v>194</v>
      </c>
      <c r="AA241" s="2043">
        <f>IFERROR(IF(T241="Probabilidad",(L241-(+L241*W241)),IF(T241="Impacto",L241,"")),"")</f>
        <v>0.36</v>
      </c>
      <c r="AB241" s="2044" t="str">
        <f>IFERROR(IF(AA241="","",IF(AA241&lt;=0.2,"Muy Baja",IF(AA241&lt;=0.4,"Baja",IF(AA241&lt;=0.6,"Media",IF(AA241&lt;=0.8,"Alta","Muy Alta"))))),"")</f>
        <v>Baja</v>
      </c>
      <c r="AC241" s="2045">
        <f>+AA241</f>
        <v>0.36</v>
      </c>
      <c r="AD241" s="2044" t="str">
        <f>IFERROR(IF(AE241="","",IF(AE241&lt;=0.2,"Leve",IF(AE241&lt;=0.4,"Menor",IF(AE241&lt;=0.6,"Moderado",IF(AE241&lt;=0.8,"Mayor","Catastrófico"))))),"")</f>
        <v>Menor</v>
      </c>
      <c r="AE241" s="2045">
        <f>IFERROR(IF(T241="Impacto",(P241-(+P241*W241)),IF(T241="Probabilidad",P241,"")),"")</f>
        <v>0.4</v>
      </c>
      <c r="AF241" s="2046" t="str">
        <f>IFERROR(IF(OR(AND(AB241="Muy Baja",AD241="Leve"),AND(AB241="Muy Baja",AD241="Menor"),AND(AB241="Baja",AD241="Leve")),"Bajo",IF(OR(AND(AB241="Muy baja",AD241="Moderado"),AND(AB241="Baja",AD241="Menor"),AND(AB241="Baja",AD241="Moderado"),AND(AB241="Media",AD241="Leve"),AND(AB241="Media",AD241="Menor"),AND(AB241="Media",AD241="Moderado"),AND(AB241="Alta",AD241="Leve"),AND(AB241="Alta",AD241="Menor")),"Moderado",IF(OR(AND(AB241="Muy Baja",AD241="Mayor"),AND(AB241="Baja",AD241="Mayor"),AND(AB241="Media",AD241="Mayor"),AND(AB241="Alta",AD241="Moderado"),AND(AB241="Alta",AD241="Mayor"),AND(AB241="Muy Alta",AD241="Leve"),AND(AB241="Muy Alta",AD241="Menor"),AND(AB241="Muy Alta",AD241="Moderado"),AND(AB241="Muy Alta",AD241="Mayor")),"Alto",IF(OR(AND(AB241="Muy Baja",AD241="Catastrófico"),AND(AB241="Baja",AD241="Catastrófico"),AND(AB241="Media",AD241="Catastrófico"),AND(AB241="Alta",AD241="Catastrófico"),AND(AB241="Muy Alta",AD241="Catastrófico")),"Extremo","")))),"")</f>
        <v>Moderado</v>
      </c>
      <c r="AG241" s="2047"/>
      <c r="AH241" s="2048"/>
      <c r="AI241" s="2036"/>
      <c r="AJ241" s="2037"/>
      <c r="AK241" s="2037"/>
      <c r="AL241" s="2038"/>
      <c r="AM241" s="2039"/>
      <c r="AN241" s="2024" t="s">
        <v>367</v>
      </c>
    </row>
    <row r="242" spans="1:41" s="1105" customFormat="1" x14ac:dyDescent="0.25">
      <c r="A242" s="1659" t="s">
        <v>148</v>
      </c>
      <c r="B242" s="1660"/>
      <c r="C242" s="1660"/>
      <c r="D242" s="1660"/>
      <c r="E242" s="1660"/>
      <c r="F242" s="1660"/>
      <c r="G242" s="1660"/>
      <c r="H242" s="1660"/>
      <c r="I242" s="1660"/>
      <c r="J242" s="1660"/>
      <c r="K242" s="1660"/>
      <c r="L242" s="1660"/>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1660"/>
      <c r="AG242" s="1660"/>
      <c r="AH242" s="1660"/>
      <c r="AI242" s="1660"/>
      <c r="AJ242" s="1660"/>
      <c r="AK242" s="1660"/>
      <c r="AL242" s="1660"/>
      <c r="AM242" s="1661"/>
      <c r="AN242" s="1423"/>
      <c r="AO242" s="1423"/>
    </row>
    <row r="243" spans="1:41" ht="13.8" customHeight="1" x14ac:dyDescent="0.3">
      <c r="A243" s="1662"/>
      <c r="B243" s="1663"/>
      <c r="C243" s="1663"/>
      <c r="D243" s="1663"/>
      <c r="E243" s="1663"/>
      <c r="F243" s="1663"/>
      <c r="G243" s="1663"/>
      <c r="H243" s="1663"/>
      <c r="I243" s="1663"/>
      <c r="J243" s="1663"/>
      <c r="K243" s="1663"/>
      <c r="L243" s="1663"/>
      <c r="M243" s="1663"/>
      <c r="N243" s="1663"/>
      <c r="O243" s="1663"/>
      <c r="P243" s="1663"/>
      <c r="Q243" s="1663"/>
      <c r="R243" s="1663"/>
      <c r="S243" s="1663"/>
      <c r="T243" s="1663"/>
      <c r="U243" s="1663"/>
      <c r="V243" s="1663"/>
      <c r="W243" s="1663"/>
      <c r="X243" s="1663"/>
      <c r="Y243" s="1663"/>
      <c r="Z243" s="1663"/>
      <c r="AA243" s="1663"/>
      <c r="AB243" s="1663"/>
      <c r="AC243" s="1663"/>
      <c r="AD243" s="1663"/>
      <c r="AE243" s="1663"/>
      <c r="AF243" s="1663"/>
      <c r="AG243" s="1663"/>
      <c r="AH243" s="1663"/>
      <c r="AI243" s="1663"/>
      <c r="AJ243" s="1663"/>
      <c r="AK243" s="1663"/>
      <c r="AL243" s="1663"/>
      <c r="AM243" s="1664"/>
      <c r="AN243" s="1423"/>
      <c r="AO243" s="1423"/>
    </row>
    <row r="244" spans="1:41" ht="14.4" x14ac:dyDescent="0.3">
      <c r="A244" s="1421"/>
      <c r="B244" s="1422"/>
      <c r="C244" s="1421"/>
      <c r="D244" s="1421"/>
      <c r="E244" s="1421"/>
      <c r="F244" s="1423"/>
      <c r="G244" s="1423"/>
      <c r="H244" s="1423"/>
      <c r="I244" s="1424"/>
      <c r="J244" s="1423"/>
      <c r="K244" s="1423"/>
      <c r="L244" s="1423"/>
      <c r="M244" s="1423"/>
      <c r="N244" s="1423"/>
      <c r="O244" s="1423"/>
      <c r="P244" s="1423"/>
      <c r="Q244" s="1423"/>
      <c r="R244" s="1423"/>
      <c r="S244" s="1423"/>
      <c r="T244" s="1423"/>
      <c r="U244" s="1423"/>
      <c r="V244" s="1423"/>
      <c r="W244" s="1423"/>
      <c r="X244" s="1423"/>
      <c r="Y244" s="1423"/>
      <c r="Z244" s="1423"/>
      <c r="AA244" s="1423"/>
      <c r="AB244" s="1423"/>
      <c r="AC244" s="1423"/>
      <c r="AD244" s="1423"/>
      <c r="AE244" s="1423"/>
      <c r="AF244" s="1423"/>
      <c r="AG244" s="1423"/>
      <c r="AH244" s="1423"/>
      <c r="AI244" s="1423"/>
      <c r="AJ244" s="1423"/>
      <c r="AK244" s="1423"/>
      <c r="AL244" s="1423"/>
      <c r="AM244" s="1423"/>
      <c r="AN244" s="1423"/>
      <c r="AO244" s="1423"/>
    </row>
    <row r="245" spans="1:41" ht="23.4" x14ac:dyDescent="0.3">
      <c r="A245" s="1425" t="s">
        <v>149</v>
      </c>
      <c r="B245" s="1426"/>
      <c r="C245" s="1499" t="s">
        <v>979</v>
      </c>
      <c r="D245" s="1499"/>
      <c r="E245" s="1499"/>
      <c r="F245" s="1499"/>
      <c r="G245" s="1499"/>
      <c r="H245" s="1499"/>
      <c r="I245" s="1499"/>
      <c r="J245" s="1499"/>
      <c r="K245" s="1499"/>
      <c r="L245" s="1499"/>
      <c r="M245" s="1499"/>
      <c r="N245" s="1499"/>
      <c r="O245" s="1499"/>
      <c r="P245" s="1499"/>
      <c r="Q245" s="1499"/>
      <c r="R245" s="1499"/>
      <c r="S245" s="1499"/>
      <c r="T245" s="1499"/>
      <c r="U245" s="1499"/>
      <c r="V245" s="1499"/>
      <c r="W245" s="1499"/>
      <c r="X245" s="1499"/>
      <c r="Y245" s="1499"/>
      <c r="Z245" s="1499"/>
      <c r="AA245" s="1499"/>
      <c r="AB245" s="1499"/>
      <c r="AC245" s="1499"/>
      <c r="AD245" s="1499"/>
      <c r="AE245" s="1499"/>
      <c r="AF245" s="1499"/>
      <c r="AG245" s="1499"/>
      <c r="AH245" s="1499"/>
      <c r="AI245" s="1499"/>
      <c r="AJ245" s="1499"/>
      <c r="AK245" s="1499"/>
      <c r="AL245" s="1499"/>
      <c r="AM245" s="1499"/>
      <c r="AN245" s="1423"/>
      <c r="AO245" s="1423"/>
    </row>
    <row r="246" spans="1:41" ht="23.4" x14ac:dyDescent="0.3">
      <c r="A246" s="1425" t="s">
        <v>150</v>
      </c>
      <c r="B246" s="1426"/>
      <c r="C246" s="2050" t="s">
        <v>980</v>
      </c>
      <c r="D246" s="2051"/>
      <c r="E246" s="2051"/>
      <c r="F246" s="2051"/>
      <c r="G246" s="2051"/>
      <c r="H246" s="2051"/>
      <c r="I246" s="2051"/>
      <c r="J246" s="2051"/>
      <c r="K246" s="2051"/>
      <c r="L246" s="2051"/>
      <c r="M246" s="2051"/>
      <c r="N246" s="2051"/>
      <c r="O246" s="2051"/>
      <c r="P246" s="2051"/>
      <c r="Q246" s="2051"/>
      <c r="R246" s="2051"/>
      <c r="S246" s="2051"/>
      <c r="T246" s="2051"/>
      <c r="U246" s="2051"/>
      <c r="V246" s="2051"/>
      <c r="W246" s="2051"/>
      <c r="X246" s="2051"/>
      <c r="Y246" s="2051"/>
      <c r="Z246" s="2051"/>
      <c r="AA246" s="2051"/>
      <c r="AB246" s="2051"/>
      <c r="AC246" s="2051"/>
      <c r="AD246" s="2051"/>
      <c r="AE246" s="2051"/>
      <c r="AF246" s="2051"/>
      <c r="AG246" s="2051"/>
      <c r="AH246" s="2051"/>
      <c r="AI246" s="2051"/>
      <c r="AJ246" s="2051"/>
      <c r="AK246" s="2051"/>
      <c r="AL246" s="2051"/>
      <c r="AM246" s="2052"/>
      <c r="AN246" s="1423"/>
      <c r="AO246" s="1423"/>
    </row>
    <row r="247" spans="1:41" ht="23.4" x14ac:dyDescent="0.3">
      <c r="A247" s="1425" t="s">
        <v>151</v>
      </c>
      <c r="B247" s="1426"/>
      <c r="C247" s="1500" t="s">
        <v>981</v>
      </c>
      <c r="D247" s="1500"/>
      <c r="E247" s="1500"/>
      <c r="F247" s="1500"/>
      <c r="G247" s="1500"/>
      <c r="H247" s="1500"/>
      <c r="I247" s="1500"/>
      <c r="J247" s="1500"/>
      <c r="K247" s="1500"/>
      <c r="L247" s="1500"/>
      <c r="M247" s="1500"/>
      <c r="N247" s="1500"/>
      <c r="O247" s="1500"/>
      <c r="P247" s="1500"/>
      <c r="Q247" s="1500"/>
      <c r="R247" s="1500"/>
      <c r="S247" s="1500"/>
      <c r="T247" s="1500"/>
      <c r="U247" s="1500"/>
      <c r="V247" s="1500"/>
      <c r="W247" s="1500"/>
      <c r="X247" s="1500"/>
      <c r="Y247" s="1500"/>
      <c r="Z247" s="1500"/>
      <c r="AA247" s="1500"/>
      <c r="AB247" s="1500"/>
      <c r="AC247" s="1500"/>
      <c r="AD247" s="1500"/>
      <c r="AE247" s="1500"/>
      <c r="AF247" s="1500"/>
      <c r="AG247" s="1500"/>
      <c r="AH247" s="1500"/>
      <c r="AI247" s="1500"/>
      <c r="AJ247" s="1500"/>
      <c r="AK247" s="1500"/>
      <c r="AL247" s="1500"/>
      <c r="AM247" s="1500"/>
      <c r="AN247" s="1423"/>
      <c r="AO247" s="1423"/>
    </row>
    <row r="248" spans="1:41" ht="14.4" x14ac:dyDescent="0.3">
      <c r="A248" s="1429" t="s">
        <v>152</v>
      </c>
      <c r="B248" s="1430"/>
      <c r="C248" s="1431"/>
      <c r="D248" s="1431"/>
      <c r="E248" s="1431"/>
      <c r="F248" s="1431"/>
      <c r="G248" s="1431"/>
      <c r="H248" s="1431"/>
      <c r="I248" s="1431"/>
      <c r="J248" s="1432"/>
      <c r="K248" s="1433" t="s">
        <v>153</v>
      </c>
      <c r="L248" s="1431"/>
      <c r="M248" s="1431"/>
      <c r="N248" s="1431"/>
      <c r="O248" s="1431"/>
      <c r="P248" s="1431"/>
      <c r="Q248" s="1432"/>
      <c r="R248" s="1433" t="s">
        <v>154</v>
      </c>
      <c r="S248" s="1431"/>
      <c r="T248" s="1431"/>
      <c r="U248" s="1431"/>
      <c r="V248" s="1431"/>
      <c r="W248" s="1431"/>
      <c r="X248" s="1431"/>
      <c r="Y248" s="1431"/>
      <c r="Z248" s="1432"/>
      <c r="AA248" s="1433" t="s">
        <v>155</v>
      </c>
      <c r="AB248" s="1431"/>
      <c r="AC248" s="1431"/>
      <c r="AD248" s="1431"/>
      <c r="AE248" s="1431"/>
      <c r="AF248" s="1431"/>
      <c r="AG248" s="1432"/>
      <c r="AH248" s="1433" t="s">
        <v>156</v>
      </c>
      <c r="AI248" s="1431"/>
      <c r="AJ248" s="1431"/>
      <c r="AK248" s="1431"/>
      <c r="AL248" s="1431"/>
      <c r="AM248" s="1432"/>
      <c r="AN248" s="1423"/>
      <c r="AO248" s="1423"/>
    </row>
    <row r="249" spans="1:41" x14ac:dyDescent="0.3">
      <c r="A249" s="1434" t="s">
        <v>157</v>
      </c>
      <c r="B249" s="1435" t="s">
        <v>141</v>
      </c>
      <c r="C249" s="1436" t="s">
        <v>158</v>
      </c>
      <c r="D249" s="1436" t="s">
        <v>159</v>
      </c>
      <c r="E249" s="1437" t="s">
        <v>160</v>
      </c>
      <c r="F249" s="1438" t="s">
        <v>60</v>
      </c>
      <c r="G249" s="1439"/>
      <c r="H249" s="1439"/>
      <c r="I249" s="1437" t="s">
        <v>161</v>
      </c>
      <c r="J249" s="1436" t="s">
        <v>162</v>
      </c>
      <c r="K249" s="1440" t="s">
        <v>163</v>
      </c>
      <c r="L249" s="1441" t="s">
        <v>164</v>
      </c>
      <c r="M249" s="1437" t="s">
        <v>165</v>
      </c>
      <c r="N249" s="1437" t="s">
        <v>166</v>
      </c>
      <c r="O249" s="1442" t="s">
        <v>167</v>
      </c>
      <c r="P249" s="1441" t="s">
        <v>164</v>
      </c>
      <c r="Q249" s="1436" t="s">
        <v>168</v>
      </c>
      <c r="R249" s="1443" t="s">
        <v>169</v>
      </c>
      <c r="S249" s="1444" t="s">
        <v>170</v>
      </c>
      <c r="T249" s="1437" t="s">
        <v>171</v>
      </c>
      <c r="U249" s="1444" t="s">
        <v>172</v>
      </c>
      <c r="V249" s="1444"/>
      <c r="W249" s="1444"/>
      <c r="X249" s="1444"/>
      <c r="Y249" s="1444"/>
      <c r="Z249" s="1444"/>
      <c r="AA249" s="1445" t="s">
        <v>173</v>
      </c>
      <c r="AB249" s="1445" t="s">
        <v>174</v>
      </c>
      <c r="AC249" s="1445" t="s">
        <v>164</v>
      </c>
      <c r="AD249" s="1445" t="s">
        <v>175</v>
      </c>
      <c r="AE249" s="1445" t="s">
        <v>164</v>
      </c>
      <c r="AF249" s="1445" t="s">
        <v>176</v>
      </c>
      <c r="AG249" s="1443" t="s">
        <v>177</v>
      </c>
      <c r="AH249" s="1444" t="s">
        <v>156</v>
      </c>
      <c r="AI249" s="1444" t="s">
        <v>142</v>
      </c>
      <c r="AJ249" s="1444" t="s">
        <v>178</v>
      </c>
      <c r="AK249" s="1444" t="s">
        <v>179</v>
      </c>
      <c r="AL249" s="1444" t="s">
        <v>180</v>
      </c>
      <c r="AM249" s="1444" t="s">
        <v>181</v>
      </c>
      <c r="AN249" s="2053" t="s">
        <v>982</v>
      </c>
      <c r="AO249" s="2053" t="s">
        <v>983</v>
      </c>
    </row>
    <row r="250" spans="1:41" ht="70.2" x14ac:dyDescent="0.3">
      <c r="A250" s="1446"/>
      <c r="B250" s="1435"/>
      <c r="C250" s="1444"/>
      <c r="D250" s="1444"/>
      <c r="E250" s="1440"/>
      <c r="F250" s="1447"/>
      <c r="G250" s="1439" t="s">
        <v>201</v>
      </c>
      <c r="H250" s="1439" t="s">
        <v>182</v>
      </c>
      <c r="I250" s="1436"/>
      <c r="J250" s="1444"/>
      <c r="K250" s="1436"/>
      <c r="L250" s="1433"/>
      <c r="M250" s="1436"/>
      <c r="N250" s="1436"/>
      <c r="O250" s="1433"/>
      <c r="P250" s="1433"/>
      <c r="Q250" s="1444"/>
      <c r="R250" s="1448"/>
      <c r="S250" s="1444"/>
      <c r="T250" s="1436"/>
      <c r="U250" s="1449" t="s">
        <v>183</v>
      </c>
      <c r="V250" s="1449" t="s">
        <v>184</v>
      </c>
      <c r="W250" s="1449" t="s">
        <v>185</v>
      </c>
      <c r="X250" s="1449" t="s">
        <v>186</v>
      </c>
      <c r="Y250" s="1449" t="s">
        <v>187</v>
      </c>
      <c r="Z250" s="1449" t="s">
        <v>188</v>
      </c>
      <c r="AA250" s="1445"/>
      <c r="AB250" s="1445"/>
      <c r="AC250" s="1445"/>
      <c r="AD250" s="1445"/>
      <c r="AE250" s="1445"/>
      <c r="AF250" s="1445"/>
      <c r="AG250" s="1448"/>
      <c r="AH250" s="1444"/>
      <c r="AI250" s="1444"/>
      <c r="AJ250" s="1444"/>
      <c r="AK250" s="1444"/>
      <c r="AL250" s="1444"/>
      <c r="AM250" s="1444"/>
      <c r="AN250" s="2053"/>
      <c r="AO250" s="2053"/>
    </row>
    <row r="251" spans="1:41" ht="97.2" customHeight="1" x14ac:dyDescent="0.3">
      <c r="A251" s="1450">
        <v>1</v>
      </c>
      <c r="B251" s="1451" t="s">
        <v>189</v>
      </c>
      <c r="C251" s="1451" t="s">
        <v>984</v>
      </c>
      <c r="D251" s="1452" t="s">
        <v>985</v>
      </c>
      <c r="E251" s="2054" t="s">
        <v>986</v>
      </c>
      <c r="F251" s="1454" t="s">
        <v>987</v>
      </c>
      <c r="G251" s="2055" t="s">
        <v>202</v>
      </c>
      <c r="H251" s="1454" t="s">
        <v>988</v>
      </c>
      <c r="I251" s="1456" t="s">
        <v>190</v>
      </c>
      <c r="J251" s="1457">
        <v>4</v>
      </c>
      <c r="K251" s="1458" t="str">
        <f>IF(J251&lt;=0,"",IF(J251&lt;=2,"Muy Baja",IF(J251&lt;=24,"Baja",IF(J251&lt;=500,"Media",IF(J251&lt;=5000,"Alta","Muy Alta")))))</f>
        <v>Baja</v>
      </c>
      <c r="L251" s="1459">
        <f>IF(K251="","",IF(K251="Muy Baja",0.2,IF(K251="Baja",0.4,IF(K251="Media",0.6,IF(K251="Alta",0.8,IF(K251="Muy Alta",1,))))))</f>
        <v>0.4</v>
      </c>
      <c r="M251" s="1460" t="s">
        <v>200</v>
      </c>
      <c r="N251" s="1459" t="str">
        <f>IF(NOT(ISERROR(MATCH(M251,'[34]Tabla Impacto'!$B$221:$B$223,0))),'[34]Tabla Impacto'!$F$223&amp;"Por favor no seleccionar los criterios de impacto(Afectación Económica o presupuestal y Pérdida Reputacional)",M251)</f>
        <v xml:space="preserve">     El riesgo afecta la imagen de la entidad con algunos usuarios de relevancia frente al logro de los objetivos</v>
      </c>
      <c r="O251" s="1458" t="str">
        <f>IF(OR(N251='[34]Tabla Impacto'!$C$11,N251='[34]Tabla Impacto'!$D$11),"Leve",IF(OR(N251='[34]Tabla Impacto'!$C$12,N251='[34]Tabla Impacto'!$D$12),"Menor",IF(OR(N251='[34]Tabla Impacto'!$C$13,N251='[34]Tabla Impacto'!$D$13),"Moderado",IF(OR(N251='[34]Tabla Impacto'!$C$14,N251='[34]Tabla Impacto'!$D$14),"Mayor",IF(OR(N251='[34]Tabla Impacto'!$C$15,N251='[34]Tabla Impacto'!$D$15),"Catastrófico","")))))</f>
        <v>Moderado</v>
      </c>
      <c r="P251" s="1459">
        <f>IF(O251="","",IF(O251="Leve",0.2,IF(O251="Menor",0.4,IF(O251="Moderado",0.6,IF(O251="Mayor",0.8,IF(O251="Catastrófico",1,))))))</f>
        <v>0.6</v>
      </c>
      <c r="Q251" s="1461" t="str">
        <f>IF(OR(AND(K251="Muy Baja",O251="Leve"),AND(K251="Muy Baja",O251="Menor"),AND(K251="Baja",O251="Leve")),"Bajo",IF(OR(AND(K251="Muy baja",O251="Moderado"),AND(K251="Baja",O251="Menor"),AND(K251="Baja",O251="Moderado"),AND(K251="Media",O251="Leve"),AND(K251="Media",O251="Menor"),AND(K251="Media",O251="Moderado"),AND(K251="Alta",O251="Leve"),AND(K251="Alta",O251="Menor")),"Moderado",IF(OR(AND(K251="Muy Baja",O251="Mayor"),AND(K251="Baja",O251="Mayor"),AND(K251="Media",O251="Mayor"),AND(K251="Alta",O251="Moderado"),AND(K251="Alta",O251="Mayor"),AND(K251="Muy Alta",O251="Leve"),AND(K251="Muy Alta",O251="Menor"),AND(K251="Muy Alta",O251="Moderado"),AND(K251="Muy Alta",O251="Mayor")),"Alto",IF(OR(AND(K251="Muy Baja",O251="Catastrófico"),AND(K251="Baja",O251="Catastrófico"),AND(K251="Media",O251="Catastrófico"),AND(K251="Alta",O251="Catastrófico"),AND(K251="Muy Alta",O251="Catastrófico")),"Extremo",""))))</f>
        <v>Moderado</v>
      </c>
      <c r="R251" s="1462">
        <v>1</v>
      </c>
      <c r="S251" s="2056" t="s">
        <v>989</v>
      </c>
      <c r="T251" s="1464" t="str">
        <f>IF(OR(U251="Preventivo",U251="Detectivo"),"Probabilidad",IF(U251="Correctivo","Impacto",""))</f>
        <v>Probabilidad</v>
      </c>
      <c r="U251" s="1465" t="s">
        <v>197</v>
      </c>
      <c r="V251" s="1465" t="s">
        <v>191</v>
      </c>
      <c r="W251" s="1466" t="str">
        <f>IF(AND(U251="Preventivo",V251="Automático"),"50%",IF(AND(U251="Preventivo",V251="Manual"),"40%",IF(AND(U251="Detectivo",V251="Automático"),"40%",IF(AND(U251="Detectivo",V251="Manual"),"30%",IF(AND(U251="Correctivo",V251="Automático"),"35%",IF(AND(U251="Correctivo",V251="Manual"),"25%",""))))))</f>
        <v>40%</v>
      </c>
      <c r="X251" s="1465" t="s">
        <v>198</v>
      </c>
      <c r="Y251" s="1465" t="s">
        <v>193</v>
      </c>
      <c r="Z251" s="1465" t="s">
        <v>194</v>
      </c>
      <c r="AA251" s="2057">
        <f>IFERROR(IF(T251="Probabilidad",(L251-(+L251*W251)),IF(T251="Impacto",L251,"")),"")</f>
        <v>0.24</v>
      </c>
      <c r="AB251" s="2058" t="str">
        <f>IFERROR(IF(AA251="","",IF(AA251&lt;=0.2,"Muy Baja",IF(AA251&lt;=0.4,"Baja",IF(AA251&lt;=0.6,"Media",IF(AA251&lt;=0.8,"Alta","Muy Alta"))))),"")</f>
        <v>Baja</v>
      </c>
      <c r="AC251" s="2059">
        <f>+AA251</f>
        <v>0.24</v>
      </c>
      <c r="AD251" s="2058" t="str">
        <f>IFERROR(IF(AE251="","",IF(AE251&lt;=0.2,"Leve",IF(AE251&lt;=0.4,"Menor",IF(AE251&lt;=0.6,"Moderado",IF(AE251&lt;=0.8,"Mayor","Catastrófico"))))),"")</f>
        <v>Moderado</v>
      </c>
      <c r="AE251" s="2059">
        <f>IFERROR(IF(T251="Impacto",(P251-(+P251*W251)),IF(T251="Probabilidad",P251,"")),"")</f>
        <v>0.6</v>
      </c>
      <c r="AF251" s="2060" t="str">
        <f>IFERROR(IF(OR(AND(AB251="Muy Baja",AD251="Leve"),AND(AB251="Muy Baja",AD251="Menor"),AND(AB251="Baja",AD251="Leve")),"Bajo",IF(OR(AND(AB251="Muy baja",AD251="Moderado"),AND(AB251="Baja",AD251="Menor"),AND(AB251="Baja",AD251="Moderado"),AND(AB251="Media",AD251="Leve"),AND(AB251="Media",AD251="Menor"),AND(AB251="Media",AD251="Moderado"),AND(AB251="Alta",AD251="Leve"),AND(AB251="Alta",AD251="Menor")),"Moderado",IF(OR(AND(AB251="Muy Baja",AD251="Mayor"),AND(AB251="Baja",AD251="Mayor"),AND(AB251="Media",AD251="Mayor"),AND(AB251="Alta",AD251="Moderado"),AND(AB251="Alta",AD251="Mayor"),AND(AB251="Muy Alta",AD251="Leve"),AND(AB251="Muy Alta",AD251="Menor"),AND(AB251="Muy Alta",AD251="Moderado"),AND(AB251="Muy Alta",AD251="Mayor")),"Alto",IF(OR(AND(AB251="Muy Baja",AD251="Catastrófico"),AND(AB251="Baja",AD251="Catastrófico"),AND(AB251="Media",AD251="Catastrófico"),AND(AB251="Alta",AD251="Catastrófico"),AND(AB251="Muy Alta",AD251="Catastrófico")),"Extremo","")))),"")</f>
        <v>Moderado</v>
      </c>
      <c r="AG251" s="1471" t="s">
        <v>195</v>
      </c>
      <c r="AH251" s="1495" t="s">
        <v>990</v>
      </c>
      <c r="AI251" s="1495" t="s">
        <v>991</v>
      </c>
      <c r="AJ251" s="1581" t="s">
        <v>992</v>
      </c>
      <c r="AK251" s="1581" t="s">
        <v>804</v>
      </c>
      <c r="AL251" s="1495" t="s">
        <v>993</v>
      </c>
      <c r="AM251" s="1474" t="s">
        <v>196</v>
      </c>
      <c r="AN251" s="2036" t="s">
        <v>994</v>
      </c>
      <c r="AO251" s="2036" t="s">
        <v>994</v>
      </c>
    </row>
    <row r="252" spans="1:41" ht="97.2" customHeight="1" x14ac:dyDescent="0.3">
      <c r="A252" s="1475"/>
      <c r="B252" s="1476"/>
      <c r="C252" s="1476"/>
      <c r="D252" s="1477"/>
      <c r="E252" s="2054" t="s">
        <v>995</v>
      </c>
      <c r="F252" s="1454"/>
      <c r="G252" s="2061"/>
      <c r="H252" s="1454"/>
      <c r="I252" s="1479"/>
      <c r="J252" s="1480"/>
      <c r="K252" s="1481"/>
      <c r="L252" s="1482"/>
      <c r="M252" s="1483"/>
      <c r="N252" s="1482">
        <f>IF(NOT(ISERROR(MATCH(M252,_xlfn.ANCHORARRAY(F262),0))),L264&amp;"Por favor no seleccionar los criterios de impacto",M252)</f>
        <v>0</v>
      </c>
      <c r="O252" s="1481"/>
      <c r="P252" s="1482"/>
      <c r="Q252" s="1484"/>
      <c r="R252" s="1462">
        <v>2</v>
      </c>
      <c r="S252" s="2056" t="s">
        <v>996</v>
      </c>
      <c r="T252" s="1464" t="str">
        <f>IF(OR(U252="Preventivo",U252="Detectivo"),"Probabilidad",IF(U252="Correctivo","Impacto",""))</f>
        <v>Probabilidad</v>
      </c>
      <c r="U252" s="1465" t="s">
        <v>197</v>
      </c>
      <c r="V252" s="1465" t="s">
        <v>191</v>
      </c>
      <c r="W252" s="1466" t="str">
        <f t="shared" ref="W252:W253" si="140">IF(AND(U252="Preventivo",V252="Automático"),"50%",IF(AND(U252="Preventivo",V252="Manual"),"40%",IF(AND(U252="Detectivo",V252="Automático"),"40%",IF(AND(U252="Detectivo",V252="Manual"),"30%",IF(AND(U252="Correctivo",V252="Automático"),"35%",IF(AND(U252="Correctivo",V252="Manual"),"25%",""))))))</f>
        <v>40%</v>
      </c>
      <c r="X252" s="1465" t="s">
        <v>198</v>
      </c>
      <c r="Y252" s="1465" t="s">
        <v>193</v>
      </c>
      <c r="Z252" s="1465" t="s">
        <v>194</v>
      </c>
      <c r="AA252" s="2062"/>
      <c r="AB252" s="2063"/>
      <c r="AC252" s="2064"/>
      <c r="AD252" s="2063"/>
      <c r="AE252" s="2064"/>
      <c r="AF252" s="2065"/>
      <c r="AG252" s="1471" t="s">
        <v>195</v>
      </c>
      <c r="AH252" s="1463" t="s">
        <v>997</v>
      </c>
      <c r="AI252" s="1495" t="s">
        <v>991</v>
      </c>
      <c r="AJ252" s="1581" t="s">
        <v>998</v>
      </c>
      <c r="AK252" s="1581" t="s">
        <v>804</v>
      </c>
      <c r="AL252" s="1495" t="s">
        <v>993</v>
      </c>
      <c r="AM252" s="1489" t="s">
        <v>196</v>
      </c>
      <c r="AN252" s="2036" t="s">
        <v>994</v>
      </c>
      <c r="AO252" s="2036" t="s">
        <v>999</v>
      </c>
    </row>
    <row r="253" spans="1:41" ht="121.2" customHeight="1" x14ac:dyDescent="0.3">
      <c r="A253" s="2066"/>
      <c r="B253" s="1491"/>
      <c r="C253" s="1491"/>
      <c r="D253" s="2067"/>
      <c r="E253" s="2054" t="s">
        <v>1000</v>
      </c>
      <c r="F253" s="1454"/>
      <c r="G253" s="2068"/>
      <c r="H253" s="1454"/>
      <c r="I253" s="2069"/>
      <c r="J253" s="1492"/>
      <c r="K253" s="2070"/>
      <c r="L253" s="2071"/>
      <c r="M253" s="2072"/>
      <c r="N253" s="2071">
        <f>IF(NOT(ISERROR(MATCH(M253,_xlfn.ANCHORARRAY(F264),0))),L266&amp;"Por favor no seleccionar los criterios de impacto",M253)</f>
        <v>0</v>
      </c>
      <c r="O253" s="2070"/>
      <c r="P253" s="2071"/>
      <c r="Q253" s="2073"/>
      <c r="R253" s="1462">
        <v>3</v>
      </c>
      <c r="S253" s="2056" t="s">
        <v>1001</v>
      </c>
      <c r="T253" s="1464" t="str">
        <f t="shared" ref="T253" si="141">IF(OR(U253="Preventivo",U253="Detectivo"),"Probabilidad",IF(U253="Correctivo","Impacto",""))</f>
        <v>Probabilidad</v>
      </c>
      <c r="U253" s="1465" t="s">
        <v>197</v>
      </c>
      <c r="V253" s="1465" t="s">
        <v>191</v>
      </c>
      <c r="W253" s="1466" t="str">
        <f t="shared" si="140"/>
        <v>40%</v>
      </c>
      <c r="X253" s="1465" t="s">
        <v>198</v>
      </c>
      <c r="Y253" s="1465" t="s">
        <v>193</v>
      </c>
      <c r="Z253" s="1465" t="s">
        <v>194</v>
      </c>
      <c r="AA253" s="2074"/>
      <c r="AB253" s="2075"/>
      <c r="AC253" s="2076"/>
      <c r="AD253" s="2075"/>
      <c r="AE253" s="2076"/>
      <c r="AF253" s="2077"/>
      <c r="AG253" s="1471" t="s">
        <v>195</v>
      </c>
      <c r="AH253" s="1463" t="s">
        <v>1002</v>
      </c>
      <c r="AI253" s="1495" t="s">
        <v>991</v>
      </c>
      <c r="AJ253" s="1581" t="s">
        <v>1003</v>
      </c>
      <c r="AK253" s="1581" t="s">
        <v>804</v>
      </c>
      <c r="AL253" s="1495" t="s">
        <v>1004</v>
      </c>
      <c r="AM253" s="1489" t="s">
        <v>196</v>
      </c>
      <c r="AN253" s="2036" t="s">
        <v>1005</v>
      </c>
      <c r="AO253" s="2036" t="s">
        <v>1005</v>
      </c>
    </row>
    <row r="254" spans="1:41" x14ac:dyDescent="0.3">
      <c r="A254" s="2078" t="s">
        <v>148</v>
      </c>
      <c r="B254" s="2079"/>
      <c r="C254" s="2079"/>
      <c r="D254" s="2079"/>
      <c r="E254" s="2079"/>
      <c r="F254" s="2079"/>
      <c r="G254" s="2079"/>
      <c r="H254" s="2079"/>
      <c r="I254" s="2079"/>
      <c r="J254" s="2079"/>
      <c r="K254" s="2079"/>
      <c r="L254" s="2079"/>
      <c r="M254" s="2079"/>
      <c r="N254" s="2079"/>
      <c r="O254" s="2079"/>
      <c r="P254" s="2079"/>
      <c r="Q254" s="2079"/>
      <c r="R254" s="2079"/>
      <c r="S254" s="2079"/>
      <c r="T254" s="2079"/>
      <c r="U254" s="2079"/>
      <c r="V254" s="2079"/>
      <c r="W254" s="2079"/>
      <c r="X254" s="2079"/>
      <c r="Y254" s="2079"/>
      <c r="Z254" s="2079"/>
      <c r="AA254" s="2079"/>
      <c r="AB254" s="2079"/>
      <c r="AC254" s="2079"/>
      <c r="AD254" s="2079"/>
      <c r="AE254" s="2079"/>
      <c r="AF254" s="2079"/>
      <c r="AG254" s="2079"/>
      <c r="AH254" s="2079"/>
      <c r="AI254" s="2079"/>
      <c r="AJ254" s="2079"/>
      <c r="AK254" s="2079"/>
      <c r="AL254" s="2079"/>
    </row>
    <row r="255" spans="1:41" x14ac:dyDescent="0.3">
      <c r="A255" s="2080"/>
      <c r="B255" s="2081"/>
      <c r="C255" s="2081"/>
      <c r="D255" s="2081"/>
      <c r="E255" s="2081"/>
      <c r="F255" s="2081"/>
      <c r="G255" s="2081"/>
      <c r="H255" s="2081"/>
      <c r="I255" s="2081"/>
      <c r="J255" s="2081"/>
      <c r="K255" s="2081"/>
      <c r="L255" s="2081"/>
      <c r="M255" s="2081"/>
      <c r="N255" s="2081"/>
      <c r="O255" s="2081"/>
      <c r="P255" s="2081"/>
      <c r="Q255" s="2081"/>
      <c r="R255" s="2081"/>
      <c r="S255" s="2081"/>
      <c r="T255" s="2081"/>
      <c r="U255" s="2081"/>
      <c r="V255" s="2081"/>
      <c r="W255" s="2081"/>
      <c r="X255" s="2081"/>
      <c r="Y255" s="2081"/>
      <c r="Z255" s="2081"/>
      <c r="AA255" s="2081"/>
      <c r="AB255" s="2081"/>
      <c r="AC255" s="2081"/>
      <c r="AD255" s="2081"/>
      <c r="AE255" s="2081"/>
      <c r="AF255" s="2081"/>
      <c r="AG255" s="2081"/>
      <c r="AH255" s="2081"/>
      <c r="AI255" s="2081"/>
      <c r="AJ255" s="2081"/>
      <c r="AK255" s="2081"/>
      <c r="AL255" s="2081"/>
    </row>
    <row r="256" spans="1:41" ht="15.6" x14ac:dyDescent="0.3">
      <c r="A256" s="2082"/>
      <c r="B256" s="2083"/>
      <c r="C256" s="2082"/>
      <c r="D256" s="2082"/>
      <c r="E256" s="2082"/>
      <c r="F256" s="2084"/>
      <c r="G256" s="2084"/>
      <c r="H256" s="2084"/>
      <c r="I256" s="2085"/>
      <c r="J256" s="2084"/>
      <c r="K256" s="2084"/>
      <c r="L256" s="2084"/>
      <c r="M256" s="2084"/>
      <c r="N256" s="2084"/>
      <c r="O256" s="2084"/>
      <c r="P256" s="2084"/>
      <c r="Q256" s="2084"/>
      <c r="R256" s="2084"/>
      <c r="S256" s="2084"/>
      <c r="T256" s="2084"/>
      <c r="U256" s="2084"/>
      <c r="V256" s="2084"/>
      <c r="W256" s="2084"/>
      <c r="X256" s="2084"/>
      <c r="Y256" s="2084"/>
      <c r="Z256" s="2084"/>
      <c r="AA256" s="2084"/>
      <c r="AB256" s="2084"/>
      <c r="AC256" s="2084"/>
      <c r="AD256" s="2084"/>
      <c r="AE256" s="2084"/>
      <c r="AF256" s="2084"/>
      <c r="AG256" s="2084"/>
      <c r="AH256" s="2084"/>
      <c r="AI256" s="2084"/>
      <c r="AJ256" s="2084"/>
      <c r="AK256" s="2084"/>
      <c r="AL256" s="2084"/>
    </row>
    <row r="257" spans="1:38" ht="15.6" x14ac:dyDescent="0.3">
      <c r="A257" s="2086" t="s">
        <v>149</v>
      </c>
      <c r="B257" s="2087"/>
      <c r="C257" s="2088" t="s">
        <v>431</v>
      </c>
      <c r="D257" s="2089"/>
      <c r="E257" s="2089"/>
      <c r="F257" s="2089"/>
      <c r="G257" s="2089"/>
      <c r="H257" s="2089"/>
      <c r="I257" s="2089"/>
      <c r="J257" s="2089"/>
      <c r="K257" s="2089"/>
      <c r="L257" s="2089"/>
      <c r="M257" s="2089"/>
      <c r="N257" s="2089"/>
      <c r="O257" s="2089"/>
      <c r="P257" s="2089"/>
      <c r="Q257" s="2089"/>
      <c r="R257" s="2089"/>
      <c r="S257" s="2089"/>
      <c r="T257" s="2089"/>
      <c r="U257" s="2089"/>
      <c r="V257" s="2089"/>
      <c r="W257" s="2089"/>
      <c r="X257" s="2089"/>
      <c r="Y257" s="2089"/>
      <c r="Z257" s="2089"/>
      <c r="AA257" s="2089"/>
      <c r="AB257" s="2089"/>
      <c r="AC257" s="2089"/>
      <c r="AD257" s="2089"/>
      <c r="AE257" s="2089"/>
      <c r="AF257" s="2089"/>
      <c r="AG257" s="2089"/>
      <c r="AH257" s="2089"/>
      <c r="AI257" s="2089"/>
      <c r="AJ257" s="2089"/>
      <c r="AK257" s="2089"/>
      <c r="AL257" s="2089"/>
    </row>
    <row r="258" spans="1:38" ht="15.6" x14ac:dyDescent="0.3">
      <c r="A258" s="2086" t="s">
        <v>150</v>
      </c>
      <c r="B258" s="2087"/>
      <c r="C258" s="2090" t="s">
        <v>432</v>
      </c>
      <c r="D258" s="2090"/>
      <c r="E258" s="2090"/>
      <c r="F258" s="2090"/>
      <c r="G258" s="2090"/>
      <c r="H258" s="2090"/>
      <c r="I258" s="2090"/>
      <c r="J258" s="2090"/>
      <c r="K258" s="2090"/>
      <c r="L258" s="2090"/>
      <c r="M258" s="2090"/>
      <c r="N258" s="2090"/>
      <c r="O258" s="2090"/>
      <c r="P258" s="2090"/>
      <c r="Q258" s="2090"/>
      <c r="R258" s="2090"/>
      <c r="S258" s="2090"/>
      <c r="T258" s="2090"/>
      <c r="U258" s="2090"/>
      <c r="V258" s="2090"/>
      <c r="W258" s="2090"/>
      <c r="X258" s="2090"/>
      <c r="Y258" s="2090"/>
      <c r="Z258" s="2090"/>
      <c r="AA258" s="2090"/>
      <c r="AB258" s="2090"/>
      <c r="AC258" s="2090"/>
      <c r="AD258" s="2090"/>
      <c r="AE258" s="2090"/>
      <c r="AF258" s="2090"/>
      <c r="AG258" s="2090"/>
      <c r="AH258" s="2090"/>
      <c r="AI258" s="2090"/>
      <c r="AJ258" s="2090"/>
      <c r="AK258" s="2090"/>
      <c r="AL258" s="2090"/>
    </row>
    <row r="259" spans="1:38" ht="15.6" x14ac:dyDescent="0.3">
      <c r="A259" s="2086" t="s">
        <v>151</v>
      </c>
      <c r="B259" s="2087"/>
      <c r="C259" s="2091" t="s">
        <v>433</v>
      </c>
      <c r="D259" s="2091"/>
      <c r="E259" s="2091"/>
      <c r="F259" s="2091"/>
      <c r="G259" s="2091"/>
      <c r="H259" s="2091"/>
      <c r="I259" s="2091"/>
      <c r="J259" s="2091"/>
      <c r="K259" s="2091"/>
      <c r="L259" s="2091"/>
      <c r="M259" s="2091"/>
      <c r="N259" s="2091"/>
      <c r="O259" s="2091"/>
      <c r="P259" s="2091"/>
      <c r="Q259" s="2091"/>
      <c r="R259" s="2091"/>
      <c r="S259" s="2091"/>
      <c r="T259" s="2091"/>
      <c r="U259" s="2091"/>
      <c r="V259" s="2091"/>
      <c r="W259" s="2091"/>
      <c r="X259" s="2091"/>
      <c r="Y259" s="2091"/>
      <c r="Z259" s="2091"/>
      <c r="AA259" s="2091"/>
      <c r="AB259" s="2091"/>
      <c r="AC259" s="2091"/>
      <c r="AD259" s="2091"/>
      <c r="AE259" s="2091"/>
      <c r="AF259" s="2091"/>
      <c r="AG259" s="2091"/>
      <c r="AH259" s="2091"/>
      <c r="AI259" s="2091"/>
      <c r="AJ259" s="2091"/>
      <c r="AK259" s="2091"/>
      <c r="AL259" s="2091"/>
    </row>
    <row r="260" spans="1:38" ht="15.6" x14ac:dyDescent="0.3">
      <c r="A260" s="2092" t="s">
        <v>152</v>
      </c>
      <c r="B260" s="2093"/>
      <c r="C260" s="2081"/>
      <c r="D260" s="2081"/>
      <c r="E260" s="2081"/>
      <c r="F260" s="2081"/>
      <c r="G260" s="2081"/>
      <c r="H260" s="2081"/>
      <c r="I260" s="2081"/>
      <c r="J260" s="2094"/>
      <c r="K260" s="2080" t="s">
        <v>153</v>
      </c>
      <c r="L260" s="2081"/>
      <c r="M260" s="2081"/>
      <c r="N260" s="2081"/>
      <c r="O260" s="2081"/>
      <c r="P260" s="2081"/>
      <c r="Q260" s="2094"/>
      <c r="R260" s="2080" t="s">
        <v>154</v>
      </c>
      <c r="S260" s="2081"/>
      <c r="T260" s="2081"/>
      <c r="U260" s="2081"/>
      <c r="V260" s="2081"/>
      <c r="W260" s="2081"/>
      <c r="X260" s="2081"/>
      <c r="Y260" s="2081"/>
      <c r="Z260" s="2094"/>
      <c r="AA260" s="2080" t="s">
        <v>155</v>
      </c>
      <c r="AB260" s="2081"/>
      <c r="AC260" s="2081"/>
      <c r="AD260" s="2081"/>
      <c r="AE260" s="2081"/>
      <c r="AF260" s="2081"/>
      <c r="AG260" s="2094"/>
      <c r="AH260" s="2095" t="s">
        <v>434</v>
      </c>
      <c r="AI260" s="2096"/>
      <c r="AJ260" s="2096"/>
      <c r="AK260" s="2096"/>
      <c r="AL260" s="2096"/>
    </row>
    <row r="261" spans="1:38" ht="15.6" x14ac:dyDescent="0.3">
      <c r="A261" s="2097" t="s">
        <v>157</v>
      </c>
      <c r="B261" s="2098" t="s">
        <v>141</v>
      </c>
      <c r="C261" s="2099" t="s">
        <v>158</v>
      </c>
      <c r="D261" s="2099" t="s">
        <v>159</v>
      </c>
      <c r="E261" s="2100" t="s">
        <v>160</v>
      </c>
      <c r="F261" s="2101" t="s">
        <v>60</v>
      </c>
      <c r="G261" s="2102"/>
      <c r="H261" s="2102"/>
      <c r="I261" s="2100" t="s">
        <v>161</v>
      </c>
      <c r="J261" s="2099" t="s">
        <v>162</v>
      </c>
      <c r="K261" s="2103" t="s">
        <v>163</v>
      </c>
      <c r="L261" s="2104" t="s">
        <v>164</v>
      </c>
      <c r="M261" s="2100" t="s">
        <v>165</v>
      </c>
      <c r="N261" s="2100" t="s">
        <v>166</v>
      </c>
      <c r="O261" s="2105" t="s">
        <v>167</v>
      </c>
      <c r="P261" s="2104" t="s">
        <v>164</v>
      </c>
      <c r="Q261" s="2099" t="s">
        <v>168</v>
      </c>
      <c r="R261" s="2106" t="s">
        <v>169</v>
      </c>
      <c r="S261" s="2107" t="s">
        <v>170</v>
      </c>
      <c r="T261" s="2100" t="s">
        <v>171</v>
      </c>
      <c r="U261" s="2107" t="s">
        <v>172</v>
      </c>
      <c r="V261" s="2107"/>
      <c r="W261" s="2107"/>
      <c r="X261" s="2107"/>
      <c r="Y261" s="2107"/>
      <c r="Z261" s="2107"/>
      <c r="AA261" s="2108" t="s">
        <v>173</v>
      </c>
      <c r="AB261" s="2108" t="s">
        <v>174</v>
      </c>
      <c r="AC261" s="2108" t="s">
        <v>164</v>
      </c>
      <c r="AD261" s="2108" t="s">
        <v>175</v>
      </c>
      <c r="AE261" s="2108" t="s">
        <v>164</v>
      </c>
      <c r="AF261" s="2108" t="s">
        <v>176</v>
      </c>
      <c r="AG261" s="2106" t="s">
        <v>177</v>
      </c>
      <c r="AH261" s="2100" t="s">
        <v>434</v>
      </c>
      <c r="AI261" s="2100" t="s">
        <v>142</v>
      </c>
      <c r="AJ261" s="2100" t="s">
        <v>435</v>
      </c>
      <c r="AK261" s="2100" t="s">
        <v>436</v>
      </c>
      <c r="AL261" s="2100" t="s">
        <v>181</v>
      </c>
    </row>
    <row r="262" spans="1:38" ht="95.4" x14ac:dyDescent="0.3">
      <c r="A262" s="2109"/>
      <c r="B262" s="2098"/>
      <c r="C262" s="2107"/>
      <c r="D262" s="2107"/>
      <c r="E262" s="2103"/>
      <c r="F262" s="2110"/>
      <c r="G262" s="2102" t="s">
        <v>201</v>
      </c>
      <c r="H262" s="2102" t="s">
        <v>182</v>
      </c>
      <c r="I262" s="2099"/>
      <c r="J262" s="2107"/>
      <c r="K262" s="2099"/>
      <c r="L262" s="2080"/>
      <c r="M262" s="2099"/>
      <c r="N262" s="2099"/>
      <c r="O262" s="2080"/>
      <c r="P262" s="2080"/>
      <c r="Q262" s="2107"/>
      <c r="R262" s="2111"/>
      <c r="S262" s="2107"/>
      <c r="T262" s="2099"/>
      <c r="U262" s="2112" t="s">
        <v>183</v>
      </c>
      <c r="V262" s="2112" t="s">
        <v>184</v>
      </c>
      <c r="W262" s="2112" t="s">
        <v>185</v>
      </c>
      <c r="X262" s="2112" t="s">
        <v>186</v>
      </c>
      <c r="Y262" s="2112" t="s">
        <v>187</v>
      </c>
      <c r="Z262" s="2112" t="s">
        <v>188</v>
      </c>
      <c r="AA262" s="2108"/>
      <c r="AB262" s="2108"/>
      <c r="AC262" s="2108"/>
      <c r="AD262" s="2108"/>
      <c r="AE262" s="2108"/>
      <c r="AF262" s="2108"/>
      <c r="AG262" s="2111"/>
      <c r="AH262" s="2099"/>
      <c r="AI262" s="2099"/>
      <c r="AJ262" s="2099"/>
      <c r="AK262" s="2099"/>
      <c r="AL262" s="2099"/>
    </row>
    <row r="263" spans="1:38" ht="79.2" x14ac:dyDescent="0.3">
      <c r="A263" s="2113">
        <v>1</v>
      </c>
      <c r="B263" s="2114" t="s">
        <v>199</v>
      </c>
      <c r="C263" s="2114" t="s">
        <v>437</v>
      </c>
      <c r="D263" s="2114" t="s">
        <v>438</v>
      </c>
      <c r="E263" s="2114" t="s">
        <v>439</v>
      </c>
      <c r="F263" s="2115" t="s">
        <v>440</v>
      </c>
      <c r="G263" s="2115" t="s">
        <v>203</v>
      </c>
      <c r="H263" s="2115" t="s">
        <v>441</v>
      </c>
      <c r="I263" s="2114" t="s">
        <v>190</v>
      </c>
      <c r="J263" s="2116">
        <v>500</v>
      </c>
      <c r="K263" s="2117" t="str">
        <f>IF(J263&lt;=0,"",IF(J263&lt;=2,"Muy Baja",IF(J263&lt;=24,"Baja",IF(J263&lt;=500,"Media",IF(J263&lt;=5000,"Alta","Muy Alta")))))</f>
        <v>Media</v>
      </c>
      <c r="L263" s="2118">
        <f>IF(K263="","",IF(K263="Muy Baja",0.2,IF(K263="Baja",0.4,IF(K263="Media",0.6,IF(K263="Alta",0.8,IF(K263="Muy Alta",1,))))))</f>
        <v>0.6</v>
      </c>
      <c r="M263" s="2119" t="s">
        <v>442</v>
      </c>
      <c r="N263" s="2118" t="str">
        <f>IF(NOT(ISERROR(MATCH(M263,'[5]Tabla Impacto'!$B$221:$B$223,0))),'[5]Tabla Impacto'!$F$223&amp;"Por favor no seleccionar los criterios de impacto(Afectación Económica o presupuestal y Pérdida Reputacional)",M263)</f>
        <v xml:space="preserve">     Entre 50 y 100 SMLMV </v>
      </c>
      <c r="O263" s="2117" t="str">
        <f>IF(OR(N263='[5]Tabla Impacto'!$C$11,N263='[5]Tabla Impacto'!$D$11),"Leve",IF(OR(N263='[5]Tabla Impacto'!$C$12,N263='[5]Tabla Impacto'!$D$12),"Menor",IF(OR(N263='[5]Tabla Impacto'!$C$13,N263='[5]Tabla Impacto'!$D$13),"Moderado",IF(OR(N263='[5]Tabla Impacto'!$C$14,N263='[5]Tabla Impacto'!$D$14),"Mayor",IF(OR(N263='[5]Tabla Impacto'!$C$15,N263='[5]Tabla Impacto'!$D$15),"Catastrófico","")))))</f>
        <v>Moderado</v>
      </c>
      <c r="P263" s="2118">
        <f>IF(O263="","",IF(O263="Leve",0.2,IF(O263="Menor",0.4,IF(O263="Moderado",0.6,IF(O263="Mayor",0.8,IF(O263="Catastrófico",1,))))))</f>
        <v>0.6</v>
      </c>
      <c r="Q263" s="2120" t="str">
        <f>IF(OR(AND(K263="Muy Baja",O263="Leve"),AND(K263="Muy Baja",O263="Menor"),AND(K263="Baja",O263="Leve")),"Bajo",IF(OR(AND(K263="Muy baja",O263="Moderado"),AND(K263="Baja",O263="Menor"),AND(K263="Baja",O263="Moderado"),AND(K263="Media",O263="Leve"),AND(K263="Media",O263="Menor"),AND(K263="Media",O263="Moderado"),AND(K263="Alta",O263="Leve"),AND(K263="Alta",O263="Menor")),"Moderado",IF(OR(AND(K263="Muy Baja",O263="Mayor"),AND(K263="Baja",O263="Mayor"),AND(K263="Media",O263="Mayor"),AND(K263="Alta",O263="Moderado"),AND(K263="Alta",O263="Mayor"),AND(K263="Muy Alta",O263="Leve"),AND(K263="Muy Alta",O263="Menor"),AND(K263="Muy Alta",O263="Moderado"),AND(K263="Muy Alta",O263="Mayor")),"Alto",IF(OR(AND(K263="Muy Baja",O263="Catastrófico"),AND(K263="Baja",O263="Catastrófico"),AND(K263="Media",O263="Catastrófico"),AND(K263="Alta",O263="Catastrófico"),AND(K263="Muy Alta",O263="Catastrófico")),"Extremo",""))))</f>
        <v>Moderado</v>
      </c>
      <c r="R263" s="2121">
        <v>1</v>
      </c>
      <c r="S263" s="2122" t="s">
        <v>443</v>
      </c>
      <c r="T263" s="2123" t="str">
        <f>IF(OR(U263="Preventivo",U263="Detectivo"),"Probabilidad",IF(U263="Correctivo","Impacto",""))</f>
        <v>Probabilidad</v>
      </c>
      <c r="U263" s="2124" t="s">
        <v>197</v>
      </c>
      <c r="V263" s="2124" t="s">
        <v>191</v>
      </c>
      <c r="W263" s="2125" t="str">
        <f>IF(AND(U263="Preventivo",V263="Automático"),"50%",IF(AND(U263="Preventivo",V263="Manual"),"40%",IF(AND(U263="Detectivo",V263="Automático"),"40%",IF(AND(U263="Detectivo",V263="Manual"),"30%",IF(AND(U263="Correctivo",V263="Automático"),"35%",IF(AND(U263="Correctivo",V263="Manual"),"25%",""))))))</f>
        <v>40%</v>
      </c>
      <c r="X263" s="2124" t="s">
        <v>198</v>
      </c>
      <c r="Y263" s="2124" t="s">
        <v>193</v>
      </c>
      <c r="Z263" s="2124" t="s">
        <v>194</v>
      </c>
      <c r="AA263" s="2126">
        <f>IFERROR(IF(T263="Probabilidad",(L263-(+L263*W263)),IF(T263="Impacto",L263,"")),"")</f>
        <v>0.36</v>
      </c>
      <c r="AB263" s="2127" t="str">
        <f>IFERROR(IF(AA263="","",IF(AA263&lt;=0.2,"Muy Baja",IF(AA263&lt;=0.4,"Baja",IF(AA263&lt;=0.6,"Media",IF(AA263&lt;=0.8,"Alta","Muy Alta"))))),"")</f>
        <v>Baja</v>
      </c>
      <c r="AC263" s="2128">
        <f>+AA263</f>
        <v>0.36</v>
      </c>
      <c r="AD263" s="2127" t="str">
        <f>IFERROR(IF(AE263="","",IF(AE263&lt;=0.2,"Leve",IF(AE263&lt;=0.4,"Menor",IF(AE263&lt;=0.6,"Moderado",IF(AE263&lt;=0.8,"Mayor","Catastrófico"))))),"")</f>
        <v>Moderado</v>
      </c>
      <c r="AE263" s="2128">
        <f>IFERROR(IF(T263="Impacto",(P263-(+P263*W263)),IF(T263="Probabilidad",P263,"")),"")</f>
        <v>0.6</v>
      </c>
      <c r="AF263" s="2129" t="str">
        <f>IFERROR(IF(OR(AND(AB263="Muy Baja",AD263="Leve"),AND(AB263="Muy Baja",AD263="Menor"),AND(AB263="Baja",AD263="Leve")),"Bajo",IF(OR(AND(AB263="Muy baja",AD263="Moderado"),AND(AB263="Baja",AD263="Menor"),AND(AB263="Baja",AD263="Moderado"),AND(AB263="Media",AD263="Leve"),AND(AB263="Media",AD263="Menor"),AND(AB263="Media",AD263="Moderado"),AND(AB263="Alta",AD263="Leve"),AND(AB263="Alta",AD263="Menor")),"Moderado",IF(OR(AND(AB263="Muy Baja",AD263="Mayor"),AND(AB263="Baja",AD263="Mayor"),AND(AB263="Media",AD263="Mayor"),AND(AB263="Alta",AD263="Moderado"),AND(AB263="Alta",AD263="Mayor"),AND(AB263="Muy Alta",AD263="Leve"),AND(AB263="Muy Alta",AD263="Menor"),AND(AB263="Muy Alta",AD263="Moderado"),AND(AB263="Muy Alta",AD263="Mayor")),"Alto",IF(OR(AND(AB263="Muy Baja",AD263="Catastrófico"),AND(AB263="Baja",AD263="Catastrófico"),AND(AB263="Media",AD263="Catastrófico"),AND(AB263="Alta",AD263="Catastrófico"),AND(AB263="Muy Alta",AD263="Catastrófico")),"Extremo","")))),"")</f>
        <v>Moderado</v>
      </c>
      <c r="AG263" s="2130" t="s">
        <v>444</v>
      </c>
      <c r="AH263" s="2131"/>
      <c r="AI263" s="2132"/>
      <c r="AJ263" s="2132"/>
      <c r="AK263" s="2132"/>
      <c r="AL263" s="2132"/>
    </row>
    <row r="264" spans="1:38" ht="46.2" customHeight="1" x14ac:dyDescent="0.3">
      <c r="A264" s="2133"/>
      <c r="B264" s="2134"/>
      <c r="C264" s="2134"/>
      <c r="D264" s="2134"/>
      <c r="E264" s="2134"/>
      <c r="F264" s="2135"/>
      <c r="G264" s="2135"/>
      <c r="H264" s="2135"/>
      <c r="I264" s="2134"/>
      <c r="J264" s="2136"/>
      <c r="K264" s="2137"/>
      <c r="L264" s="2138"/>
      <c r="M264" s="2139"/>
      <c r="N264" s="2138">
        <f>IF(NOT(ISERROR(MATCH(M264,_xlfn.ANCHORARRAY(#REF!),0))),#REF!&amp;"Por favor no seleccionar los criterios de impacto",M264)</f>
        <v>0</v>
      </c>
      <c r="O264" s="2137"/>
      <c r="P264" s="2138"/>
      <c r="Q264" s="2140"/>
      <c r="R264" s="2113">
        <v>2</v>
      </c>
      <c r="S264" s="2115" t="s">
        <v>445</v>
      </c>
      <c r="T264" s="2141" t="str">
        <f>IF(OR(U264="Preventivo",U264="Detectivo"),"Probabilidad",IF(U264="Correctivo","Impacto",""))</f>
        <v>Probabilidad</v>
      </c>
      <c r="U264" s="2142" t="s">
        <v>197</v>
      </c>
      <c r="V264" s="2142" t="s">
        <v>191</v>
      </c>
      <c r="W264" s="2143" t="str">
        <f t="shared" ref="W264" si="142">IF(AND(U264="Preventivo",V264="Automático"),"50%",IF(AND(U264="Preventivo",V264="Manual"),"40%",IF(AND(U264="Detectivo",V264="Automático"),"40%",IF(AND(U264="Detectivo",V264="Manual"),"30%",IF(AND(U264="Correctivo",V264="Automático"),"35%",IF(AND(U264="Correctivo",V264="Manual"),"25%",""))))))</f>
        <v>40%</v>
      </c>
      <c r="X264" s="2142" t="s">
        <v>198</v>
      </c>
      <c r="Y264" s="2142" t="s">
        <v>193</v>
      </c>
      <c r="Z264" s="2142" t="s">
        <v>194</v>
      </c>
      <c r="AA264" s="2144">
        <f>IFERROR(IF(AND(T263="Probabilidad",T264="Probabilidad"),(AC263-(+AC263*W264)),IF(T264="Probabilidad",(L263-(+L263*W264)),IF(T264="Impacto",AC263,""))),"")</f>
        <v>0.216</v>
      </c>
      <c r="AB264" s="2120" t="str">
        <f t="shared" ref="AB264" si="143">IFERROR(IF(AA264="","",IF(AA264&lt;=0.2,"Muy Baja",IF(AA264&lt;=0.4,"Baja",IF(AA264&lt;=0.6,"Media",IF(AA264&lt;=0.8,"Alta","Muy Alta"))))),"")</f>
        <v>Baja</v>
      </c>
      <c r="AC264" s="2145">
        <f t="shared" ref="AC264" si="144">+AA264</f>
        <v>0.216</v>
      </c>
      <c r="AD264" s="2146" t="str">
        <f t="shared" ref="AD264" si="145">IFERROR(IF(AE264="","",IF(AE264&lt;=0.2,"Leve",IF(AE264&lt;=0.4,"Menor",IF(AE264&lt;=0.6,"Moderado",IF(AE264&lt;=0.8,"Mayor","Catastrófico"))))),"")</f>
        <v>Moderado</v>
      </c>
      <c r="AE264" s="2143">
        <f>IFERROR(IF(AND(T263="Impacto",T264="Impacto"),(AE263-(+AE263*W264)),IF(T264="Impacto",(P263-(+P263*W264)),IF(T264="Probabilidad",AE263,""))),"")</f>
        <v>0.6</v>
      </c>
      <c r="AF264" s="2147" t="str">
        <f t="shared" ref="AF264" si="146">IFERROR(IF(OR(AND(AB264="Muy Baja",AD264="Leve"),AND(AB264="Muy Baja",AD264="Menor"),AND(AB264="Baja",AD264="Leve")),"Bajo",IF(OR(AND(AB264="Muy baja",AD264="Moderado"),AND(AB264="Baja",AD264="Menor"),AND(AB264="Baja",AD264="Moderado"),AND(AB264="Media",AD264="Leve"),AND(AB264="Media",AD264="Menor"),AND(AB264="Media",AD264="Moderado"),AND(AB264="Alta",AD264="Leve"),AND(AB264="Alta",AD264="Menor")),"Moderado",IF(OR(AND(AB264="Muy Baja",AD264="Mayor"),AND(AB264="Baja",AD264="Mayor"),AND(AB264="Media",AD264="Mayor"),AND(AB264="Alta",AD264="Moderado"),AND(AB264="Alta",AD264="Mayor"),AND(AB264="Muy Alta",AD264="Leve"),AND(AB264="Muy Alta",AD264="Menor"),AND(AB264="Muy Alta",AD264="Moderado"),AND(AB264="Muy Alta",AD264="Mayor")),"Alto",IF(OR(AND(AB264="Muy Baja",AD264="Catastrófico"),AND(AB264="Baja",AD264="Catastrófico"),AND(AB264="Media",AD264="Catastrófico"),AND(AB264="Alta",AD264="Catastrófico"),AND(AB264="Muy Alta",AD264="Catastrófico")),"Extremo","")))),"")</f>
        <v>Moderado</v>
      </c>
      <c r="AG264" s="2142" t="s">
        <v>444</v>
      </c>
      <c r="AH264" s="2148"/>
      <c r="AI264" s="2134"/>
      <c r="AJ264" s="2134"/>
      <c r="AK264" s="2134"/>
      <c r="AL264" s="2134"/>
    </row>
    <row r="265" spans="1:38" ht="42.6" customHeight="1" x14ac:dyDescent="0.3">
      <c r="A265" s="2133"/>
      <c r="B265" s="2134"/>
      <c r="C265" s="2134"/>
      <c r="D265" s="2134"/>
      <c r="E265" s="2134" t="s">
        <v>446</v>
      </c>
      <c r="F265" s="2135"/>
      <c r="G265" s="2135"/>
      <c r="H265" s="2135"/>
      <c r="I265" s="2134"/>
      <c r="J265" s="2136"/>
      <c r="K265" s="2137"/>
      <c r="L265" s="2138"/>
      <c r="M265" s="2139"/>
      <c r="N265" s="2138">
        <f>IF(NOT(ISERROR(MATCH(M265,_xlfn.ANCHORARRAY(#REF!),0))),#REF!&amp;"Por favor no seleccionar los criterios de impacto",M265)</f>
        <v>0</v>
      </c>
      <c r="O265" s="2137"/>
      <c r="P265" s="2138"/>
      <c r="Q265" s="2140"/>
      <c r="R265" s="2133"/>
      <c r="S265" s="2135"/>
      <c r="T265" s="2149"/>
      <c r="U265" s="2150"/>
      <c r="V265" s="2150"/>
      <c r="W265" s="2151"/>
      <c r="X265" s="2150"/>
      <c r="Y265" s="2150"/>
      <c r="Z265" s="2150"/>
      <c r="AA265" s="2152"/>
      <c r="AB265" s="2140"/>
      <c r="AC265" s="2153"/>
      <c r="AD265" s="2154"/>
      <c r="AE265" s="2151"/>
      <c r="AF265" s="2155"/>
      <c r="AG265" s="2150"/>
      <c r="AH265" s="2148"/>
      <c r="AI265" s="2134"/>
      <c r="AJ265" s="2134"/>
      <c r="AK265" s="2134"/>
      <c r="AL265" s="2134"/>
    </row>
    <row r="266" spans="1:38" ht="64.8" customHeight="1" x14ac:dyDescent="0.3">
      <c r="A266" s="2133"/>
      <c r="B266" s="2134"/>
      <c r="C266" s="2134"/>
      <c r="D266" s="2134"/>
      <c r="E266" s="2156"/>
      <c r="F266" s="2135"/>
      <c r="G266" s="2157"/>
      <c r="H266" s="2157"/>
      <c r="I266" s="2134"/>
      <c r="J266" s="2136"/>
      <c r="K266" s="2137"/>
      <c r="L266" s="2138"/>
      <c r="M266" s="2139"/>
      <c r="N266" s="2138">
        <f>IF(NOT(ISERROR(MATCH(M266,_xlfn.ANCHORARRAY(#REF!),0))),#REF!&amp;"Por favor no seleccionar los criterios de impacto",M266)</f>
        <v>0</v>
      </c>
      <c r="O266" s="2137"/>
      <c r="P266" s="2138"/>
      <c r="Q266" s="2140"/>
      <c r="R266" s="2158"/>
      <c r="S266" s="2157"/>
      <c r="T266" s="2159"/>
      <c r="U266" s="2160"/>
      <c r="V266" s="2160"/>
      <c r="W266" s="2161"/>
      <c r="X266" s="2160"/>
      <c r="Y266" s="2160"/>
      <c r="Z266" s="2160"/>
      <c r="AA266" s="2162"/>
      <c r="AB266" s="2163"/>
      <c r="AC266" s="2164"/>
      <c r="AD266" s="2165"/>
      <c r="AE266" s="2161"/>
      <c r="AF266" s="2166"/>
      <c r="AG266" s="2160"/>
      <c r="AH266" s="2167"/>
      <c r="AI266" s="2156"/>
      <c r="AJ266" s="2156"/>
      <c r="AK266" s="2156"/>
      <c r="AL266" s="2156"/>
    </row>
    <row r="267" spans="1:38" ht="95.4" customHeight="1" x14ac:dyDescent="0.3">
      <c r="A267" s="2168">
        <v>2</v>
      </c>
      <c r="B267" s="2114" t="s">
        <v>354</v>
      </c>
      <c r="C267" s="2114" t="s">
        <v>437</v>
      </c>
      <c r="D267" s="2115" t="s">
        <v>447</v>
      </c>
      <c r="E267" s="2169" t="s">
        <v>448</v>
      </c>
      <c r="F267" s="2115" t="s">
        <v>449</v>
      </c>
      <c r="G267" s="2115" t="s">
        <v>202</v>
      </c>
      <c r="H267" s="2115" t="s">
        <v>450</v>
      </c>
      <c r="I267" s="2114" t="s">
        <v>190</v>
      </c>
      <c r="J267" s="2116">
        <v>24</v>
      </c>
      <c r="K267" s="2117" t="str">
        <f>IF(J267&lt;=0,"",IF(J267&lt;=2,"Muy Baja",IF(J267&lt;=24,"Baja",IF(J267&lt;=500,"Media",IF(J267&lt;=5000,"Alta","Muy Alta")))))</f>
        <v>Baja</v>
      </c>
      <c r="L267" s="2118">
        <f>IF(K267="","",IF(K267="Muy Baja",0.2,IF(K267="Baja",0.4,IF(K267="Media",0.6,IF(K267="Alta",0.8,IF(K267="Muy Alta",1,))))))</f>
        <v>0.4</v>
      </c>
      <c r="M267" s="2119" t="s">
        <v>451</v>
      </c>
      <c r="N267" s="2118" t="str">
        <f>IF(NOT(ISERROR(MATCH(M267,'[5]Tabla Impacto'!$B$221:$B$223,0))),'[5]Tabla Impacto'!$F$223&amp;"Por favor no seleccionar los criterios de impacto(Afectación Económica o presupuestal y Pérdida Reputacional)",M267)</f>
        <v xml:space="preserve">     Entre 10 y 50 SMLMV </v>
      </c>
      <c r="O267" s="2117" t="str">
        <f>IF(OR(N267='[5]Tabla Impacto'!$C$11,N267='[5]Tabla Impacto'!$D$11),"Leve",IF(OR(N267='[5]Tabla Impacto'!$C$12,N267='[5]Tabla Impacto'!$D$12),"Menor",IF(OR(N267='[5]Tabla Impacto'!$C$13,N267='[5]Tabla Impacto'!$D$13),"Moderado",IF(OR(N267='[5]Tabla Impacto'!$C$14,N267='[5]Tabla Impacto'!$D$14),"Mayor",IF(OR(N267='[5]Tabla Impacto'!$C$15,N267='[5]Tabla Impacto'!$D$15),"Catastrófico","")))))</f>
        <v>Menor</v>
      </c>
      <c r="P267" s="2118">
        <f>IF(O267="","",IF(O267="Leve",0.2,IF(O267="Menor",0.4,IF(O267="Moderado",0.6,IF(O267="Mayor",0.8,IF(O267="Catastrófico",1,))))))</f>
        <v>0.4</v>
      </c>
      <c r="Q267" s="2120" t="str">
        <f>IF(OR(AND(K267="Muy Baja",O267="Leve"),AND(K267="Muy Baja",O267="Menor"),AND(K267="Baja",O267="Leve")),"Bajo",IF(OR(AND(K267="Muy baja",O267="Moderado"),AND(K267="Baja",O267="Menor"),AND(K267="Baja",O267="Moderado"),AND(K267="Media",O267="Leve"),AND(K267="Media",O267="Menor"),AND(K267="Media",O267="Moderado"),AND(K267="Alta",O267="Leve"),AND(K267="Alta",O267="Menor")),"Moderado",IF(OR(AND(K267="Muy Baja",O267="Mayor"),AND(K267="Baja",O267="Mayor"),AND(K267="Media",O267="Mayor"),AND(K267="Alta",O267="Moderado"),AND(K267="Alta",O267="Mayor"),AND(K267="Muy Alta",O267="Leve"),AND(K267="Muy Alta",O267="Menor"),AND(K267="Muy Alta",O267="Moderado"),AND(K267="Muy Alta",O267="Mayor")),"Alto",IF(OR(AND(K267="Muy Baja",O267="Catastrófico"),AND(K267="Baja",O267="Catastrófico"),AND(K267="Media",O267="Catastrófico"),AND(K267="Alta",O267="Catastrófico"),AND(K267="Muy Alta",O267="Catastrófico")),"Extremo",""))))</f>
        <v>Moderado</v>
      </c>
      <c r="R267" s="2113">
        <v>1</v>
      </c>
      <c r="S267" s="2170" t="s">
        <v>452</v>
      </c>
      <c r="T267" s="2171" t="str">
        <f>IF(OR(U267="Preventivo",U267="Detectivo"),"Probabilidad",IF(U267="Correctivo","Impacto",""))</f>
        <v>Probabilidad</v>
      </c>
      <c r="U267" s="2124" t="s">
        <v>197</v>
      </c>
      <c r="V267" s="2172" t="s">
        <v>191</v>
      </c>
      <c r="W267" s="2172" t="str">
        <f>IF(AND(U267="Preventivo",V267="Automático"),"50%",IF(AND(U267="Preventivo",V267="Manual"),"40%",IF(AND(U267="Detectivo",V267="Automático"),"40%",IF(AND(U267="Detectivo",V267="Manual"),"30%",IF(AND(U267="Correctivo",V267="Automático"),"35%",IF(AND(U267="Correctivo",V267="Manual"),"25%",""))))))</f>
        <v>40%</v>
      </c>
      <c r="X267" s="2172" t="s">
        <v>198</v>
      </c>
      <c r="Y267" s="2172" t="s">
        <v>193</v>
      </c>
      <c r="Z267" s="2172" t="s">
        <v>194</v>
      </c>
      <c r="AA267" s="2126">
        <f>IFERROR(IF(T267="Probabilidad",(L267-(+L267*W267)),IF(T267="Impacto",L267,"")),"")</f>
        <v>0.24</v>
      </c>
      <c r="AB267" s="2173" t="str">
        <f>IFERROR(IF(AA267="","",IF(AA267&lt;=0.2,"Muy Baja",IF(AA267&lt;=0.4,"Baja",IF(AA267&lt;=0.6,"Media",IF(AA267&lt;=0.8,"Alta","Muy Alta"))))),"")</f>
        <v>Baja</v>
      </c>
      <c r="AC267" s="2174">
        <f>+AA267</f>
        <v>0.24</v>
      </c>
      <c r="AD267" s="2173" t="str">
        <f>IFERROR(IF(AE267="","",IF(AE267&lt;=0.2,"Leve",IF(AE267&lt;=0.4,"Menor",IF(AE267&lt;=0.6,"Moderado",IF(AE267&lt;=0.8,"Mayor","Catastrófico"))))),"")</f>
        <v>Menor</v>
      </c>
      <c r="AE267" s="2174">
        <f>IFERROR(IF(T267="Impacto",(P267-(+P267*W267)),IF(T267="Probabilidad",P267,"")),"")</f>
        <v>0.4</v>
      </c>
      <c r="AF267" s="2175" t="str">
        <f>IFERROR(IF(OR(AND(AB267="Muy Baja",AD267="Leve"),AND(AB267="Muy Baja",AD267="Menor"),AND(AB267="Baja",AD267="Leve")),"Bajo",IF(OR(AND(AB267="Muy baja",AD267="Moderado"),AND(AB267="Baja",AD267="Menor"),AND(AB267="Baja",AD267="Moderado"),AND(AB267="Media",AD267="Leve"),AND(AB267="Media",AD267="Menor"),AND(AB267="Media",AD267="Moderado"),AND(AB267="Alta",AD267="Leve"),AND(AB267="Alta",AD267="Menor")),"Moderado",IF(OR(AND(AB267="Muy Baja",AD267="Mayor"),AND(AB267="Baja",AD267="Mayor"),AND(AB267="Media",AD267="Mayor"),AND(AB267="Alta",AD267="Moderado"),AND(AB267="Alta",AD267="Mayor"),AND(AB267="Muy Alta",AD267="Leve"),AND(AB267="Muy Alta",AD267="Menor"),AND(AB267="Muy Alta",AD267="Moderado"),AND(AB267="Muy Alta",AD267="Mayor")),"Alto",IF(OR(AND(AB267="Muy Baja",AD267="Catastrófico"),AND(AB267="Baja",AD267="Catastrófico"),AND(AB267="Media",AD267="Catastrófico"),AND(AB267="Alta",AD267="Catastrófico"),AND(AB267="Muy Alta",AD267="Catastrófico")),"Extremo","")))),"")</f>
        <v>Moderado</v>
      </c>
      <c r="AG267" s="2130" t="s">
        <v>444</v>
      </c>
      <c r="AH267" s="2131"/>
      <c r="AI267" s="2132"/>
      <c r="AJ267" s="2132"/>
      <c r="AK267" s="2132"/>
      <c r="AL267" s="2132"/>
    </row>
    <row r="268" spans="1:38" ht="77.400000000000006" customHeight="1" x14ac:dyDescent="0.3">
      <c r="A268" s="2176"/>
      <c r="B268" s="2134"/>
      <c r="C268" s="2134"/>
      <c r="D268" s="2135"/>
      <c r="E268" s="2135" t="s">
        <v>453</v>
      </c>
      <c r="F268" s="2135"/>
      <c r="G268" s="2135"/>
      <c r="H268" s="2135"/>
      <c r="I268" s="2134"/>
      <c r="J268" s="2136"/>
      <c r="K268" s="2137"/>
      <c r="L268" s="2138"/>
      <c r="M268" s="2139"/>
      <c r="N268" s="2138">
        <f>IF(NOT(ISERROR(MATCH(M268,_xlfn.ANCHORARRAY(#REF!),0))),#REF!&amp;"Por favor no seleccionar los criterios de impacto",M268)</f>
        <v>0</v>
      </c>
      <c r="O268" s="2137"/>
      <c r="P268" s="2138"/>
      <c r="Q268" s="2140"/>
      <c r="R268" s="2158"/>
      <c r="S268" s="2177" t="s">
        <v>454</v>
      </c>
      <c r="T268" s="2178" t="str">
        <f>IF(OR(U268="Preventivo",U268="Detectivo"),"Probabilidad",IF(U268="Correctivo","Impacto",""))</f>
        <v>Probabilidad</v>
      </c>
      <c r="U268" s="2142" t="s">
        <v>197</v>
      </c>
      <c r="V268" s="2142" t="s">
        <v>191</v>
      </c>
      <c r="W268" s="2142" t="str">
        <f>IF(AND(U268="Preventivo",V268="Automático"),"50%",IF(AND(U268="Preventivo",V268="Manual"),"40%",IF(AND(U268="Detectivo",V268="Automático"),"40%",IF(AND(U268="Detectivo",V268="Manual"),"30%",IF(AND(U268="Correctivo",V268="Automático"),"35%",IF(AND(U268="Correctivo",V268="Manual"),"25%",""))))))</f>
        <v>40%</v>
      </c>
      <c r="X268" s="2142" t="s">
        <v>198</v>
      </c>
      <c r="Y268" s="2142" t="s">
        <v>193</v>
      </c>
      <c r="Z268" s="2142" t="s">
        <v>194</v>
      </c>
      <c r="AA268" s="2144">
        <f>IFERROR(IF(T268="Probabilidad",(L268-(+L268*W268)),IF(T268="Impacto",L268,"")),"")</f>
        <v>0</v>
      </c>
      <c r="AB268" s="2146" t="str">
        <f t="shared" ref="AB268" si="147">IFERROR(IF(AA268="","",IF(AA268&lt;=0.2,"Muy Baja",IF(AA268&lt;=0.4,"Baja",IF(AA268&lt;=0.6,"Media",IF(AA268&lt;=0.8,"Alta","Muy Alta"))))),"")</f>
        <v>Muy Baja</v>
      </c>
      <c r="AC268" s="2143">
        <f t="shared" ref="AC268" si="148">+AA268</f>
        <v>0</v>
      </c>
      <c r="AD268" s="2146" t="str">
        <f t="shared" ref="AD268" si="149">IFERROR(IF(AE268="","",IF(AE268&lt;=0.2,"Leve",IF(AE268&lt;=0.4,"Menor",IF(AE268&lt;=0.6,"Moderado",IF(AE268&lt;=0.8,"Mayor","Catastrófico"))))),"")</f>
        <v>Leve</v>
      </c>
      <c r="AE268" s="2143">
        <f t="shared" ref="AE268" si="150">IFERROR(IF(T268="Impacto",(P268-(+P268*W268)),IF(T268="Probabilidad",P268,"")),"")</f>
        <v>0</v>
      </c>
      <c r="AF268" s="2147" t="str">
        <f t="shared" ref="AF268" si="151">IFERROR(IF(OR(AND(AB268="Muy Baja",AD268="Leve"),AND(AB268="Muy Baja",AD268="Menor"),AND(AB268="Baja",AD268="Leve")),"Bajo",IF(OR(AND(AB268="Muy baja",AD268="Moderado"),AND(AB268="Baja",AD268="Menor"),AND(AB268="Baja",AD268="Moderado"),AND(AB268="Media",AD268="Leve"),AND(AB268="Media",AD268="Menor"),AND(AB268="Media",AD268="Moderado"),AND(AB268="Alta",AD268="Leve"),AND(AB268="Alta",AD268="Menor")),"Moderado",IF(OR(AND(AB268="Muy Baja",AD268="Mayor"),AND(AB268="Baja",AD268="Mayor"),AND(AB268="Media",AD268="Mayor"),AND(AB268="Alta",AD268="Moderado"),AND(AB268="Alta",AD268="Mayor"),AND(AB268="Muy Alta",AD268="Leve"),AND(AB268="Muy Alta",AD268="Menor"),AND(AB268="Muy Alta",AD268="Moderado"),AND(AB268="Muy Alta",AD268="Mayor")),"Alto",IF(OR(AND(AB268="Muy Baja",AD268="Catastrófico"),AND(AB268="Baja",AD268="Catastrófico"),AND(AB268="Media",AD268="Catastrófico"),AND(AB268="Alta",AD268="Catastrófico"),AND(AB268="Muy Alta",AD268="Catastrófico")),"Extremo","")))),"")</f>
        <v>Bajo</v>
      </c>
      <c r="AG268" s="2142" t="s">
        <v>444</v>
      </c>
      <c r="AH268" s="2148"/>
      <c r="AI268" s="2134"/>
      <c r="AJ268" s="2134"/>
      <c r="AK268" s="2134"/>
      <c r="AL268" s="2134"/>
    </row>
    <row r="269" spans="1:38" ht="82.8" customHeight="1" x14ac:dyDescent="0.3">
      <c r="A269" s="2179"/>
      <c r="B269" s="2134"/>
      <c r="C269" s="2134"/>
      <c r="D269" s="2135"/>
      <c r="E269" s="2135"/>
      <c r="F269" s="2135"/>
      <c r="G269" s="2135"/>
      <c r="H269" s="2135"/>
      <c r="I269" s="2134"/>
      <c r="J269" s="2136"/>
      <c r="K269" s="2137"/>
      <c r="L269" s="2138"/>
      <c r="M269" s="2139"/>
      <c r="N269" s="2180"/>
      <c r="O269" s="2137"/>
      <c r="P269" s="2138"/>
      <c r="Q269" s="2140"/>
      <c r="R269" s="2181">
        <v>2</v>
      </c>
      <c r="S269" s="2170" t="s">
        <v>455</v>
      </c>
      <c r="T269" s="2182"/>
      <c r="U269" s="2150"/>
      <c r="V269" s="2150"/>
      <c r="W269" s="2150"/>
      <c r="X269" s="2150"/>
      <c r="Y269" s="2150"/>
      <c r="Z269" s="2150"/>
      <c r="AA269" s="2152"/>
      <c r="AB269" s="2154"/>
      <c r="AC269" s="2151"/>
      <c r="AD269" s="2154"/>
      <c r="AE269" s="2151"/>
      <c r="AF269" s="2155"/>
      <c r="AG269" s="2150"/>
      <c r="AH269" s="2148"/>
      <c r="AI269" s="2134"/>
      <c r="AJ269" s="2134"/>
      <c r="AK269" s="2134"/>
      <c r="AL269" s="2134"/>
    </row>
    <row r="270" spans="1:38" ht="15" x14ac:dyDescent="0.3">
      <c r="A270" s="2168">
        <v>3</v>
      </c>
      <c r="B270" s="2114" t="s">
        <v>354</v>
      </c>
      <c r="C270" s="2114" t="s">
        <v>437</v>
      </c>
      <c r="D270" s="2114" t="s">
        <v>456</v>
      </c>
      <c r="E270" s="2114" t="s">
        <v>457</v>
      </c>
      <c r="F270" s="2115" t="s">
        <v>458</v>
      </c>
      <c r="G270" s="2115" t="s">
        <v>203</v>
      </c>
      <c r="H270" s="2115" t="s">
        <v>450</v>
      </c>
      <c r="I270" s="2114" t="s">
        <v>190</v>
      </c>
      <c r="J270" s="2116">
        <v>2</v>
      </c>
      <c r="K270" s="2117" t="str">
        <f>IF(J270&lt;=0,"",IF(J270&lt;=2,"Muy Baja",IF(J270&lt;=24,"Baja",IF(J270&lt;=500,"Media",IF(J270&lt;=5000,"Alta","Muy Alta")))))</f>
        <v>Muy Baja</v>
      </c>
      <c r="L270" s="2118">
        <f>IF(K270="","",IF(K270="Muy Baja",0.2,IF(K270="Baja",0.4,IF(K270="Media",0.6,IF(K270="Alta",0.8,IF(K270="Muy Alta",1,))))))</f>
        <v>0.2</v>
      </c>
      <c r="M270" s="2119" t="s">
        <v>459</v>
      </c>
      <c r="N270" s="2118" t="str">
        <f>IF(NOT(ISERROR(MATCH(M270,'[5]Tabla Impacto'!$B$221:$B$223,0))),'[5]Tabla Impacto'!$F$223&amp;"Por favor no seleccionar los criterios de impacto(Afectación Económica o presupuestal y Pérdida Reputacional)",M270)</f>
        <v xml:space="preserve">     Afectación menor a 10 SMLMV .</v>
      </c>
      <c r="O270" s="2117" t="str">
        <f>IF(OR(N270='[5]Tabla Impacto'!$C$11,N270='[5]Tabla Impacto'!$D$11),"Leve",IF(OR(N270='[5]Tabla Impacto'!$C$12,N270='[5]Tabla Impacto'!$D$12),"Menor",IF(OR(N270='[5]Tabla Impacto'!$C$13,N270='[5]Tabla Impacto'!$D$13),"Moderado",IF(OR(N270='[5]Tabla Impacto'!$C$14,N270='[5]Tabla Impacto'!$D$14),"Mayor",IF(OR(N270='[5]Tabla Impacto'!$C$15,N270='[5]Tabla Impacto'!$D$15),"Catastrófico","")))))</f>
        <v>Leve</v>
      </c>
      <c r="P270" s="2118">
        <f>IF(O270="","",IF(O270="Leve",0.2,IF(O270="Menor",0.4,IF(O270="Moderado",0.6,IF(O270="Mayor",0.8,IF(O270="Catastrófico",1,))))))</f>
        <v>0.2</v>
      </c>
      <c r="Q270" s="2120" t="str">
        <f>IF(OR(AND(K270="Muy Baja",O270="Leve"),AND(K270="Muy Baja",O270="Menor"),AND(K270="Baja",O270="Leve")),"Bajo",IF(OR(AND(K270="Muy baja",O270="Moderado"),AND(K270="Baja",O270="Menor"),AND(K270="Baja",O270="Moderado"),AND(K270="Media",O270="Leve"),AND(K270="Media",O270="Menor"),AND(K270="Media",O270="Moderado"),AND(K270="Alta",O270="Leve"),AND(K270="Alta",O270="Menor")),"Moderado",IF(OR(AND(K270="Muy Baja",O270="Mayor"),AND(K270="Baja",O270="Mayor"),AND(K270="Media",O270="Mayor"),AND(K270="Alta",O270="Moderado"),AND(K270="Alta",O270="Mayor"),AND(K270="Muy Alta",O270="Leve"),AND(K270="Muy Alta",O270="Menor"),AND(K270="Muy Alta",O270="Moderado"),AND(K270="Muy Alta",O270="Mayor")),"Alto",IF(OR(AND(K270="Muy Baja",O270="Catastrófico"),AND(K270="Baja",O270="Catastrófico"),AND(K270="Media",O270="Catastrófico"),AND(K270="Alta",O270="Catastrófico"),AND(K270="Muy Alta",O270="Catastrófico")),"Extremo",""))))</f>
        <v>Bajo</v>
      </c>
      <c r="R270" s="2121">
        <v>1</v>
      </c>
      <c r="S270" s="2114" t="s">
        <v>460</v>
      </c>
      <c r="T270" s="2178" t="str">
        <f>IF(OR(U270="Preventivo",U270="Detectivo"),"Probabilidad",IF(U270="Correctivo","Impacto",""))</f>
        <v>Probabilidad</v>
      </c>
      <c r="U270" s="2142" t="s">
        <v>197</v>
      </c>
      <c r="V270" s="2142" t="s">
        <v>191</v>
      </c>
      <c r="W270" s="2142" t="str">
        <f>IF(AND(U270="Preventivo",V270="Automático"),"50%",IF(AND(U270="Preventivo",V270="Manual"),"40%",IF(AND(U270="Detectivo",V270="Automático"),"40%",IF(AND(U270="Detectivo",V270="Manual"),"30%",IF(AND(U270="Correctivo",V270="Automático"),"35%",IF(AND(U270="Correctivo",V270="Manual"),"25%",""))))))</f>
        <v>40%</v>
      </c>
      <c r="X270" s="2142" t="s">
        <v>198</v>
      </c>
      <c r="Y270" s="2142" t="s">
        <v>193</v>
      </c>
      <c r="Z270" s="2142" t="s">
        <v>194</v>
      </c>
      <c r="AA270" s="2144">
        <f>IFERROR(IF(T270="Probabilidad",(L270-(+L270*W270)),IF(T270="Impacto",L270,"")),"")</f>
        <v>0.12</v>
      </c>
      <c r="AB270" s="2146" t="str">
        <f>IFERROR(IF(AA270="","",IF(AA270&lt;=0.2,"Muy Baja",IF(AA270&lt;=0.4,"Baja",IF(AA270&lt;=0.6,"Media",IF(AA270&lt;=0.8,"Alta","Muy Alta"))))),"")</f>
        <v>Muy Baja</v>
      </c>
      <c r="AC270" s="2143">
        <f>+AA270</f>
        <v>0.12</v>
      </c>
      <c r="AD270" s="2146" t="str">
        <f>IFERROR(IF(AE270="","",IF(AE270&lt;=0.2,"Leve",IF(AE270&lt;=0.4,"Menor",IF(AE270&lt;=0.6,"Moderado",IF(AE270&lt;=0.8,"Mayor","Catastrófico"))))),"")</f>
        <v>Leve</v>
      </c>
      <c r="AE270" s="2143">
        <f>IFERROR(IF(T270="Impacto",(P270-(+P270*W270)),IF(T270="Probabilidad",P270,"")),"")</f>
        <v>0.2</v>
      </c>
      <c r="AF270" s="2147" t="str">
        <f>IFERROR(IF(OR(AND(AB270="Muy Baja",AD270="Leve"),AND(AB270="Muy Baja",AD270="Menor"),AND(AB270="Baja",AD270="Leve")),"Bajo",IF(OR(AND(AB270="Muy baja",AD270="Moderado"),AND(AB270="Baja",AD270="Menor"),AND(AB270="Baja",AD270="Moderado"),AND(AB270="Media",AD270="Leve"),AND(AB270="Media",AD270="Menor"),AND(AB270="Media",AD270="Moderado"),AND(AB270="Alta",AD270="Leve"),AND(AB270="Alta",AD270="Menor")),"Moderado",IF(OR(AND(AB270="Muy Baja",AD270="Mayor"),AND(AB270="Baja",AD270="Mayor"),AND(AB270="Media",AD270="Mayor"),AND(AB270="Alta",AD270="Moderado"),AND(AB270="Alta",AD270="Mayor"),AND(AB270="Muy Alta",AD270="Leve"),AND(AB270="Muy Alta",AD270="Menor"),AND(AB270="Muy Alta",AD270="Moderado"),AND(AB270="Muy Alta",AD270="Mayor")),"Alto",IF(OR(AND(AB270="Muy Baja",AD270="Catastrófico"),AND(AB270="Baja",AD270="Catastrófico"),AND(AB270="Media",AD270="Catastrófico"),AND(AB270="Alta",AD270="Catastrófico"),AND(AB270="Muy Alta",AD270="Catastrófico")),"Extremo","")))),"")</f>
        <v>Bajo</v>
      </c>
      <c r="AG270" s="2142" t="s">
        <v>444</v>
      </c>
      <c r="AH270" s="2183"/>
      <c r="AI270" s="2114"/>
      <c r="AJ270" s="2114"/>
      <c r="AK270" s="2114"/>
      <c r="AL270" s="2114"/>
    </row>
    <row r="271" spans="1:38" ht="58.8" customHeight="1" x14ac:dyDescent="0.3">
      <c r="A271" s="2179"/>
      <c r="B271" s="2156"/>
      <c r="C271" s="2134"/>
      <c r="D271" s="2156"/>
      <c r="E271" s="2156"/>
      <c r="F271" s="2157"/>
      <c r="G271" s="2184"/>
      <c r="H271" s="2157"/>
      <c r="I271" s="2156"/>
      <c r="J271" s="2185"/>
      <c r="K271" s="2186"/>
      <c r="L271" s="2187"/>
      <c r="M271" s="2188"/>
      <c r="N271" s="2187"/>
      <c r="O271" s="2186"/>
      <c r="P271" s="2187"/>
      <c r="Q271" s="2163"/>
      <c r="R271" s="2121"/>
      <c r="S271" s="2156"/>
      <c r="T271" s="2189"/>
      <c r="U271" s="2160"/>
      <c r="V271" s="2160"/>
      <c r="W271" s="2160"/>
      <c r="X271" s="2160"/>
      <c r="Y271" s="2160"/>
      <c r="Z271" s="2160"/>
      <c r="AA271" s="2162"/>
      <c r="AB271" s="2165"/>
      <c r="AC271" s="2161"/>
      <c r="AD271" s="2165"/>
      <c r="AE271" s="2161"/>
      <c r="AF271" s="2166"/>
      <c r="AG271" s="2160"/>
      <c r="AH271" s="2190"/>
      <c r="AI271" s="2156"/>
      <c r="AJ271" s="2156"/>
      <c r="AK271" s="2156"/>
      <c r="AL271" s="2156"/>
    </row>
    <row r="273" spans="1:39" x14ac:dyDescent="0.3">
      <c r="A273" s="1659" t="s">
        <v>148</v>
      </c>
      <c r="B273" s="1660"/>
      <c r="C273" s="1660"/>
      <c r="D273" s="1660"/>
      <c r="E273" s="1660"/>
      <c r="F273" s="1660"/>
      <c r="G273" s="1660"/>
      <c r="H273" s="1660"/>
      <c r="I273" s="1660"/>
      <c r="J273" s="1660"/>
      <c r="K273" s="1660"/>
      <c r="L273" s="1660"/>
      <c r="M273" s="1660"/>
      <c r="N273" s="1660"/>
      <c r="O273" s="1660"/>
      <c r="P273" s="1660"/>
      <c r="Q273" s="1660"/>
      <c r="R273" s="1660"/>
      <c r="S273" s="1660"/>
      <c r="T273" s="1660"/>
      <c r="U273" s="1660"/>
      <c r="V273" s="1660"/>
      <c r="W273" s="1660"/>
      <c r="X273" s="1660"/>
      <c r="Y273" s="1660"/>
      <c r="Z273" s="1660"/>
      <c r="AA273" s="1660"/>
      <c r="AB273" s="1660"/>
      <c r="AC273" s="1660"/>
      <c r="AD273" s="1660"/>
      <c r="AE273" s="1660"/>
      <c r="AF273" s="1660"/>
      <c r="AG273" s="1660"/>
      <c r="AH273" s="1660"/>
      <c r="AI273" s="1660"/>
      <c r="AJ273" s="1660"/>
      <c r="AK273" s="1660"/>
      <c r="AL273" s="1660"/>
      <c r="AM273" s="1661"/>
    </row>
    <row r="274" spans="1:39" x14ac:dyDescent="0.3">
      <c r="A274" s="1662"/>
      <c r="B274" s="1663"/>
      <c r="C274" s="1663"/>
      <c r="D274" s="1663"/>
      <c r="E274" s="1663"/>
      <c r="F274" s="1663"/>
      <c r="G274" s="1663"/>
      <c r="H274" s="1663"/>
      <c r="I274" s="1663"/>
      <c r="J274" s="1663"/>
      <c r="K274" s="1663"/>
      <c r="L274" s="1663"/>
      <c r="M274" s="1663"/>
      <c r="N274" s="1663"/>
      <c r="O274" s="1663"/>
      <c r="P274" s="1663"/>
      <c r="Q274" s="1663"/>
      <c r="R274" s="1663"/>
      <c r="S274" s="1663"/>
      <c r="T274" s="1663"/>
      <c r="U274" s="1663"/>
      <c r="V274" s="1663"/>
      <c r="W274" s="1663"/>
      <c r="X274" s="1663"/>
      <c r="Y274" s="1663"/>
      <c r="Z274" s="1663"/>
      <c r="AA274" s="1663"/>
      <c r="AB274" s="1663"/>
      <c r="AC274" s="1663"/>
      <c r="AD274" s="1663"/>
      <c r="AE274" s="1663"/>
      <c r="AF274" s="1663"/>
      <c r="AG274" s="1663"/>
      <c r="AH274" s="1663"/>
      <c r="AI274" s="1663"/>
      <c r="AJ274" s="1663"/>
      <c r="AK274" s="1663"/>
      <c r="AL274" s="1663"/>
      <c r="AM274" s="1664"/>
    </row>
    <row r="275" spans="1:39" ht="14.4" x14ac:dyDescent="0.3">
      <c r="A275" s="1421"/>
      <c r="B275" s="1422"/>
      <c r="C275" s="1421"/>
      <c r="D275" s="1421"/>
      <c r="E275" s="1421"/>
      <c r="F275" s="1423"/>
      <c r="G275" s="1423"/>
      <c r="H275" s="1423"/>
      <c r="I275" s="1424"/>
      <c r="J275" s="1423"/>
      <c r="K275" s="1423"/>
      <c r="L275" s="1423"/>
      <c r="M275" s="1423"/>
      <c r="N275" s="1423"/>
      <c r="O275" s="1423"/>
      <c r="P275" s="1423"/>
      <c r="Q275" s="1423"/>
      <c r="R275" s="1423"/>
      <c r="S275" s="1423"/>
      <c r="T275" s="1423"/>
      <c r="U275" s="1423"/>
      <c r="V275" s="1423"/>
      <c r="W275" s="1423"/>
      <c r="X275" s="1423"/>
      <c r="Y275" s="1423"/>
      <c r="Z275" s="1423"/>
      <c r="AA275" s="1423"/>
      <c r="AB275" s="1423"/>
      <c r="AC275" s="1423"/>
      <c r="AD275" s="1423"/>
      <c r="AE275" s="1423"/>
      <c r="AF275" s="1423"/>
      <c r="AG275" s="1423"/>
      <c r="AH275" s="1423"/>
      <c r="AI275" s="1423"/>
      <c r="AJ275" s="1423"/>
      <c r="AK275" s="1423"/>
      <c r="AL275" s="1423"/>
      <c r="AM275" s="1423"/>
    </row>
    <row r="276" spans="1:39" ht="23.4" x14ac:dyDescent="0.3">
      <c r="A276" s="1425" t="s">
        <v>149</v>
      </c>
      <c r="B276" s="1426"/>
      <c r="C276" s="1499" t="s">
        <v>1006</v>
      </c>
      <c r="D276" s="1499"/>
      <c r="E276" s="1499"/>
      <c r="F276" s="1499"/>
      <c r="G276" s="1499"/>
      <c r="H276" s="1499"/>
      <c r="I276" s="1499"/>
      <c r="J276" s="1499"/>
      <c r="K276" s="1499"/>
      <c r="L276" s="1499"/>
      <c r="M276" s="1499"/>
      <c r="N276" s="1499"/>
      <c r="O276" s="1499"/>
      <c r="P276" s="1499"/>
      <c r="Q276" s="1499"/>
      <c r="R276" s="1499"/>
      <c r="S276" s="1499"/>
      <c r="T276" s="1499"/>
      <c r="U276" s="1499"/>
      <c r="V276" s="1499"/>
      <c r="W276" s="1499"/>
      <c r="X276" s="1499"/>
      <c r="Y276" s="1499"/>
      <c r="Z276" s="1499"/>
      <c r="AA276" s="1499"/>
      <c r="AB276" s="1499"/>
      <c r="AC276" s="1499"/>
      <c r="AD276" s="1499"/>
      <c r="AE276" s="1499"/>
      <c r="AF276" s="1499"/>
      <c r="AG276" s="1499"/>
      <c r="AH276" s="1499"/>
      <c r="AI276" s="1499"/>
      <c r="AJ276" s="1499"/>
      <c r="AK276" s="1499"/>
      <c r="AL276" s="1499"/>
      <c r="AM276" s="1499"/>
    </row>
    <row r="277" spans="1:39" ht="23.4" x14ac:dyDescent="0.3">
      <c r="A277" s="1425" t="s">
        <v>150</v>
      </c>
      <c r="B277" s="1426"/>
      <c r="C277" s="1500" t="s">
        <v>1007</v>
      </c>
      <c r="D277" s="1500"/>
      <c r="E277" s="1500"/>
      <c r="F277" s="1500"/>
      <c r="G277" s="1500"/>
      <c r="H277" s="1500"/>
      <c r="I277" s="1500"/>
      <c r="J277" s="1500"/>
      <c r="K277" s="1500"/>
      <c r="L277" s="1500"/>
      <c r="M277" s="1500"/>
      <c r="N277" s="1500"/>
      <c r="O277" s="1500"/>
      <c r="P277" s="1500"/>
      <c r="Q277" s="1500"/>
      <c r="R277" s="1500"/>
      <c r="S277" s="1500"/>
      <c r="T277" s="1500"/>
      <c r="U277" s="1500"/>
      <c r="V277" s="1500"/>
      <c r="W277" s="1500"/>
      <c r="X277" s="1500"/>
      <c r="Y277" s="1500"/>
      <c r="Z277" s="1500"/>
      <c r="AA277" s="1500"/>
      <c r="AB277" s="1500"/>
      <c r="AC277" s="1500"/>
      <c r="AD277" s="1500"/>
      <c r="AE277" s="1500"/>
      <c r="AF277" s="1500"/>
      <c r="AG277" s="1500"/>
      <c r="AH277" s="1500"/>
      <c r="AI277" s="1500"/>
      <c r="AJ277" s="1500"/>
      <c r="AK277" s="1500"/>
      <c r="AL277" s="1500"/>
      <c r="AM277" s="1500"/>
    </row>
    <row r="278" spans="1:39" ht="23.4" x14ac:dyDescent="0.3">
      <c r="A278" s="1425" t="s">
        <v>151</v>
      </c>
      <c r="B278" s="1426"/>
      <c r="C278" s="1500" t="s">
        <v>1008</v>
      </c>
      <c r="D278" s="1500"/>
      <c r="E278" s="1500"/>
      <c r="F278" s="1500"/>
      <c r="G278" s="1500"/>
      <c r="H278" s="1500"/>
      <c r="I278" s="1500"/>
      <c r="J278" s="1500"/>
      <c r="K278" s="1500"/>
      <c r="L278" s="1500"/>
      <c r="M278" s="1500"/>
      <c r="N278" s="1500"/>
      <c r="O278" s="1500"/>
      <c r="P278" s="1500"/>
      <c r="Q278" s="1500"/>
      <c r="R278" s="1500"/>
      <c r="S278" s="1500"/>
      <c r="T278" s="1500"/>
      <c r="U278" s="1500"/>
      <c r="V278" s="1500"/>
      <c r="W278" s="1500"/>
      <c r="X278" s="1500"/>
      <c r="Y278" s="1500"/>
      <c r="Z278" s="1500"/>
      <c r="AA278" s="1500"/>
      <c r="AB278" s="1500"/>
      <c r="AC278" s="1500"/>
      <c r="AD278" s="1500"/>
      <c r="AE278" s="1500"/>
      <c r="AF278" s="1500"/>
      <c r="AG278" s="1500"/>
      <c r="AH278" s="1500"/>
      <c r="AI278" s="1500"/>
      <c r="AJ278" s="1500"/>
      <c r="AK278" s="1500"/>
      <c r="AL278" s="1500"/>
      <c r="AM278" s="1500"/>
    </row>
    <row r="279" spans="1:39" x14ac:dyDescent="0.3">
      <c r="A279" s="1429" t="s">
        <v>152</v>
      </c>
      <c r="B279" s="1430"/>
      <c r="C279" s="1431"/>
      <c r="D279" s="1431"/>
      <c r="E279" s="1431"/>
      <c r="F279" s="1431"/>
      <c r="G279" s="1431"/>
      <c r="H279" s="1431"/>
      <c r="I279" s="1431"/>
      <c r="J279" s="1432"/>
      <c r="K279" s="1433" t="s">
        <v>153</v>
      </c>
      <c r="L279" s="1431"/>
      <c r="M279" s="1431"/>
      <c r="N279" s="1431"/>
      <c r="O279" s="1431"/>
      <c r="P279" s="1431"/>
      <c r="Q279" s="1432"/>
      <c r="R279" s="1433" t="s">
        <v>154</v>
      </c>
      <c r="S279" s="1431"/>
      <c r="T279" s="1431"/>
      <c r="U279" s="1431"/>
      <c r="V279" s="1431"/>
      <c r="W279" s="1431"/>
      <c r="X279" s="1431"/>
      <c r="Y279" s="1431"/>
      <c r="Z279" s="1432"/>
      <c r="AA279" s="1433" t="s">
        <v>155</v>
      </c>
      <c r="AB279" s="1431"/>
      <c r="AC279" s="1431"/>
      <c r="AD279" s="1431"/>
      <c r="AE279" s="1431"/>
      <c r="AF279" s="1431"/>
      <c r="AG279" s="1432"/>
      <c r="AH279" s="1433" t="s">
        <v>156</v>
      </c>
      <c r="AI279" s="1431"/>
      <c r="AJ279" s="1431"/>
      <c r="AK279" s="1431"/>
      <c r="AL279" s="1431"/>
      <c r="AM279" s="1432"/>
    </row>
    <row r="280" spans="1:39" ht="13.8" customHeight="1" x14ac:dyDescent="0.3">
      <c r="A280" s="1434" t="s">
        <v>157</v>
      </c>
      <c r="B280" s="1435" t="s">
        <v>141</v>
      </c>
      <c r="C280" s="1436" t="s">
        <v>158</v>
      </c>
      <c r="D280" s="1436" t="s">
        <v>159</v>
      </c>
      <c r="E280" s="1437" t="s">
        <v>160</v>
      </c>
      <c r="F280" s="1438" t="s">
        <v>60</v>
      </c>
      <c r="G280" s="1439"/>
      <c r="H280" s="1439"/>
      <c r="I280" s="1437" t="s">
        <v>161</v>
      </c>
      <c r="J280" s="1436" t="s">
        <v>162</v>
      </c>
      <c r="K280" s="1440" t="s">
        <v>163</v>
      </c>
      <c r="L280" s="1441" t="s">
        <v>164</v>
      </c>
      <c r="M280" s="1437" t="s">
        <v>165</v>
      </c>
      <c r="N280" s="1437" t="s">
        <v>166</v>
      </c>
      <c r="O280" s="1442" t="s">
        <v>167</v>
      </c>
      <c r="P280" s="1441" t="s">
        <v>164</v>
      </c>
      <c r="Q280" s="1436" t="s">
        <v>168</v>
      </c>
      <c r="R280" s="1443" t="s">
        <v>169</v>
      </c>
      <c r="S280" s="1444" t="s">
        <v>170</v>
      </c>
      <c r="T280" s="1437" t="s">
        <v>171</v>
      </c>
      <c r="U280" s="1444" t="s">
        <v>172</v>
      </c>
      <c r="V280" s="1444"/>
      <c r="W280" s="1444"/>
      <c r="X280" s="1444"/>
      <c r="Y280" s="1444"/>
      <c r="Z280" s="1444"/>
      <c r="AA280" s="1445" t="s">
        <v>173</v>
      </c>
      <c r="AB280" s="1445" t="s">
        <v>174</v>
      </c>
      <c r="AC280" s="1445" t="s">
        <v>164</v>
      </c>
      <c r="AD280" s="1445" t="s">
        <v>175</v>
      </c>
      <c r="AE280" s="1445" t="s">
        <v>164</v>
      </c>
      <c r="AF280" s="1445" t="s">
        <v>176</v>
      </c>
      <c r="AG280" s="1443" t="s">
        <v>177</v>
      </c>
      <c r="AH280" s="1444" t="s">
        <v>156</v>
      </c>
      <c r="AI280" s="1444" t="s">
        <v>142</v>
      </c>
      <c r="AJ280" s="1444" t="s">
        <v>178</v>
      </c>
      <c r="AK280" s="1125" t="s">
        <v>179</v>
      </c>
      <c r="AL280" s="1125" t="s">
        <v>180</v>
      </c>
      <c r="AM280" s="1125" t="s">
        <v>181</v>
      </c>
    </row>
    <row r="281" spans="1:39" ht="70.2" x14ac:dyDescent="0.3">
      <c r="A281" s="1446"/>
      <c r="B281" s="1435"/>
      <c r="C281" s="1444"/>
      <c r="D281" s="1444"/>
      <c r="E281" s="1440"/>
      <c r="F281" s="1447"/>
      <c r="G281" s="1439" t="s">
        <v>201</v>
      </c>
      <c r="H281" s="1439" t="s">
        <v>182</v>
      </c>
      <c r="I281" s="1436"/>
      <c r="J281" s="1444"/>
      <c r="K281" s="1436"/>
      <c r="L281" s="1433"/>
      <c r="M281" s="1436"/>
      <c r="N281" s="1436"/>
      <c r="O281" s="1433"/>
      <c r="P281" s="1433"/>
      <c r="Q281" s="1444"/>
      <c r="R281" s="1448"/>
      <c r="S281" s="1444"/>
      <c r="T281" s="1436"/>
      <c r="U281" s="1449" t="s">
        <v>183</v>
      </c>
      <c r="V281" s="1449" t="s">
        <v>184</v>
      </c>
      <c r="W281" s="1449" t="s">
        <v>185</v>
      </c>
      <c r="X281" s="1449" t="s">
        <v>186</v>
      </c>
      <c r="Y281" s="1449" t="s">
        <v>187</v>
      </c>
      <c r="Z281" s="1449" t="s">
        <v>188</v>
      </c>
      <c r="AA281" s="1445"/>
      <c r="AB281" s="1445"/>
      <c r="AC281" s="1445"/>
      <c r="AD281" s="1445"/>
      <c r="AE281" s="1445"/>
      <c r="AF281" s="1445"/>
      <c r="AG281" s="1448"/>
      <c r="AH281" s="1444"/>
      <c r="AI281" s="1444"/>
      <c r="AJ281" s="1444"/>
      <c r="AK281" s="1132"/>
      <c r="AL281" s="1132"/>
      <c r="AM281" s="1133"/>
    </row>
    <row r="282" spans="1:39" ht="34.799999999999997" customHeight="1" x14ac:dyDescent="0.3">
      <c r="A282" s="1450">
        <v>1</v>
      </c>
      <c r="B282" s="1501" t="s">
        <v>199</v>
      </c>
      <c r="C282" s="1501" t="s">
        <v>1009</v>
      </c>
      <c r="D282" s="1502" t="s">
        <v>1010</v>
      </c>
      <c r="E282" s="2191" t="s">
        <v>1011</v>
      </c>
      <c r="F282" s="1504" t="s">
        <v>1012</v>
      </c>
      <c r="G282" s="1578" t="s">
        <v>202</v>
      </c>
      <c r="H282" s="1504" t="s">
        <v>1013</v>
      </c>
      <c r="I282" s="1506" t="s">
        <v>190</v>
      </c>
      <c r="J282" s="1507">
        <v>36</v>
      </c>
      <c r="K282" s="1508" t="str">
        <f>IF(J282&lt;=0,"",IF(J282&lt;=2,"Muy Baja",IF(J282&lt;=24,"Baja",IF(J282&lt;=500,"Media",IF(J282&lt;=5000,"Alta","Muy Alta")))))</f>
        <v>Media</v>
      </c>
      <c r="L282" s="1509">
        <f>IF(K282="","",IF(K282="Muy Baja",0.2,IF(K282="Baja",0.4,IF(K282="Media",0.6,IF(K282="Alta",0.8,IF(K282="Muy Alta",1,))))))</f>
        <v>0.6</v>
      </c>
      <c r="M282" s="1510" t="s">
        <v>200</v>
      </c>
      <c r="N282" s="1509" t="str">
        <f>IF(NOT(ISERROR(MATCH(M282,'[35]Tabla Impacto'!$B$221:$B$223,0))),'[35]Tabla Impacto'!$F$223&amp;"Por favor no seleccionar los criterios de impacto(Afectación Económica o presupuestal y Pérdida Reputacional)",M282)</f>
        <v xml:space="preserve">     El riesgo afecta la imagen de la entidad con algunos usuarios de relevancia frente al logro de los objetivos</v>
      </c>
      <c r="O282" s="1508" t="str">
        <f>IF(OR(N282='[35]Tabla Impacto'!$C$11,N282='[35]Tabla Impacto'!$D$11),"Leve",IF(OR(N282='[35]Tabla Impacto'!$C$12,N282='[35]Tabla Impacto'!$D$12),"Menor",IF(OR(N282='[35]Tabla Impacto'!$C$13,N282='[35]Tabla Impacto'!$D$13),"Moderado",IF(OR(N282='[35]Tabla Impacto'!$C$14,N282='[35]Tabla Impacto'!$D$14),"Mayor",IF(OR(N282='[35]Tabla Impacto'!$C$15,N282='[35]Tabla Impacto'!$D$15),"Catastrófico","")))))</f>
        <v>Moderado</v>
      </c>
      <c r="P282" s="1509">
        <f>IF(O282="","",IF(O282="Leve",0.2,IF(O282="Menor",0.4,IF(O282="Moderado",0.6,IF(O282="Mayor",0.8,IF(O282="Catastrófico",1,))))))</f>
        <v>0.6</v>
      </c>
      <c r="Q282" s="1511" t="str">
        <f>IF(OR(AND(K282="Muy Baja",O282="Leve"),AND(K282="Muy Baja",O282="Menor"),AND(K282="Baja",O282="Leve")),"Bajo",IF(OR(AND(K282="Muy baja",O282="Moderado"),AND(K282="Baja",O282="Menor"),AND(K282="Baja",O282="Moderado"),AND(K282="Media",O282="Leve"),AND(K282="Media",O282="Menor"),AND(K282="Media",O282="Moderado"),AND(K282="Alta",O282="Leve"),AND(K282="Alta",O282="Menor")),"Moderado",IF(OR(AND(K282="Muy Baja",O282="Mayor"),AND(K282="Baja",O282="Mayor"),AND(K282="Media",O282="Mayor"),AND(K282="Alta",O282="Moderado"),AND(K282="Alta",O282="Mayor"),AND(K282="Muy Alta",O282="Leve"),AND(K282="Muy Alta",O282="Menor"),AND(K282="Muy Alta",O282="Moderado"),AND(K282="Muy Alta",O282="Mayor")),"Alto",IF(OR(AND(K282="Muy Baja",O282="Catastrófico"),AND(K282="Baja",O282="Catastrófico"),AND(K282="Media",O282="Catastrófico"),AND(K282="Alta",O282="Catastrófico"),AND(K282="Muy Alta",O282="Catastrófico")),"Extremo",""))))</f>
        <v>Moderado</v>
      </c>
      <c r="R282" s="1585">
        <v>1</v>
      </c>
      <c r="S282" s="1541" t="s">
        <v>1014</v>
      </c>
      <c r="T282" s="1586" t="s">
        <v>1015</v>
      </c>
      <c r="U282" s="1587" t="s">
        <v>243</v>
      </c>
      <c r="V282" s="1587" t="s">
        <v>191</v>
      </c>
      <c r="W282" s="1588" t="str">
        <f>IF(AND(U282="Preventivo",V282="Automático"),"50%",IF(AND(U282="Preventivo",V282="Manual"),"40%",IF(AND(U282="Detectivo",V282="Automático"),"40%",IF(AND(U282="Detectivo",V282="Manual"),"30%",IF(AND(U282="Correctivo",V282="Automático"),"35%",IF(AND(U282="Correctivo",V282="Manual"),"25%",""))))))</f>
        <v>30%</v>
      </c>
      <c r="X282" s="1587" t="s">
        <v>198</v>
      </c>
      <c r="Y282" s="1587" t="s">
        <v>193</v>
      </c>
      <c r="Z282" s="1587" t="s">
        <v>194</v>
      </c>
      <c r="AA282" s="1589">
        <v>0.42</v>
      </c>
      <c r="AB282" s="1590" t="str">
        <f>IFERROR(IF(AA282="","",IF(AA282&lt;=0.2,"Muy Baja",IF(AA282&lt;=0.4,"Baja",IF(AA282&lt;=0.6,"Media",IF(AA282&lt;=0.8,"Alta","Muy Alta"))))),"")</f>
        <v>Media</v>
      </c>
      <c r="AC282" s="1588">
        <f>+AA282</f>
        <v>0.42</v>
      </c>
      <c r="AD282" s="1590" t="s">
        <v>775</v>
      </c>
      <c r="AE282" s="1588">
        <v>0.6</v>
      </c>
      <c r="AF282" s="1591" t="str">
        <f>IFERROR(IF(OR(AND(AB282="Muy Baja",AD282="Leve"),AND(AB282="Muy Baja",AD282="Menor"),AND(AB282="Baja",AD282="Leve")),"Bajo",IF(OR(AND(AB282="Muy baja",AD282="Moderado"),AND(AB282="Baja",AD282="Menor"),AND(AB282="Baja",AD282="Moderado"),AND(AB282="Media",AD282="Leve"),AND(AB282="Media",AD282="Menor"),AND(AB282="Media",AD282="Moderado"),AND(AB282="Alta",AD282="Leve"),AND(AB282="Alta",AD282="Menor")),"Moderado",IF(OR(AND(AB282="Muy Baja",AD282="Mayor"),AND(AB282="Baja",AD282="Mayor"),AND(AB282="Media",AD282="Mayor"),AND(AB282="Alta",AD282="Moderado"),AND(AB282="Alta",AD282="Mayor"),AND(AB282="Muy Alta",AD282="Leve"),AND(AB282="Muy Alta",AD282="Menor"),AND(AB282="Muy Alta",AD282="Moderado"),AND(AB282="Muy Alta",AD282="Mayor")),"Alto",IF(OR(AND(AB282="Muy Baja",AD282="Catastrófico"),AND(AB282="Baja",AD282="Catastrófico"),AND(AB282="Media",AD282="Catastrófico"),AND(AB282="Alta",AD282="Catastrófico"),AND(AB282="Muy Alta",AD282="Catastrófico")),"Extremo","")))),"")</f>
        <v>Moderado</v>
      </c>
      <c r="AG282" s="1587" t="s">
        <v>195</v>
      </c>
      <c r="AH282" s="1501" t="s">
        <v>1016</v>
      </c>
      <c r="AI282" s="1501" t="s">
        <v>1017</v>
      </c>
      <c r="AJ282" s="1522">
        <v>45292</v>
      </c>
      <c r="AK282" s="2192" t="s">
        <v>1018</v>
      </c>
      <c r="AL282" s="2193" t="s">
        <v>1019</v>
      </c>
      <c r="AM282" s="2194" t="s">
        <v>196</v>
      </c>
    </row>
    <row r="283" spans="1:39" ht="31.8" customHeight="1" x14ac:dyDescent="0.3">
      <c r="A283" s="1475"/>
      <c r="B283" s="1525"/>
      <c r="C283" s="1525"/>
      <c r="D283" s="1526"/>
      <c r="E283" s="2195"/>
      <c r="F283" s="1504"/>
      <c r="G283" s="1584"/>
      <c r="H283" s="1504"/>
      <c r="I283" s="1528"/>
      <c r="J283" s="1529"/>
      <c r="K283" s="1530"/>
      <c r="L283" s="1531"/>
      <c r="M283" s="1532"/>
      <c r="N283" s="1531">
        <f>IF(NOT(ISERROR(MATCH(M283,_xlfn.ANCHORARRAY(#REF!),0))),#REF!&amp;"Por favor no seleccionar los criterios de impacto",M283)</f>
        <v>0</v>
      </c>
      <c r="O283" s="1530"/>
      <c r="P283" s="1531"/>
      <c r="Q283" s="1533"/>
      <c r="R283" s="2196"/>
      <c r="S283" s="1559"/>
      <c r="T283" s="2197"/>
      <c r="U283" s="2198"/>
      <c r="V283" s="2198"/>
      <c r="W283" s="2199"/>
      <c r="X283" s="2198"/>
      <c r="Y283" s="2198"/>
      <c r="Z283" s="2198"/>
      <c r="AA283" s="2200"/>
      <c r="AB283" s="2201"/>
      <c r="AC283" s="2199"/>
      <c r="AD283" s="2201"/>
      <c r="AE283" s="2199"/>
      <c r="AF283" s="2202"/>
      <c r="AG283" s="2198"/>
      <c r="AH283" s="1525"/>
      <c r="AI283" s="1525"/>
      <c r="AJ283" s="2203"/>
      <c r="AK283" s="2204"/>
      <c r="AL283" s="2205"/>
      <c r="AM283" s="2206"/>
    </row>
    <row r="284" spans="1:39" ht="22.8" customHeight="1" x14ac:dyDescent="0.3">
      <c r="A284" s="1475"/>
      <c r="B284" s="1525"/>
      <c r="C284" s="1525"/>
      <c r="D284" s="1526"/>
      <c r="E284" s="2195"/>
      <c r="F284" s="1504"/>
      <c r="G284" s="1584"/>
      <c r="H284" s="1504"/>
      <c r="I284" s="1528"/>
      <c r="J284" s="1529"/>
      <c r="K284" s="1530"/>
      <c r="L284" s="1531"/>
      <c r="M284" s="1532"/>
      <c r="N284" s="1531">
        <f>IF(NOT(ISERROR(MATCH(M284,_xlfn.ANCHORARRAY(#REF!),0))),#REF!&amp;"Por favor no seleccionar los criterios de impacto",M284)</f>
        <v>0</v>
      </c>
      <c r="O284" s="1530"/>
      <c r="P284" s="1531"/>
      <c r="Q284" s="1533"/>
      <c r="R284" s="2196"/>
      <c r="S284" s="1559"/>
      <c r="T284" s="2197"/>
      <c r="U284" s="2198"/>
      <c r="V284" s="2198"/>
      <c r="W284" s="2199"/>
      <c r="X284" s="2198"/>
      <c r="Y284" s="2198"/>
      <c r="Z284" s="2198"/>
      <c r="AA284" s="2200"/>
      <c r="AB284" s="2201"/>
      <c r="AC284" s="2199"/>
      <c r="AD284" s="2201"/>
      <c r="AE284" s="2199"/>
      <c r="AF284" s="2202"/>
      <c r="AG284" s="2198"/>
      <c r="AH284" s="1525"/>
      <c r="AI284" s="1525"/>
      <c r="AJ284" s="2203"/>
      <c r="AK284" s="2204"/>
      <c r="AL284" s="2205"/>
      <c r="AM284" s="2206"/>
    </row>
    <row r="285" spans="1:39" ht="13.8" customHeight="1" x14ac:dyDescent="0.3">
      <c r="A285" s="1475"/>
      <c r="B285" s="1525"/>
      <c r="C285" s="1525"/>
      <c r="D285" s="1526"/>
      <c r="E285" s="2207"/>
      <c r="F285" s="1504"/>
      <c r="G285" s="1584"/>
      <c r="H285" s="1504"/>
      <c r="I285" s="1528"/>
      <c r="J285" s="1529"/>
      <c r="K285" s="1530"/>
      <c r="L285" s="1531"/>
      <c r="M285" s="1532"/>
      <c r="N285" s="1531">
        <f>IF(NOT(ISERROR(MATCH(M285,_xlfn.ANCHORARRAY(#REF!),0))),#REF!&amp;"Por favor no seleccionar los criterios de impacto",M285)</f>
        <v>0</v>
      </c>
      <c r="O285" s="1530"/>
      <c r="P285" s="1531"/>
      <c r="Q285" s="1533"/>
      <c r="R285" s="1597"/>
      <c r="S285" s="2208"/>
      <c r="T285" s="1598"/>
      <c r="U285" s="1599"/>
      <c r="V285" s="1599"/>
      <c r="W285" s="1600"/>
      <c r="X285" s="1599"/>
      <c r="Y285" s="1599"/>
      <c r="Z285" s="1599"/>
      <c r="AA285" s="1601"/>
      <c r="AB285" s="1602"/>
      <c r="AC285" s="1600"/>
      <c r="AD285" s="1602"/>
      <c r="AE285" s="1600"/>
      <c r="AF285" s="1603"/>
      <c r="AG285" s="1599"/>
      <c r="AH285" s="1525"/>
      <c r="AI285" s="1536"/>
      <c r="AJ285" s="1538"/>
      <c r="AK285" s="2209"/>
      <c r="AL285" s="2210"/>
      <c r="AM285" s="2211"/>
    </row>
    <row r="286" spans="1:39" ht="28.8" customHeight="1" x14ac:dyDescent="0.3">
      <c r="A286" s="1475"/>
      <c r="B286" s="1525"/>
      <c r="C286" s="1525"/>
      <c r="D286" s="1526"/>
      <c r="E286" s="2212" t="s">
        <v>1020</v>
      </c>
      <c r="F286" s="1504"/>
      <c r="G286" s="1584"/>
      <c r="H286" s="1504"/>
      <c r="I286" s="1528"/>
      <c r="J286" s="1529"/>
      <c r="K286" s="1530"/>
      <c r="L286" s="1531"/>
      <c r="M286" s="1532"/>
      <c r="N286" s="1531">
        <f>IF(NOT(ISERROR(MATCH(M286,_xlfn.ANCHORARRAY(#REF!),0))),#REF!&amp;"Por favor no seleccionar los criterios de impacto",M286)</f>
        <v>0</v>
      </c>
      <c r="O286" s="1530"/>
      <c r="P286" s="1531"/>
      <c r="Q286" s="1533"/>
      <c r="R286" s="1585">
        <v>2</v>
      </c>
      <c r="S286" s="2022" t="s">
        <v>1021</v>
      </c>
      <c r="T286" s="1586" t="s">
        <v>1015</v>
      </c>
      <c r="U286" s="1587" t="s">
        <v>197</v>
      </c>
      <c r="V286" s="1587" t="s">
        <v>191</v>
      </c>
      <c r="W286" s="1588" t="str">
        <f t="shared" ref="W286" si="152">IF(AND(U286="Preventivo",V286="Automático"),"50%",IF(AND(U286="Preventivo",V286="Manual"),"40%",IF(AND(U286="Detectivo",V286="Automático"),"40%",IF(AND(U286="Detectivo",V286="Manual"),"30%",IF(AND(U286="Correctivo",V286="Automático"),"35%",IF(AND(U286="Correctivo",V286="Manual"),"25%",""))))))</f>
        <v>40%</v>
      </c>
      <c r="X286" s="1587" t="s">
        <v>198</v>
      </c>
      <c r="Y286" s="1587" t="s">
        <v>193</v>
      </c>
      <c r="Z286" s="1587" t="s">
        <v>194</v>
      </c>
      <c r="AA286" s="1589">
        <v>0.25</v>
      </c>
      <c r="AB286" s="1590" t="str">
        <f t="shared" ref="AB286" si="153">IFERROR(IF(AA286="","",IF(AA286&lt;=0.2,"Muy Baja",IF(AA286&lt;=0.4,"Baja",IF(AA286&lt;=0.6,"Media",IF(AA286&lt;=0.8,"Alta","Muy Alta"))))),"")</f>
        <v>Baja</v>
      </c>
      <c r="AC286" s="1588">
        <f t="shared" ref="AC286" si="154">+AA286</f>
        <v>0.25</v>
      </c>
      <c r="AD286" s="1590" t="s">
        <v>775</v>
      </c>
      <c r="AE286" s="1588">
        <v>0.6</v>
      </c>
      <c r="AF286" s="1591" t="str">
        <f t="shared" ref="AF286" si="155">IFERROR(IF(OR(AND(AB286="Muy Baja",AD286="Leve"),AND(AB286="Muy Baja",AD286="Menor"),AND(AB286="Baja",AD286="Leve")),"Bajo",IF(OR(AND(AB286="Muy baja",AD286="Moderado"),AND(AB286="Baja",AD286="Menor"),AND(AB286="Baja",AD286="Moderado"),AND(AB286="Media",AD286="Leve"),AND(AB286="Media",AD286="Menor"),AND(AB286="Media",AD286="Moderado"),AND(AB286="Alta",AD286="Leve"),AND(AB286="Alta",AD286="Menor")),"Moderado",IF(OR(AND(AB286="Muy Baja",AD286="Mayor"),AND(AB286="Baja",AD286="Mayor"),AND(AB286="Media",AD286="Mayor"),AND(AB286="Alta",AD286="Moderado"),AND(AB286="Alta",AD286="Mayor"),AND(AB286="Muy Alta",AD286="Leve"),AND(AB286="Muy Alta",AD286="Menor"),AND(AB286="Muy Alta",AD286="Moderado"),AND(AB286="Muy Alta",AD286="Mayor")),"Alto",IF(OR(AND(AB286="Muy Baja",AD286="Catastrófico"),AND(AB286="Baja",AD286="Catastrófico"),AND(AB286="Media",AD286="Catastrófico"),AND(AB286="Alta",AD286="Catastrófico"),AND(AB286="Muy Alta",AD286="Catastrófico")),"Extremo","")))),"")</f>
        <v>Moderado</v>
      </c>
      <c r="AG286" s="1587" t="s">
        <v>195</v>
      </c>
      <c r="AH286" s="1525"/>
      <c r="AI286" s="1541" t="s">
        <v>1022</v>
      </c>
      <c r="AJ286" s="2213">
        <v>45292</v>
      </c>
      <c r="AK286" s="2214" t="s">
        <v>1018</v>
      </c>
      <c r="AL286" s="2215" t="s">
        <v>1023</v>
      </c>
      <c r="AM286" s="2216"/>
    </row>
    <row r="287" spans="1:39" ht="13.8" customHeight="1" x14ac:dyDescent="0.3">
      <c r="A287" s="2066"/>
      <c r="B287" s="1536"/>
      <c r="C287" s="1536"/>
      <c r="D287" s="2217"/>
      <c r="E287" s="2218"/>
      <c r="F287" s="1504"/>
      <c r="G287" s="1855"/>
      <c r="H287" s="1504"/>
      <c r="I287" s="2219"/>
      <c r="J287" s="1537"/>
      <c r="K287" s="1857"/>
      <c r="L287" s="1858"/>
      <c r="M287" s="1859"/>
      <c r="N287" s="1858">
        <f>IF(NOT(ISERROR(MATCH(M287,_xlfn.ANCHORARRAY(#REF!),0))),#REF!&amp;"Por favor no seleccionar los criterios de impacto",M287)</f>
        <v>0</v>
      </c>
      <c r="O287" s="1857"/>
      <c r="P287" s="1858"/>
      <c r="Q287" s="1861"/>
      <c r="R287" s="1597"/>
      <c r="S287" s="2025"/>
      <c r="T287" s="1598"/>
      <c r="U287" s="1599"/>
      <c r="V287" s="1599"/>
      <c r="W287" s="1600"/>
      <c r="X287" s="1599"/>
      <c r="Y287" s="1599"/>
      <c r="Z287" s="1599"/>
      <c r="AA287" s="1601"/>
      <c r="AB287" s="1602"/>
      <c r="AC287" s="1600"/>
      <c r="AD287" s="1602"/>
      <c r="AE287" s="1600"/>
      <c r="AF287" s="1603"/>
      <c r="AG287" s="1599"/>
      <c r="AH287" s="1536"/>
      <c r="AI287" s="2208"/>
      <c r="AJ287" s="2220"/>
      <c r="AK287" s="2221"/>
      <c r="AL287" s="2222"/>
      <c r="AM287" s="2216"/>
    </row>
    <row r="288" spans="1:39" ht="39.6" customHeight="1" x14ac:dyDescent="0.3">
      <c r="A288" s="1450">
        <v>2</v>
      </c>
      <c r="B288" s="2223" t="s">
        <v>199</v>
      </c>
      <c r="C288" s="2223" t="s">
        <v>1024</v>
      </c>
      <c r="D288" s="2224" t="s">
        <v>1025</v>
      </c>
      <c r="E288" s="2225" t="s">
        <v>1026</v>
      </c>
      <c r="F288" s="1544" t="s">
        <v>1027</v>
      </c>
      <c r="G288" s="1578" t="s">
        <v>203</v>
      </c>
      <c r="H288" s="1546" t="s">
        <v>1028</v>
      </c>
      <c r="I288" s="1547" t="s">
        <v>190</v>
      </c>
      <c r="J288" s="1548">
        <v>365</v>
      </c>
      <c r="K288" s="1549" t="str">
        <f>IF(J288&lt;=0,"",IF(J288&lt;=2,"Muy Baja",IF(J288&lt;=24,"Baja",IF(J288&lt;=500,"Media",IF(J288&lt;=5000,"Alta","Muy Alta")))))</f>
        <v>Media</v>
      </c>
      <c r="L288" s="1550">
        <f>IF(K288="","",IF(K288="Muy Baja",0.2,IF(K288="Baja",0.4,IF(K288="Media",0.6,IF(K288="Alta",0.8,IF(K288="Muy Alta",1,))))))</f>
        <v>0.6</v>
      </c>
      <c r="M288" s="1551" t="s">
        <v>1029</v>
      </c>
      <c r="N288" s="1550" t="str">
        <f>IF(NOT(ISERROR(MATCH(M288,'[35]Tabla Impacto'!$B$221:$B$223,0))),'[35]Tabla Impacto'!$F$223&amp;"Por favor no seleccionar los criterios de impacto(Afectación Económica o presupuestal y Pérdida Reputacional)",M288)</f>
        <v xml:space="preserve">     Entre 1000 y 5000 SMLMV </v>
      </c>
      <c r="O288" s="1549" t="str">
        <f>IF(OR(N288='[35]Tabla Impacto'!$C$11,N288='[35]Tabla Impacto'!$D$11),"Leve",IF(OR(N288='[35]Tabla Impacto'!$C$12,N288='[35]Tabla Impacto'!$D$12),"Menor",IF(OR(N288='[35]Tabla Impacto'!$C$13,N288='[35]Tabla Impacto'!$D$13),"Moderado",IF(OR(N288='[35]Tabla Impacto'!$C$14,N288='[35]Tabla Impacto'!$D$14),"Mayor",IF(OR(N288='[35]Tabla Impacto'!$C$15,N288='[35]Tabla Impacto'!$D$15),"Catastrófico","")))))</f>
        <v>Moderado</v>
      </c>
      <c r="P288" s="1550">
        <f>IF(O288="","",IF(O288="Leve",0.2,IF(O288="Menor",0.4,IF(O288="Moderado",0.6,IF(O288="Mayor",0.8,IF(O288="Catastrófico",1,))))))</f>
        <v>0.6</v>
      </c>
      <c r="Q288" s="1552" t="str">
        <f>IF(OR(AND(K288="Muy Baja",O288="Leve"),AND(K288="Muy Baja",O288="Menor"),AND(K288="Baja",O288="Leve")),"Bajo",IF(OR(AND(K288="Muy baja",O288="Moderado"),AND(K288="Baja",O288="Menor"),AND(K288="Baja",O288="Moderado"),AND(K288="Media",O288="Leve"),AND(K288="Media",O288="Menor"),AND(K288="Media",O288="Moderado"),AND(K288="Alta",O288="Leve"),AND(K288="Alta",O288="Menor")),"Moderado",IF(OR(AND(K288="Muy Baja",O288="Mayor"),AND(K288="Baja",O288="Mayor"),AND(K288="Media",O288="Mayor"),AND(K288="Alta",O288="Moderado"),AND(K288="Alta",O288="Mayor"),AND(K288="Muy Alta",O288="Leve"),AND(K288="Muy Alta",O288="Menor"),AND(K288="Muy Alta",O288="Moderado"),AND(K288="Muy Alta",O288="Mayor")),"Alto",IF(OR(AND(K288="Muy Baja",O288="Catastrófico"),AND(K288="Baja",O288="Catastrófico"),AND(K288="Media",O288="Catastrófico"),AND(K288="Alta",O288="Catastrófico"),AND(K288="Muy Alta",O288="Catastrófico")),"Extremo",""))))</f>
        <v>Moderado</v>
      </c>
      <c r="R288" s="1585">
        <v>1</v>
      </c>
      <c r="S288" s="2022" t="s">
        <v>1030</v>
      </c>
      <c r="T288" s="1586" t="s">
        <v>1015</v>
      </c>
      <c r="U288" s="1587" t="s">
        <v>197</v>
      </c>
      <c r="V288" s="1587" t="s">
        <v>191</v>
      </c>
      <c r="W288" s="1588" t="str">
        <f>IF(AND(U288="Preventivo",V288="Automático"),"50%",IF(AND(U288="Preventivo",V288="Manual"),"40%",IF(AND(U288="Detectivo",V288="Automático"),"40%",IF(AND(U288="Detectivo",V288="Manual"),"30%",IF(AND(U288="Correctivo",V288="Automático"),"35%",IF(AND(U288="Correctivo",V288="Manual"),"25%",""))))))</f>
        <v>40%</v>
      </c>
      <c r="X288" s="1587" t="s">
        <v>198</v>
      </c>
      <c r="Y288" s="1587" t="s">
        <v>193</v>
      </c>
      <c r="Z288" s="1587" t="s">
        <v>194</v>
      </c>
      <c r="AA288" s="1589">
        <v>0.36</v>
      </c>
      <c r="AB288" s="1590" t="str">
        <f>IFERROR(IF(AA288="","",IF(AA288&lt;=0.2,"Muy Baja",IF(AA288&lt;=0.4,"Baja",IF(AA288&lt;=0.6,"Media",IF(AA288&lt;=0.8,"Alta","Muy Alta"))))),"")</f>
        <v>Baja</v>
      </c>
      <c r="AC288" s="1588">
        <f>+AA288</f>
        <v>0.36</v>
      </c>
      <c r="AD288" s="1590" t="s">
        <v>775</v>
      </c>
      <c r="AE288" s="1588">
        <v>0.6</v>
      </c>
      <c r="AF288" s="1591" t="str">
        <f>IFERROR(IF(OR(AND(AB288="Muy Baja",AD288="Leve"),AND(AB288="Muy Baja",AD288="Menor"),AND(AB288="Baja",AD288="Leve")),"Bajo",IF(OR(AND(AB288="Muy baja",AD288="Moderado"),AND(AB288="Baja",AD288="Menor"),AND(AB288="Baja",AD288="Moderado"),AND(AB288="Media",AD288="Leve"),AND(AB288="Media",AD288="Menor"),AND(AB288="Media",AD288="Moderado"),AND(AB288="Alta",AD288="Leve"),AND(AB288="Alta",AD288="Menor")),"Moderado",IF(OR(AND(AB288="Muy Baja",AD288="Mayor"),AND(AB288="Baja",AD288="Mayor"),AND(AB288="Media",AD288="Mayor"),AND(AB288="Alta",AD288="Moderado"),AND(AB288="Alta",AD288="Mayor"),AND(AB288="Muy Alta",AD288="Leve"),AND(AB288="Muy Alta",AD288="Menor"),AND(AB288="Muy Alta",AD288="Moderado"),AND(AB288="Muy Alta",AD288="Mayor")),"Alto",IF(OR(AND(AB288="Muy Baja",AD288="Catastrófico"),AND(AB288="Baja",AD288="Catastrófico"),AND(AB288="Media",AD288="Catastrófico"),AND(AB288="Alta",AD288="Catastrófico"),AND(AB288="Muy Alta",AD288="Catastrófico")),"Extremo","")))),"")</f>
        <v>Moderado</v>
      </c>
      <c r="AG288" s="1587" t="s">
        <v>195</v>
      </c>
      <c r="AH288" s="1541" t="s">
        <v>1031</v>
      </c>
      <c r="AI288" s="1541" t="s">
        <v>1017</v>
      </c>
      <c r="AJ288" s="2226">
        <v>45505</v>
      </c>
      <c r="AK288" s="2227" t="s">
        <v>1018</v>
      </c>
      <c r="AL288" s="2228" t="s">
        <v>1032</v>
      </c>
      <c r="AM288" s="2194" t="s">
        <v>196</v>
      </c>
    </row>
    <row r="289" spans="1:48" ht="13.8" customHeight="1" x14ac:dyDescent="0.3">
      <c r="A289" s="1475"/>
      <c r="B289" s="2229"/>
      <c r="C289" s="2229"/>
      <c r="D289" s="2230"/>
      <c r="E289" s="2231"/>
      <c r="F289" s="1544"/>
      <c r="G289" s="1584"/>
      <c r="H289" s="1562"/>
      <c r="I289" s="1563"/>
      <c r="J289" s="1564"/>
      <c r="K289" s="1565"/>
      <c r="L289" s="1566"/>
      <c r="M289" s="1567"/>
      <c r="N289" s="1566">
        <f>IF(NOT(ISERROR(MATCH(M289,_xlfn.ANCHORARRAY(#REF!),0))),#REF!&amp;"Por favor no seleccionar los criterios de impacto",M289)</f>
        <v>0</v>
      </c>
      <c r="O289" s="1565"/>
      <c r="P289" s="1566"/>
      <c r="Q289" s="1568"/>
      <c r="R289" s="2196"/>
      <c r="S289" s="2019"/>
      <c r="T289" s="2197"/>
      <c r="U289" s="2198"/>
      <c r="V289" s="2198"/>
      <c r="W289" s="2199"/>
      <c r="X289" s="2198"/>
      <c r="Y289" s="2198"/>
      <c r="Z289" s="2198"/>
      <c r="AA289" s="2200"/>
      <c r="AB289" s="2201"/>
      <c r="AC289" s="2199"/>
      <c r="AD289" s="2201"/>
      <c r="AE289" s="2199"/>
      <c r="AF289" s="2202"/>
      <c r="AG289" s="2198"/>
      <c r="AH289" s="1559"/>
      <c r="AI289" s="1559"/>
      <c r="AJ289" s="2232"/>
      <c r="AK289" s="2233"/>
      <c r="AL289" s="2234"/>
      <c r="AM289" s="2206"/>
    </row>
    <row r="290" spans="1:48" ht="13.8" customHeight="1" x14ac:dyDescent="0.3">
      <c r="A290" s="1475"/>
      <c r="B290" s="2229"/>
      <c r="C290" s="2229"/>
      <c r="D290" s="2230"/>
      <c r="E290" s="2225" t="s">
        <v>1033</v>
      </c>
      <c r="F290" s="1544"/>
      <c r="G290" s="1584"/>
      <c r="H290" s="1562"/>
      <c r="I290" s="1563"/>
      <c r="J290" s="1564"/>
      <c r="K290" s="1565"/>
      <c r="L290" s="1566"/>
      <c r="M290" s="1567"/>
      <c r="N290" s="1566">
        <f>IF(NOT(ISERROR(MATCH(M290,_xlfn.ANCHORARRAY(#REF!),0))),#REF!&amp;"Por favor no seleccionar los criterios de impacto",M290)</f>
        <v>0</v>
      </c>
      <c r="O290" s="1565"/>
      <c r="P290" s="1566"/>
      <c r="Q290" s="1568"/>
      <c r="R290" s="2196"/>
      <c r="S290" s="2019"/>
      <c r="T290" s="2197"/>
      <c r="U290" s="2198"/>
      <c r="V290" s="2198"/>
      <c r="W290" s="2199"/>
      <c r="X290" s="2198"/>
      <c r="Y290" s="2198"/>
      <c r="Z290" s="2198"/>
      <c r="AA290" s="2200"/>
      <c r="AB290" s="2201"/>
      <c r="AC290" s="2199"/>
      <c r="AD290" s="2201"/>
      <c r="AE290" s="2199"/>
      <c r="AF290" s="2202"/>
      <c r="AG290" s="2198"/>
      <c r="AH290" s="1559"/>
      <c r="AI290" s="1559"/>
      <c r="AJ290" s="2232"/>
      <c r="AK290" s="2233"/>
      <c r="AL290" s="2234"/>
      <c r="AM290" s="2206"/>
    </row>
    <row r="291" spans="1:48" ht="13.8" customHeight="1" x14ac:dyDescent="0.3">
      <c r="A291" s="1475"/>
      <c r="B291" s="2229"/>
      <c r="C291" s="2229"/>
      <c r="D291" s="2230"/>
      <c r="E291" s="2235"/>
      <c r="F291" s="1544"/>
      <c r="G291" s="1584"/>
      <c r="H291" s="1562"/>
      <c r="I291" s="1563"/>
      <c r="J291" s="1564"/>
      <c r="K291" s="1565"/>
      <c r="L291" s="1566"/>
      <c r="M291" s="1567"/>
      <c r="N291" s="1566">
        <f>IF(NOT(ISERROR(MATCH(M291,_xlfn.ANCHORARRAY(#REF!),0))),#REF!&amp;"Por favor no seleccionar los criterios de impacto",M291)</f>
        <v>0</v>
      </c>
      <c r="O291" s="1565"/>
      <c r="P291" s="1566"/>
      <c r="Q291" s="1568"/>
      <c r="R291" s="2196"/>
      <c r="S291" s="2019"/>
      <c r="T291" s="2197"/>
      <c r="U291" s="2198"/>
      <c r="V291" s="2198"/>
      <c r="W291" s="2199"/>
      <c r="X291" s="2198"/>
      <c r="Y291" s="2198"/>
      <c r="Z291" s="2198"/>
      <c r="AA291" s="2200"/>
      <c r="AB291" s="2201"/>
      <c r="AC291" s="2199"/>
      <c r="AD291" s="2201"/>
      <c r="AE291" s="2199"/>
      <c r="AF291" s="2202"/>
      <c r="AG291" s="2198"/>
      <c r="AH291" s="1559"/>
      <c r="AI291" s="1559"/>
      <c r="AJ291" s="2232"/>
      <c r="AK291" s="2233"/>
      <c r="AL291" s="2234"/>
      <c r="AM291" s="2206"/>
    </row>
    <row r="292" spans="1:48" ht="13.8" customHeight="1" x14ac:dyDescent="0.3">
      <c r="A292" s="1475"/>
      <c r="B292" s="2229"/>
      <c r="C292" s="2229"/>
      <c r="D292" s="2230"/>
      <c r="E292" s="2235"/>
      <c r="F292" s="1544"/>
      <c r="G292" s="1584"/>
      <c r="H292" s="1562"/>
      <c r="I292" s="1563"/>
      <c r="J292" s="1564"/>
      <c r="K292" s="1565"/>
      <c r="L292" s="1566"/>
      <c r="M292" s="1567"/>
      <c r="N292" s="1566">
        <f>IF(NOT(ISERROR(MATCH(M292,_xlfn.ANCHORARRAY(#REF!),0))),#REF!&amp;"Por favor no seleccionar los criterios de impacto",M292)</f>
        <v>0</v>
      </c>
      <c r="O292" s="1565"/>
      <c r="P292" s="1566"/>
      <c r="Q292" s="1568"/>
      <c r="R292" s="2196"/>
      <c r="S292" s="2019"/>
      <c r="T292" s="2197"/>
      <c r="U292" s="2198"/>
      <c r="V292" s="2198"/>
      <c r="W292" s="2199"/>
      <c r="X292" s="2198"/>
      <c r="Y292" s="2198"/>
      <c r="Z292" s="2198"/>
      <c r="AA292" s="2200"/>
      <c r="AB292" s="2201"/>
      <c r="AC292" s="2199"/>
      <c r="AD292" s="2201"/>
      <c r="AE292" s="2199"/>
      <c r="AF292" s="2202"/>
      <c r="AG292" s="2198"/>
      <c r="AH292" s="1559"/>
      <c r="AI292" s="1559"/>
      <c r="AJ292" s="2232"/>
      <c r="AK292" s="2233"/>
      <c r="AL292" s="2234"/>
      <c r="AM292" s="2206"/>
    </row>
    <row r="293" spans="1:48" ht="13.8" customHeight="1" x14ac:dyDescent="0.3">
      <c r="A293" s="2066"/>
      <c r="B293" s="2236"/>
      <c r="C293" s="2236"/>
      <c r="D293" s="2237"/>
      <c r="E293" s="2231"/>
      <c r="F293" s="1544"/>
      <c r="G293" s="1855"/>
      <c r="H293" s="2238"/>
      <c r="I293" s="2239"/>
      <c r="J293" s="2240"/>
      <c r="K293" s="2241"/>
      <c r="L293" s="2242"/>
      <c r="M293" s="2243"/>
      <c r="N293" s="2242">
        <f>IF(NOT(ISERROR(MATCH(M293,_xlfn.ANCHORARRAY(#REF!),0))),#REF!&amp;"Por favor no seleccionar los criterios de impacto",M293)</f>
        <v>0</v>
      </c>
      <c r="O293" s="2241"/>
      <c r="P293" s="2242"/>
      <c r="Q293" s="2244"/>
      <c r="R293" s="1597"/>
      <c r="S293" s="2025"/>
      <c r="T293" s="1598"/>
      <c r="U293" s="1599"/>
      <c r="V293" s="1599"/>
      <c r="W293" s="1600"/>
      <c r="X293" s="1599"/>
      <c r="Y293" s="1599"/>
      <c r="Z293" s="1599"/>
      <c r="AA293" s="1601"/>
      <c r="AB293" s="1602"/>
      <c r="AC293" s="1600"/>
      <c r="AD293" s="1602"/>
      <c r="AE293" s="1600"/>
      <c r="AF293" s="1603"/>
      <c r="AG293" s="1599"/>
      <c r="AH293" s="2208"/>
      <c r="AI293" s="2208"/>
      <c r="AJ293" s="2245"/>
      <c r="AK293" s="2246"/>
      <c r="AL293" s="2247"/>
      <c r="AM293" s="2211"/>
    </row>
    <row r="295" spans="1:48" ht="28.2" x14ac:dyDescent="0.3">
      <c r="A295" s="1659" t="s">
        <v>148</v>
      </c>
      <c r="B295" s="1660"/>
      <c r="C295" s="1660"/>
      <c r="D295" s="1660"/>
      <c r="E295" s="1660"/>
      <c r="F295" s="1660"/>
      <c r="G295" s="1660"/>
      <c r="H295" s="1660"/>
      <c r="I295" s="1660"/>
      <c r="J295" s="1660"/>
      <c r="K295" s="1660"/>
      <c r="L295" s="1660"/>
      <c r="M295" s="1660"/>
      <c r="N295" s="1660"/>
      <c r="O295" s="1660"/>
      <c r="P295" s="1660"/>
      <c r="Q295" s="1660"/>
      <c r="R295" s="1660"/>
      <c r="S295" s="1660"/>
      <c r="T295" s="1660"/>
      <c r="U295" s="1660"/>
      <c r="V295" s="1660"/>
      <c r="W295" s="1660"/>
      <c r="X295" s="1660"/>
      <c r="Y295" s="1660"/>
      <c r="Z295" s="1660"/>
      <c r="AA295" s="1660"/>
      <c r="AB295" s="1660"/>
      <c r="AC295" s="1660"/>
      <c r="AD295" s="1660"/>
      <c r="AE295" s="1660"/>
      <c r="AF295" s="1660"/>
      <c r="AG295" s="1660"/>
      <c r="AH295" s="1660"/>
      <c r="AI295" s="1660"/>
      <c r="AJ295" s="1660"/>
      <c r="AK295" s="1660"/>
      <c r="AL295" s="1660"/>
      <c r="AM295" s="1661"/>
      <c r="AN295" s="2248"/>
      <c r="AO295" s="2248"/>
      <c r="AP295" s="2248"/>
      <c r="AQ295" s="2248"/>
      <c r="AR295" s="2248"/>
      <c r="AS295" s="2248"/>
      <c r="AT295" s="2248"/>
      <c r="AU295" s="2248"/>
      <c r="AV295" s="2248"/>
    </row>
    <row r="296" spans="1:48" ht="28.2" x14ac:dyDescent="0.3">
      <c r="A296" s="1662"/>
      <c r="B296" s="1663"/>
      <c r="C296" s="1663"/>
      <c r="D296" s="1663"/>
      <c r="E296" s="1663"/>
      <c r="F296" s="1663"/>
      <c r="G296" s="1663"/>
      <c r="H296" s="1663"/>
      <c r="I296" s="1663"/>
      <c r="J296" s="1663"/>
      <c r="K296" s="1663"/>
      <c r="L296" s="1663"/>
      <c r="M296" s="1663"/>
      <c r="N296" s="1663"/>
      <c r="O296" s="1663"/>
      <c r="P296" s="1663"/>
      <c r="Q296" s="1663"/>
      <c r="R296" s="1663"/>
      <c r="S296" s="1663"/>
      <c r="T296" s="1663"/>
      <c r="U296" s="1663"/>
      <c r="V296" s="1663"/>
      <c r="W296" s="1663"/>
      <c r="X296" s="1663"/>
      <c r="Y296" s="1663"/>
      <c r="Z296" s="1663"/>
      <c r="AA296" s="1663"/>
      <c r="AB296" s="1663"/>
      <c r="AC296" s="1663"/>
      <c r="AD296" s="1663"/>
      <c r="AE296" s="1663"/>
      <c r="AF296" s="1663"/>
      <c r="AG296" s="1663"/>
      <c r="AH296" s="1663"/>
      <c r="AI296" s="1663"/>
      <c r="AJ296" s="1663"/>
      <c r="AK296" s="1663"/>
      <c r="AL296" s="1663"/>
      <c r="AM296" s="1664"/>
      <c r="AN296" s="2248"/>
      <c r="AO296" s="2248"/>
      <c r="AP296" s="2248"/>
      <c r="AQ296" s="2248"/>
      <c r="AR296" s="2248"/>
      <c r="AS296" s="2248"/>
      <c r="AT296" s="2248"/>
      <c r="AU296" s="2248"/>
      <c r="AV296" s="2248"/>
    </row>
    <row r="297" spans="1:48" ht="14.4" x14ac:dyDescent="0.3">
      <c r="A297" s="1421"/>
      <c r="B297" s="1422"/>
      <c r="C297" s="1421"/>
      <c r="D297" s="1421"/>
      <c r="E297" s="1421"/>
      <c r="F297" s="1423"/>
      <c r="G297" s="1423"/>
      <c r="H297" s="1423"/>
      <c r="I297" s="1424"/>
      <c r="J297" s="1423"/>
      <c r="K297" s="1423"/>
      <c r="L297" s="1423"/>
      <c r="M297" s="1423"/>
      <c r="N297" s="1423"/>
      <c r="O297" s="1423"/>
      <c r="P297" s="1423"/>
      <c r="Q297" s="1423"/>
      <c r="R297" s="1423"/>
      <c r="S297" s="1423"/>
      <c r="T297" s="1423"/>
      <c r="U297" s="1423"/>
      <c r="V297" s="1423"/>
      <c r="W297" s="1423"/>
      <c r="X297" s="1423"/>
      <c r="Y297" s="1423"/>
      <c r="Z297" s="1423"/>
      <c r="AA297" s="1423"/>
      <c r="AB297" s="1423"/>
      <c r="AC297" s="1423"/>
      <c r="AD297" s="1423"/>
      <c r="AE297" s="1423"/>
      <c r="AF297" s="1423"/>
      <c r="AG297" s="1423"/>
      <c r="AH297" s="1423"/>
      <c r="AI297" s="1423"/>
      <c r="AJ297" s="1423"/>
      <c r="AK297" s="1423"/>
      <c r="AL297" s="1423"/>
      <c r="AM297" s="1423"/>
      <c r="AN297" s="2249"/>
      <c r="AO297" s="2249"/>
      <c r="AP297" s="2249"/>
      <c r="AQ297" s="2249"/>
      <c r="AR297" s="2249"/>
      <c r="AS297" s="2249"/>
      <c r="AT297" s="2249"/>
      <c r="AU297" s="2249"/>
      <c r="AV297" s="2249"/>
    </row>
    <row r="298" spans="1:48" ht="23.4" x14ac:dyDescent="0.3">
      <c r="A298" s="1425" t="s">
        <v>149</v>
      </c>
      <c r="B298" s="1426"/>
      <c r="C298" s="1499" t="s">
        <v>545</v>
      </c>
      <c r="D298" s="1499"/>
      <c r="E298" s="1499"/>
      <c r="F298" s="1499"/>
      <c r="G298" s="1499"/>
      <c r="H298" s="1499"/>
      <c r="I298" s="1499"/>
      <c r="J298" s="1499"/>
      <c r="K298" s="1499"/>
      <c r="L298" s="1499"/>
      <c r="M298" s="1499"/>
      <c r="N298" s="1499"/>
      <c r="O298" s="1499"/>
      <c r="P298" s="1499"/>
      <c r="Q298" s="1499"/>
      <c r="R298" s="1499"/>
      <c r="S298" s="1499"/>
      <c r="T298" s="1499"/>
      <c r="U298" s="1499"/>
      <c r="V298" s="1499"/>
      <c r="W298" s="1499"/>
      <c r="X298" s="1499"/>
      <c r="Y298" s="1499"/>
      <c r="Z298" s="1499"/>
      <c r="AA298" s="1499"/>
      <c r="AB298" s="1499"/>
      <c r="AC298" s="1499"/>
      <c r="AD298" s="1499"/>
      <c r="AE298" s="1499"/>
      <c r="AF298" s="1499"/>
      <c r="AG298" s="1499"/>
      <c r="AH298" s="1499"/>
      <c r="AI298" s="1499"/>
      <c r="AJ298" s="1499"/>
      <c r="AK298" s="1499"/>
      <c r="AL298" s="1499"/>
      <c r="AM298" s="1499"/>
      <c r="AN298" s="2250"/>
      <c r="AO298" s="2250"/>
      <c r="AP298" s="2250"/>
      <c r="AQ298" s="2250"/>
      <c r="AR298" s="2250"/>
      <c r="AS298" s="2250"/>
      <c r="AT298" s="2250"/>
      <c r="AU298" s="2250"/>
      <c r="AV298" s="2250"/>
    </row>
    <row r="299" spans="1:48" ht="23.4" x14ac:dyDescent="0.3">
      <c r="A299" s="1425" t="s">
        <v>150</v>
      </c>
      <c r="B299" s="1426"/>
      <c r="C299" s="1500" t="s">
        <v>546</v>
      </c>
      <c r="D299" s="1500"/>
      <c r="E299" s="1500"/>
      <c r="F299" s="1500"/>
      <c r="G299" s="1500"/>
      <c r="H299" s="1500"/>
      <c r="I299" s="1500"/>
      <c r="J299" s="1500"/>
      <c r="K299" s="1500"/>
      <c r="L299" s="1500"/>
      <c r="M299" s="1500"/>
      <c r="N299" s="1500"/>
      <c r="O299" s="1500"/>
      <c r="P299" s="1500"/>
      <c r="Q299" s="1500"/>
      <c r="R299" s="1500"/>
      <c r="S299" s="1500"/>
      <c r="T299" s="1500"/>
      <c r="U299" s="1500"/>
      <c r="V299" s="1500"/>
      <c r="W299" s="1500"/>
      <c r="X299" s="1500"/>
      <c r="Y299" s="1500"/>
      <c r="Z299" s="1500"/>
      <c r="AA299" s="1500"/>
      <c r="AB299" s="1500"/>
      <c r="AC299" s="1500"/>
      <c r="AD299" s="1500"/>
      <c r="AE299" s="1500"/>
      <c r="AF299" s="1500"/>
      <c r="AG299" s="1500"/>
      <c r="AH299" s="1500"/>
      <c r="AI299" s="1500"/>
      <c r="AJ299" s="1500"/>
      <c r="AK299" s="1500"/>
      <c r="AL299" s="1500"/>
      <c r="AM299" s="1500"/>
      <c r="AN299" s="2251"/>
      <c r="AO299" s="2251"/>
      <c r="AP299" s="2251"/>
      <c r="AQ299" s="2251"/>
      <c r="AR299" s="2251"/>
      <c r="AS299" s="2251"/>
      <c r="AT299" s="2251"/>
      <c r="AU299" s="2251"/>
      <c r="AV299" s="2251"/>
    </row>
    <row r="300" spans="1:48" ht="23.4" x14ac:dyDescent="0.3">
      <c r="A300" s="1425" t="s">
        <v>151</v>
      </c>
      <c r="B300" s="1426"/>
      <c r="C300" s="1500" t="s">
        <v>547</v>
      </c>
      <c r="D300" s="1500"/>
      <c r="E300" s="1500"/>
      <c r="F300" s="1500"/>
      <c r="G300" s="1500"/>
      <c r="H300" s="1500"/>
      <c r="I300" s="1500"/>
      <c r="J300" s="1500"/>
      <c r="K300" s="1500"/>
      <c r="L300" s="1500"/>
      <c r="M300" s="1500"/>
      <c r="N300" s="1500"/>
      <c r="O300" s="1500"/>
      <c r="P300" s="1500"/>
      <c r="Q300" s="1500"/>
      <c r="R300" s="1500"/>
      <c r="S300" s="1500"/>
      <c r="T300" s="1500"/>
      <c r="U300" s="1500"/>
      <c r="V300" s="1500"/>
      <c r="W300" s="1500"/>
      <c r="X300" s="1500"/>
      <c r="Y300" s="1500"/>
      <c r="Z300" s="1500"/>
      <c r="AA300" s="1500"/>
      <c r="AB300" s="1500"/>
      <c r="AC300" s="1500"/>
      <c r="AD300" s="1500"/>
      <c r="AE300" s="1500"/>
      <c r="AF300" s="1500"/>
      <c r="AG300" s="1500"/>
      <c r="AH300" s="1500"/>
      <c r="AI300" s="1500"/>
      <c r="AJ300" s="1500"/>
      <c r="AK300" s="1500"/>
      <c r="AL300" s="1500"/>
      <c r="AM300" s="1500"/>
      <c r="AN300" s="2251"/>
      <c r="AO300" s="2251"/>
      <c r="AP300" s="2251"/>
      <c r="AQ300" s="2251"/>
      <c r="AR300" s="2251"/>
      <c r="AS300" s="2251"/>
      <c r="AT300" s="2251"/>
      <c r="AU300" s="2251"/>
      <c r="AV300" s="2251"/>
    </row>
    <row r="301" spans="1:48" x14ac:dyDescent="0.3">
      <c r="A301" s="1429" t="s">
        <v>152</v>
      </c>
      <c r="B301" s="1430"/>
      <c r="C301" s="1431"/>
      <c r="D301" s="1431"/>
      <c r="E301" s="1431"/>
      <c r="F301" s="1431"/>
      <c r="G301" s="1431"/>
      <c r="H301" s="1431"/>
      <c r="I301" s="1431"/>
      <c r="J301" s="1432"/>
      <c r="K301" s="1433" t="s">
        <v>153</v>
      </c>
      <c r="L301" s="1431"/>
      <c r="M301" s="1431"/>
      <c r="N301" s="1431"/>
      <c r="O301" s="1431"/>
      <c r="P301" s="1431"/>
      <c r="Q301" s="1432"/>
      <c r="R301" s="1433" t="s">
        <v>154</v>
      </c>
      <c r="S301" s="1431"/>
      <c r="T301" s="1431"/>
      <c r="U301" s="1431"/>
      <c r="V301" s="1431"/>
      <c r="W301" s="1431"/>
      <c r="X301" s="1431"/>
      <c r="Y301" s="1431"/>
      <c r="Z301" s="1432"/>
      <c r="AA301" s="1433" t="s">
        <v>155</v>
      </c>
      <c r="AB301" s="1431"/>
      <c r="AC301" s="1431"/>
      <c r="AD301" s="1431"/>
      <c r="AE301" s="1431"/>
      <c r="AF301" s="1431"/>
      <c r="AG301" s="1432"/>
      <c r="AH301" s="1433" t="s">
        <v>156</v>
      </c>
      <c r="AI301" s="1431"/>
      <c r="AJ301" s="1431"/>
      <c r="AK301" s="1431"/>
      <c r="AL301" s="1431"/>
      <c r="AM301" s="1432"/>
      <c r="AN301" s="2252" t="s">
        <v>156</v>
      </c>
      <c r="AO301" s="2253"/>
      <c r="AP301" s="2253"/>
      <c r="AQ301" s="2253"/>
      <c r="AR301" s="2253"/>
      <c r="AS301" s="2254"/>
      <c r="AT301" s="2255"/>
      <c r="AU301" s="2255"/>
      <c r="AV301" s="2255"/>
    </row>
    <row r="302" spans="1:48" x14ac:dyDescent="0.3">
      <c r="A302" s="1434" t="s">
        <v>157</v>
      </c>
      <c r="B302" s="1435" t="s">
        <v>141</v>
      </c>
      <c r="C302" s="1436" t="s">
        <v>158</v>
      </c>
      <c r="D302" s="1436" t="s">
        <v>159</v>
      </c>
      <c r="E302" s="1437" t="s">
        <v>160</v>
      </c>
      <c r="F302" s="1438" t="s">
        <v>60</v>
      </c>
      <c r="G302" s="1439"/>
      <c r="H302" s="1439"/>
      <c r="I302" s="1437" t="s">
        <v>161</v>
      </c>
      <c r="J302" s="1436" t="s">
        <v>162</v>
      </c>
      <c r="K302" s="1440" t="s">
        <v>163</v>
      </c>
      <c r="L302" s="1441" t="s">
        <v>164</v>
      </c>
      <c r="M302" s="1437" t="s">
        <v>165</v>
      </c>
      <c r="N302" s="1437" t="s">
        <v>166</v>
      </c>
      <c r="O302" s="1442" t="s">
        <v>167</v>
      </c>
      <c r="P302" s="1441" t="s">
        <v>164</v>
      </c>
      <c r="Q302" s="1436" t="s">
        <v>168</v>
      </c>
      <c r="R302" s="1443" t="s">
        <v>169</v>
      </c>
      <c r="S302" s="1444" t="s">
        <v>170</v>
      </c>
      <c r="T302" s="1437" t="s">
        <v>171</v>
      </c>
      <c r="U302" s="1444" t="s">
        <v>172</v>
      </c>
      <c r="V302" s="1444"/>
      <c r="W302" s="1444"/>
      <c r="X302" s="1444"/>
      <c r="Y302" s="1444"/>
      <c r="Z302" s="1444"/>
      <c r="AA302" s="1445" t="s">
        <v>173</v>
      </c>
      <c r="AB302" s="1445" t="s">
        <v>174</v>
      </c>
      <c r="AC302" s="1445" t="s">
        <v>164</v>
      </c>
      <c r="AD302" s="1445" t="s">
        <v>175</v>
      </c>
      <c r="AE302" s="1445" t="s">
        <v>164</v>
      </c>
      <c r="AF302" s="1445" t="s">
        <v>176</v>
      </c>
      <c r="AG302" s="1443" t="s">
        <v>177</v>
      </c>
      <c r="AH302" s="1444" t="s">
        <v>156</v>
      </c>
      <c r="AI302" s="1444" t="s">
        <v>142</v>
      </c>
      <c r="AJ302" s="1444" t="s">
        <v>178</v>
      </c>
      <c r="AK302" s="1444" t="s">
        <v>179</v>
      </c>
      <c r="AL302" s="1444" t="s">
        <v>180</v>
      </c>
      <c r="AM302" s="1444" t="s">
        <v>181</v>
      </c>
      <c r="AN302" s="2256" t="s">
        <v>156</v>
      </c>
      <c r="AO302" s="2256" t="s">
        <v>142</v>
      </c>
      <c r="AP302" s="2256" t="s">
        <v>178</v>
      </c>
      <c r="AQ302" s="2256" t="s">
        <v>179</v>
      </c>
      <c r="AR302" s="2256" t="s">
        <v>180</v>
      </c>
      <c r="AS302" s="2256" t="s">
        <v>181</v>
      </c>
      <c r="AT302" s="2256" t="s">
        <v>179</v>
      </c>
      <c r="AU302" s="2256" t="s">
        <v>180</v>
      </c>
      <c r="AV302" s="2256" t="s">
        <v>181</v>
      </c>
    </row>
    <row r="303" spans="1:48" ht="70.2" x14ac:dyDescent="0.3">
      <c r="A303" s="1446"/>
      <c r="B303" s="1435"/>
      <c r="C303" s="1444"/>
      <c r="D303" s="1444"/>
      <c r="E303" s="1440"/>
      <c r="F303" s="1447"/>
      <c r="G303" s="1439" t="s">
        <v>201</v>
      </c>
      <c r="H303" s="1439" t="s">
        <v>182</v>
      </c>
      <c r="I303" s="1436"/>
      <c r="J303" s="1444"/>
      <c r="K303" s="1436"/>
      <c r="L303" s="1433"/>
      <c r="M303" s="1436"/>
      <c r="N303" s="1436"/>
      <c r="O303" s="1433"/>
      <c r="P303" s="1433"/>
      <c r="Q303" s="1444"/>
      <c r="R303" s="1448"/>
      <c r="S303" s="1444"/>
      <c r="T303" s="1436"/>
      <c r="U303" s="1449" t="s">
        <v>183</v>
      </c>
      <c r="V303" s="1449" t="s">
        <v>184</v>
      </c>
      <c r="W303" s="1449" t="s">
        <v>185</v>
      </c>
      <c r="X303" s="1449" t="s">
        <v>186</v>
      </c>
      <c r="Y303" s="1449" t="s">
        <v>187</v>
      </c>
      <c r="Z303" s="1449" t="s">
        <v>188</v>
      </c>
      <c r="AA303" s="1445"/>
      <c r="AB303" s="1445"/>
      <c r="AC303" s="1445"/>
      <c r="AD303" s="1445"/>
      <c r="AE303" s="1445"/>
      <c r="AF303" s="1445"/>
      <c r="AG303" s="1448"/>
      <c r="AH303" s="1444"/>
      <c r="AI303" s="1444"/>
      <c r="AJ303" s="1444"/>
      <c r="AK303" s="1444"/>
      <c r="AL303" s="1444"/>
      <c r="AM303" s="1444"/>
      <c r="AN303" s="2256"/>
      <c r="AO303" s="2256"/>
      <c r="AP303" s="2256"/>
      <c r="AQ303" s="2256"/>
      <c r="AR303" s="2256"/>
      <c r="AS303" s="2256"/>
      <c r="AT303" s="2256"/>
      <c r="AU303" s="2256"/>
      <c r="AV303" s="2256"/>
    </row>
    <row r="304" spans="1:48" ht="124.2" x14ac:dyDescent="0.3">
      <c r="A304" s="1450">
        <v>1</v>
      </c>
      <c r="B304" s="1501" t="s">
        <v>199</v>
      </c>
      <c r="C304" s="1501" t="s">
        <v>548</v>
      </c>
      <c r="D304" s="1502" t="s">
        <v>549</v>
      </c>
      <c r="E304" s="2257" t="s">
        <v>550</v>
      </c>
      <c r="F304" s="2258" t="s">
        <v>551</v>
      </c>
      <c r="G304" s="1578" t="s">
        <v>202</v>
      </c>
      <c r="H304" s="1504" t="s">
        <v>552</v>
      </c>
      <c r="I304" s="1506" t="s">
        <v>190</v>
      </c>
      <c r="J304" s="1507">
        <v>36</v>
      </c>
      <c r="K304" s="1508" t="str">
        <f>IF(J304&lt;=0,"",IF(J304&lt;=2,"Muy Baja",IF(J304&lt;=24,"Baja",IF(J304&lt;=500,"Media",IF(J304&lt;=5000,"Alta","Muy Alta")))))</f>
        <v>Media</v>
      </c>
      <c r="L304" s="1509">
        <f>IF(K304="","",IF(K304="Muy Baja",0.2,IF(K304="Baja",0.4,IF(K304="Media",0.6,IF(K304="Alta",0.8,IF(K304="Muy Alta",1,))))))</f>
        <v>0.6</v>
      </c>
      <c r="M304" s="1510" t="s">
        <v>214</v>
      </c>
      <c r="N304" s="1509" t="str">
        <f>IF(NOT(ISERROR(MATCH(M304,'[36]Tabla Impacto'!$B$221:$B$223,0))),'[36]Tabla Impacto'!$F$223&amp;"Por favor no seleccionar los criterios de impacto(Afectación Económica o presupuestal y Pérdida Reputacional)",M304)</f>
        <v xml:space="preserve">     El riesgo afecta la imagen de de la entidad con efecto publicitario sostenido a nivel de sector administrativo, nivel departamental o municipal</v>
      </c>
      <c r="O304" s="1508" t="str">
        <f>IF(OR(N304='[36]Tabla Impacto'!$C$11,N304='[36]Tabla Impacto'!$D$11),"Leve",IF(OR(N304='[36]Tabla Impacto'!$C$12,N304='[36]Tabla Impacto'!$D$12),"Menor",IF(OR(N304='[36]Tabla Impacto'!$C$13,N304='[36]Tabla Impacto'!$D$13),"Moderado",IF(OR(N304='[36]Tabla Impacto'!$C$14,N304='[36]Tabla Impacto'!$D$14),"Mayor",IF(OR(N304='[36]Tabla Impacto'!$C$15,N304='[36]Tabla Impacto'!$D$15),"Catastrófico","")))))</f>
        <v>Mayor</v>
      </c>
      <c r="P304" s="1509">
        <f>IF(O304="","",IF(O304="Leve",0.2,IF(O304="Menor",0.4,IF(O304="Moderado",0.6,IF(O304="Mayor",0.8,IF(O304="Catastrófico",1,))))))</f>
        <v>0.8</v>
      </c>
      <c r="Q304" s="1511" t="str">
        <f>IF(OR(AND(K304="Muy Baja",O304="Leve"),AND(K304="Muy Baja",O304="Menor"),AND(K304="Baja",O304="Leve")),"Bajo",IF(OR(AND(K304="Muy baja",O304="Moderado"),AND(K304="Baja",O304="Menor"),AND(K304="Baja",O304="Moderado"),AND(K304="Media",O304="Leve"),AND(K304="Media",O304="Menor"),AND(K304="Media",O304="Moderado"),AND(K304="Alta",O304="Leve"),AND(K304="Alta",O304="Menor")),"Moderado",IF(OR(AND(K304="Muy Baja",O304="Mayor"),AND(K304="Baja",O304="Mayor"),AND(K304="Media",O304="Mayor"),AND(K304="Alta",O304="Moderado"),AND(K304="Alta",O304="Mayor"),AND(K304="Muy Alta",O304="Leve"),AND(K304="Muy Alta",O304="Menor"),AND(K304="Muy Alta",O304="Moderado"),AND(K304="Muy Alta",O304="Mayor")),"Alto",IF(OR(AND(K304="Muy Baja",O304="Catastrófico"),AND(K304="Baja",O304="Catastrófico"),AND(K304="Media",O304="Catastrófico"),AND(K304="Alta",O304="Catastrófico"),AND(K304="Muy Alta",O304="Catastrófico")),"Extremo",""))))</f>
        <v>Alto</v>
      </c>
      <c r="R304" s="1512">
        <v>1</v>
      </c>
      <c r="S304" s="2259" t="s">
        <v>1034</v>
      </c>
      <c r="T304" s="1514" t="str">
        <f>IF(OR(U304="Preventivo",U304="Detectivo"),"Probabilidad",IF(U304="Correctivo","Impacto",""))</f>
        <v>Impacto</v>
      </c>
      <c r="U304" s="1515" t="s">
        <v>379</v>
      </c>
      <c r="V304" s="1515" t="s">
        <v>191</v>
      </c>
      <c r="W304" s="1516" t="str">
        <f>IF(AND(U304="Preventivo",V304="Automático"),"50%",IF(AND(U304="Preventivo",V304="Manual"),"40%",IF(AND(U304="Detectivo",V304="Automático"),"40%",IF(AND(U304="Detectivo",V304="Manual"),"30%",IF(AND(U304="Correctivo",V304="Automático"),"35%",IF(AND(U304="Correctivo",V304="Manual"),"25%",""))))))</f>
        <v>25%</v>
      </c>
      <c r="X304" s="1515" t="s">
        <v>198</v>
      </c>
      <c r="Y304" s="1515" t="s">
        <v>193</v>
      </c>
      <c r="Z304" s="1515" t="s">
        <v>194</v>
      </c>
      <c r="AA304" s="1517">
        <f>IFERROR(IF(T304="Probabilidad",(L304-(+L304*W304)),IF(T304="Impacto",L304,"")),"")</f>
        <v>0.6</v>
      </c>
      <c r="AB304" s="1518" t="str">
        <f>IFERROR(IF(AA304="","",IF(AA304&lt;=0.2,"Muy Baja",IF(AA304&lt;=0.4,"Baja",IF(AA304&lt;=0.6,"Media",IF(AA304&lt;=0.8,"Alta","Muy Alta"))))),"")</f>
        <v>Media</v>
      </c>
      <c r="AC304" s="1519">
        <f>+AA304</f>
        <v>0.6</v>
      </c>
      <c r="AD304" s="1518" t="str">
        <f>IFERROR(IF(AE304="","",IF(AE304&lt;=0.2,"Leve",IF(AE304&lt;=0.4,"Menor",IF(AE304&lt;=0.6,"Moderado",IF(AE304&lt;=0.8,"Mayor","Catastrófico"))))),"")</f>
        <v>Moderado</v>
      </c>
      <c r="AE304" s="1519">
        <f>IFERROR(IF(T304="Impacto",(P304-(+P304*W304)),IF(T304="Probabilidad",P304,"")),"")</f>
        <v>0.60000000000000009</v>
      </c>
      <c r="AF304" s="1520" t="str">
        <f>IFERROR(IF(OR(AND(AB304="Muy Baja",AD304="Leve"),AND(AB304="Muy Baja",AD304="Menor"),AND(AB304="Baja",AD304="Leve")),"Bajo",IF(OR(AND(AB304="Muy baja",AD304="Moderado"),AND(AB304="Baja",AD304="Menor"),AND(AB304="Baja",AD304="Moderado"),AND(AB304="Media",AD304="Leve"),AND(AB304="Media",AD304="Menor"),AND(AB304="Media",AD304="Moderado"),AND(AB304="Alta",AD304="Leve"),AND(AB304="Alta",AD304="Menor")),"Moderado",IF(OR(AND(AB304="Muy Baja",AD304="Mayor"),AND(AB304="Baja",AD304="Mayor"),AND(AB304="Media",AD304="Mayor"),AND(AB304="Alta",AD304="Moderado"),AND(AB304="Alta",AD304="Mayor"),AND(AB304="Muy Alta",AD304="Leve"),AND(AB304="Muy Alta",AD304="Menor"),AND(AB304="Muy Alta",AD304="Moderado"),AND(AB304="Muy Alta",AD304="Mayor")),"Alto",IF(OR(AND(AB304="Muy Baja",AD304="Catastrófico"),AND(AB304="Baja",AD304="Catastrófico"),AND(AB304="Media",AD304="Catastrófico"),AND(AB304="Alta",AD304="Catastrófico"),AND(AB304="Muy Alta",AD304="Catastrófico")),"Extremo","")))),"")</f>
        <v>Moderado</v>
      </c>
      <c r="AG304" s="1580"/>
      <c r="AH304" s="2260" t="s">
        <v>1035</v>
      </c>
      <c r="AI304" s="2260" t="s">
        <v>555</v>
      </c>
      <c r="AJ304" s="2260" t="s">
        <v>1036</v>
      </c>
      <c r="AK304" s="2261">
        <v>45473</v>
      </c>
      <c r="AL304" s="2260" t="s">
        <v>557</v>
      </c>
      <c r="AM304" s="2262" t="s">
        <v>196</v>
      </c>
      <c r="AN304" s="2263" t="s">
        <v>1035</v>
      </c>
      <c r="AO304" s="2263" t="s">
        <v>555</v>
      </c>
      <c r="AP304" s="2263" t="s">
        <v>1036</v>
      </c>
      <c r="AQ304" s="2264">
        <v>45595</v>
      </c>
      <c r="AR304" s="2263" t="s">
        <v>1037</v>
      </c>
      <c r="AS304" s="2265" t="s">
        <v>196</v>
      </c>
      <c r="AT304" s="2266">
        <v>45656</v>
      </c>
      <c r="AU304" s="2267" t="s">
        <v>1038</v>
      </c>
      <c r="AV304" s="2268" t="s">
        <v>196</v>
      </c>
    </row>
    <row r="305" spans="1:48" ht="124.2" x14ac:dyDescent="0.3">
      <c r="A305" s="1475"/>
      <c r="B305" s="1525"/>
      <c r="C305" s="1525"/>
      <c r="D305" s="1526"/>
      <c r="E305" s="2257" t="s">
        <v>558</v>
      </c>
      <c r="F305" s="2258"/>
      <c r="G305" s="1584"/>
      <c r="H305" s="1504"/>
      <c r="I305" s="1528"/>
      <c r="J305" s="1529"/>
      <c r="K305" s="1530"/>
      <c r="L305" s="1531"/>
      <c r="M305" s="1532"/>
      <c r="N305" s="1531">
        <f>IF(NOT(ISERROR(MATCH(M305,_xlfn.ANCHORARRAY(F315),0))),L317&amp;"Por favor no seleccionar los criterios de impacto",M305)</f>
        <v>0</v>
      </c>
      <c r="O305" s="1530"/>
      <c r="P305" s="1531"/>
      <c r="Q305" s="1533"/>
      <c r="R305" s="1512">
        <v>2</v>
      </c>
      <c r="S305" s="2259" t="s">
        <v>559</v>
      </c>
      <c r="T305" s="1514" t="str">
        <f>IF(OR(U305="Preventivo",U305="Detectivo"),"Probabilidad",IF(U305="Correctivo","Impacto",""))</f>
        <v>Impacto</v>
      </c>
      <c r="U305" s="1515" t="s">
        <v>379</v>
      </c>
      <c r="V305" s="1515" t="s">
        <v>191</v>
      </c>
      <c r="W305" s="1516" t="str">
        <f t="shared" ref="W305:W308" si="156">IF(AND(U305="Preventivo",V305="Automático"),"50%",IF(AND(U305="Preventivo",V305="Manual"),"40%",IF(AND(U305="Detectivo",V305="Automático"),"40%",IF(AND(U305="Detectivo",V305="Manual"),"30%",IF(AND(U305="Correctivo",V305="Automático"),"35%",IF(AND(U305="Correctivo",V305="Manual"),"25%",""))))))</f>
        <v>25%</v>
      </c>
      <c r="X305" s="1515" t="s">
        <v>198</v>
      </c>
      <c r="Y305" s="1515" t="s">
        <v>193</v>
      </c>
      <c r="Z305" s="1515" t="s">
        <v>194</v>
      </c>
      <c r="AA305" s="1517">
        <f>IFERROR(IF(AND(T304="Probabilidad",T305="Probabilidad"),(AC304-(+AC304*W305)),IF(AND(T304="Impacto",T305="Probabilidad"),(L304-(+L304*W305)),IF(T305="Impacto",AC304,""))),"")</f>
        <v>0.6</v>
      </c>
      <c r="AB305" s="1518" t="str">
        <f t="shared" ref="AB305:AB308" si="157">IFERROR(IF(AA305="","",IF(AA305&lt;=0.2,"Muy Baja",IF(AA305&lt;=0.4,"Baja",IF(AA305&lt;=0.6,"Media",IF(AA305&lt;=0.8,"Alta","Muy Alta"))))),"")</f>
        <v>Media</v>
      </c>
      <c r="AC305" s="1519">
        <f>+AA305</f>
        <v>0.6</v>
      </c>
      <c r="AD305" s="1518" t="str">
        <f t="shared" ref="AD305:AD308" si="158">IFERROR(IF(AE305="","",IF(AE305&lt;=0.2,"Leve",IF(AE305&lt;=0.4,"Menor",IF(AE305&lt;=0.6,"Moderado",IF(AE305&lt;=0.8,"Mayor","Catastrófico"))))),"")</f>
        <v>Moderado</v>
      </c>
      <c r="AE305" s="1519">
        <f>IFERROR(IF(AND(T304="Impacto",T305="Impacto"),(AE304-(+AE304*W305)),IF(AND(T304="Probabilidad",T305="Impacto"),(P304-(+P304*W305)),IF(T305="Probabilidad",AE304,""))),"")</f>
        <v>0.45000000000000007</v>
      </c>
      <c r="AF305" s="1520" t="str">
        <f t="shared" ref="AF305:AF308" si="159">IFERROR(IF(OR(AND(AB305="Muy Baja",AD305="Leve"),AND(AB305="Muy Baja",AD305="Menor"),AND(AB305="Baja",AD305="Leve")),"Bajo",IF(OR(AND(AB305="Muy baja",AD305="Moderado"),AND(AB305="Baja",AD305="Menor"),AND(AB305="Baja",AD305="Moderado"),AND(AB305="Media",AD305="Leve"),AND(AB305="Media",AD305="Menor"),AND(AB305="Media",AD305="Moderado"),AND(AB305="Alta",AD305="Leve"),AND(AB305="Alta",AD305="Menor")),"Moderado",IF(OR(AND(AB305="Muy Baja",AD305="Mayor"),AND(AB305="Baja",AD305="Mayor"),AND(AB305="Media",AD305="Mayor"),AND(AB305="Alta",AD305="Moderado"),AND(AB305="Alta",AD305="Mayor"),AND(AB305="Muy Alta",AD305="Leve"),AND(AB305="Muy Alta",AD305="Menor"),AND(AB305="Muy Alta",AD305="Moderado"),AND(AB305="Muy Alta",AD305="Mayor")),"Alto",IF(OR(AND(AB305="Muy Baja",AD305="Catastrófico"),AND(AB305="Baja",AD305="Catastrófico"),AND(AB305="Media",AD305="Catastrófico"),AND(AB305="Alta",AD305="Catastrófico"),AND(AB305="Muy Alta",AD305="Catastrófico")),"Extremo","")))),"")</f>
        <v>Moderado</v>
      </c>
      <c r="AG305" s="1580"/>
      <c r="AH305" s="2269" t="s">
        <v>1039</v>
      </c>
      <c r="AI305" s="2260" t="s">
        <v>561</v>
      </c>
      <c r="AJ305" s="2260" t="s">
        <v>1040</v>
      </c>
      <c r="AK305" s="2261">
        <v>45565</v>
      </c>
      <c r="AL305" s="2260" t="s">
        <v>1041</v>
      </c>
      <c r="AM305" s="2262" t="s">
        <v>196</v>
      </c>
      <c r="AN305" s="2270" t="s">
        <v>1042</v>
      </c>
      <c r="AO305" s="2263" t="s">
        <v>561</v>
      </c>
      <c r="AP305" s="2263" t="s">
        <v>1040</v>
      </c>
      <c r="AQ305" s="2264">
        <v>45595</v>
      </c>
      <c r="AR305" s="2263" t="s">
        <v>1043</v>
      </c>
      <c r="AS305" s="2265" t="s">
        <v>196</v>
      </c>
      <c r="AT305" s="2266">
        <v>45656</v>
      </c>
      <c r="AU305" s="2267" t="s">
        <v>1044</v>
      </c>
      <c r="AV305" s="2268" t="s">
        <v>196</v>
      </c>
    </row>
    <row r="306" spans="1:48" ht="151.80000000000001" x14ac:dyDescent="0.3">
      <c r="A306" s="1475"/>
      <c r="B306" s="1525"/>
      <c r="C306" s="1525"/>
      <c r="D306" s="1526"/>
      <c r="E306" s="2257" t="s">
        <v>563</v>
      </c>
      <c r="F306" s="2258"/>
      <c r="G306" s="1584"/>
      <c r="H306" s="1504"/>
      <c r="I306" s="1528"/>
      <c r="J306" s="1529"/>
      <c r="K306" s="1530"/>
      <c r="L306" s="1531"/>
      <c r="M306" s="1532"/>
      <c r="N306" s="1531">
        <f>IF(NOT(ISERROR(MATCH(M306,_xlfn.ANCHORARRAY(F316),0))),L318&amp;"Por favor no seleccionar los criterios de impacto",M306)</f>
        <v>0</v>
      </c>
      <c r="O306" s="1530"/>
      <c r="P306" s="1531"/>
      <c r="Q306" s="1533"/>
      <c r="R306" s="1512">
        <v>3</v>
      </c>
      <c r="S306" s="2271" t="s">
        <v>564</v>
      </c>
      <c r="T306" s="1514" t="s">
        <v>141</v>
      </c>
      <c r="U306" s="1515" t="s">
        <v>379</v>
      </c>
      <c r="V306" s="1515" t="s">
        <v>191</v>
      </c>
      <c r="W306" s="1516" t="str">
        <f t="shared" si="156"/>
        <v>25%</v>
      </c>
      <c r="X306" s="1515" t="s">
        <v>192</v>
      </c>
      <c r="Y306" s="1515" t="s">
        <v>471</v>
      </c>
      <c r="Z306" s="1515" t="s">
        <v>485</v>
      </c>
      <c r="AA306" s="1517">
        <f>IFERROR(IF(AND(T305="Probabilidad",T306="Probabilidad"),(AC305-(+AC305*W306)),IF(AND(T305="Impacto",T306="Probabilidad"),(AC304-(+AC304*W306)),IF(T306="Impacto",AC305,""))),"")</f>
        <v>0.6</v>
      </c>
      <c r="AB306" s="1518" t="str">
        <f t="shared" si="157"/>
        <v>Media</v>
      </c>
      <c r="AC306" s="1519">
        <f t="shared" ref="AC306:AC308" si="160">+AA306</f>
        <v>0.6</v>
      </c>
      <c r="AD306" s="1518" t="str">
        <f t="shared" si="158"/>
        <v>Menor</v>
      </c>
      <c r="AE306" s="1519">
        <f t="shared" ref="AE306:AE307" si="161">IFERROR(IF(AND(T305="Impacto",T306="Impacto"),(AE305-(+AE305*W306)),IF(AND(T305="Probabilidad",T306="Impacto"),(AE304-(+AE304*W306)),IF(T306="Probabilidad",AE305,""))),"")</f>
        <v>0.33750000000000002</v>
      </c>
      <c r="AF306" s="1520" t="str">
        <f t="shared" si="159"/>
        <v>Moderado</v>
      </c>
      <c r="AG306" s="1580"/>
      <c r="AH306" s="1934" t="s">
        <v>1045</v>
      </c>
      <c r="AI306" s="2269" t="s">
        <v>561</v>
      </c>
      <c r="AJ306" s="2272" t="s">
        <v>1046</v>
      </c>
      <c r="AK306" s="2261">
        <v>45565</v>
      </c>
      <c r="AL306" s="2269" t="s">
        <v>1047</v>
      </c>
      <c r="AM306" s="2262" t="s">
        <v>196</v>
      </c>
      <c r="AN306" s="2273" t="s">
        <v>1045</v>
      </c>
      <c r="AO306" s="2270" t="s">
        <v>561</v>
      </c>
      <c r="AP306" s="2274" t="s">
        <v>1046</v>
      </c>
      <c r="AQ306" s="2264">
        <v>45595</v>
      </c>
      <c r="AR306" s="2270" t="s">
        <v>1048</v>
      </c>
      <c r="AS306" s="2265" t="s">
        <v>196</v>
      </c>
      <c r="AT306" s="2266">
        <v>45656</v>
      </c>
      <c r="AU306" s="2270" t="s">
        <v>1049</v>
      </c>
      <c r="AV306" s="2268" t="s">
        <v>196</v>
      </c>
    </row>
    <row r="307" spans="1:48" ht="76.8" x14ac:dyDescent="0.3">
      <c r="A307" s="1475"/>
      <c r="B307" s="1525"/>
      <c r="C307" s="1525"/>
      <c r="D307" s="1526"/>
      <c r="E307" s="2275"/>
      <c r="F307" s="2258"/>
      <c r="G307" s="1584"/>
      <c r="H307" s="1504"/>
      <c r="I307" s="1528"/>
      <c r="J307" s="1529"/>
      <c r="K307" s="1530"/>
      <c r="L307" s="1531"/>
      <c r="M307" s="1532"/>
      <c r="N307" s="1531">
        <f>IF(NOT(ISERROR(MATCH(M307,_xlfn.ANCHORARRAY(F317),0))),L319&amp;"Por favor no seleccionar los criterios de impacto",M307)</f>
        <v>0</v>
      </c>
      <c r="O307" s="1530"/>
      <c r="P307" s="1531"/>
      <c r="Q307" s="1533"/>
      <c r="R307" s="1512">
        <v>4</v>
      </c>
      <c r="S307" s="1513"/>
      <c r="T307" s="1514" t="str">
        <f t="shared" ref="T307:T308" si="162">IF(OR(U307="Preventivo",U307="Detectivo"),"Probabilidad",IF(U307="Correctivo","Impacto",""))</f>
        <v>Probabilidad</v>
      </c>
      <c r="U307" s="1515" t="s">
        <v>243</v>
      </c>
      <c r="V307" s="1515" t="s">
        <v>191</v>
      </c>
      <c r="W307" s="1516" t="str">
        <f t="shared" si="156"/>
        <v>30%</v>
      </c>
      <c r="X307" s="1515" t="s">
        <v>192</v>
      </c>
      <c r="Y307" s="1515" t="s">
        <v>471</v>
      </c>
      <c r="Z307" s="1515" t="s">
        <v>485</v>
      </c>
      <c r="AA307" s="1517">
        <f t="shared" ref="AA307" si="163">IFERROR(IF(AND(T306="Probabilidad",T307="Probabilidad"),(AC306-(+AC306*W307)),IF(AND(T306="Impacto",T307="Probabilidad"),(AC305-(+AC305*W307)),IF(T307="Impacto",AC306,""))),"")</f>
        <v>0.42</v>
      </c>
      <c r="AB307" s="1518" t="str">
        <f t="shared" si="157"/>
        <v>Media</v>
      </c>
      <c r="AC307" s="1519">
        <f t="shared" si="160"/>
        <v>0.42</v>
      </c>
      <c r="AD307" s="1518" t="str">
        <f t="shared" si="158"/>
        <v>Menor</v>
      </c>
      <c r="AE307" s="1519">
        <f t="shared" si="161"/>
        <v>0.33750000000000002</v>
      </c>
      <c r="AF307" s="1520" t="str">
        <f t="shared" si="159"/>
        <v>Moderado</v>
      </c>
      <c r="AG307" s="1580"/>
      <c r="AH307" s="1555"/>
      <c r="AI307" s="2269"/>
      <c r="AJ307" s="2272"/>
      <c r="AK307" s="2261"/>
      <c r="AL307" s="1555"/>
      <c r="AM307" s="2262"/>
      <c r="AN307" s="2276"/>
      <c r="AO307" s="2270"/>
      <c r="AP307" s="2274"/>
      <c r="AQ307" s="2264"/>
      <c r="AR307" s="2276"/>
      <c r="AS307" s="2265"/>
      <c r="AT307" s="2264"/>
      <c r="AU307" s="2276"/>
      <c r="AV307" s="2265"/>
    </row>
    <row r="308" spans="1:48" ht="15.6" x14ac:dyDescent="0.3">
      <c r="A308" s="2066"/>
      <c r="B308" s="1536"/>
      <c r="C308" s="1536"/>
      <c r="D308" s="2217"/>
      <c r="E308" s="2257"/>
      <c r="F308" s="2258"/>
      <c r="G308" s="1855"/>
      <c r="H308" s="1504"/>
      <c r="I308" s="2219"/>
      <c r="J308" s="1537"/>
      <c r="K308" s="1857"/>
      <c r="L308" s="1858"/>
      <c r="M308" s="1859"/>
      <c r="N308" s="1858">
        <f>IF(NOT(ISERROR(MATCH(M308,_xlfn.ANCHORARRAY(F319),0))),L321&amp;"Por favor no seleccionar los criterios de impacto",M308)</f>
        <v>0</v>
      </c>
      <c r="O308" s="1857"/>
      <c r="P308" s="1858"/>
      <c r="Q308" s="1861"/>
      <c r="R308" s="1512">
        <v>6</v>
      </c>
      <c r="S308" s="1851"/>
      <c r="T308" s="1514" t="str">
        <f t="shared" si="162"/>
        <v/>
      </c>
      <c r="U308" s="1515"/>
      <c r="V308" s="1515"/>
      <c r="W308" s="1516" t="str">
        <f t="shared" si="156"/>
        <v/>
      </c>
      <c r="X308" s="1515"/>
      <c r="Y308" s="1515"/>
      <c r="Z308" s="1515"/>
      <c r="AA308" s="1517" t="str">
        <f>IFERROR(IF(AND(#REF!="Probabilidad",T308="Probabilidad"),(#REF!-(+#REF!*W308)),IF(AND(#REF!="Impacto",T308="Probabilidad"),(AC307-(+AC307*W308)),IF(T308="Impacto",#REF!,""))),"")</f>
        <v/>
      </c>
      <c r="AB308" s="1518" t="str">
        <f t="shared" si="157"/>
        <v/>
      </c>
      <c r="AC308" s="1519" t="str">
        <f t="shared" si="160"/>
        <v/>
      </c>
      <c r="AD308" s="1518" t="str">
        <f t="shared" si="158"/>
        <v/>
      </c>
      <c r="AE308" s="1519" t="str">
        <f>IFERROR(IF(AND(#REF!="Impacto",T308="Impacto"),(#REF!-(+#REF!*W308)),IF(AND(#REF!="Probabilidad",T308="Impacto"),(AE307-(+AE307*W308)),IF(T308="Probabilidad",#REF!,""))),"")</f>
        <v/>
      </c>
      <c r="AF308" s="1520" t="str">
        <f t="shared" si="159"/>
        <v/>
      </c>
      <c r="AG308" s="1580"/>
      <c r="AH308" s="1555"/>
      <c r="AI308" s="1556"/>
      <c r="AJ308" s="1557"/>
      <c r="AK308" s="1557"/>
      <c r="AL308" s="1555"/>
      <c r="AM308" s="1556"/>
      <c r="AN308" s="2276"/>
      <c r="AO308" s="2277"/>
      <c r="AP308" s="2278"/>
      <c r="AQ308" s="2278"/>
      <c r="AR308" s="2276"/>
      <c r="AS308" s="2277"/>
      <c r="AT308" s="2278"/>
      <c r="AU308" s="2276"/>
      <c r="AV308" s="2277"/>
    </row>
    <row r="309" spans="1:48" ht="23.4" x14ac:dyDescent="0.3">
      <c r="A309" s="1425" t="s">
        <v>149</v>
      </c>
      <c r="B309" s="1426"/>
      <c r="C309" s="1499" t="s">
        <v>1050</v>
      </c>
      <c r="D309" s="1499"/>
      <c r="E309" s="1499"/>
      <c r="F309" s="1499"/>
      <c r="G309" s="1499"/>
      <c r="H309" s="1499"/>
      <c r="I309" s="1499"/>
      <c r="J309" s="1499"/>
      <c r="K309" s="1499"/>
      <c r="L309" s="1499"/>
      <c r="M309" s="1499"/>
      <c r="N309" s="1499"/>
      <c r="O309" s="1499"/>
      <c r="P309" s="1499"/>
      <c r="Q309" s="1499"/>
      <c r="R309" s="1499"/>
      <c r="S309" s="1499"/>
      <c r="T309" s="1499"/>
      <c r="U309" s="1499"/>
      <c r="V309" s="1499"/>
      <c r="W309" s="1499"/>
      <c r="X309" s="1499"/>
      <c r="Y309" s="1499"/>
      <c r="Z309" s="1499"/>
      <c r="AA309" s="1499"/>
      <c r="AB309" s="1499"/>
      <c r="AC309" s="1499"/>
      <c r="AD309" s="1499"/>
      <c r="AE309" s="1499"/>
      <c r="AF309" s="1499"/>
      <c r="AG309" s="1499"/>
      <c r="AH309" s="1499"/>
      <c r="AI309" s="1499"/>
      <c r="AJ309" s="1499"/>
      <c r="AK309" s="1499"/>
      <c r="AL309" s="1499"/>
      <c r="AM309" s="1499"/>
      <c r="AN309" s="2250"/>
      <c r="AO309" s="2250"/>
      <c r="AP309" s="2250"/>
      <c r="AQ309" s="2250"/>
      <c r="AR309" s="2250"/>
      <c r="AS309" s="2250"/>
      <c r="AT309" s="2250"/>
      <c r="AU309" s="2250"/>
      <c r="AV309" s="2250"/>
    </row>
    <row r="310" spans="1:48" ht="38.4" customHeight="1" x14ac:dyDescent="0.3">
      <c r="A310" s="1425" t="s">
        <v>150</v>
      </c>
      <c r="B310" s="1426"/>
      <c r="C310" s="1500" t="s">
        <v>1051</v>
      </c>
      <c r="D310" s="1500"/>
      <c r="E310" s="1500"/>
      <c r="F310" s="1500"/>
      <c r="G310" s="1500"/>
      <c r="H310" s="1500"/>
      <c r="I310" s="1500"/>
      <c r="J310" s="1500"/>
      <c r="K310" s="1500"/>
      <c r="L310" s="1500"/>
      <c r="M310" s="1500"/>
      <c r="N310" s="1500"/>
      <c r="O310" s="1500"/>
      <c r="P310" s="1500"/>
      <c r="Q310" s="1500"/>
      <c r="R310" s="1500"/>
      <c r="S310" s="1500"/>
      <c r="T310" s="1500"/>
      <c r="U310" s="1500"/>
      <c r="V310" s="1500"/>
      <c r="W310" s="1500"/>
      <c r="X310" s="1500"/>
      <c r="Y310" s="1500"/>
      <c r="Z310" s="1500"/>
      <c r="AA310" s="1500"/>
      <c r="AB310" s="1500"/>
      <c r="AC310" s="1500"/>
      <c r="AD310" s="1500"/>
      <c r="AE310" s="1500"/>
      <c r="AF310" s="1500"/>
      <c r="AG310" s="1500"/>
      <c r="AH310" s="1500"/>
      <c r="AI310" s="1500"/>
      <c r="AJ310" s="1500"/>
      <c r="AK310" s="1500"/>
      <c r="AL310" s="1500"/>
      <c r="AM310" s="1500"/>
      <c r="AN310" s="2251"/>
      <c r="AO310" s="2251"/>
      <c r="AP310" s="2251"/>
      <c r="AQ310" s="2251"/>
      <c r="AR310" s="2251"/>
      <c r="AS310" s="2251"/>
      <c r="AT310" s="2251"/>
      <c r="AU310" s="2251"/>
      <c r="AV310" s="2251"/>
    </row>
    <row r="311" spans="1:48" ht="44.4" customHeight="1" x14ac:dyDescent="0.3">
      <c r="A311" s="1425" t="s">
        <v>151</v>
      </c>
      <c r="B311" s="1426"/>
      <c r="C311" s="1500" t="s">
        <v>1052</v>
      </c>
      <c r="D311" s="1500"/>
      <c r="E311" s="1500"/>
      <c r="F311" s="1500"/>
      <c r="G311" s="1500"/>
      <c r="H311" s="1500"/>
      <c r="I311" s="1500"/>
      <c r="J311" s="1500"/>
      <c r="K311" s="1500"/>
      <c r="L311" s="1500"/>
      <c r="M311" s="1500"/>
      <c r="N311" s="1500"/>
      <c r="O311" s="1500"/>
      <c r="P311" s="1500"/>
      <c r="Q311" s="1500"/>
      <c r="R311" s="1500"/>
      <c r="S311" s="1500"/>
      <c r="T311" s="1500"/>
      <c r="U311" s="1500"/>
      <c r="V311" s="1500"/>
      <c r="W311" s="1500"/>
      <c r="X311" s="1500"/>
      <c r="Y311" s="1500"/>
      <c r="Z311" s="1500"/>
      <c r="AA311" s="1500"/>
      <c r="AB311" s="1500"/>
      <c r="AC311" s="1500"/>
      <c r="AD311" s="1500"/>
      <c r="AE311" s="1500"/>
      <c r="AF311" s="1500"/>
      <c r="AG311" s="1500"/>
      <c r="AH311" s="1500"/>
      <c r="AI311" s="1500"/>
      <c r="AJ311" s="1500"/>
      <c r="AK311" s="1500"/>
      <c r="AL311" s="1500"/>
      <c r="AM311" s="1500"/>
      <c r="AN311" s="2251"/>
      <c r="AO311" s="2251"/>
      <c r="AP311" s="2251"/>
      <c r="AQ311" s="2251"/>
      <c r="AR311" s="2251"/>
      <c r="AS311" s="2251"/>
      <c r="AT311" s="2251"/>
      <c r="AU311" s="2251"/>
      <c r="AV311" s="2251"/>
    </row>
    <row r="312" spans="1:48" ht="23.4" x14ac:dyDescent="0.3">
      <c r="A312" s="2279" t="s">
        <v>152</v>
      </c>
      <c r="B312" s="2280"/>
      <c r="C312" s="2280"/>
      <c r="D312" s="2280"/>
      <c r="E312" s="2280"/>
      <c r="F312" s="2280"/>
      <c r="G312" s="2280"/>
      <c r="H312" s="2280"/>
      <c r="I312" s="2280"/>
      <c r="J312" s="2281"/>
      <c r="K312" s="2279" t="s">
        <v>153</v>
      </c>
      <c r="L312" s="2280"/>
      <c r="M312" s="2280"/>
      <c r="N312" s="2280"/>
      <c r="O312" s="2280"/>
      <c r="P312" s="2280"/>
      <c r="Q312" s="2280"/>
      <c r="R312" s="2282" t="s">
        <v>154</v>
      </c>
      <c r="S312" s="2283"/>
      <c r="T312" s="2283"/>
      <c r="U312" s="2283"/>
      <c r="V312" s="2283"/>
      <c r="W312" s="2283"/>
      <c r="X312" s="2283"/>
      <c r="Y312" s="2283"/>
      <c r="Z312" s="2284"/>
      <c r="AA312" s="2282" t="s">
        <v>155</v>
      </c>
      <c r="AB312" s="2283"/>
      <c r="AC312" s="2283"/>
      <c r="AD312" s="2283"/>
      <c r="AE312" s="2283"/>
      <c r="AF312" s="2283"/>
      <c r="AG312" s="2283"/>
      <c r="AH312" s="2282" t="s">
        <v>156</v>
      </c>
      <c r="AI312" s="2283"/>
      <c r="AJ312" s="2283"/>
      <c r="AK312" s="2283"/>
      <c r="AL312" s="2283"/>
      <c r="AM312" s="2283"/>
      <c r="AN312" s="2283"/>
      <c r="AO312" s="2250"/>
      <c r="AP312" s="2250"/>
      <c r="AQ312" s="2250"/>
      <c r="AR312" s="2250"/>
      <c r="AS312" s="2250"/>
      <c r="AT312" s="2250"/>
      <c r="AU312" s="2250"/>
      <c r="AV312" s="2250"/>
    </row>
    <row r="313" spans="1:48" x14ac:dyDescent="0.3">
      <c r="A313" s="2285" t="s">
        <v>157</v>
      </c>
      <c r="B313" s="2286" t="s">
        <v>141</v>
      </c>
      <c r="C313" s="2287" t="s">
        <v>158</v>
      </c>
      <c r="D313" s="2287" t="s">
        <v>159</v>
      </c>
      <c r="E313" s="2288" t="s">
        <v>160</v>
      </c>
      <c r="F313" s="2289" t="s">
        <v>60</v>
      </c>
      <c r="G313" s="2290"/>
      <c r="H313" s="2290"/>
      <c r="I313" s="2288" t="s">
        <v>161</v>
      </c>
      <c r="J313" s="2287" t="s">
        <v>162</v>
      </c>
      <c r="K313" s="2291" t="s">
        <v>163</v>
      </c>
      <c r="L313" s="2292" t="s">
        <v>164</v>
      </c>
      <c r="M313" s="2288" t="s">
        <v>165</v>
      </c>
      <c r="N313" s="2288" t="s">
        <v>166</v>
      </c>
      <c r="O313" s="2293" t="s">
        <v>167</v>
      </c>
      <c r="P313" s="2292" t="s">
        <v>164</v>
      </c>
      <c r="Q313" s="2287" t="s">
        <v>168</v>
      </c>
      <c r="R313" s="2294" t="s">
        <v>169</v>
      </c>
      <c r="S313" s="2295" t="s">
        <v>170</v>
      </c>
      <c r="T313" s="2296" t="s">
        <v>171</v>
      </c>
      <c r="U313" s="2297" t="s">
        <v>172</v>
      </c>
      <c r="V313" s="2297"/>
      <c r="W313" s="2297"/>
      <c r="X313" s="2297"/>
      <c r="Y313" s="2297"/>
      <c r="Z313" s="2297"/>
      <c r="AA313" s="2298" t="s">
        <v>173</v>
      </c>
      <c r="AB313" s="2298" t="s">
        <v>174</v>
      </c>
      <c r="AC313" s="2298" t="s">
        <v>164</v>
      </c>
      <c r="AD313" s="2298" t="s">
        <v>175</v>
      </c>
      <c r="AE313" s="2298" t="s">
        <v>164</v>
      </c>
      <c r="AF313" s="2298" t="s">
        <v>176</v>
      </c>
      <c r="AG313" s="2299" t="s">
        <v>177</v>
      </c>
      <c r="AH313" s="2295" t="s">
        <v>156</v>
      </c>
      <c r="AI313" s="2295" t="s">
        <v>142</v>
      </c>
      <c r="AJ313" s="2295" t="s">
        <v>178</v>
      </c>
      <c r="AK313" s="2295" t="s">
        <v>179</v>
      </c>
      <c r="AL313" s="2295" t="s">
        <v>1053</v>
      </c>
      <c r="AM313" s="2295" t="s">
        <v>181</v>
      </c>
    </row>
    <row r="314" spans="1:48" ht="64.2" x14ac:dyDescent="0.3">
      <c r="A314" s="2300"/>
      <c r="B314" s="2286"/>
      <c r="C314" s="2295"/>
      <c r="D314" s="2295"/>
      <c r="E314" s="2291"/>
      <c r="F314" s="2301"/>
      <c r="G314" s="2290" t="s">
        <v>201</v>
      </c>
      <c r="H314" s="2290" t="s">
        <v>182</v>
      </c>
      <c r="I314" s="2287"/>
      <c r="J314" s="2295"/>
      <c r="K314" s="2287"/>
      <c r="L314" s="2302"/>
      <c r="M314" s="2287"/>
      <c r="N314" s="2287"/>
      <c r="O314" s="2302"/>
      <c r="P314" s="2302"/>
      <c r="Q314" s="2295"/>
      <c r="R314" s="2303"/>
      <c r="S314" s="2295"/>
      <c r="T314" s="2304"/>
      <c r="U314" s="2305" t="s">
        <v>183</v>
      </c>
      <c r="V314" s="2305" t="s">
        <v>184</v>
      </c>
      <c r="W314" s="2305" t="s">
        <v>185</v>
      </c>
      <c r="X314" s="2305" t="s">
        <v>186</v>
      </c>
      <c r="Y314" s="2305" t="s">
        <v>187</v>
      </c>
      <c r="Z314" s="2305" t="s">
        <v>188</v>
      </c>
      <c r="AA314" s="2298"/>
      <c r="AB314" s="2298"/>
      <c r="AC314" s="2298"/>
      <c r="AD314" s="2298"/>
      <c r="AE314" s="2298"/>
      <c r="AF314" s="2298"/>
      <c r="AG314" s="2306"/>
      <c r="AH314" s="2295"/>
      <c r="AI314" s="2295"/>
      <c r="AJ314" s="2295"/>
      <c r="AK314" s="2295"/>
      <c r="AL314" s="2295"/>
      <c r="AM314" s="2295"/>
    </row>
    <row r="315" spans="1:48" ht="39" customHeight="1" x14ac:dyDescent="0.3">
      <c r="A315" s="2307">
        <v>1</v>
      </c>
      <c r="B315" s="2308" t="s">
        <v>1054</v>
      </c>
      <c r="C315" s="2308" t="s">
        <v>1055</v>
      </c>
      <c r="D315" s="2309" t="s">
        <v>1056</v>
      </c>
      <c r="E315" s="2310" t="s">
        <v>1057</v>
      </c>
      <c r="F315" s="2311" t="s">
        <v>1058</v>
      </c>
      <c r="G315" s="2311" t="s">
        <v>202</v>
      </c>
      <c r="H315" s="2311" t="s">
        <v>1059</v>
      </c>
      <c r="I315" s="2312" t="s">
        <v>1060</v>
      </c>
      <c r="J315" s="2313">
        <v>36</v>
      </c>
      <c r="K315" s="2314" t="str">
        <f>IF(J315&lt;=0,"",IF(J315&lt;=2,"Muy Baja",IF(J315&lt;=24,"Baja",IF(J315&lt;=500,"Media",IF(J315&lt;=5000,"Alta","Muy Alta")))))</f>
        <v>Media</v>
      </c>
      <c r="L315" s="2315">
        <f>IF(K315="","",IF(K315="Muy Baja",0.2,IF(K315="Baja",0.4,IF(K315="Media",0.6,IF(K315="Alta",0.8,IF(K315="Muy Alta",1,))))))</f>
        <v>0.6</v>
      </c>
      <c r="M315" s="2316" t="s">
        <v>1061</v>
      </c>
      <c r="N315" s="2317" t="str">
        <f>IF(NOT(ISERROR(MATCH(M315,'[37]Tabla Impacto'!$B$221:$B$223,0))),'[37]Tabla Impacto'!$F$223&amp;"Por favor no seleccionar los criterios de impacto(Afectación Económica o presupuestal y Pérdida Reputacional)",M315)</f>
        <v>Entre 1000 y 5000 SMLMV</v>
      </c>
      <c r="O315" s="2314" t="s">
        <v>63</v>
      </c>
      <c r="P315" s="2315">
        <f>IF(O315="","",IF(O315="Leve",0.2,IF(O315="Menor",0.4,IF(O315="Moderado",0.6,IF(O315="Mayor",0.8,IF(O315="Catastrófico",1,))))))</f>
        <v>0.6</v>
      </c>
      <c r="Q315" s="2318" t="str">
        <f>IF(OR(AND(K315="Muy Baja",O315="Leve"),AND(K315="Muy Baja",O315="Menor"),AND(K315="Baja",O315="Leve")),"Bajo",IF(OR(AND(K315="Muy baja",O315="Moderado"),AND(K315="Baja",O315="Menor"),AND(K315="Baja",O315="Moderado"),AND(K315="Media",O315="Leve"),AND(K315="Media",O315="Menor"),AND(K315="Media",O315="Moderado"),AND(K315="Alta",O315="Leve"),AND(K315="Alta",O315="Menor")),"Moderado",IF(OR(AND(K315="Muy Baja",O315="Mayor"),AND(K315="Baja",O315="Mayor"),AND(K315="Media",O315="Mayor"),AND(K315="Alta",O315="Moderado"),AND(K315="Alta",O315="Mayor"),AND(K315="Muy Alta",O315="Leve"),AND(K315="Muy Alta",O315="Menor"),AND(K315="Muy Alta",O315="Moderado"),AND(K315="Muy Alta",O315="Mayor")),"Alto",IF(OR(AND(K315="Muy Baja",O315="Catastrófico"),AND(K315="Baja",O315="Catastrófico"),AND(K315="Media",O315="Catastrófico"),AND(K315="Alta",O315="Catastrófico"),AND(K315="Muy Alta",O315="Catastrófico")),"Extremo",""))))</f>
        <v>Moderado</v>
      </c>
      <c r="R315" s="2307">
        <v>1</v>
      </c>
      <c r="S315" s="2319" t="s">
        <v>1062</v>
      </c>
      <c r="T315" s="2320" t="str">
        <f>IF(OR(U315="Preventivo",U315="Detectivo"),"Probabilidad",IF(U315="Correctivo","Impacto",""))</f>
        <v>Probabilidad</v>
      </c>
      <c r="U315" s="2321" t="s">
        <v>243</v>
      </c>
      <c r="V315" s="2321" t="s">
        <v>191</v>
      </c>
      <c r="W315" s="2322" t="str">
        <f>IF(AND(U315="Preventivo",V315="Automático"),"50%",IF(AND(U315="Preventivo",V315="Manual"),"40%",IF(AND(U315="Detectivo",V315="Automático"),"40%",IF(AND(U315="Detectivo",V315="Manual"),"30%",IF(AND(U315="Correctivo",V315="Automático"),"35%",IF(AND(U315="Correctivo",V315="Manual"),"25%",""))))))</f>
        <v>30%</v>
      </c>
      <c r="X315" s="2321" t="s">
        <v>1063</v>
      </c>
      <c r="Y315" s="2321" t="s">
        <v>193</v>
      </c>
      <c r="Z315" s="2321" t="s">
        <v>1064</v>
      </c>
      <c r="AA315" s="2323">
        <f>IFERROR(IF(T315="Probabilidad",(L315-(+L315*W315)),IF(T315="Impacto",L315,"")),"")</f>
        <v>0.42</v>
      </c>
      <c r="AB315" s="2324" t="str">
        <f>IFERROR(IF(AA315="","",IF(AA315&lt;=0.2,"Muy Baja",IF(AA315&lt;=0.4,"Baja",IF(AA315&lt;=0.6,"Media",IF(AA315&lt;=0.8,"Alta","Muy Alta"))))),"")</f>
        <v>Media</v>
      </c>
      <c r="AC315" s="2325">
        <f>+AA315</f>
        <v>0.42</v>
      </c>
      <c r="AD315" s="2324" t="str">
        <f>IFERROR(IF(AE315="","",IF(AE315&lt;=0.2,"Leve",IF(AE315&lt;=0.4,"Menor",IF(AE315&lt;=0.6,"Moderado",IF(AE315&lt;=0.8,"Mayor","Catastrófico"))))),"")</f>
        <v>Moderado</v>
      </c>
      <c r="AE315" s="2322">
        <f>IFERROR(IF(T315="Impacto",(P315-(+P315*W315)),IF(T315="Probabilidad",P315,"")),"")</f>
        <v>0.6</v>
      </c>
      <c r="AF315" s="2326" t="str">
        <f>IFERROR(IF(OR(AND(AB315="Muy Baja",AD315="Leve"),AND(AB315="Muy Baja",AD315="Menor"),AND(AB315="Baja",AD315="Leve")),"Bajo",IF(OR(AND(AB315="Muy baja",AD315="Moderado"),AND(AB315="Baja",AD315="Menor"),AND(AB315="Baja",AD315="Moderado"),AND(AB315="Media",AD315="Leve"),AND(AB315="Media",AD315="Menor"),AND(AB315="Media",AD315="Moderado"),AND(AB315="Alta",AD315="Leve"),AND(AB315="Alta",AD315="Menor")),"Moderado",IF(OR(AND(AB315="Muy Baja",AD315="Mayor"),AND(AB315="Baja",AD315="Mayor"),AND(AB315="Media",AD315="Mayor"),AND(AB315="Alta",AD315="Moderado"),AND(AB315="Alta",AD315="Mayor"),AND(AB315="Muy Alta",AD315="Leve"),AND(AB315="Muy Alta",AD315="Menor"),AND(AB315="Muy Alta",AD315="Moderado"),AND(AB315="Muy Alta",AD315="Mayor")),"Alto",IF(OR(AND(AB315="Muy Baja",AD315="Catastrófico"),AND(AB315="Baja",AD315="Catastrófico"),AND(AB315="Media",AD315="Catastrófico"),AND(AB315="Alta",AD315="Catastrófico"),AND(AB315="Muy Alta",AD315="Catastrófico")),"Extremo","")))),"")</f>
        <v>Moderado</v>
      </c>
      <c r="AG315" s="2321" t="s">
        <v>195</v>
      </c>
      <c r="AH315" s="2319" t="s">
        <v>1065</v>
      </c>
      <c r="AI315" s="2319" t="s">
        <v>1066</v>
      </c>
      <c r="AJ315" s="2327" t="s">
        <v>1067</v>
      </c>
      <c r="AK315" s="2328" t="s">
        <v>1068</v>
      </c>
      <c r="AL315" s="2319" t="s">
        <v>1069</v>
      </c>
      <c r="AM315" s="2313" t="s">
        <v>196</v>
      </c>
    </row>
    <row r="316" spans="1:48" ht="79.8" customHeight="1" x14ac:dyDescent="0.3">
      <c r="A316" s="2329"/>
      <c r="B316" s="2330"/>
      <c r="C316" s="2331"/>
      <c r="D316" s="2332"/>
      <c r="E316" s="2310" t="s">
        <v>1070</v>
      </c>
      <c r="F316" s="2333"/>
      <c r="G316" s="2333"/>
      <c r="H316" s="2333"/>
      <c r="I316" s="2334"/>
      <c r="J316" s="2335"/>
      <c r="K316" s="2336"/>
      <c r="L316" s="2337"/>
      <c r="M316" s="2338"/>
      <c r="N316" s="2317"/>
      <c r="O316" s="2336"/>
      <c r="P316" s="2337"/>
      <c r="Q316" s="2339"/>
      <c r="R316" s="2329"/>
      <c r="S316" s="2340"/>
      <c r="T316" s="2341"/>
      <c r="U316" s="2342"/>
      <c r="V316" s="2342"/>
      <c r="W316" s="2343"/>
      <c r="X316" s="2342"/>
      <c r="Y316" s="2342"/>
      <c r="Z316" s="2342"/>
      <c r="AA316" s="2344"/>
      <c r="AB316" s="2345"/>
      <c r="AC316" s="2346"/>
      <c r="AD316" s="2345"/>
      <c r="AE316" s="2343"/>
      <c r="AF316" s="2347"/>
      <c r="AG316" s="2342"/>
      <c r="AH316" s="2340"/>
      <c r="AI316" s="2340"/>
      <c r="AJ316" s="2348"/>
      <c r="AK316" s="2349"/>
      <c r="AL316" s="2340"/>
      <c r="AM316" s="2335"/>
    </row>
    <row r="317" spans="1:48" ht="41.4" x14ac:dyDescent="0.3">
      <c r="A317" s="2307">
        <v>2</v>
      </c>
      <c r="B317" s="2308" t="s">
        <v>1071</v>
      </c>
      <c r="C317" s="2308" t="s">
        <v>1072</v>
      </c>
      <c r="D317" s="2350" t="s">
        <v>1073</v>
      </c>
      <c r="E317" s="2351" t="s">
        <v>1074</v>
      </c>
      <c r="F317" s="2352" t="s">
        <v>1075</v>
      </c>
      <c r="G317" s="2311" t="s">
        <v>203</v>
      </c>
      <c r="H317" s="2311" t="s">
        <v>1076</v>
      </c>
      <c r="I317" s="2353" t="s">
        <v>1060</v>
      </c>
      <c r="J317" s="2313">
        <v>9</v>
      </c>
      <c r="K317" s="2314" t="str">
        <f>IF(J317&lt;=0,"",IF(J317&lt;=2,"Muy Baja",IF(J317&lt;=24,"Baja",IF(J317&lt;=500,"Media",IF(J317&lt;=5000,"Alta","Muy Alta")))))</f>
        <v>Baja</v>
      </c>
      <c r="L317" s="2315">
        <f t="shared" ref="L317" si="164">IF(K317="","",IF(K317="Muy Baja",0.2,IF(K317="Baja",0.4,IF(K317="Media",0.6,IF(K317="Alta",0.8,IF(K317="Muy Alta",1,))))))</f>
        <v>0.4</v>
      </c>
      <c r="M317" s="2316" t="s">
        <v>1077</v>
      </c>
      <c r="N317" s="2315" t="str">
        <f>IF(NOT(ISERROR(MATCH(M317,'[37]Tabla Impacto'!$B$221:$B$223,0))),'[37]Tabla Impacto'!$F$223&amp;"Por favor no seleccionar los criterios de impacto(Afectación Económica o presupuestal y Pérdida Reputacional)",M317)</f>
        <v>Entre 200 y 1000 SMLMV</v>
      </c>
      <c r="O317" s="2314" t="s">
        <v>62</v>
      </c>
      <c r="P317" s="2315">
        <f t="shared" ref="P317" si="165">IF(O317="","",IF(O317="Leve",0.2,IF(O317="Menor",0.4,IF(O317="Moderado",0.6,IF(O317="Mayor",0.8,IF(O317="Catastrófico",1,))))))</f>
        <v>0.4</v>
      </c>
      <c r="Q317" s="2354" t="str">
        <f t="shared" ref="Q317" si="166">IF(OR(AND(K317="Muy Baja",O317="Leve"),AND(K317="Muy Baja",O317="Menor"),AND(K317="Baja",O317="Leve")),"Bajo",IF(OR(AND(K317="Muy baja",O317="Moderado"),AND(K317="Baja",O317="Menor"),AND(K317="Baja",O317="Moderado"),AND(K317="Media",O317="Leve"),AND(K317="Media",O317="Menor"),AND(K317="Media",O317="Moderado"),AND(K317="Alta",O317="Leve"),AND(K317="Alta",O317="Menor")),"Moderado",IF(OR(AND(K317="Muy Baja",O317="Mayor"),AND(K317="Baja",O317="Mayor"),AND(K317="Media",O317="Mayor"),AND(K317="Alta",O317="Moderado"),AND(K317="Alta",O317="Mayor"),AND(K317="Muy Alta",O317="Leve"),AND(K317="Muy Alta",O317="Menor"),AND(K317="Muy Alta",O317="Moderado"),AND(K317="Muy Alta",O317="Mayor")),"Alto",IF(OR(AND(K317="Muy Baja",O317="Catastrófico"),AND(K317="Baja",O317="Catastrófico"),AND(K317="Media",O317="Catastrófico"),AND(K317="Alta",O317="Catastrófico"),AND(K317="Muy Alta",O317="Catastrófico")),"Extremo",""))))</f>
        <v>Moderado</v>
      </c>
      <c r="R317" s="2307">
        <v>1</v>
      </c>
      <c r="S317" s="2319" t="s">
        <v>1078</v>
      </c>
      <c r="T317" s="2355" t="str">
        <f>IF(OR(U317="Preventivo",U317="Detectivo"),"Probabilidad",IF(U317="Correctivo","Impacto",""))</f>
        <v>Probabilidad</v>
      </c>
      <c r="U317" s="2356" t="s">
        <v>243</v>
      </c>
      <c r="V317" s="2356" t="s">
        <v>191</v>
      </c>
      <c r="W317" s="2325" t="str">
        <f>IF(AND(U317="Preventivo",V317="Automático"),"50%",IF(AND(U317="Preventivo",V317="Manual"),"40%",IF(AND(U317="Detectivo",V317="Automático"),"40%",IF(AND(U317="Detectivo",V317="Manual"),"30%",IF(AND(U317="Correctivo",V317="Automático"),"35%",IF(AND(U317="Correctivo",V317="Manual"),"25%",""))))))</f>
        <v>30%</v>
      </c>
      <c r="X317" s="2356" t="s">
        <v>198</v>
      </c>
      <c r="Y317" s="2356" t="s">
        <v>193</v>
      </c>
      <c r="Z317" s="2356" t="s">
        <v>194</v>
      </c>
      <c r="AA317" s="2357">
        <f>IFERROR(IF(T317="Probabilidad",(L317-(+L317*W317)),IF(T317="Impacto",L317,"")),"")</f>
        <v>0.28000000000000003</v>
      </c>
      <c r="AB317" s="2358" t="str">
        <f>IFERROR(IF(AA317="","",IF(AA317&lt;=0.2,"Muy Baja",IF(AA317&lt;=0.4,"Baja",IF(AA317&lt;=0.6,"Media",IF(AA317&lt;=0.8,"Alta","Muy Alta"))))),"")</f>
        <v>Baja</v>
      </c>
      <c r="AC317" s="2325">
        <f>+AA317</f>
        <v>0.28000000000000003</v>
      </c>
      <c r="AD317" s="2358" t="str">
        <f>IFERROR(IF(AE317="","",IF(AE317&lt;=0.2,"Leve",IF(AE317&lt;=0.4,"Menor",IF(AE317&lt;=0.6,"Moderado",IF(AE317&lt;=0.8,"Mayor","Catastrófico"))))),"")</f>
        <v>Menor</v>
      </c>
      <c r="AE317" s="2325">
        <f>IFERROR(IF(T317="Impacto",(P317-(+P317*W317)),IF(T317="Probabilidad",P317,"")),"")</f>
        <v>0.4</v>
      </c>
      <c r="AF317" s="2359" t="str">
        <f>IFERROR(IF(OR(AND(AB317="Muy Baja",AD317="Leve"),AND(AB317="Muy Baja",AD317="Menor"),AND(AB317="Baja",AD317="Leve")),"Bajo",IF(OR(AND(AB317="Muy baja",AD317="Moderado"),AND(AB317="Baja",AD317="Menor"),AND(AB317="Baja",AD317="Moderado"),AND(AB317="Media",AD317="Leve"),AND(AB317="Media",AD317="Menor"),AND(AB317="Media",AD317="Moderado"),AND(AB317="Alta",AD317="Leve"),AND(AB317="Alta",AD317="Menor")),"Moderado",IF(OR(AND(AB317="Muy Baja",AD317="Mayor"),AND(AB317="Baja",AD317="Mayor"),AND(AB317="Media",AD317="Mayor"),AND(AB317="Alta",AD317="Moderado"),AND(AB317="Alta",AD317="Mayor"),AND(AB317="Muy Alta",AD317="Leve"),AND(AB317="Muy Alta",AD317="Menor"),AND(AB317="Muy Alta",AD317="Moderado"),AND(AB317="Muy Alta",AD317="Mayor")),"Alto",IF(OR(AND(AB317="Muy Baja",AD317="Catastrófico"),AND(AB317="Baja",AD317="Catastrófico"),AND(AB317="Media",AD317="Catastrófico"),AND(AB317="Alta",AD317="Catastrófico"),AND(AB317="Muy Alta",AD317="Catastrófico")),"Extremo","")))),"")</f>
        <v>Moderado</v>
      </c>
      <c r="AG317" s="2356" t="s">
        <v>195</v>
      </c>
      <c r="AH317" s="2319" t="s">
        <v>1079</v>
      </c>
      <c r="AI317" s="2319" t="s">
        <v>1066</v>
      </c>
      <c r="AJ317" s="2328" t="s">
        <v>1080</v>
      </c>
      <c r="AK317" s="2328" t="s">
        <v>1068</v>
      </c>
      <c r="AL317" s="2319" t="s">
        <v>1081</v>
      </c>
      <c r="AM317" s="2313" t="s">
        <v>196</v>
      </c>
    </row>
    <row r="318" spans="1:48" ht="45.6" customHeight="1" x14ac:dyDescent="0.3">
      <c r="A318" s="2360"/>
      <c r="B318" s="2330"/>
      <c r="C318" s="2330"/>
      <c r="D318" s="2361"/>
      <c r="E318" s="2362" t="s">
        <v>1082</v>
      </c>
      <c r="F318" s="2352"/>
      <c r="G318" s="2363"/>
      <c r="H318" s="2333"/>
      <c r="I318" s="2364"/>
      <c r="J318" s="2335"/>
      <c r="K318" s="2336"/>
      <c r="L318" s="2365"/>
      <c r="M318" s="2366"/>
      <c r="N318" s="2365">
        <f>IF(NOT(ISERROR(MATCH(M318,_xlfn.ANCHORARRAY(#REF!),0))),#REF!&amp;"Por favor no seleccionar los criterios de impacto",M318)</f>
        <v>0</v>
      </c>
      <c r="O318" s="2367"/>
      <c r="P318" s="2365"/>
      <c r="Q318" s="2368"/>
      <c r="R318" s="2329"/>
      <c r="S318" s="2340"/>
      <c r="T318" s="2369"/>
      <c r="U318" s="2370"/>
      <c r="V318" s="2370"/>
      <c r="W318" s="2346"/>
      <c r="X318" s="2370"/>
      <c r="Y318" s="2370"/>
      <c r="Z318" s="2370"/>
      <c r="AA318" s="2371"/>
      <c r="AB318" s="2372"/>
      <c r="AC318" s="2346"/>
      <c r="AD318" s="2372"/>
      <c r="AE318" s="2346"/>
      <c r="AF318" s="2373"/>
      <c r="AG318" s="2370"/>
      <c r="AH318" s="2340"/>
      <c r="AI318" s="2340"/>
      <c r="AJ318" s="2349"/>
      <c r="AK318" s="2349"/>
      <c r="AL318" s="2340"/>
      <c r="AM318" s="2335"/>
    </row>
    <row r="319" spans="1:48" ht="27.6" x14ac:dyDescent="0.3">
      <c r="A319" s="2307">
        <v>3</v>
      </c>
      <c r="B319" s="2308" t="s">
        <v>1054</v>
      </c>
      <c r="C319" s="2308" t="s">
        <v>1083</v>
      </c>
      <c r="D319" s="2350" t="s">
        <v>1084</v>
      </c>
      <c r="E319" s="2374" t="s">
        <v>1085</v>
      </c>
      <c r="F319" s="2375" t="s">
        <v>1086</v>
      </c>
      <c r="G319" s="2376" t="s">
        <v>203</v>
      </c>
      <c r="H319" s="2311" t="s">
        <v>1087</v>
      </c>
      <c r="I319" s="2308" t="s">
        <v>1088</v>
      </c>
      <c r="J319" s="2313">
        <v>2</v>
      </c>
      <c r="K319" s="2314" t="str">
        <f t="shared" ref="K319" si="167">IF(J319&lt;=0,"",IF(J319&lt;=2,"Muy Baja",IF(J319&lt;=24,"Baja",IF(J319&lt;=500,"Media",IF(J319&lt;=5000,"Alta","Muy Alta")))))</f>
        <v>Muy Baja</v>
      </c>
      <c r="L319" s="2315">
        <f t="shared" ref="L319" si="168">IF(K319="","",IF(K319="Muy Baja",0.2,IF(K319="Baja",0.4,IF(K319="Media",0.6,IF(K319="Alta",0.8,IF(K319="Muy Alta",1,))))))</f>
        <v>0.2</v>
      </c>
      <c r="M319" s="2316" t="s">
        <v>1089</v>
      </c>
      <c r="N319" s="2315" t="str">
        <f>IF(NOT(ISERROR(MATCH(M319,'[37]Tabla Impacto'!$B$221:$B$223,0))),'[37]Tabla Impacto'!$F$223&amp;"Por favor no seleccionar los criterios de impacto(Afectación Económica o presupuestal y Pérdida Reputacional)",M319)</f>
        <v>Mayor a 10000  SMLMV</v>
      </c>
      <c r="O319" s="2314" t="s">
        <v>65</v>
      </c>
      <c r="P319" s="2315">
        <f t="shared" ref="P319" si="169">IF(O319="","",IF(O319="Leve",0.2,IF(O319="Menor",0.4,IF(O319="Moderado",0.6,IF(O319="Mayor",0.8,IF(O319="Catastrófico",1,))))))</f>
        <v>1</v>
      </c>
      <c r="Q319" s="2354" t="str">
        <f t="shared" ref="Q319" si="170">IF(OR(AND(K319="Muy Baja",O319="Leve"),AND(K319="Muy Baja",O319="Menor"),AND(K319="Baja",O319="Leve")),"Bajo",IF(OR(AND(K319="Muy baja",O319="Moderado"),AND(K319="Baja",O319="Menor"),AND(K319="Baja",O319="Moderado"),AND(K319="Media",O319="Leve"),AND(K319="Media",O319="Menor"),AND(K319="Media",O319="Moderado"),AND(K319="Alta",O319="Leve"),AND(K319="Alta",O319="Menor")),"Moderado",IF(OR(AND(K319="Muy Baja",O319="Mayor"),AND(K319="Baja",O319="Mayor"),AND(K319="Media",O319="Mayor"),AND(K319="Alta",O319="Moderado"),AND(K319="Alta",O319="Mayor"),AND(K319="Muy Alta",O319="Leve"),AND(K319="Muy Alta",O319="Menor"),AND(K319="Muy Alta",O319="Moderado"),AND(K319="Muy Alta",O319="Mayor")),"Alto",IF(OR(AND(K319="Muy Baja",O319="Catastrófico"),AND(K319="Baja",O319="Catastrófico"),AND(K319="Media",O319="Catastrófico"),AND(K319="Alta",O319="Catastrófico"),AND(K319="Muy Alta",O319="Catastrófico")),"Extremo",""))))</f>
        <v>Extremo</v>
      </c>
      <c r="R319" s="2307">
        <v>1</v>
      </c>
      <c r="S319" s="2319" t="s">
        <v>1090</v>
      </c>
      <c r="T319" s="2355" t="str">
        <f>IF(OR(U319="Preventivo",U319="Detectivo"),"Probabilidad",IF(U319="Correctivo","Impacto",""))</f>
        <v>Impacto</v>
      </c>
      <c r="U319" s="2356" t="s">
        <v>379</v>
      </c>
      <c r="V319" s="2356" t="s">
        <v>191</v>
      </c>
      <c r="W319" s="2325" t="str">
        <f>IF(AND(U319="Preventivo",V319="Automático"),"50%",IF(AND(U319="Preventivo",V319="Manual"),"40%",IF(AND(U319="Detectivo",V319="Automático"),"40%",IF(AND(U319="Detectivo",V319="Manual"),"30%",IF(AND(U319="Correctivo",V319="Automático"),"35%",IF(AND(U319="Correctivo",V319="Manual"),"25%",""))))))</f>
        <v>25%</v>
      </c>
      <c r="X319" s="2356" t="s">
        <v>198</v>
      </c>
      <c r="Y319" s="2356" t="s">
        <v>193</v>
      </c>
      <c r="Z319" s="2356" t="s">
        <v>194</v>
      </c>
      <c r="AA319" s="2357">
        <f>IFERROR(IF(T319="Probabilidad",(L319-(+L319*W319)),IF(T319="Impacto",L319,"")),"")</f>
        <v>0.2</v>
      </c>
      <c r="AB319" s="2358" t="str">
        <f>IFERROR(IF(AA319="","",IF(AA319&lt;=0.2,"Muy Baja",IF(AA319&lt;=0.4,"Baja",IF(AA319&lt;=0.6,"Media",IF(AA319&lt;=0.8,"Alta","Muy Alta"))))),"")</f>
        <v>Muy Baja</v>
      </c>
      <c r="AC319" s="2325">
        <f>+AA319</f>
        <v>0.2</v>
      </c>
      <c r="AD319" s="2358" t="str">
        <f>IFERROR(IF(AE319="","",IF(AE319&lt;=0.2,"Leve",IF(AE319&lt;=0.4,"Menor",IF(AE319&lt;=0.6,"Moderado",IF(AE319&lt;=0.8,"Mayor","Catastrófico"))))),"")</f>
        <v>Mayor</v>
      </c>
      <c r="AE319" s="2325">
        <f>IFERROR(IF(T319="Impacto",(P319-(+P319*W319)),IF(T319="Probabilidad",P319,"")),"")</f>
        <v>0.75</v>
      </c>
      <c r="AF319" s="2359" t="str">
        <f>IFERROR(IF(OR(AND(AB319="Muy Baja",AD319="Leve"),AND(AB319="Muy Baja",AD319="Menor"),AND(AB319="Baja",AD319="Leve")),"Bajo",IF(OR(AND(AB319="Muy baja",AD319="Moderado"),AND(AB319="Baja",AD319="Menor"),AND(AB319="Baja",AD319="Moderado"),AND(AB319="Media",AD319="Leve"),AND(AB319="Media",AD319="Menor"),AND(AB319="Media",AD319="Moderado"),AND(AB319="Alta",AD319="Leve"),AND(AB319="Alta",AD319="Menor")),"Moderado",IF(OR(AND(AB319="Muy Baja",AD319="Mayor"),AND(AB319="Baja",AD319="Mayor"),AND(AB319="Media",AD319="Mayor"),AND(AB319="Alta",AD319="Moderado"),AND(AB319="Alta",AD319="Mayor"),AND(AB319="Muy Alta",AD319="Leve"),AND(AB319="Muy Alta",AD319="Menor"),AND(AB319="Muy Alta",AD319="Moderado"),AND(AB319="Muy Alta",AD319="Mayor")),"Alto",IF(OR(AND(AB319="Muy Baja",AD319="Catastrófico"),AND(AB319="Baja",AD319="Catastrófico"),AND(AB319="Media",AD319="Catastrófico"),AND(AB319="Alta",AD319="Catastrófico"),AND(AB319="Muy Alta",AD319="Catastrófico")),"Extremo","")))),"")</f>
        <v>Alto</v>
      </c>
      <c r="AG319" s="2356" t="s">
        <v>195</v>
      </c>
      <c r="AH319" s="2319" t="s">
        <v>1091</v>
      </c>
      <c r="AI319" s="2319" t="s">
        <v>1066</v>
      </c>
      <c r="AJ319" s="2328" t="s">
        <v>1080</v>
      </c>
      <c r="AK319" s="2328" t="s">
        <v>1068</v>
      </c>
      <c r="AL319" s="2319" t="s">
        <v>1092</v>
      </c>
      <c r="AM319" s="2313" t="s">
        <v>196</v>
      </c>
    </row>
    <row r="320" spans="1:48" ht="78" customHeight="1" x14ac:dyDescent="0.3">
      <c r="A320" s="2377"/>
      <c r="B320" s="2378"/>
      <c r="C320" s="2378"/>
      <c r="D320" s="2378"/>
      <c r="E320" s="2379" t="s">
        <v>1093</v>
      </c>
      <c r="F320" s="2380"/>
      <c r="G320" s="2381"/>
      <c r="H320" s="2333"/>
      <c r="I320" s="2330"/>
      <c r="J320" s="2382"/>
      <c r="K320" s="2336"/>
      <c r="L320" s="2365"/>
      <c r="M320" s="2366"/>
      <c r="N320" s="2365">
        <f>IF(NOT(ISERROR(MATCH(M320,_xlfn.ANCHORARRAY(#REF!),0))),#REF!&amp;"Por favor no seleccionar los criterios de impacto",M320)</f>
        <v>0</v>
      </c>
      <c r="O320" s="2367"/>
      <c r="P320" s="2365"/>
      <c r="Q320" s="2368"/>
      <c r="R320" s="2329"/>
      <c r="S320" s="2340"/>
      <c r="T320" s="2369"/>
      <c r="U320" s="2370"/>
      <c r="V320" s="2370"/>
      <c r="W320" s="2346"/>
      <c r="X320" s="2370"/>
      <c r="Y320" s="2370"/>
      <c r="Z320" s="2370"/>
      <c r="AA320" s="2371"/>
      <c r="AB320" s="2372"/>
      <c r="AC320" s="2346"/>
      <c r="AD320" s="2372"/>
      <c r="AE320" s="2346"/>
      <c r="AF320" s="2373"/>
      <c r="AG320" s="2370"/>
      <c r="AH320" s="2340"/>
      <c r="AI320" s="2340"/>
      <c r="AJ320" s="2349"/>
      <c r="AK320" s="2349"/>
      <c r="AL320" s="2340"/>
      <c r="AM320" s="2335"/>
    </row>
  </sheetData>
  <mergeCells count="1938">
    <mergeCell ref="AM319:AM320"/>
    <mergeCell ref="AG319:AG320"/>
    <mergeCell ref="AH319:AH320"/>
    <mergeCell ref="AI319:AI320"/>
    <mergeCell ref="AJ319:AJ320"/>
    <mergeCell ref="AK319:AK320"/>
    <mergeCell ref="AL319:AL320"/>
    <mergeCell ref="AA319:AA320"/>
    <mergeCell ref="AB319:AB320"/>
    <mergeCell ref="AC319:AC320"/>
    <mergeCell ref="AD319:AD320"/>
    <mergeCell ref="AE319:AE320"/>
    <mergeCell ref="AF319:AF320"/>
    <mergeCell ref="U319:U320"/>
    <mergeCell ref="V319:V320"/>
    <mergeCell ref="W319:W320"/>
    <mergeCell ref="X319:X320"/>
    <mergeCell ref="Y319:Y320"/>
    <mergeCell ref="Z319:Z320"/>
    <mergeCell ref="O319:O320"/>
    <mergeCell ref="P319:P320"/>
    <mergeCell ref="Q319:Q320"/>
    <mergeCell ref="R319:R320"/>
    <mergeCell ref="S319:S320"/>
    <mergeCell ref="T319:T320"/>
    <mergeCell ref="I319:I320"/>
    <mergeCell ref="J319:J320"/>
    <mergeCell ref="K319:K320"/>
    <mergeCell ref="L319:L320"/>
    <mergeCell ref="M319:M320"/>
    <mergeCell ref="N319:N320"/>
    <mergeCell ref="AK317:AK318"/>
    <mergeCell ref="AL317:AL318"/>
    <mergeCell ref="AM317:AM318"/>
    <mergeCell ref="A319:A320"/>
    <mergeCell ref="B319:B320"/>
    <mergeCell ref="C319:C320"/>
    <mergeCell ref="D319:D320"/>
    <mergeCell ref="F319:F320"/>
    <mergeCell ref="G319:G320"/>
    <mergeCell ref="H319:H320"/>
    <mergeCell ref="AE317:AE318"/>
    <mergeCell ref="AF317:AF318"/>
    <mergeCell ref="AG317:AG318"/>
    <mergeCell ref="AH317:AH318"/>
    <mergeCell ref="AI317:AI318"/>
    <mergeCell ref="AJ317:AJ318"/>
    <mergeCell ref="Y317:Y318"/>
    <mergeCell ref="Z317:Z318"/>
    <mergeCell ref="AA317:AA318"/>
    <mergeCell ref="AB317:AB318"/>
    <mergeCell ref="AC317:AC318"/>
    <mergeCell ref="AD317:AD318"/>
    <mergeCell ref="S317:S318"/>
    <mergeCell ref="T317:T318"/>
    <mergeCell ref="U317:U318"/>
    <mergeCell ref="V317:V318"/>
    <mergeCell ref="W317:W318"/>
    <mergeCell ref="X317:X318"/>
    <mergeCell ref="M317:M318"/>
    <mergeCell ref="N317:N318"/>
    <mergeCell ref="O317:O318"/>
    <mergeCell ref="P317:P318"/>
    <mergeCell ref="Q317:Q318"/>
    <mergeCell ref="R317:R318"/>
    <mergeCell ref="G317:G318"/>
    <mergeCell ref="H317:H318"/>
    <mergeCell ref="I317:I318"/>
    <mergeCell ref="J317:J318"/>
    <mergeCell ref="K317:K318"/>
    <mergeCell ref="L317:L318"/>
    <mergeCell ref="AI315:AI316"/>
    <mergeCell ref="AJ315:AJ316"/>
    <mergeCell ref="AK315:AK316"/>
    <mergeCell ref="AL315:AL316"/>
    <mergeCell ref="AM315:AM316"/>
    <mergeCell ref="A317:A318"/>
    <mergeCell ref="B317:B318"/>
    <mergeCell ref="C317:C318"/>
    <mergeCell ref="D317:D318"/>
    <mergeCell ref="F317:F318"/>
    <mergeCell ref="AC315:AC316"/>
    <mergeCell ref="AD315:AD316"/>
    <mergeCell ref="AE315:AE316"/>
    <mergeCell ref="AF315:AF316"/>
    <mergeCell ref="AG315:AG316"/>
    <mergeCell ref="AH315:AH316"/>
    <mergeCell ref="W315:W316"/>
    <mergeCell ref="X315:X316"/>
    <mergeCell ref="Y315:Y316"/>
    <mergeCell ref="Z315:Z316"/>
    <mergeCell ref="AA315:AA316"/>
    <mergeCell ref="AB315:AB316"/>
    <mergeCell ref="Q315:Q316"/>
    <mergeCell ref="R315:R316"/>
    <mergeCell ref="S315:S316"/>
    <mergeCell ref="T315:T316"/>
    <mergeCell ref="U315:U316"/>
    <mergeCell ref="V315:V316"/>
    <mergeCell ref="J315:J316"/>
    <mergeCell ref="K315:K316"/>
    <mergeCell ref="L315:L316"/>
    <mergeCell ref="M315:M316"/>
    <mergeCell ref="O315:O316"/>
    <mergeCell ref="P315:P316"/>
    <mergeCell ref="AL313:AL314"/>
    <mergeCell ref="AM313:AM314"/>
    <mergeCell ref="A315:A316"/>
    <mergeCell ref="B315:B316"/>
    <mergeCell ref="C315:C316"/>
    <mergeCell ref="D315:D316"/>
    <mergeCell ref="F315:F316"/>
    <mergeCell ref="G315:G316"/>
    <mergeCell ref="H315:H316"/>
    <mergeCell ref="I315:I316"/>
    <mergeCell ref="AF313:AF314"/>
    <mergeCell ref="AG313:AG314"/>
    <mergeCell ref="AH313:AH314"/>
    <mergeCell ref="AI313:AI314"/>
    <mergeCell ref="AJ313:AJ314"/>
    <mergeCell ref="AK313:AK314"/>
    <mergeCell ref="U313:Z313"/>
    <mergeCell ref="AA313:AA314"/>
    <mergeCell ref="AB313:AB314"/>
    <mergeCell ref="AC313:AC314"/>
    <mergeCell ref="AD313:AD314"/>
    <mergeCell ref="AE313:AE314"/>
    <mergeCell ref="O313:O314"/>
    <mergeCell ref="P313:P314"/>
    <mergeCell ref="Q313:Q314"/>
    <mergeCell ref="R313:R314"/>
    <mergeCell ref="S313:S314"/>
    <mergeCell ref="T313:T314"/>
    <mergeCell ref="I313:I314"/>
    <mergeCell ref="J313:J314"/>
    <mergeCell ref="K313:K314"/>
    <mergeCell ref="L313:L314"/>
    <mergeCell ref="M313:M314"/>
    <mergeCell ref="N313:N314"/>
    <mergeCell ref="A313:A314"/>
    <mergeCell ref="B313:B314"/>
    <mergeCell ref="C313:C314"/>
    <mergeCell ref="D313:D314"/>
    <mergeCell ref="E313:E314"/>
    <mergeCell ref="F313:F314"/>
    <mergeCell ref="A311:B311"/>
    <mergeCell ref="C311:AM311"/>
    <mergeCell ref="A312:J312"/>
    <mergeCell ref="K312:Q312"/>
    <mergeCell ref="R312:Z312"/>
    <mergeCell ref="AA312:AG312"/>
    <mergeCell ref="AH312:AN312"/>
    <mergeCell ref="P304:P308"/>
    <mergeCell ref="Q304:Q308"/>
    <mergeCell ref="A309:B309"/>
    <mergeCell ref="C309:AM309"/>
    <mergeCell ref="A310:B310"/>
    <mergeCell ref="C310:AM310"/>
    <mergeCell ref="J304:J308"/>
    <mergeCell ref="K304:K308"/>
    <mergeCell ref="L304:L308"/>
    <mergeCell ref="M304:M308"/>
    <mergeCell ref="N304:N308"/>
    <mergeCell ref="O304:O308"/>
    <mergeCell ref="AU302:AU303"/>
    <mergeCell ref="AV302:AV303"/>
    <mergeCell ref="A304:A308"/>
    <mergeCell ref="B304:B308"/>
    <mergeCell ref="C304:C308"/>
    <mergeCell ref="D304:D308"/>
    <mergeCell ref="F304:F308"/>
    <mergeCell ref="G304:G308"/>
    <mergeCell ref="H304:H308"/>
    <mergeCell ref="I304:I308"/>
    <mergeCell ref="AO302:AO303"/>
    <mergeCell ref="AP302:AP303"/>
    <mergeCell ref="AQ302:AQ303"/>
    <mergeCell ref="AR302:AR303"/>
    <mergeCell ref="AS302:AS303"/>
    <mergeCell ref="AT302:AT303"/>
    <mergeCell ref="AI302:AI303"/>
    <mergeCell ref="AJ302:AJ303"/>
    <mergeCell ref="AK302:AK303"/>
    <mergeCell ref="AL302:AL303"/>
    <mergeCell ref="AM302:AM303"/>
    <mergeCell ref="AN302:AN303"/>
    <mergeCell ref="AC302:AC303"/>
    <mergeCell ref="AD302:AD303"/>
    <mergeCell ref="AE302:AE303"/>
    <mergeCell ref="AF302:AF303"/>
    <mergeCell ref="AG302:AG303"/>
    <mergeCell ref="AH302:AH303"/>
    <mergeCell ref="R302:R303"/>
    <mergeCell ref="S302:S303"/>
    <mergeCell ref="T302:T303"/>
    <mergeCell ref="U302:Z302"/>
    <mergeCell ref="AA302:AA303"/>
    <mergeCell ref="AB302:AB303"/>
    <mergeCell ref="L302:L303"/>
    <mergeCell ref="M302:M303"/>
    <mergeCell ref="N302:N303"/>
    <mergeCell ref="O302:O303"/>
    <mergeCell ref="P302:P303"/>
    <mergeCell ref="Q302:Q303"/>
    <mergeCell ref="AN301:AS301"/>
    <mergeCell ref="A302:A303"/>
    <mergeCell ref="B302:B303"/>
    <mergeCell ref="C302:C303"/>
    <mergeCell ref="D302:D303"/>
    <mergeCell ref="E302:E303"/>
    <mergeCell ref="F302:F303"/>
    <mergeCell ref="I302:I303"/>
    <mergeCell ref="J302:J303"/>
    <mergeCell ref="K302:K303"/>
    <mergeCell ref="A300:B300"/>
    <mergeCell ref="C300:AM300"/>
    <mergeCell ref="A301:J301"/>
    <mergeCell ref="K301:Q301"/>
    <mergeCell ref="R301:Z301"/>
    <mergeCell ref="AA301:AG301"/>
    <mergeCell ref="AH301:AM301"/>
    <mergeCell ref="E290:E293"/>
    <mergeCell ref="A295:AM296"/>
    <mergeCell ref="A298:B298"/>
    <mergeCell ref="C298:AM298"/>
    <mergeCell ref="A299:B299"/>
    <mergeCell ref="C299:AM299"/>
    <mergeCell ref="AH288:AH293"/>
    <mergeCell ref="AI288:AI293"/>
    <mergeCell ref="AJ288:AJ293"/>
    <mergeCell ref="AK288:AK293"/>
    <mergeCell ref="AL288:AL293"/>
    <mergeCell ref="AM288:AM293"/>
    <mergeCell ref="AB288:AB293"/>
    <mergeCell ref="AC288:AC293"/>
    <mergeCell ref="AD288:AD293"/>
    <mergeCell ref="AE288:AE293"/>
    <mergeCell ref="AF288:AF293"/>
    <mergeCell ref="AG288:AG293"/>
    <mergeCell ref="V288:V293"/>
    <mergeCell ref="W288:W293"/>
    <mergeCell ref="X288:X293"/>
    <mergeCell ref="Y288:Y293"/>
    <mergeCell ref="Z288:Z293"/>
    <mergeCell ref="AA288:AA293"/>
    <mergeCell ref="P288:P293"/>
    <mergeCell ref="Q288:Q293"/>
    <mergeCell ref="R288:R293"/>
    <mergeCell ref="S288:S293"/>
    <mergeCell ref="T288:T293"/>
    <mergeCell ref="U288:U293"/>
    <mergeCell ref="J288:J293"/>
    <mergeCell ref="K288:K293"/>
    <mergeCell ref="L288:L293"/>
    <mergeCell ref="M288:M293"/>
    <mergeCell ref="N288:N293"/>
    <mergeCell ref="O288:O293"/>
    <mergeCell ref="AM286:AM287"/>
    <mergeCell ref="A288:A293"/>
    <mergeCell ref="B288:B293"/>
    <mergeCell ref="C288:C293"/>
    <mergeCell ref="D288:D293"/>
    <mergeCell ref="E288:E289"/>
    <mergeCell ref="F288:F293"/>
    <mergeCell ref="G288:G293"/>
    <mergeCell ref="H288:H293"/>
    <mergeCell ref="I288:I293"/>
    <mergeCell ref="AF286:AF287"/>
    <mergeCell ref="AG286:AG287"/>
    <mergeCell ref="AI286:AI287"/>
    <mergeCell ref="AJ286:AJ287"/>
    <mergeCell ref="AK286:AK287"/>
    <mergeCell ref="AL286:AL287"/>
    <mergeCell ref="Z286:Z287"/>
    <mergeCell ref="AA286:AA287"/>
    <mergeCell ref="AB286:AB287"/>
    <mergeCell ref="AC286:AC287"/>
    <mergeCell ref="AD286:AD287"/>
    <mergeCell ref="AE286:AE287"/>
    <mergeCell ref="AM282:AM285"/>
    <mergeCell ref="E286:E287"/>
    <mergeCell ref="R286:R287"/>
    <mergeCell ref="S286:S287"/>
    <mergeCell ref="T286:T287"/>
    <mergeCell ref="U286:U287"/>
    <mergeCell ref="V286:V287"/>
    <mergeCell ref="W286:W287"/>
    <mergeCell ref="X286:X287"/>
    <mergeCell ref="Y286:Y287"/>
    <mergeCell ref="AG282:AG285"/>
    <mergeCell ref="AH282:AH287"/>
    <mergeCell ref="AI282:AI285"/>
    <mergeCell ref="AJ282:AJ285"/>
    <mergeCell ref="AK282:AK285"/>
    <mergeCell ref="AL282:AL285"/>
    <mergeCell ref="AA282:AA285"/>
    <mergeCell ref="AB282:AB285"/>
    <mergeCell ref="AC282:AC285"/>
    <mergeCell ref="AD282:AD285"/>
    <mergeCell ref="AE282:AE285"/>
    <mergeCell ref="AF282:AF285"/>
    <mergeCell ref="U282:U285"/>
    <mergeCell ref="V282:V285"/>
    <mergeCell ref="W282:W285"/>
    <mergeCell ref="X282:X285"/>
    <mergeCell ref="Y282:Y285"/>
    <mergeCell ref="Z282:Z285"/>
    <mergeCell ref="O282:O287"/>
    <mergeCell ref="P282:P287"/>
    <mergeCell ref="Q282:Q287"/>
    <mergeCell ref="R282:R285"/>
    <mergeCell ref="S282:S285"/>
    <mergeCell ref="T282:T285"/>
    <mergeCell ref="I282:I287"/>
    <mergeCell ref="J282:J287"/>
    <mergeCell ref="K282:K287"/>
    <mergeCell ref="L282:L287"/>
    <mergeCell ref="M282:M287"/>
    <mergeCell ref="N282:N287"/>
    <mergeCell ref="AL280:AL281"/>
    <mergeCell ref="AM280:AM281"/>
    <mergeCell ref="A282:A287"/>
    <mergeCell ref="B282:B287"/>
    <mergeCell ref="C282:C287"/>
    <mergeCell ref="D282:D287"/>
    <mergeCell ref="E282:E285"/>
    <mergeCell ref="F282:F287"/>
    <mergeCell ref="G282:G287"/>
    <mergeCell ref="H282:H287"/>
    <mergeCell ref="AF280:AF281"/>
    <mergeCell ref="AG280:AG281"/>
    <mergeCell ref="AH280:AH281"/>
    <mergeCell ref="AI280:AI281"/>
    <mergeCell ref="AJ280:AJ281"/>
    <mergeCell ref="AK280:AK281"/>
    <mergeCell ref="U280:Z280"/>
    <mergeCell ref="AA280:AA281"/>
    <mergeCell ref="AB280:AB281"/>
    <mergeCell ref="AC280:AC281"/>
    <mergeCell ref="AD280:AD281"/>
    <mergeCell ref="AE280:AE281"/>
    <mergeCell ref="O280:O281"/>
    <mergeCell ref="P280:P281"/>
    <mergeCell ref="Q280:Q281"/>
    <mergeCell ref="R280:R281"/>
    <mergeCell ref="S280:S281"/>
    <mergeCell ref="T280:T281"/>
    <mergeCell ref="I280:I281"/>
    <mergeCell ref="J280:J281"/>
    <mergeCell ref="K280:K281"/>
    <mergeCell ref="L280:L281"/>
    <mergeCell ref="M280:M281"/>
    <mergeCell ref="N280:N281"/>
    <mergeCell ref="A280:A281"/>
    <mergeCell ref="B280:B281"/>
    <mergeCell ref="C280:C281"/>
    <mergeCell ref="D280:D281"/>
    <mergeCell ref="E280:E281"/>
    <mergeCell ref="F280:F281"/>
    <mergeCell ref="A277:B277"/>
    <mergeCell ref="C277:AM277"/>
    <mergeCell ref="A278:B278"/>
    <mergeCell ref="C278:AM278"/>
    <mergeCell ref="A279:J279"/>
    <mergeCell ref="K279:Q279"/>
    <mergeCell ref="R279:Z279"/>
    <mergeCell ref="AA279:AG279"/>
    <mergeCell ref="AH279:AM279"/>
    <mergeCell ref="AJ270:AJ271"/>
    <mergeCell ref="AK270:AK271"/>
    <mergeCell ref="AL270:AL271"/>
    <mergeCell ref="A273:AM274"/>
    <mergeCell ref="A276:B276"/>
    <mergeCell ref="C276:AM276"/>
    <mergeCell ref="AD270:AD271"/>
    <mergeCell ref="AE270:AE271"/>
    <mergeCell ref="AF270:AF271"/>
    <mergeCell ref="AG270:AG271"/>
    <mergeCell ref="AH270:AH271"/>
    <mergeCell ref="AI270:AI271"/>
    <mergeCell ref="X270:X271"/>
    <mergeCell ref="Y270:Y271"/>
    <mergeCell ref="Z270:Z271"/>
    <mergeCell ref="AA270:AA271"/>
    <mergeCell ref="AB270:AB271"/>
    <mergeCell ref="AC270:AC271"/>
    <mergeCell ref="Q270:Q271"/>
    <mergeCell ref="S270:S271"/>
    <mergeCell ref="T270:T271"/>
    <mergeCell ref="U270:U271"/>
    <mergeCell ref="V270:V271"/>
    <mergeCell ref="W270:W271"/>
    <mergeCell ref="K270:K271"/>
    <mergeCell ref="L270:L271"/>
    <mergeCell ref="M270:M271"/>
    <mergeCell ref="N270:N271"/>
    <mergeCell ref="O270:O271"/>
    <mergeCell ref="P270:P271"/>
    <mergeCell ref="AL268:AL269"/>
    <mergeCell ref="B270:B271"/>
    <mergeCell ref="C270:C271"/>
    <mergeCell ref="D270:D271"/>
    <mergeCell ref="E270:E271"/>
    <mergeCell ref="F270:F271"/>
    <mergeCell ref="G270:G271"/>
    <mergeCell ref="H270:H271"/>
    <mergeCell ref="I270:I271"/>
    <mergeCell ref="J270:J271"/>
    <mergeCell ref="AF268:AF269"/>
    <mergeCell ref="AG268:AG269"/>
    <mergeCell ref="AH268:AH269"/>
    <mergeCell ref="AI268:AI269"/>
    <mergeCell ref="AJ268:AJ269"/>
    <mergeCell ref="AK268:AK269"/>
    <mergeCell ref="Z268:Z269"/>
    <mergeCell ref="AA268:AA269"/>
    <mergeCell ref="AB268:AB269"/>
    <mergeCell ref="AC268:AC269"/>
    <mergeCell ref="AD268:AD269"/>
    <mergeCell ref="AE268:AE269"/>
    <mergeCell ref="T268:T269"/>
    <mergeCell ref="U268:U269"/>
    <mergeCell ref="V268:V269"/>
    <mergeCell ref="W268:W269"/>
    <mergeCell ref="X268:X269"/>
    <mergeCell ref="Y268:Y269"/>
    <mergeCell ref="N267:N268"/>
    <mergeCell ref="O267:O269"/>
    <mergeCell ref="P267:P269"/>
    <mergeCell ref="Q267:Q269"/>
    <mergeCell ref="R267:R268"/>
    <mergeCell ref="E268:E269"/>
    <mergeCell ref="H267:H269"/>
    <mergeCell ref="I267:I269"/>
    <mergeCell ref="J267:J269"/>
    <mergeCell ref="K267:K269"/>
    <mergeCell ref="L267:L269"/>
    <mergeCell ref="M267:M269"/>
    <mergeCell ref="E265:E266"/>
    <mergeCell ref="B267:B269"/>
    <mergeCell ref="C267:C269"/>
    <mergeCell ref="D267:D269"/>
    <mergeCell ref="F267:F269"/>
    <mergeCell ref="G267:G269"/>
    <mergeCell ref="AG264:AG266"/>
    <mergeCell ref="AH264:AH266"/>
    <mergeCell ref="AI264:AI266"/>
    <mergeCell ref="AJ264:AJ266"/>
    <mergeCell ref="AK264:AK266"/>
    <mergeCell ref="AL264:AL266"/>
    <mergeCell ref="AA264:AA266"/>
    <mergeCell ref="AB264:AB266"/>
    <mergeCell ref="AC264:AC266"/>
    <mergeCell ref="AD264:AD266"/>
    <mergeCell ref="AE264:AE266"/>
    <mergeCell ref="AF264:AF266"/>
    <mergeCell ref="U264:U266"/>
    <mergeCell ref="V264:V266"/>
    <mergeCell ref="W264:W266"/>
    <mergeCell ref="X264:X266"/>
    <mergeCell ref="Y264:Y266"/>
    <mergeCell ref="Z264:Z266"/>
    <mergeCell ref="O263:O266"/>
    <mergeCell ref="P263:P266"/>
    <mergeCell ref="Q263:Q266"/>
    <mergeCell ref="R264:R266"/>
    <mergeCell ref="S264:S266"/>
    <mergeCell ref="T264:T266"/>
    <mergeCell ref="I263:I266"/>
    <mergeCell ref="J263:J266"/>
    <mergeCell ref="K263:K266"/>
    <mergeCell ref="L263:L266"/>
    <mergeCell ref="M263:M266"/>
    <mergeCell ref="N263:N266"/>
    <mergeCell ref="AK261:AK262"/>
    <mergeCell ref="AL261:AL262"/>
    <mergeCell ref="A263:A266"/>
    <mergeCell ref="B263:B266"/>
    <mergeCell ref="C263:C266"/>
    <mergeCell ref="D263:D266"/>
    <mergeCell ref="E263:E264"/>
    <mergeCell ref="F263:F266"/>
    <mergeCell ref="G263:G266"/>
    <mergeCell ref="H263:H266"/>
    <mergeCell ref="AE261:AE262"/>
    <mergeCell ref="AF261:AF262"/>
    <mergeCell ref="AG261:AG262"/>
    <mergeCell ref="AH261:AH262"/>
    <mergeCell ref="AI261:AI262"/>
    <mergeCell ref="AJ261:AJ262"/>
    <mergeCell ref="T261:T262"/>
    <mergeCell ref="U261:Z261"/>
    <mergeCell ref="AA261:AA262"/>
    <mergeCell ref="AB261:AB262"/>
    <mergeCell ref="AC261:AC262"/>
    <mergeCell ref="AD261:AD262"/>
    <mergeCell ref="N261:N262"/>
    <mergeCell ref="O261:O262"/>
    <mergeCell ref="P261:P262"/>
    <mergeCell ref="Q261:Q262"/>
    <mergeCell ref="R261:R262"/>
    <mergeCell ref="S261:S262"/>
    <mergeCell ref="F261:F262"/>
    <mergeCell ref="I261:I262"/>
    <mergeCell ref="J261:J262"/>
    <mergeCell ref="K261:K262"/>
    <mergeCell ref="L261:L262"/>
    <mergeCell ref="M261:M262"/>
    <mergeCell ref="A260:J260"/>
    <mergeCell ref="K260:Q260"/>
    <mergeCell ref="R260:Z260"/>
    <mergeCell ref="AA260:AG260"/>
    <mergeCell ref="AH260:AL260"/>
    <mergeCell ref="A261:A262"/>
    <mergeCell ref="B261:B262"/>
    <mergeCell ref="C261:C262"/>
    <mergeCell ref="D261:D262"/>
    <mergeCell ref="E261:E262"/>
    <mergeCell ref="A257:B257"/>
    <mergeCell ref="C257:AL257"/>
    <mergeCell ref="A258:B258"/>
    <mergeCell ref="C258:AL258"/>
    <mergeCell ref="A259:B259"/>
    <mergeCell ref="C259:AL259"/>
    <mergeCell ref="AB251:AB253"/>
    <mergeCell ref="AC251:AC253"/>
    <mergeCell ref="AD251:AD253"/>
    <mergeCell ref="AE251:AE253"/>
    <mergeCell ref="AF251:AF253"/>
    <mergeCell ref="A254:AL255"/>
    <mergeCell ref="M251:M253"/>
    <mergeCell ref="N251:N253"/>
    <mergeCell ref="O251:O253"/>
    <mergeCell ref="P251:P253"/>
    <mergeCell ref="Q251:Q253"/>
    <mergeCell ref="AA251:AA253"/>
    <mergeCell ref="G251:G253"/>
    <mergeCell ref="H251:H253"/>
    <mergeCell ref="I251:I253"/>
    <mergeCell ref="J251:J253"/>
    <mergeCell ref="K251:K253"/>
    <mergeCell ref="L251:L253"/>
    <mergeCell ref="AK249:AK250"/>
    <mergeCell ref="AL249:AL250"/>
    <mergeCell ref="AM249:AM250"/>
    <mergeCell ref="AN249:AN250"/>
    <mergeCell ref="AO249:AO250"/>
    <mergeCell ref="A251:A253"/>
    <mergeCell ref="B251:B253"/>
    <mergeCell ref="C251:C253"/>
    <mergeCell ref="D251:D253"/>
    <mergeCell ref="F251:F253"/>
    <mergeCell ref="AE249:AE250"/>
    <mergeCell ref="AF249:AF250"/>
    <mergeCell ref="AG249:AG250"/>
    <mergeCell ref="AH249:AH250"/>
    <mergeCell ref="AI249:AI250"/>
    <mergeCell ref="AJ249:AJ250"/>
    <mergeCell ref="T249:T250"/>
    <mergeCell ref="U249:Z249"/>
    <mergeCell ref="AA249:AA250"/>
    <mergeCell ref="AB249:AB250"/>
    <mergeCell ref="AC249:AC250"/>
    <mergeCell ref="AD249:AD250"/>
    <mergeCell ref="N249:N250"/>
    <mergeCell ref="O249:O250"/>
    <mergeCell ref="P249:P250"/>
    <mergeCell ref="Q249:Q250"/>
    <mergeCell ref="R249:R250"/>
    <mergeCell ref="S249:S250"/>
    <mergeCell ref="F249:F250"/>
    <mergeCell ref="I249:I250"/>
    <mergeCell ref="J249:J250"/>
    <mergeCell ref="K249:K250"/>
    <mergeCell ref="L249:L250"/>
    <mergeCell ref="M249:M250"/>
    <mergeCell ref="A248:J248"/>
    <mergeCell ref="K248:Q248"/>
    <mergeCell ref="R248:Z248"/>
    <mergeCell ref="AA248:AG248"/>
    <mergeCell ref="AH248:AM248"/>
    <mergeCell ref="A249:A250"/>
    <mergeCell ref="B249:B250"/>
    <mergeCell ref="C249:C250"/>
    <mergeCell ref="D249:D250"/>
    <mergeCell ref="E249:E250"/>
    <mergeCell ref="A242:AM243"/>
    <mergeCell ref="A245:B245"/>
    <mergeCell ref="C245:AM245"/>
    <mergeCell ref="A246:B246"/>
    <mergeCell ref="C246:AM246"/>
    <mergeCell ref="A247:B247"/>
    <mergeCell ref="C247:AM247"/>
    <mergeCell ref="N238:N239"/>
    <mergeCell ref="O238:O239"/>
    <mergeCell ref="P238:P239"/>
    <mergeCell ref="Q238:Q239"/>
    <mergeCell ref="AH238:AH239"/>
    <mergeCell ref="AI238:AI239"/>
    <mergeCell ref="G238:G239"/>
    <mergeCell ref="I238:I239"/>
    <mergeCell ref="J238:J239"/>
    <mergeCell ref="K238:K239"/>
    <mergeCell ref="L238:L239"/>
    <mergeCell ref="M238:M239"/>
    <mergeCell ref="N234:N237"/>
    <mergeCell ref="O234:O237"/>
    <mergeCell ref="P234:P237"/>
    <mergeCell ref="Q234:Q237"/>
    <mergeCell ref="E236:E237"/>
    <mergeCell ref="A238:A239"/>
    <mergeCell ref="B238:B239"/>
    <mergeCell ref="C238:C239"/>
    <mergeCell ref="D238:D239"/>
    <mergeCell ref="F238:F239"/>
    <mergeCell ref="H234:H237"/>
    <mergeCell ref="I234:I237"/>
    <mergeCell ref="J234:J237"/>
    <mergeCell ref="K234:K237"/>
    <mergeCell ref="L234:L237"/>
    <mergeCell ref="M234:M237"/>
    <mergeCell ref="AJ232:AJ233"/>
    <mergeCell ref="AK232:AK233"/>
    <mergeCell ref="AL232:AL233"/>
    <mergeCell ref="AM232:AM233"/>
    <mergeCell ref="A234:A237"/>
    <mergeCell ref="B234:B237"/>
    <mergeCell ref="C234:C237"/>
    <mergeCell ref="D234:D237"/>
    <mergeCell ref="F234:F237"/>
    <mergeCell ref="G234:G237"/>
    <mergeCell ref="AD232:AD233"/>
    <mergeCell ref="AE232:AE233"/>
    <mergeCell ref="AF232:AF233"/>
    <mergeCell ref="AG232:AG233"/>
    <mergeCell ref="AH232:AH233"/>
    <mergeCell ref="AI232:AI233"/>
    <mergeCell ref="S232:S233"/>
    <mergeCell ref="T232:T233"/>
    <mergeCell ref="U232:Z232"/>
    <mergeCell ref="AA232:AA233"/>
    <mergeCell ref="AB232:AB233"/>
    <mergeCell ref="AC232:AC233"/>
    <mergeCell ref="M232:M233"/>
    <mergeCell ref="N232:N233"/>
    <mergeCell ref="O232:O233"/>
    <mergeCell ref="P232:P233"/>
    <mergeCell ref="Q232:Q233"/>
    <mergeCell ref="R232:R233"/>
    <mergeCell ref="E232:E233"/>
    <mergeCell ref="F232:F233"/>
    <mergeCell ref="I232:I233"/>
    <mergeCell ref="J232:J233"/>
    <mergeCell ref="K232:K233"/>
    <mergeCell ref="L232:L233"/>
    <mergeCell ref="A231:J231"/>
    <mergeCell ref="K231:Q231"/>
    <mergeCell ref="R231:Z231"/>
    <mergeCell ref="AA231:AG231"/>
    <mergeCell ref="AH231:AM231"/>
    <mergeCell ref="AN231:AN233"/>
    <mergeCell ref="A232:A233"/>
    <mergeCell ref="B232:B233"/>
    <mergeCell ref="C232:C233"/>
    <mergeCell ref="D232:D233"/>
    <mergeCell ref="A228:B228"/>
    <mergeCell ref="C228:AM228"/>
    <mergeCell ref="A229:B229"/>
    <mergeCell ref="C229:AM229"/>
    <mergeCell ref="A230:B230"/>
    <mergeCell ref="C230:AM230"/>
    <mergeCell ref="N219:N222"/>
    <mergeCell ref="O219:O222"/>
    <mergeCell ref="P219:P222"/>
    <mergeCell ref="Q219:Q222"/>
    <mergeCell ref="AF219:AF222"/>
    <mergeCell ref="A225:AM226"/>
    <mergeCell ref="AL217:AL218"/>
    <mergeCell ref="AM217:AM218"/>
    <mergeCell ref="A219:A222"/>
    <mergeCell ref="B219:B222"/>
    <mergeCell ref="C219:C222"/>
    <mergeCell ref="D219:D222"/>
    <mergeCell ref="F219:F222"/>
    <mergeCell ref="G219:G222"/>
    <mergeCell ref="H219:H222"/>
    <mergeCell ref="M219:M222"/>
    <mergeCell ref="AF217:AF218"/>
    <mergeCell ref="AG217:AG218"/>
    <mergeCell ref="AH217:AH218"/>
    <mergeCell ref="AI217:AI218"/>
    <mergeCell ref="AJ217:AJ218"/>
    <mergeCell ref="AK217:AK218"/>
    <mergeCell ref="U217:Z217"/>
    <mergeCell ref="AA217:AA218"/>
    <mergeCell ref="AB217:AB218"/>
    <mergeCell ref="AC217:AC218"/>
    <mergeCell ref="AD217:AD218"/>
    <mergeCell ref="AE217:AE218"/>
    <mergeCell ref="O217:O218"/>
    <mergeCell ref="P217:P218"/>
    <mergeCell ref="Q217:Q218"/>
    <mergeCell ref="R217:R218"/>
    <mergeCell ref="S217:S218"/>
    <mergeCell ref="T217:T218"/>
    <mergeCell ref="I217:I218"/>
    <mergeCell ref="J217:J218"/>
    <mergeCell ref="K217:K218"/>
    <mergeCell ref="L217:L218"/>
    <mergeCell ref="M217:M218"/>
    <mergeCell ref="N217:N218"/>
    <mergeCell ref="A217:A218"/>
    <mergeCell ref="B217:B218"/>
    <mergeCell ref="C217:C218"/>
    <mergeCell ref="D217:D218"/>
    <mergeCell ref="E217:E218"/>
    <mergeCell ref="F217:F218"/>
    <mergeCell ref="A215:B215"/>
    <mergeCell ref="C215:AM215"/>
    <mergeCell ref="A216:J216"/>
    <mergeCell ref="K216:Q216"/>
    <mergeCell ref="R216:Z216"/>
    <mergeCell ref="AA216:AG216"/>
    <mergeCell ref="AH216:AM216"/>
    <mergeCell ref="Q206:Q209"/>
    <mergeCell ref="A210:AM211"/>
    <mergeCell ref="A213:B213"/>
    <mergeCell ref="C213:AM213"/>
    <mergeCell ref="A214:B214"/>
    <mergeCell ref="C214:AM214"/>
    <mergeCell ref="K206:K209"/>
    <mergeCell ref="L206:L209"/>
    <mergeCell ref="M206:M209"/>
    <mergeCell ref="N206:N209"/>
    <mergeCell ref="O206:O209"/>
    <mergeCell ref="P206:P209"/>
    <mergeCell ref="AL204:AL205"/>
    <mergeCell ref="AM204:AM205"/>
    <mergeCell ref="A206:A209"/>
    <mergeCell ref="B206:B209"/>
    <mergeCell ref="C206:C209"/>
    <mergeCell ref="D206:D209"/>
    <mergeCell ref="F206:F209"/>
    <mergeCell ref="G206:G209"/>
    <mergeCell ref="I206:I209"/>
    <mergeCell ref="J206:J209"/>
    <mergeCell ref="AF204:AF205"/>
    <mergeCell ref="AG204:AG205"/>
    <mergeCell ref="AH204:AH205"/>
    <mergeCell ref="AI204:AI205"/>
    <mergeCell ref="AJ204:AJ205"/>
    <mergeCell ref="AK204:AK205"/>
    <mergeCell ref="U204:Z204"/>
    <mergeCell ref="AA204:AA205"/>
    <mergeCell ref="AB204:AB205"/>
    <mergeCell ref="AC204:AC205"/>
    <mergeCell ref="AD204:AD205"/>
    <mergeCell ref="AE204:AE205"/>
    <mergeCell ref="O204:O205"/>
    <mergeCell ref="P204:P205"/>
    <mergeCell ref="Q204:Q205"/>
    <mergeCell ref="R204:R205"/>
    <mergeCell ref="S204:S205"/>
    <mergeCell ref="T204:T205"/>
    <mergeCell ref="I204:I205"/>
    <mergeCell ref="J204:J205"/>
    <mergeCell ref="K204:K205"/>
    <mergeCell ref="L204:L205"/>
    <mergeCell ref="M204:M205"/>
    <mergeCell ref="N204:N205"/>
    <mergeCell ref="A204:A205"/>
    <mergeCell ref="B204:B205"/>
    <mergeCell ref="C204:C205"/>
    <mergeCell ref="D204:D205"/>
    <mergeCell ref="E204:E205"/>
    <mergeCell ref="F204:F205"/>
    <mergeCell ref="A201:B201"/>
    <mergeCell ref="C201:AM201"/>
    <mergeCell ref="A202:B202"/>
    <mergeCell ref="C202:AM202"/>
    <mergeCell ref="A203:J203"/>
    <mergeCell ref="K203:Q203"/>
    <mergeCell ref="R203:Z203"/>
    <mergeCell ref="AA203:AG203"/>
    <mergeCell ref="AH203:AM203"/>
    <mergeCell ref="AF194:AF195"/>
    <mergeCell ref="AG194:AG195"/>
    <mergeCell ref="AL194:AL195"/>
    <mergeCell ref="A197:AM198"/>
    <mergeCell ref="A200:B200"/>
    <mergeCell ref="C200:AM200"/>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6"/>
    <mergeCell ref="O194:O196"/>
    <mergeCell ref="P194:P196"/>
    <mergeCell ref="Q194:Q196"/>
    <mergeCell ref="R194:R195"/>
    <mergeCell ref="S194:S195"/>
    <mergeCell ref="H194:H196"/>
    <mergeCell ref="I194:I196"/>
    <mergeCell ref="J194:J196"/>
    <mergeCell ref="K194:K196"/>
    <mergeCell ref="L194:L196"/>
    <mergeCell ref="M194:M196"/>
    <mergeCell ref="N191:N193"/>
    <mergeCell ref="O191:O193"/>
    <mergeCell ref="P191:P193"/>
    <mergeCell ref="Q191:Q193"/>
    <mergeCell ref="A194:A196"/>
    <mergeCell ref="B194:B196"/>
    <mergeCell ref="C194:C196"/>
    <mergeCell ref="D194:D196"/>
    <mergeCell ref="F194:F196"/>
    <mergeCell ref="G194:G196"/>
    <mergeCell ref="H191:H193"/>
    <mergeCell ref="I191:I193"/>
    <mergeCell ref="J191:J193"/>
    <mergeCell ref="K191:K193"/>
    <mergeCell ref="L191:L193"/>
    <mergeCell ref="M191:M193"/>
    <mergeCell ref="O189:O190"/>
    <mergeCell ref="P189:P190"/>
    <mergeCell ref="Q189:Q190"/>
    <mergeCell ref="AL189:AL190"/>
    <mergeCell ref="A191:A193"/>
    <mergeCell ref="B191:B193"/>
    <mergeCell ref="C191:C193"/>
    <mergeCell ref="D191:D193"/>
    <mergeCell ref="F191:F193"/>
    <mergeCell ref="G191:G193"/>
    <mergeCell ref="I189:I190"/>
    <mergeCell ref="J189:J190"/>
    <mergeCell ref="K189:K190"/>
    <mergeCell ref="L189:L190"/>
    <mergeCell ref="M189:M190"/>
    <mergeCell ref="N189:N190"/>
    <mergeCell ref="AK187:AK188"/>
    <mergeCell ref="AL187:AL188"/>
    <mergeCell ref="AM187:AM188"/>
    <mergeCell ref="A189:A190"/>
    <mergeCell ref="B189:B190"/>
    <mergeCell ref="C189:C190"/>
    <mergeCell ref="D189:D190"/>
    <mergeCell ref="F189:F190"/>
    <mergeCell ref="G189:G190"/>
    <mergeCell ref="H189:H190"/>
    <mergeCell ref="AE187:AE188"/>
    <mergeCell ref="AF187:AF188"/>
    <mergeCell ref="AG187:AG188"/>
    <mergeCell ref="AH187:AH188"/>
    <mergeCell ref="AI187:AI188"/>
    <mergeCell ref="AJ187:AJ188"/>
    <mergeCell ref="T187:T188"/>
    <mergeCell ref="U187:Z187"/>
    <mergeCell ref="AA187:AA188"/>
    <mergeCell ref="AB187:AB188"/>
    <mergeCell ref="AC187:AC188"/>
    <mergeCell ref="AD187:AD188"/>
    <mergeCell ref="N187:N188"/>
    <mergeCell ref="O187:O188"/>
    <mergeCell ref="P187:P188"/>
    <mergeCell ref="Q187:Q188"/>
    <mergeCell ref="R187:R188"/>
    <mergeCell ref="S187:S188"/>
    <mergeCell ref="F187:F188"/>
    <mergeCell ref="I187:I188"/>
    <mergeCell ref="J187:J188"/>
    <mergeCell ref="K187:K188"/>
    <mergeCell ref="L187:L188"/>
    <mergeCell ref="M187:M188"/>
    <mergeCell ref="A186:J186"/>
    <mergeCell ref="K186:Q186"/>
    <mergeCell ref="R186:Z186"/>
    <mergeCell ref="AA186:AG186"/>
    <mergeCell ref="AH186:AM186"/>
    <mergeCell ref="A187:A188"/>
    <mergeCell ref="B187:B188"/>
    <mergeCell ref="C187:C188"/>
    <mergeCell ref="D187:D188"/>
    <mergeCell ref="E187:E188"/>
    <mergeCell ref="A183:B183"/>
    <mergeCell ref="C183:AM183"/>
    <mergeCell ref="A184:B184"/>
    <mergeCell ref="C184:AM184"/>
    <mergeCell ref="A185:B185"/>
    <mergeCell ref="C185:AM185"/>
    <mergeCell ref="N177:N179"/>
    <mergeCell ref="O177:O179"/>
    <mergeCell ref="P177:P179"/>
    <mergeCell ref="Q177:Q179"/>
    <mergeCell ref="AG177:AG179"/>
    <mergeCell ref="A180:AM181"/>
    <mergeCell ref="H177:H179"/>
    <mergeCell ref="I177:I179"/>
    <mergeCell ref="J177:J179"/>
    <mergeCell ref="K177:K179"/>
    <mergeCell ref="L177:L179"/>
    <mergeCell ref="M177:M179"/>
    <mergeCell ref="A177:A179"/>
    <mergeCell ref="B177:B179"/>
    <mergeCell ref="C177:C179"/>
    <mergeCell ref="D177:D179"/>
    <mergeCell ref="F177:F179"/>
    <mergeCell ref="G177:G179"/>
    <mergeCell ref="AL175:AL176"/>
    <mergeCell ref="AM175:AM176"/>
    <mergeCell ref="AN175:AN176"/>
    <mergeCell ref="AO175:AO176"/>
    <mergeCell ref="AP175:AP176"/>
    <mergeCell ref="AQ175:AQ176"/>
    <mergeCell ref="AF175:AF176"/>
    <mergeCell ref="AG175:AG176"/>
    <mergeCell ref="AH175:AH176"/>
    <mergeCell ref="AI175:AI176"/>
    <mergeCell ref="AJ175:AJ176"/>
    <mergeCell ref="AK175:AK176"/>
    <mergeCell ref="U175:Z175"/>
    <mergeCell ref="AA175:AA176"/>
    <mergeCell ref="AB175:AB176"/>
    <mergeCell ref="AC175:AC176"/>
    <mergeCell ref="AD175:AD176"/>
    <mergeCell ref="AE175:AE176"/>
    <mergeCell ref="O175:O176"/>
    <mergeCell ref="P175:P176"/>
    <mergeCell ref="Q175:Q176"/>
    <mergeCell ref="R175:R176"/>
    <mergeCell ref="S175:S176"/>
    <mergeCell ref="T175:T176"/>
    <mergeCell ref="I175:I176"/>
    <mergeCell ref="J175:J176"/>
    <mergeCell ref="K175:K176"/>
    <mergeCell ref="L175:L176"/>
    <mergeCell ref="M175:M176"/>
    <mergeCell ref="N175:N176"/>
    <mergeCell ref="A175:A176"/>
    <mergeCell ref="B175:B176"/>
    <mergeCell ref="C175:C176"/>
    <mergeCell ref="D175:D176"/>
    <mergeCell ref="E175:E176"/>
    <mergeCell ref="F175:F176"/>
    <mergeCell ref="A173:B173"/>
    <mergeCell ref="C173:AM173"/>
    <mergeCell ref="A174:J174"/>
    <mergeCell ref="K174:Q174"/>
    <mergeCell ref="R174:Z174"/>
    <mergeCell ref="AA174:AG174"/>
    <mergeCell ref="AH174:AQ174"/>
    <mergeCell ref="P163:P166"/>
    <mergeCell ref="Q163:Q166"/>
    <mergeCell ref="A168:AM169"/>
    <mergeCell ref="A171:B171"/>
    <mergeCell ref="C171:AM171"/>
    <mergeCell ref="A172:B172"/>
    <mergeCell ref="C172:AM172"/>
    <mergeCell ref="J163:J166"/>
    <mergeCell ref="K163:K166"/>
    <mergeCell ref="L163:L166"/>
    <mergeCell ref="M163:M166"/>
    <mergeCell ref="N163:N166"/>
    <mergeCell ref="O163:O166"/>
    <mergeCell ref="AL161:AL162"/>
    <mergeCell ref="AM161:AM162"/>
    <mergeCell ref="A163:A166"/>
    <mergeCell ref="B163:B166"/>
    <mergeCell ref="C163:C166"/>
    <mergeCell ref="D163:D166"/>
    <mergeCell ref="F163:F166"/>
    <mergeCell ref="G163:G166"/>
    <mergeCell ref="H163:H166"/>
    <mergeCell ref="I163:I166"/>
    <mergeCell ref="AF161:AF162"/>
    <mergeCell ref="AG161:AG162"/>
    <mergeCell ref="AH161:AH162"/>
    <mergeCell ref="AI161:AI162"/>
    <mergeCell ref="AJ161:AJ162"/>
    <mergeCell ref="AK161:AK162"/>
    <mergeCell ref="U161:Z161"/>
    <mergeCell ref="AA161:AA162"/>
    <mergeCell ref="AB161:AB162"/>
    <mergeCell ref="AC161:AC162"/>
    <mergeCell ref="AD161:AD162"/>
    <mergeCell ref="AE161:AE162"/>
    <mergeCell ref="O161:O162"/>
    <mergeCell ref="P161:P162"/>
    <mergeCell ref="Q161:Q162"/>
    <mergeCell ref="R161:R162"/>
    <mergeCell ref="S161:S162"/>
    <mergeCell ref="T161:T162"/>
    <mergeCell ref="I161:I162"/>
    <mergeCell ref="J161:J162"/>
    <mergeCell ref="K161:K162"/>
    <mergeCell ref="L161:L162"/>
    <mergeCell ref="M161:M162"/>
    <mergeCell ref="N161:N162"/>
    <mergeCell ref="A161:A162"/>
    <mergeCell ref="B161:B162"/>
    <mergeCell ref="C161:C162"/>
    <mergeCell ref="D161:D162"/>
    <mergeCell ref="E161:E162"/>
    <mergeCell ref="F161:F162"/>
    <mergeCell ref="A159:B159"/>
    <mergeCell ref="C159:AM159"/>
    <mergeCell ref="A160:J160"/>
    <mergeCell ref="K160:Q160"/>
    <mergeCell ref="R160:Z160"/>
    <mergeCell ref="AA160:AG160"/>
    <mergeCell ref="AH160:AM160"/>
    <mergeCell ref="P149:P151"/>
    <mergeCell ref="Q149:Q152"/>
    <mergeCell ref="A154:AM155"/>
    <mergeCell ref="A157:B157"/>
    <mergeCell ref="C157:AM157"/>
    <mergeCell ref="A158:B158"/>
    <mergeCell ref="C158:AM158"/>
    <mergeCell ref="J149:J152"/>
    <mergeCell ref="K149:K152"/>
    <mergeCell ref="L149:L152"/>
    <mergeCell ref="M149:M152"/>
    <mergeCell ref="N149:N151"/>
    <mergeCell ref="O149:O152"/>
    <mergeCell ref="AL147:AL148"/>
    <mergeCell ref="AM147:AM148"/>
    <mergeCell ref="A149:A151"/>
    <mergeCell ref="B149:B151"/>
    <mergeCell ref="C149:C151"/>
    <mergeCell ref="D149:D151"/>
    <mergeCell ref="F149:F152"/>
    <mergeCell ref="G149:G152"/>
    <mergeCell ref="H149:H152"/>
    <mergeCell ref="I149:I151"/>
    <mergeCell ref="AF147:AF148"/>
    <mergeCell ref="AG147:AG148"/>
    <mergeCell ref="AH147:AH148"/>
    <mergeCell ref="AI147:AI148"/>
    <mergeCell ref="AJ147:AJ148"/>
    <mergeCell ref="AK147:AK148"/>
    <mergeCell ref="U147:Z147"/>
    <mergeCell ref="AA147:AA148"/>
    <mergeCell ref="AB147:AB148"/>
    <mergeCell ref="AC147:AC148"/>
    <mergeCell ref="AD147:AD148"/>
    <mergeCell ref="AE147:AE148"/>
    <mergeCell ref="O147:O148"/>
    <mergeCell ref="P147:P148"/>
    <mergeCell ref="Q147:Q148"/>
    <mergeCell ref="R147:R148"/>
    <mergeCell ref="S147:S148"/>
    <mergeCell ref="T147:T148"/>
    <mergeCell ref="I147:I148"/>
    <mergeCell ref="J147:J148"/>
    <mergeCell ref="K147:K148"/>
    <mergeCell ref="L147:L148"/>
    <mergeCell ref="M147:M148"/>
    <mergeCell ref="N147:N148"/>
    <mergeCell ref="A147:A148"/>
    <mergeCell ref="B147:B148"/>
    <mergeCell ref="C147:C148"/>
    <mergeCell ref="D147:D148"/>
    <mergeCell ref="E147:E148"/>
    <mergeCell ref="F147:F148"/>
    <mergeCell ref="A145:B145"/>
    <mergeCell ref="C145:AM145"/>
    <mergeCell ref="A146:J146"/>
    <mergeCell ref="K146:Q146"/>
    <mergeCell ref="R146:Z146"/>
    <mergeCell ref="AA146:AG146"/>
    <mergeCell ref="AH146:AM146"/>
    <mergeCell ref="I136:I137"/>
    <mergeCell ref="N136:N137"/>
    <mergeCell ref="A140:AM141"/>
    <mergeCell ref="A143:B143"/>
    <mergeCell ref="C143:AM143"/>
    <mergeCell ref="A144:B144"/>
    <mergeCell ref="C144:AM144"/>
    <mergeCell ref="AK130:AK131"/>
    <mergeCell ref="AL130:AL131"/>
    <mergeCell ref="AM130:AM131"/>
    <mergeCell ref="AN130:AN131"/>
    <mergeCell ref="AO132:AO138"/>
    <mergeCell ref="B136:B137"/>
    <mergeCell ref="C136:C137"/>
    <mergeCell ref="D136:D137"/>
    <mergeCell ref="F136:F137"/>
    <mergeCell ref="G136:G137"/>
    <mergeCell ref="AE130:AE131"/>
    <mergeCell ref="AF130:AF131"/>
    <mergeCell ref="AG130:AG131"/>
    <mergeCell ref="AH130:AH131"/>
    <mergeCell ref="AI130:AI131"/>
    <mergeCell ref="AJ130:AJ131"/>
    <mergeCell ref="T130:T131"/>
    <mergeCell ref="U130:Z130"/>
    <mergeCell ref="AA130:AA131"/>
    <mergeCell ref="AB130:AB131"/>
    <mergeCell ref="AC130:AC131"/>
    <mergeCell ref="AD130:AD131"/>
    <mergeCell ref="N130:N131"/>
    <mergeCell ref="O130:O131"/>
    <mergeCell ref="P130:P131"/>
    <mergeCell ref="Q130:Q131"/>
    <mergeCell ref="R130:R131"/>
    <mergeCell ref="S130:S131"/>
    <mergeCell ref="F130:F131"/>
    <mergeCell ref="I130:I131"/>
    <mergeCell ref="J130:J131"/>
    <mergeCell ref="K130:K131"/>
    <mergeCell ref="L130:L131"/>
    <mergeCell ref="M130:M131"/>
    <mergeCell ref="A129:J129"/>
    <mergeCell ref="K129:Q129"/>
    <mergeCell ref="R129:Z129"/>
    <mergeCell ref="AA129:AG129"/>
    <mergeCell ref="AH129:AM129"/>
    <mergeCell ref="A130:A131"/>
    <mergeCell ref="B130:B131"/>
    <mergeCell ref="C130:C131"/>
    <mergeCell ref="D130:D131"/>
    <mergeCell ref="E130:E131"/>
    <mergeCell ref="A123:AM124"/>
    <mergeCell ref="A126:B126"/>
    <mergeCell ref="C126:AM126"/>
    <mergeCell ref="A127:B127"/>
    <mergeCell ref="C127:AM127"/>
    <mergeCell ref="A128:B128"/>
    <mergeCell ref="C128:AM128"/>
    <mergeCell ref="L121:L122"/>
    <mergeCell ref="M121:M122"/>
    <mergeCell ref="O121:O122"/>
    <mergeCell ref="P121:P122"/>
    <mergeCell ref="Q121:Q122"/>
    <mergeCell ref="R121:R122"/>
    <mergeCell ref="F121:F122"/>
    <mergeCell ref="G121:G122"/>
    <mergeCell ref="H121:H122"/>
    <mergeCell ref="I121:I122"/>
    <mergeCell ref="J121:J122"/>
    <mergeCell ref="K121:K122"/>
    <mergeCell ref="AC119:AC120"/>
    <mergeCell ref="AD119:AD120"/>
    <mergeCell ref="AE119:AE120"/>
    <mergeCell ref="AF119:AF120"/>
    <mergeCell ref="AG119:AG120"/>
    <mergeCell ref="A121:A122"/>
    <mergeCell ref="B121:B122"/>
    <mergeCell ref="C121:C122"/>
    <mergeCell ref="D121:D122"/>
    <mergeCell ref="E121:E122"/>
    <mergeCell ref="W119:W120"/>
    <mergeCell ref="X119:X120"/>
    <mergeCell ref="Y119:Y120"/>
    <mergeCell ref="Z119:Z120"/>
    <mergeCell ref="AA119:AA120"/>
    <mergeCell ref="AB119:AB120"/>
    <mergeCell ref="P119:P120"/>
    <mergeCell ref="Q119:Q120"/>
    <mergeCell ref="S119:S120"/>
    <mergeCell ref="T119:T120"/>
    <mergeCell ref="U119:U120"/>
    <mergeCell ref="V119:V120"/>
    <mergeCell ref="J119:J120"/>
    <mergeCell ref="K119:K120"/>
    <mergeCell ref="L119:L120"/>
    <mergeCell ref="M119:M120"/>
    <mergeCell ref="N119:N120"/>
    <mergeCell ref="O119:O120"/>
    <mergeCell ref="AK116:AK118"/>
    <mergeCell ref="E117:E118"/>
    <mergeCell ref="A119:A120"/>
    <mergeCell ref="B119:B120"/>
    <mergeCell ref="C119:C120"/>
    <mergeCell ref="D119:D120"/>
    <mergeCell ref="F119:F120"/>
    <mergeCell ref="G119:G120"/>
    <mergeCell ref="H119:H120"/>
    <mergeCell ref="I119:I120"/>
    <mergeCell ref="AD116:AD118"/>
    <mergeCell ref="AE116:AE118"/>
    <mergeCell ref="AF116:AF118"/>
    <mergeCell ref="AG116:AG118"/>
    <mergeCell ref="AI116:AI118"/>
    <mergeCell ref="AJ116:AJ118"/>
    <mergeCell ref="N116:N118"/>
    <mergeCell ref="O116:O118"/>
    <mergeCell ref="P116:P118"/>
    <mergeCell ref="Q116:Q118"/>
    <mergeCell ref="AB116:AB118"/>
    <mergeCell ref="AC116:AC118"/>
    <mergeCell ref="H116:H118"/>
    <mergeCell ref="I116:I118"/>
    <mergeCell ref="J116:J118"/>
    <mergeCell ref="K116:K118"/>
    <mergeCell ref="L116:L118"/>
    <mergeCell ref="M116:M118"/>
    <mergeCell ref="AJ114:AJ115"/>
    <mergeCell ref="AK114:AK115"/>
    <mergeCell ref="AL114:AL115"/>
    <mergeCell ref="AM114:AM115"/>
    <mergeCell ref="A116:A118"/>
    <mergeCell ref="B116:B118"/>
    <mergeCell ref="C116:C118"/>
    <mergeCell ref="D116:D118"/>
    <mergeCell ref="F116:F118"/>
    <mergeCell ref="G116:G118"/>
    <mergeCell ref="AD114:AD115"/>
    <mergeCell ref="AE114:AE115"/>
    <mergeCell ref="AF114:AF115"/>
    <mergeCell ref="AG114:AG115"/>
    <mergeCell ref="AH114:AH115"/>
    <mergeCell ref="AI114:AI115"/>
    <mergeCell ref="S114:S115"/>
    <mergeCell ref="T114:T115"/>
    <mergeCell ref="U114:Z114"/>
    <mergeCell ref="AA114:AA115"/>
    <mergeCell ref="AB114:AB115"/>
    <mergeCell ref="AC114:AC115"/>
    <mergeCell ref="M114:M115"/>
    <mergeCell ref="N114:N115"/>
    <mergeCell ref="O114:O115"/>
    <mergeCell ref="P114:P115"/>
    <mergeCell ref="Q114:Q115"/>
    <mergeCell ref="R114:R115"/>
    <mergeCell ref="G114:G115"/>
    <mergeCell ref="H114:H115"/>
    <mergeCell ref="I114:I115"/>
    <mergeCell ref="J114:J115"/>
    <mergeCell ref="K114:K115"/>
    <mergeCell ref="L114:L115"/>
    <mergeCell ref="A114:A115"/>
    <mergeCell ref="B114:B115"/>
    <mergeCell ref="C114:C115"/>
    <mergeCell ref="D114:D115"/>
    <mergeCell ref="E114:E115"/>
    <mergeCell ref="F114:F115"/>
    <mergeCell ref="A111:B111"/>
    <mergeCell ref="C111:AM111"/>
    <mergeCell ref="A112:B112"/>
    <mergeCell ref="C112:AM112"/>
    <mergeCell ref="A113:J113"/>
    <mergeCell ref="K113:Q113"/>
    <mergeCell ref="R113:Z113"/>
    <mergeCell ref="AA113:AG113"/>
    <mergeCell ref="AH113:AM113"/>
    <mergeCell ref="N105:N106"/>
    <mergeCell ref="O105:O106"/>
    <mergeCell ref="P105:P106"/>
    <mergeCell ref="Q105:Q106"/>
    <mergeCell ref="A107:AM108"/>
    <mergeCell ref="A110:B110"/>
    <mergeCell ref="C110:AM110"/>
    <mergeCell ref="H105:H106"/>
    <mergeCell ref="I105:I106"/>
    <mergeCell ref="J105:J106"/>
    <mergeCell ref="K105:K106"/>
    <mergeCell ref="L105:L106"/>
    <mergeCell ref="M105:M106"/>
    <mergeCell ref="AH102:AH103"/>
    <mergeCell ref="AI102:AI103"/>
    <mergeCell ref="AJ102:AJ103"/>
    <mergeCell ref="AK102:AK103"/>
    <mergeCell ref="AL102:AL103"/>
    <mergeCell ref="A105:A106"/>
    <mergeCell ref="B105:B106"/>
    <mergeCell ref="C105:C106"/>
    <mergeCell ref="D105:D106"/>
    <mergeCell ref="F105:F106"/>
    <mergeCell ref="AB101:AB102"/>
    <mergeCell ref="AC101:AC102"/>
    <mergeCell ref="AD101:AD102"/>
    <mergeCell ref="AE101:AE102"/>
    <mergeCell ref="AF101:AF102"/>
    <mergeCell ref="AG101:AG102"/>
    <mergeCell ref="V101:V102"/>
    <mergeCell ref="W101:W102"/>
    <mergeCell ref="X101:X102"/>
    <mergeCell ref="Y101:Y102"/>
    <mergeCell ref="Z101:Z102"/>
    <mergeCell ref="AA101:AA102"/>
    <mergeCell ref="Q100:Q104"/>
    <mergeCell ref="E101:E102"/>
    <mergeCell ref="R101:R102"/>
    <mergeCell ref="S101:S102"/>
    <mergeCell ref="T101:T102"/>
    <mergeCell ref="U101:U102"/>
    <mergeCell ref="K100:K104"/>
    <mergeCell ref="L100:L104"/>
    <mergeCell ref="M100:M104"/>
    <mergeCell ref="N100:N104"/>
    <mergeCell ref="O100:O104"/>
    <mergeCell ref="P100:P104"/>
    <mergeCell ref="AL98:AL99"/>
    <mergeCell ref="A100:A104"/>
    <mergeCell ref="B100:B104"/>
    <mergeCell ref="C100:C104"/>
    <mergeCell ref="D100:D104"/>
    <mergeCell ref="F100:F104"/>
    <mergeCell ref="G100:G106"/>
    <mergeCell ref="H100:H104"/>
    <mergeCell ref="I100:I104"/>
    <mergeCell ref="J100:J104"/>
    <mergeCell ref="AF98:AF99"/>
    <mergeCell ref="AG98:AG99"/>
    <mergeCell ref="AH98:AH99"/>
    <mergeCell ref="AI98:AI99"/>
    <mergeCell ref="AJ98:AJ99"/>
    <mergeCell ref="AK98:AK99"/>
    <mergeCell ref="U98:Z98"/>
    <mergeCell ref="AA98:AA99"/>
    <mergeCell ref="AB98:AB99"/>
    <mergeCell ref="AC98:AC99"/>
    <mergeCell ref="AD98:AD99"/>
    <mergeCell ref="AE98:AE99"/>
    <mergeCell ref="O98:O99"/>
    <mergeCell ref="P98:P99"/>
    <mergeCell ref="Q98:Q99"/>
    <mergeCell ref="R98:R99"/>
    <mergeCell ref="S98:S99"/>
    <mergeCell ref="T98:T99"/>
    <mergeCell ref="I98:I99"/>
    <mergeCell ref="J98:J99"/>
    <mergeCell ref="K98:K99"/>
    <mergeCell ref="L98:L99"/>
    <mergeCell ref="M98:M99"/>
    <mergeCell ref="N98:N99"/>
    <mergeCell ref="A95:B95"/>
    <mergeCell ref="C95:AL95"/>
    <mergeCell ref="A96:B96"/>
    <mergeCell ref="C96:AL96"/>
    <mergeCell ref="A98:A99"/>
    <mergeCell ref="B98:B99"/>
    <mergeCell ref="C98:C99"/>
    <mergeCell ref="D98:D99"/>
    <mergeCell ref="E98:E99"/>
    <mergeCell ref="F98:F99"/>
    <mergeCell ref="N88:N89"/>
    <mergeCell ref="O88:O89"/>
    <mergeCell ref="P88:P89"/>
    <mergeCell ref="Q88:Q89"/>
    <mergeCell ref="A91:AL92"/>
    <mergeCell ref="A94:B94"/>
    <mergeCell ref="C94:AL94"/>
    <mergeCell ref="H88:H89"/>
    <mergeCell ref="I88:I89"/>
    <mergeCell ref="J88:J89"/>
    <mergeCell ref="K88:K89"/>
    <mergeCell ref="L88:L89"/>
    <mergeCell ref="M88:M89"/>
    <mergeCell ref="AG86:AG87"/>
    <mergeCell ref="AH86:AH87"/>
    <mergeCell ref="AI86:AI87"/>
    <mergeCell ref="AJ86:AJ87"/>
    <mergeCell ref="AK86:AK87"/>
    <mergeCell ref="A88:A89"/>
    <mergeCell ref="B88:B89"/>
    <mergeCell ref="C88:C89"/>
    <mergeCell ref="D88:D89"/>
    <mergeCell ref="F88:F89"/>
    <mergeCell ref="L86:L87"/>
    <mergeCell ref="M86:M87"/>
    <mergeCell ref="N86:N87"/>
    <mergeCell ref="O86:O87"/>
    <mergeCell ref="P86:P87"/>
    <mergeCell ref="Q86:Q87"/>
    <mergeCell ref="AL84:AL85"/>
    <mergeCell ref="A86:A87"/>
    <mergeCell ref="B86:B87"/>
    <mergeCell ref="C86:C87"/>
    <mergeCell ref="D86:D87"/>
    <mergeCell ref="F86:F87"/>
    <mergeCell ref="H86:H87"/>
    <mergeCell ref="I86:I87"/>
    <mergeCell ref="J86:J87"/>
    <mergeCell ref="K86:K87"/>
    <mergeCell ref="AF84:AF85"/>
    <mergeCell ref="AG84:AG85"/>
    <mergeCell ref="AH84:AH85"/>
    <mergeCell ref="AI84:AI85"/>
    <mergeCell ref="AJ84:AJ85"/>
    <mergeCell ref="AK84:AK85"/>
    <mergeCell ref="U84:Z84"/>
    <mergeCell ref="AA84:AA85"/>
    <mergeCell ref="AB84:AB85"/>
    <mergeCell ref="AC84:AC85"/>
    <mergeCell ref="AD84:AD85"/>
    <mergeCell ref="AE84:AE85"/>
    <mergeCell ref="O84:O85"/>
    <mergeCell ref="P84:P85"/>
    <mergeCell ref="Q84:Q85"/>
    <mergeCell ref="R84:R85"/>
    <mergeCell ref="S84:S85"/>
    <mergeCell ref="T84:T85"/>
    <mergeCell ref="I84:I85"/>
    <mergeCell ref="J84:J85"/>
    <mergeCell ref="K84:K85"/>
    <mergeCell ref="L84:L85"/>
    <mergeCell ref="M84:M85"/>
    <mergeCell ref="N84:N85"/>
    <mergeCell ref="A84:A85"/>
    <mergeCell ref="B84:B85"/>
    <mergeCell ref="C84:C85"/>
    <mergeCell ref="D84:D85"/>
    <mergeCell ref="E84:E85"/>
    <mergeCell ref="F84:F85"/>
    <mergeCell ref="A82:B82"/>
    <mergeCell ref="C82:AL82"/>
    <mergeCell ref="A83:J83"/>
    <mergeCell ref="K83:Q83"/>
    <mergeCell ref="R83:Z83"/>
    <mergeCell ref="AA83:AG83"/>
    <mergeCell ref="AH83:AL83"/>
    <mergeCell ref="AJ71:AJ73"/>
    <mergeCell ref="AK71:AK73"/>
    <mergeCell ref="A77:AL78"/>
    <mergeCell ref="A80:B80"/>
    <mergeCell ref="C80:AL80"/>
    <mergeCell ref="A81:B81"/>
    <mergeCell ref="C81:AL81"/>
    <mergeCell ref="N71:N75"/>
    <mergeCell ref="O71:O75"/>
    <mergeCell ref="P71:P75"/>
    <mergeCell ref="Q71:Q75"/>
    <mergeCell ref="AH71:AH73"/>
    <mergeCell ref="AI71:AI73"/>
    <mergeCell ref="H71:H75"/>
    <mergeCell ref="I71:I75"/>
    <mergeCell ref="J71:J75"/>
    <mergeCell ref="K71:K75"/>
    <mergeCell ref="L71:L75"/>
    <mergeCell ref="M71:M75"/>
    <mergeCell ref="AK69:AK70"/>
    <mergeCell ref="AL69:AL70"/>
    <mergeCell ref="AM69:AM70"/>
    <mergeCell ref="A71:A75"/>
    <mergeCell ref="B71:B75"/>
    <mergeCell ref="C71:C75"/>
    <mergeCell ref="D71:D75"/>
    <mergeCell ref="E71:E72"/>
    <mergeCell ref="F71:F75"/>
    <mergeCell ref="G71:G75"/>
    <mergeCell ref="AE69:AE70"/>
    <mergeCell ref="AF69:AF70"/>
    <mergeCell ref="AG69:AG70"/>
    <mergeCell ref="AH69:AH70"/>
    <mergeCell ref="AI69:AI70"/>
    <mergeCell ref="AJ69:AJ70"/>
    <mergeCell ref="T69:T70"/>
    <mergeCell ref="U69:Z69"/>
    <mergeCell ref="AA69:AA70"/>
    <mergeCell ref="AB69:AB70"/>
    <mergeCell ref="AC69:AC70"/>
    <mergeCell ref="AD69:AD70"/>
    <mergeCell ref="N69:N70"/>
    <mergeCell ref="O69:O70"/>
    <mergeCell ref="P69:P70"/>
    <mergeCell ref="Q69:Q70"/>
    <mergeCell ref="R69:R70"/>
    <mergeCell ref="S69:S70"/>
    <mergeCell ref="G69:G70"/>
    <mergeCell ref="I69:I70"/>
    <mergeCell ref="J69:J70"/>
    <mergeCell ref="K69:K70"/>
    <mergeCell ref="L69:L70"/>
    <mergeCell ref="M69:M70"/>
    <mergeCell ref="A69:A70"/>
    <mergeCell ref="B69:B70"/>
    <mergeCell ref="C69:C70"/>
    <mergeCell ref="D69:D70"/>
    <mergeCell ref="E69:E70"/>
    <mergeCell ref="F69:F70"/>
    <mergeCell ref="A66:B66"/>
    <mergeCell ref="C66:AM66"/>
    <mergeCell ref="A67:B67"/>
    <mergeCell ref="C67:AM67"/>
    <mergeCell ref="A68:J68"/>
    <mergeCell ref="K68:Q68"/>
    <mergeCell ref="R68:Z68"/>
    <mergeCell ref="AA68:AG68"/>
    <mergeCell ref="AH68:AM68"/>
    <mergeCell ref="J59:J61"/>
    <mergeCell ref="K59:K61"/>
    <mergeCell ref="L59:L61"/>
    <mergeCell ref="M59:M61"/>
    <mergeCell ref="A62:AM63"/>
    <mergeCell ref="A65:B65"/>
    <mergeCell ref="C65:AM65"/>
    <mergeCell ref="AK57:AK58"/>
    <mergeCell ref="AL57:AL58"/>
    <mergeCell ref="AM57:AM58"/>
    <mergeCell ref="B59:B61"/>
    <mergeCell ref="C59:C61"/>
    <mergeCell ref="D59:D61"/>
    <mergeCell ref="F59:F61"/>
    <mergeCell ref="G59:G61"/>
    <mergeCell ref="H59:H61"/>
    <mergeCell ref="I59:I61"/>
    <mergeCell ref="X57:X58"/>
    <mergeCell ref="Y57:Y58"/>
    <mergeCell ref="Z57:Z58"/>
    <mergeCell ref="AH57:AH58"/>
    <mergeCell ref="AI57:AI58"/>
    <mergeCell ref="AJ57:AJ58"/>
    <mergeCell ref="I57:I58"/>
    <mergeCell ref="J57:J58"/>
    <mergeCell ref="K57:K58"/>
    <mergeCell ref="L57:L58"/>
    <mergeCell ref="M57:M58"/>
    <mergeCell ref="T57:T58"/>
    <mergeCell ref="AJ55:AJ56"/>
    <mergeCell ref="AK55:AK56"/>
    <mergeCell ref="AL55:AL56"/>
    <mergeCell ref="AM55:AM56"/>
    <mergeCell ref="B57:B58"/>
    <mergeCell ref="C57:C58"/>
    <mergeCell ref="D57:D58"/>
    <mergeCell ref="F57:F58"/>
    <mergeCell ref="G57:G58"/>
    <mergeCell ref="H57:H58"/>
    <mergeCell ref="AD55:AD56"/>
    <mergeCell ref="AE55:AE56"/>
    <mergeCell ref="AF55:AF56"/>
    <mergeCell ref="AG55:AG56"/>
    <mergeCell ref="AH55:AH56"/>
    <mergeCell ref="AI55:AI56"/>
    <mergeCell ref="X55:X56"/>
    <mergeCell ref="Y55:Y56"/>
    <mergeCell ref="Z55:Z56"/>
    <mergeCell ref="AA55:AA56"/>
    <mergeCell ref="AB55:AB56"/>
    <mergeCell ref="AC55:AC56"/>
    <mergeCell ref="Q55:Q61"/>
    <mergeCell ref="S55:S56"/>
    <mergeCell ref="T55:T56"/>
    <mergeCell ref="U55:U56"/>
    <mergeCell ref="V55:V56"/>
    <mergeCell ref="W55:W56"/>
    <mergeCell ref="U57:U58"/>
    <mergeCell ref="V57:V58"/>
    <mergeCell ref="W57:W58"/>
    <mergeCell ref="K55:K56"/>
    <mergeCell ref="L55:L56"/>
    <mergeCell ref="M55:M56"/>
    <mergeCell ref="N55:N61"/>
    <mergeCell ref="O55:O61"/>
    <mergeCell ref="P55:P56"/>
    <mergeCell ref="AK53:AK54"/>
    <mergeCell ref="AL53:AL54"/>
    <mergeCell ref="AM53:AM54"/>
    <mergeCell ref="A55:A56"/>
    <mergeCell ref="B55:B56"/>
    <mergeCell ref="C55:C56"/>
    <mergeCell ref="D55:D56"/>
    <mergeCell ref="F55:F56"/>
    <mergeCell ref="G55:G56"/>
    <mergeCell ref="J55:J56"/>
    <mergeCell ref="AE53:AE54"/>
    <mergeCell ref="AF53:AF54"/>
    <mergeCell ref="AG53:AG54"/>
    <mergeCell ref="AH53:AH54"/>
    <mergeCell ref="AI53:AI54"/>
    <mergeCell ref="AJ53:AJ54"/>
    <mergeCell ref="T53:T54"/>
    <mergeCell ref="U53:Z53"/>
    <mergeCell ref="AA53:AA54"/>
    <mergeCell ref="AB53:AB54"/>
    <mergeCell ref="AC53:AC54"/>
    <mergeCell ref="AD53:AD54"/>
    <mergeCell ref="N53:N54"/>
    <mergeCell ref="O53:O54"/>
    <mergeCell ref="P53:P54"/>
    <mergeCell ref="Q53:Q54"/>
    <mergeCell ref="R53:R54"/>
    <mergeCell ref="S53:S54"/>
    <mergeCell ref="F53:F54"/>
    <mergeCell ref="I53:I54"/>
    <mergeCell ref="J53:J54"/>
    <mergeCell ref="K53:K54"/>
    <mergeCell ref="L53:L54"/>
    <mergeCell ref="M53:M54"/>
    <mergeCell ref="A52:J52"/>
    <mergeCell ref="K52:Q52"/>
    <mergeCell ref="R52:Z52"/>
    <mergeCell ref="AA52:AG52"/>
    <mergeCell ref="AH52:AM52"/>
    <mergeCell ref="A53:A54"/>
    <mergeCell ref="B53:B54"/>
    <mergeCell ref="C53:C54"/>
    <mergeCell ref="D53:D54"/>
    <mergeCell ref="E53:E54"/>
    <mergeCell ref="A49:B49"/>
    <mergeCell ref="C49:AM49"/>
    <mergeCell ref="A50:B50"/>
    <mergeCell ref="C50:AM50"/>
    <mergeCell ref="A51:B51"/>
    <mergeCell ref="C51:AM51"/>
    <mergeCell ref="AO42:AO45"/>
    <mergeCell ref="AP42:AP45"/>
    <mergeCell ref="AQ42:AQ45"/>
    <mergeCell ref="AR42:AR45"/>
    <mergeCell ref="AS42:AS45"/>
    <mergeCell ref="A46:AM47"/>
    <mergeCell ref="AI42:AI45"/>
    <mergeCell ref="AJ42:AJ45"/>
    <mergeCell ref="AK42:AK45"/>
    <mergeCell ref="AL42:AL45"/>
    <mergeCell ref="AM42:AM45"/>
    <mergeCell ref="AN42:AN45"/>
    <mergeCell ref="N42:N45"/>
    <mergeCell ref="O42:O45"/>
    <mergeCell ref="P42:P45"/>
    <mergeCell ref="Q42:Q45"/>
    <mergeCell ref="AG42:AG45"/>
    <mergeCell ref="AH42:AH45"/>
    <mergeCell ref="H42:H45"/>
    <mergeCell ref="I42:I45"/>
    <mergeCell ref="J42:J45"/>
    <mergeCell ref="K42:K45"/>
    <mergeCell ref="L42:L45"/>
    <mergeCell ref="M42:M45"/>
    <mergeCell ref="AP37:AP41"/>
    <mergeCell ref="AQ37:AQ41"/>
    <mergeCell ref="AR37:AR41"/>
    <mergeCell ref="AS37:AS41"/>
    <mergeCell ref="A42:A45"/>
    <mergeCell ref="B42:B45"/>
    <mergeCell ref="C42:C45"/>
    <mergeCell ref="D42:D45"/>
    <mergeCell ref="F42:F45"/>
    <mergeCell ref="G42:G45"/>
    <mergeCell ref="AJ37:AJ41"/>
    <mergeCell ref="AK37:AK41"/>
    <mergeCell ref="AL37:AL41"/>
    <mergeCell ref="AM37:AM41"/>
    <mergeCell ref="AN37:AN41"/>
    <mergeCell ref="AO37:AO41"/>
    <mergeCell ref="O37:O41"/>
    <mergeCell ref="P37:P41"/>
    <mergeCell ref="Q37:Q41"/>
    <mergeCell ref="AG37:AG41"/>
    <mergeCell ref="AH37:AH41"/>
    <mergeCell ref="AI37:AI41"/>
    <mergeCell ref="I37:I41"/>
    <mergeCell ref="J37:J41"/>
    <mergeCell ref="K37:K41"/>
    <mergeCell ref="L37:L41"/>
    <mergeCell ref="M37:M41"/>
    <mergeCell ref="N37:N41"/>
    <mergeCell ref="AQ35:AQ36"/>
    <mergeCell ref="AR35:AR36"/>
    <mergeCell ref="AS35:AS36"/>
    <mergeCell ref="A37:A41"/>
    <mergeCell ref="B37:B41"/>
    <mergeCell ref="C37:C41"/>
    <mergeCell ref="D37:D41"/>
    <mergeCell ref="F37:F41"/>
    <mergeCell ref="G37:G41"/>
    <mergeCell ref="H37:H41"/>
    <mergeCell ref="AK35:AK36"/>
    <mergeCell ref="AL35:AL36"/>
    <mergeCell ref="AM35:AM36"/>
    <mergeCell ref="AN35:AN36"/>
    <mergeCell ref="AO35:AO36"/>
    <mergeCell ref="AP35:AP36"/>
    <mergeCell ref="AE35:AE36"/>
    <mergeCell ref="AF35:AF36"/>
    <mergeCell ref="AG35:AG36"/>
    <mergeCell ref="AH35:AH36"/>
    <mergeCell ref="AI35:AI36"/>
    <mergeCell ref="AJ35:AJ36"/>
    <mergeCell ref="T35:T36"/>
    <mergeCell ref="U35:Z35"/>
    <mergeCell ref="AA35:AA36"/>
    <mergeCell ref="AB35:AB36"/>
    <mergeCell ref="AC35:AC36"/>
    <mergeCell ref="AD35:AD36"/>
    <mergeCell ref="N35:N36"/>
    <mergeCell ref="O35:O36"/>
    <mergeCell ref="P35:P36"/>
    <mergeCell ref="Q35:Q36"/>
    <mergeCell ref="R35:R36"/>
    <mergeCell ref="S35:S36"/>
    <mergeCell ref="G35:G36"/>
    <mergeCell ref="I35:I36"/>
    <mergeCell ref="J35:J36"/>
    <mergeCell ref="K35:K36"/>
    <mergeCell ref="L35:L36"/>
    <mergeCell ref="M35:M36"/>
    <mergeCell ref="A35:A36"/>
    <mergeCell ref="B35:B36"/>
    <mergeCell ref="C35:C36"/>
    <mergeCell ref="D35:D36"/>
    <mergeCell ref="E35:E36"/>
    <mergeCell ref="F35:F36"/>
    <mergeCell ref="A33:B33"/>
    <mergeCell ref="C33:AM33"/>
    <mergeCell ref="A34:J34"/>
    <mergeCell ref="K34:Q34"/>
    <mergeCell ref="R34:Z34"/>
    <mergeCell ref="AA34:AG34"/>
    <mergeCell ref="AH34:AS34"/>
    <mergeCell ref="BA26:BA27"/>
    <mergeCell ref="A28:AM29"/>
    <mergeCell ref="A31:B31"/>
    <mergeCell ref="C31:AM31"/>
    <mergeCell ref="A32:B32"/>
    <mergeCell ref="C32:AM32"/>
    <mergeCell ref="AU26:AU27"/>
    <mergeCell ref="AV26:AV27"/>
    <mergeCell ref="AW26:AW27"/>
    <mergeCell ref="AX26:AX27"/>
    <mergeCell ref="AY26:AY27"/>
    <mergeCell ref="AZ26:AZ27"/>
    <mergeCell ref="AO26:AO27"/>
    <mergeCell ref="AP26:AP27"/>
    <mergeCell ref="AQ26:AQ27"/>
    <mergeCell ref="AR26:AR27"/>
    <mergeCell ref="AS26:AS27"/>
    <mergeCell ref="AT26:AT27"/>
    <mergeCell ref="AI26:AI27"/>
    <mergeCell ref="AJ26:AJ27"/>
    <mergeCell ref="AK26:AK27"/>
    <mergeCell ref="AL26:AL27"/>
    <mergeCell ref="AM26:AM27"/>
    <mergeCell ref="AN26:AN27"/>
    <mergeCell ref="O26:O27"/>
    <mergeCell ref="P26:P27"/>
    <mergeCell ref="Q26:Q27"/>
    <mergeCell ref="R26:R27"/>
    <mergeCell ref="AG26:AG27"/>
    <mergeCell ref="AH26:AH27"/>
    <mergeCell ref="I26:I27"/>
    <mergeCell ref="J26:J27"/>
    <mergeCell ref="K26:K27"/>
    <mergeCell ref="L26:L27"/>
    <mergeCell ref="M26:M27"/>
    <mergeCell ref="N26:N27"/>
    <mergeCell ref="AX24:AX25"/>
    <mergeCell ref="AY24:AY25"/>
    <mergeCell ref="BA24:BA25"/>
    <mergeCell ref="A26:A27"/>
    <mergeCell ref="B26:B27"/>
    <mergeCell ref="C26:C27"/>
    <mergeCell ref="D26:D27"/>
    <mergeCell ref="F26:F27"/>
    <mergeCell ref="G26:G27"/>
    <mergeCell ref="H26:H27"/>
    <mergeCell ref="AO24:AO25"/>
    <mergeCell ref="AP24:AP25"/>
    <mergeCell ref="AR24:AR25"/>
    <mergeCell ref="AS24:AS25"/>
    <mergeCell ref="AU24:AU25"/>
    <mergeCell ref="AV24:AV25"/>
    <mergeCell ref="Q24:Q25"/>
    <mergeCell ref="AG24:AG25"/>
    <mergeCell ref="AI24:AI25"/>
    <mergeCell ref="AJ24:AJ25"/>
    <mergeCell ref="AL24:AL25"/>
    <mergeCell ref="AM24:AM25"/>
    <mergeCell ref="K24:K25"/>
    <mergeCell ref="L24:L25"/>
    <mergeCell ref="M24:M25"/>
    <mergeCell ref="N24:N25"/>
    <mergeCell ref="O24:O25"/>
    <mergeCell ref="P24:P25"/>
    <mergeCell ref="BA21:BA22"/>
    <mergeCell ref="A24:A25"/>
    <mergeCell ref="B24:B25"/>
    <mergeCell ref="C24:C25"/>
    <mergeCell ref="D24:D25"/>
    <mergeCell ref="F24:F25"/>
    <mergeCell ref="G24:G25"/>
    <mergeCell ref="H24:H25"/>
    <mergeCell ref="I24:I25"/>
    <mergeCell ref="J24:J25"/>
    <mergeCell ref="AR21:AR22"/>
    <mergeCell ref="AS21:AS22"/>
    <mergeCell ref="AU21:AU22"/>
    <mergeCell ref="AV21:AV22"/>
    <mergeCell ref="AX21:AX22"/>
    <mergeCell ref="AY21:AY22"/>
    <mergeCell ref="AI21:AI22"/>
    <mergeCell ref="AJ21:AJ22"/>
    <mergeCell ref="AL21:AL22"/>
    <mergeCell ref="AM21:AM22"/>
    <mergeCell ref="AO21:AO22"/>
    <mergeCell ref="AP21:AP22"/>
    <mergeCell ref="M21:M23"/>
    <mergeCell ref="N21:N23"/>
    <mergeCell ref="O21:O23"/>
    <mergeCell ref="P21:P23"/>
    <mergeCell ref="Q21:Q23"/>
    <mergeCell ref="AG21:AG22"/>
    <mergeCell ref="G21:G23"/>
    <mergeCell ref="H21:H23"/>
    <mergeCell ref="I21:I23"/>
    <mergeCell ref="J21:J23"/>
    <mergeCell ref="K21:K23"/>
    <mergeCell ref="L21:L23"/>
    <mergeCell ref="AW19:AW20"/>
    <mergeCell ref="AX19:AX20"/>
    <mergeCell ref="AY19:AY20"/>
    <mergeCell ref="AZ19:AZ20"/>
    <mergeCell ref="BA19:BA20"/>
    <mergeCell ref="A21:A23"/>
    <mergeCell ref="B21:B23"/>
    <mergeCell ref="C21:C23"/>
    <mergeCell ref="D21:D23"/>
    <mergeCell ref="F21:F23"/>
    <mergeCell ref="AQ19:AQ20"/>
    <mergeCell ref="AR19:AR20"/>
    <mergeCell ref="AS19:AS20"/>
    <mergeCell ref="AT19:AT20"/>
    <mergeCell ref="AU19:AU20"/>
    <mergeCell ref="AV19:AV20"/>
    <mergeCell ref="AK19:AK20"/>
    <mergeCell ref="AL19:AL20"/>
    <mergeCell ref="AM19:AM20"/>
    <mergeCell ref="AN19:AN20"/>
    <mergeCell ref="AO19:AO20"/>
    <mergeCell ref="AP19:AP20"/>
    <mergeCell ref="AE19:AE20"/>
    <mergeCell ref="AF19:AF20"/>
    <mergeCell ref="AG19:AG20"/>
    <mergeCell ref="AH19:AH20"/>
    <mergeCell ref="AI19:AI20"/>
    <mergeCell ref="AJ19:AJ20"/>
    <mergeCell ref="T19:T20"/>
    <mergeCell ref="U19:Z19"/>
    <mergeCell ref="AA19:AA20"/>
    <mergeCell ref="AB19:AB20"/>
    <mergeCell ref="AC19:AC20"/>
    <mergeCell ref="AD19:AD20"/>
    <mergeCell ref="N19:N20"/>
    <mergeCell ref="O19:O20"/>
    <mergeCell ref="P19:P20"/>
    <mergeCell ref="Q19:Q20"/>
    <mergeCell ref="R19:R20"/>
    <mergeCell ref="S19:S20"/>
    <mergeCell ref="G19:G20"/>
    <mergeCell ref="I19:I20"/>
    <mergeCell ref="J19:J20"/>
    <mergeCell ref="K19:K20"/>
    <mergeCell ref="L19:L20"/>
    <mergeCell ref="M19:M20"/>
    <mergeCell ref="A19:A20"/>
    <mergeCell ref="B19:B20"/>
    <mergeCell ref="C19:C20"/>
    <mergeCell ref="D19:D20"/>
    <mergeCell ref="E19:E20"/>
    <mergeCell ref="F19:F20"/>
    <mergeCell ref="A16:B16"/>
    <mergeCell ref="C16:AL16"/>
    <mergeCell ref="A17:B17"/>
    <mergeCell ref="C17:AL17"/>
    <mergeCell ref="A18:J18"/>
    <mergeCell ref="K18:Q18"/>
    <mergeCell ref="R18:Z18"/>
    <mergeCell ref="AA18:AG18"/>
    <mergeCell ref="AH18:AL18"/>
    <mergeCell ref="AJ10:AJ11"/>
    <mergeCell ref="AK10:AK11"/>
    <mergeCell ref="AL10:AL11"/>
    <mergeCell ref="AM10:AM11"/>
    <mergeCell ref="A12:AL13"/>
    <mergeCell ref="A15:B15"/>
    <mergeCell ref="C15:AL15"/>
    <mergeCell ref="O10:O11"/>
    <mergeCell ref="P10:P11"/>
    <mergeCell ref="Q10:Q11"/>
    <mergeCell ref="AG10:AG11"/>
    <mergeCell ref="AH10:AH11"/>
    <mergeCell ref="AI10:AI11"/>
    <mergeCell ref="I10:I11"/>
    <mergeCell ref="J10:J11"/>
    <mergeCell ref="K10:K11"/>
    <mergeCell ref="L10:L11"/>
    <mergeCell ref="M10:M11"/>
    <mergeCell ref="N10:N11"/>
    <mergeCell ref="AK8:AK9"/>
    <mergeCell ref="AL8:AL9"/>
    <mergeCell ref="AM8:AM9"/>
    <mergeCell ref="A10:A11"/>
    <mergeCell ref="B10:B11"/>
    <mergeCell ref="C10:C11"/>
    <mergeCell ref="D10:D11"/>
    <mergeCell ref="F10:F11"/>
    <mergeCell ref="G10:G11"/>
    <mergeCell ref="H10:H11"/>
    <mergeCell ref="AE8:AE9"/>
    <mergeCell ref="AF8:AF9"/>
    <mergeCell ref="AG8:AG9"/>
    <mergeCell ref="AH8:AH9"/>
    <mergeCell ref="AI8:AI9"/>
    <mergeCell ref="AJ8:AJ9"/>
    <mergeCell ref="T8:T9"/>
    <mergeCell ref="U8:Z8"/>
    <mergeCell ref="AA8:AA9"/>
    <mergeCell ref="AB8:AB9"/>
    <mergeCell ref="AC8:AC9"/>
    <mergeCell ref="AD8:AD9"/>
    <mergeCell ref="N8:N9"/>
    <mergeCell ref="O8:O9"/>
    <mergeCell ref="P8:P9"/>
    <mergeCell ref="Q8:Q9"/>
    <mergeCell ref="R8:R9"/>
    <mergeCell ref="S8:S9"/>
    <mergeCell ref="F8:F9"/>
    <mergeCell ref="I8:I9"/>
    <mergeCell ref="J8:J9"/>
    <mergeCell ref="K8:K9"/>
    <mergeCell ref="L8:L9"/>
    <mergeCell ref="M8:M9"/>
    <mergeCell ref="A7:J7"/>
    <mergeCell ref="K7:Q7"/>
    <mergeCell ref="R7:Z7"/>
    <mergeCell ref="AA7:AG7"/>
    <mergeCell ref="AH7:AM7"/>
    <mergeCell ref="A8:A9"/>
    <mergeCell ref="B8:B9"/>
    <mergeCell ref="C8:C9"/>
    <mergeCell ref="D8:D9"/>
    <mergeCell ref="E8:E9"/>
    <mergeCell ref="A1:AM2"/>
    <mergeCell ref="A4:B4"/>
    <mergeCell ref="C4:AM4"/>
    <mergeCell ref="A5:B5"/>
    <mergeCell ref="C5:AM5"/>
    <mergeCell ref="A6:B6"/>
    <mergeCell ref="C6:AM6"/>
  </mergeCells>
  <conditionalFormatting sqref="J116:K116 AB116 AB189:AB194">
    <cfRule type="cellIs" dxfId="561" priority="308" operator="equal">
      <formula>"Muy Alta"</formula>
    </cfRule>
    <cfRule type="cellIs" dxfId="562" priority="309" operator="equal">
      <formula>"Alta"</formula>
    </cfRule>
    <cfRule type="cellIs" dxfId="558" priority="310" operator="equal">
      <formula>"Media"</formula>
    </cfRule>
    <cfRule type="cellIs" dxfId="559" priority="311" operator="equal">
      <formula>"Baja"</formula>
    </cfRule>
    <cfRule type="cellIs" dxfId="560" priority="312" operator="equal">
      <formula>"Muy Baja"</formula>
    </cfRule>
  </conditionalFormatting>
  <conditionalFormatting sqref="K10 AB10:AB11">
    <cfRule type="cellIs" dxfId="557" priority="533" operator="equal">
      <formula>"Muy Alta"</formula>
    </cfRule>
    <cfRule type="cellIs" dxfId="554" priority="534" operator="equal">
      <formula>"Alta"</formula>
    </cfRule>
    <cfRule type="cellIs" dxfId="553" priority="535" operator="equal">
      <formula>"Media"</formula>
    </cfRule>
    <cfRule type="cellIs" dxfId="555" priority="536" operator="equal">
      <formula>"Baja"</formula>
    </cfRule>
    <cfRule type="cellIs" dxfId="556" priority="537" operator="equal">
      <formula>"Muy Baja"</formula>
    </cfRule>
  </conditionalFormatting>
  <conditionalFormatting sqref="K21">
    <cfRule type="cellIs" dxfId="549" priority="504" operator="equal">
      <formula>"Muy Alta"</formula>
    </cfRule>
    <cfRule type="cellIs" dxfId="551" priority="505" operator="equal">
      <formula>"Alta"</formula>
    </cfRule>
    <cfRule type="cellIs" dxfId="548" priority="506" operator="equal">
      <formula>"Media"</formula>
    </cfRule>
    <cfRule type="cellIs" dxfId="552" priority="507" operator="equal">
      <formula>"Baja"</formula>
    </cfRule>
    <cfRule type="cellIs" dxfId="550" priority="508" operator="equal">
      <formula>"Muy Baja"</formula>
    </cfRule>
  </conditionalFormatting>
  <conditionalFormatting sqref="K24 K26">
    <cfRule type="cellIs" dxfId="545" priority="490" operator="equal">
      <formula>"Muy Alta"</formula>
    </cfRule>
    <cfRule type="cellIs" dxfId="544" priority="491" operator="equal">
      <formula>"Alta"</formula>
    </cfRule>
    <cfRule type="cellIs" dxfId="543" priority="492" operator="equal">
      <formula>"Media"</formula>
    </cfRule>
    <cfRule type="cellIs" dxfId="547" priority="493" operator="equal">
      <formula>"Baja"</formula>
    </cfRule>
    <cfRule type="cellIs" dxfId="546" priority="494" operator="equal">
      <formula>"Muy Baja"</formula>
    </cfRule>
  </conditionalFormatting>
  <conditionalFormatting sqref="K37 AB37:AB45 K42 AB86:AB89 AB132:AB138 AB219:AB223 AB234:AB241">
    <cfRule type="cellIs" dxfId="542" priority="485" operator="equal">
      <formula>"Muy Alta"</formula>
    </cfRule>
    <cfRule type="cellIs" dxfId="541" priority="486" operator="equal">
      <formula>"Alta"</formula>
    </cfRule>
    <cfRule type="cellIs" dxfId="540" priority="487" operator="equal">
      <formula>"Media"</formula>
    </cfRule>
    <cfRule type="cellIs" dxfId="539" priority="488" operator="equal">
      <formula>"Baja"</formula>
    </cfRule>
    <cfRule type="cellIs" dxfId="538" priority="489" operator="equal">
      <formula>"Muy Baja"</formula>
    </cfRule>
  </conditionalFormatting>
  <conditionalFormatting sqref="K55">
    <cfRule type="cellIs" dxfId="537" priority="432" operator="equal">
      <formula>"Muy Alta"</formula>
    </cfRule>
    <cfRule type="cellIs" dxfId="533" priority="433" operator="equal">
      <formula>"Alta"</formula>
    </cfRule>
    <cfRule type="cellIs" dxfId="535" priority="434" operator="equal">
      <formula>"Media"</formula>
    </cfRule>
    <cfRule type="cellIs" dxfId="536" priority="435" operator="equal">
      <formula>"Baja"</formula>
    </cfRule>
    <cfRule type="cellIs" dxfId="534" priority="436" operator="equal">
      <formula>"Muy Baja"</formula>
    </cfRule>
  </conditionalFormatting>
  <conditionalFormatting sqref="K57">
    <cfRule type="cellIs" dxfId="529" priority="461" operator="equal">
      <formula>"Muy Alta"</formula>
    </cfRule>
    <cfRule type="cellIs" dxfId="530" priority="462" operator="equal">
      <formula>"Alta"</formula>
    </cfRule>
    <cfRule type="cellIs" dxfId="531" priority="463" operator="equal">
      <formula>"Media"</formula>
    </cfRule>
    <cfRule type="cellIs" dxfId="532" priority="464" operator="equal">
      <formula>"Baja"</formula>
    </cfRule>
    <cfRule type="cellIs" dxfId="528" priority="465" operator="equal">
      <formula>"Muy Baja"</formula>
    </cfRule>
  </conditionalFormatting>
  <conditionalFormatting sqref="K59">
    <cfRule type="cellIs" dxfId="526" priority="466" operator="equal">
      <formula>"Muy Alta"</formula>
    </cfRule>
    <cfRule type="cellIs" dxfId="527" priority="467" operator="equal">
      <formula>"Alta"</formula>
    </cfRule>
    <cfRule type="cellIs" dxfId="525" priority="468" operator="equal">
      <formula>"Media"</formula>
    </cfRule>
    <cfRule type="cellIs" dxfId="523" priority="469" operator="equal">
      <formula>"Baja"</formula>
    </cfRule>
    <cfRule type="cellIs" dxfId="524" priority="470" operator="equal">
      <formula>"Muy Baja"</formula>
    </cfRule>
  </conditionalFormatting>
  <conditionalFormatting sqref="K71">
    <cfRule type="cellIs" dxfId="522" priority="427" operator="equal">
      <formula>"Muy Alta"</formula>
    </cfRule>
    <cfRule type="cellIs" dxfId="518" priority="428" operator="equal">
      <formula>"Alta"</formula>
    </cfRule>
    <cfRule type="cellIs" dxfId="519" priority="429" operator="equal">
      <formula>"Media"</formula>
    </cfRule>
    <cfRule type="cellIs" dxfId="520" priority="430" operator="equal">
      <formula>"Baja"</formula>
    </cfRule>
    <cfRule type="cellIs" dxfId="521" priority="431" operator="equal">
      <formula>"Muy Baja"</formula>
    </cfRule>
  </conditionalFormatting>
  <conditionalFormatting sqref="K86 K88">
    <cfRule type="cellIs" dxfId="514" priority="398" operator="equal">
      <formula>"Muy Alta"</formula>
    </cfRule>
    <cfRule type="cellIs" dxfId="515" priority="399" operator="equal">
      <formula>"Alta"</formula>
    </cfRule>
    <cfRule type="cellIs" dxfId="517" priority="400" operator="equal">
      <formula>"Media"</formula>
    </cfRule>
    <cfRule type="cellIs" dxfId="513" priority="401" operator="equal">
      <formula>"Baja"</formula>
    </cfRule>
    <cfRule type="cellIs" dxfId="516" priority="402" operator="equal">
      <formula>"Muy Baja"</formula>
    </cfRule>
  </conditionalFormatting>
  <conditionalFormatting sqref="K100:K101 K105">
    <cfRule type="cellIs" dxfId="508" priority="380" operator="equal">
      <formula>"Muy Alta"</formula>
    </cfRule>
    <cfRule type="cellIs" dxfId="509" priority="381" operator="equal">
      <formula>"Alta"</formula>
    </cfRule>
    <cfRule type="cellIs" dxfId="512" priority="382" operator="equal">
      <formula>"Media"</formula>
    </cfRule>
    <cfRule type="cellIs" dxfId="511" priority="383" operator="equal">
      <formula>"Baja"</formula>
    </cfRule>
    <cfRule type="cellIs" dxfId="510" priority="384" operator="equal">
      <formula>"Muy Baja"</formula>
    </cfRule>
  </conditionalFormatting>
  <conditionalFormatting sqref="K132:K138">
    <cfRule type="cellIs" dxfId="507" priority="275" operator="equal">
      <formula>"Muy Alta"</formula>
    </cfRule>
    <cfRule type="cellIs" dxfId="506" priority="276" operator="equal">
      <formula>"Alta"</formula>
    </cfRule>
    <cfRule type="cellIs" dxfId="503" priority="277" operator="equal">
      <formula>"Media"</formula>
    </cfRule>
    <cfRule type="cellIs" dxfId="504" priority="278" operator="equal">
      <formula>"Baja"</formula>
    </cfRule>
    <cfRule type="cellIs" dxfId="505" priority="279" operator="equal">
      <formula>"Muy Baja"</formula>
    </cfRule>
  </conditionalFormatting>
  <conditionalFormatting sqref="K149">
    <cfRule type="cellIs" dxfId="502" priority="261" operator="equal">
      <formula>"Muy Alta"</formula>
    </cfRule>
    <cfRule type="cellIs" dxfId="501" priority="262" operator="equal">
      <formula>"Alta"</formula>
    </cfRule>
    <cfRule type="cellIs" dxfId="500" priority="263" operator="equal">
      <formula>"Media"</formula>
    </cfRule>
    <cfRule type="cellIs" dxfId="499" priority="264" operator="equal">
      <formula>"Baja"</formula>
    </cfRule>
    <cfRule type="cellIs" dxfId="498" priority="265" operator="equal">
      <formula>"Muy Baja"</formula>
    </cfRule>
  </conditionalFormatting>
  <conditionalFormatting sqref="K163">
    <cfRule type="cellIs" dxfId="497" priority="232" operator="equal">
      <formula>"Muy Alta"</formula>
    </cfRule>
    <cfRule type="cellIs" dxfId="496" priority="233" operator="equal">
      <formula>"Alta"</formula>
    </cfRule>
    <cfRule type="cellIs" dxfId="495" priority="234" operator="equal">
      <formula>"Media"</formula>
    </cfRule>
    <cfRule type="cellIs" dxfId="494" priority="235" operator="equal">
      <formula>"Baja"</formula>
    </cfRule>
    <cfRule type="cellIs" dxfId="493" priority="236" operator="equal">
      <formula>"Muy Baja"</formula>
    </cfRule>
  </conditionalFormatting>
  <conditionalFormatting sqref="K177 AB177:AB179">
    <cfRule type="cellIs" dxfId="491" priority="203" operator="equal">
      <formula>"Muy Alta"</formula>
    </cfRule>
    <cfRule type="cellIs" dxfId="490" priority="204" operator="equal">
      <formula>"Alta"</formula>
    </cfRule>
    <cfRule type="cellIs" dxfId="489" priority="205" operator="equal">
      <formula>"Media"</formula>
    </cfRule>
    <cfRule type="cellIs" dxfId="488" priority="206" operator="equal">
      <formula>"Baja"</formula>
    </cfRule>
    <cfRule type="cellIs" dxfId="492" priority="207" operator="equal">
      <formula>"Muy Baja"</formula>
    </cfRule>
  </conditionalFormatting>
  <conditionalFormatting sqref="K189 K191 K194 AB196">
    <cfRule type="cellIs" dxfId="483" priority="176" operator="equal">
      <formula>"Muy Alta"</formula>
    </cfRule>
    <cfRule type="cellIs" dxfId="484" priority="177" operator="equal">
      <formula>"Alta"</formula>
    </cfRule>
    <cfRule type="cellIs" dxfId="485" priority="178" operator="equal">
      <formula>"Media"</formula>
    </cfRule>
    <cfRule type="cellIs" dxfId="486" priority="179" operator="equal">
      <formula>"Baja"</formula>
    </cfRule>
    <cfRule type="cellIs" dxfId="487" priority="180" operator="equal">
      <formula>"Muy Baja"</formula>
    </cfRule>
  </conditionalFormatting>
  <conditionalFormatting sqref="K206 AB206:AB209">
    <cfRule type="cellIs" dxfId="481" priority="161" operator="equal">
      <formula>"Muy Alta"</formula>
    </cfRule>
    <cfRule type="cellIs" dxfId="480" priority="162" operator="equal">
      <formula>"Alta"</formula>
    </cfRule>
    <cfRule type="cellIs" dxfId="479" priority="163" operator="equal">
      <formula>"Media"</formula>
    </cfRule>
    <cfRule type="cellIs" dxfId="478" priority="164" operator="equal">
      <formula>"Baja"</formula>
    </cfRule>
    <cfRule type="cellIs" dxfId="482" priority="165" operator="equal">
      <formula>"Muy Baja"</formula>
    </cfRule>
  </conditionalFormatting>
  <conditionalFormatting sqref="K219:K223">
    <cfRule type="cellIs" dxfId="476" priority="156" operator="equal">
      <formula>"Muy Alta"</formula>
    </cfRule>
    <cfRule type="cellIs" dxfId="475" priority="157" operator="equal">
      <formula>"Alta"</formula>
    </cfRule>
    <cfRule type="cellIs" dxfId="474" priority="158" operator="equal">
      <formula>"Media"</formula>
    </cfRule>
    <cfRule type="cellIs" dxfId="473" priority="159" operator="equal">
      <formula>"Baja"</formula>
    </cfRule>
    <cfRule type="cellIs" dxfId="477" priority="160" operator="equal">
      <formula>"Muy Baja"</formula>
    </cfRule>
  </conditionalFormatting>
  <conditionalFormatting sqref="K234 K238 K240:K241">
    <cfRule type="cellIs" dxfId="472" priority="134" operator="equal">
      <formula>"Muy Alta"</formula>
    </cfRule>
    <cfRule type="cellIs" dxfId="468" priority="135" operator="equal">
      <formula>"Alta"</formula>
    </cfRule>
    <cfRule type="cellIs" dxfId="469" priority="136" operator="equal">
      <formula>"Media"</formula>
    </cfRule>
    <cfRule type="cellIs" dxfId="470" priority="137" operator="equal">
      <formula>"Baja"</formula>
    </cfRule>
    <cfRule type="cellIs" dxfId="471" priority="138" operator="equal">
      <formula>"Muy Baja"</formula>
    </cfRule>
  </conditionalFormatting>
  <conditionalFormatting sqref="K251 AB251">
    <cfRule type="cellIs" dxfId="466" priority="116" operator="equal">
      <formula>"Muy Alta"</formula>
    </cfRule>
    <cfRule type="cellIs" dxfId="465" priority="117" operator="equal">
      <formula>"Alta"</formula>
    </cfRule>
    <cfRule type="cellIs" dxfId="467" priority="118" operator="equal">
      <formula>"Media"</formula>
    </cfRule>
    <cfRule type="cellIs" dxfId="464" priority="119" operator="equal">
      <formula>"Baja"</formula>
    </cfRule>
    <cfRule type="cellIs" dxfId="463" priority="120" operator="equal">
      <formula>"Muy Baja"</formula>
    </cfRule>
  </conditionalFormatting>
  <conditionalFormatting sqref="K263 K267">
    <cfRule type="cellIs" dxfId="461" priority="101" operator="equal">
      <formula>"Muy Alta"</formula>
    </cfRule>
    <cfRule type="cellIs" dxfId="460" priority="102" operator="equal">
      <formula>"Alta"</formula>
    </cfRule>
    <cfRule type="cellIs" dxfId="458" priority="103" operator="equal">
      <formula>"Media"</formula>
    </cfRule>
    <cfRule type="cellIs" dxfId="462" priority="104" operator="equal">
      <formula>"Baja"</formula>
    </cfRule>
    <cfRule type="cellIs" dxfId="459" priority="105" operator="equal">
      <formula>"Muy Baja"</formula>
    </cfRule>
  </conditionalFormatting>
  <conditionalFormatting sqref="K270">
    <cfRule type="cellIs" dxfId="454" priority="55" operator="equal">
      <formula>"Muy Alta"</formula>
    </cfRule>
    <cfRule type="cellIs" dxfId="455" priority="56" operator="equal">
      <formula>"Alta"</formula>
    </cfRule>
    <cfRule type="cellIs" dxfId="456" priority="57" operator="equal">
      <formula>"Media"</formula>
    </cfRule>
    <cfRule type="cellIs" dxfId="457" priority="58" operator="equal">
      <formula>"Baja"</formula>
    </cfRule>
    <cfRule type="cellIs" dxfId="453" priority="59" operator="equal">
      <formula>"Muy Baja"</formula>
    </cfRule>
  </conditionalFormatting>
  <conditionalFormatting sqref="K304 AB304:AB308">
    <cfRule type="cellIs" dxfId="452" priority="26" operator="equal">
      <formula>"Muy Alta"</formula>
    </cfRule>
    <cfRule type="cellIs" dxfId="448" priority="27" operator="equal">
      <formula>"Alta"</formula>
    </cfRule>
    <cfRule type="cellIs" dxfId="449" priority="28" operator="equal">
      <formula>"Media"</formula>
    </cfRule>
    <cfRule type="cellIs" dxfId="450" priority="29" operator="equal">
      <formula>"Baja"</formula>
    </cfRule>
    <cfRule type="cellIs" dxfId="451" priority="30" operator="equal">
      <formula>"Muy Baja"</formula>
    </cfRule>
  </conditionalFormatting>
  <conditionalFormatting sqref="K315:K317 AB315:AB317 K319 AB319">
    <cfRule type="cellIs" dxfId="446" priority="11" operator="equal">
      <formula>"Muy Alta"</formula>
    </cfRule>
    <cfRule type="cellIs" dxfId="447" priority="12" operator="equal">
      <formula>"Alta"</formula>
    </cfRule>
    <cfRule type="cellIs" dxfId="445" priority="13" operator="equal">
      <formula>"Media"</formula>
    </cfRule>
    <cfRule type="cellIs" dxfId="444" priority="14" operator="equal">
      <formula>"Baja"</formula>
    </cfRule>
    <cfRule type="cellIs" dxfId="443" priority="15" operator="equal">
      <formula>"Muy Baja"</formula>
    </cfRule>
  </conditionalFormatting>
  <conditionalFormatting sqref="M116:N120 N189:N196">
    <cfRule type="containsText" dxfId="442" priority="328" operator="containsText" text="❌">
      <formula>NOT(ISERROR(SEARCH(("❌"),(M116))))</formula>
    </cfRule>
  </conditionalFormatting>
  <conditionalFormatting sqref="N10:N11">
    <cfRule type="containsText" dxfId="441" priority="538" operator="containsText" text="❌">
      <formula>NOT(ISERROR(SEARCH(("❌"),(N10))))</formula>
    </cfRule>
  </conditionalFormatting>
  <conditionalFormatting sqref="N21:N27 N219:N223 N234:N241 N263:N270">
    <cfRule type="containsText" dxfId="440" priority="532" operator="containsText" text="❌">
      <formula>NOT(ISERROR(SEARCH("❌",N21)))</formula>
    </cfRule>
  </conditionalFormatting>
  <conditionalFormatting sqref="N37:N45">
    <cfRule type="containsText" dxfId="439" priority="471" operator="containsText" text="❌">
      <formula>NOT(ISERROR(SEARCH("❌",N37)))</formula>
    </cfRule>
  </conditionalFormatting>
  <conditionalFormatting sqref="N55">
    <cfRule type="containsText" dxfId="438" priority="437" operator="containsText" text="❌">
      <formula>NOT(ISERROR(SEARCH(("❌"),(N55))))</formula>
    </cfRule>
  </conditionalFormatting>
  <conditionalFormatting sqref="N71:N75">
    <cfRule type="containsText" dxfId="437" priority="417" operator="containsText" text="❌">
      <formula>NOT(ISERROR(SEARCH("❌",N71)))</formula>
    </cfRule>
  </conditionalFormatting>
  <conditionalFormatting sqref="N86:N89">
    <cfRule type="containsText" dxfId="436" priority="548" operator="containsText" text="❌">
      <formula>NOT(ISERROR(SEARCH("❌",N86)))</formula>
    </cfRule>
  </conditionalFormatting>
  <conditionalFormatting sqref="N100:N106">
    <cfRule type="containsText" dxfId="435" priority="352" operator="containsText" text="❌">
      <formula>NOT(ISERROR(SEARCH("❌",N100)))</formula>
    </cfRule>
  </conditionalFormatting>
  <conditionalFormatting sqref="N116:N122 M121">
    <cfRule type="containsText" dxfId="434" priority="313" operator="containsText" text="❌">
      <formula>NOT(ISERROR(SEARCH(("❌"),(M116))))</formula>
    </cfRule>
  </conditionalFormatting>
  <conditionalFormatting sqref="N132:N138 M272 M294 M321:M373">
    <cfRule type="containsText" dxfId="433" priority="549" operator="containsText" text="❌">
      <formula>NOT(ISERROR(SEARCH("❌",M132)))</formula>
    </cfRule>
  </conditionalFormatting>
  <conditionalFormatting sqref="N149:N152">
    <cfRule type="containsText" dxfId="432" priority="251" operator="containsText" text="❌">
      <formula>NOT(ISERROR(SEARCH("❌",N149)))</formula>
    </cfRule>
  </conditionalFormatting>
  <conditionalFormatting sqref="N163:N166">
    <cfRule type="containsText" dxfId="431" priority="222" operator="containsText" text="❌">
      <formula>NOT(ISERROR(SEARCH("❌",N163)))</formula>
    </cfRule>
  </conditionalFormatting>
  <conditionalFormatting sqref="N206:N209">
    <cfRule type="containsText" dxfId="430" priority="166" operator="containsText" text="❌">
      <formula>NOT(ISERROR(SEARCH(("❌"),(N206))))</formula>
    </cfRule>
  </conditionalFormatting>
  <conditionalFormatting sqref="N251:N253">
    <cfRule type="containsText" dxfId="429" priority="106" operator="containsText" text="❌">
      <formula>NOT(ISERROR(SEARCH("❌",N251)))</formula>
    </cfRule>
  </conditionalFormatting>
  <conditionalFormatting sqref="N282:N293">
    <cfRule type="containsText" dxfId="428" priority="31" operator="containsText" text="❌">
      <formula>NOT(ISERROR(SEARCH("❌",N282)))</formula>
    </cfRule>
  </conditionalFormatting>
  <conditionalFormatting sqref="N304:N308">
    <cfRule type="containsText" dxfId="427" priority="16" operator="containsText" text="❌">
      <formula>NOT(ISERROR(SEARCH("❌",N304)))</formula>
    </cfRule>
  </conditionalFormatting>
  <conditionalFormatting sqref="N315:N320">
    <cfRule type="containsText" dxfId="426" priority="1" operator="containsText" text="❌">
      <formula>NOT(ISERROR(SEARCH("❌",N315)))</formula>
    </cfRule>
  </conditionalFormatting>
  <conditionalFormatting sqref="N116:O116 N119:O119 AC119:AD119 AD189:AD194">
    <cfRule type="cellIs" dxfId="425" priority="329" operator="equal">
      <formula>"Catastrófico"</formula>
    </cfRule>
    <cfRule type="cellIs" dxfId="423" priority="330" operator="equal">
      <formula>"Mayor"</formula>
    </cfRule>
    <cfRule type="cellIs" dxfId="424" priority="331" operator="equal">
      <formula>"Moderado"</formula>
    </cfRule>
    <cfRule type="cellIs" dxfId="421" priority="332" operator="equal">
      <formula>"Menor"</formula>
    </cfRule>
    <cfRule type="cellIs" dxfId="422" priority="333" operator="equal">
      <formula>"Leve"</formula>
    </cfRule>
  </conditionalFormatting>
  <conditionalFormatting sqref="O10 AD10:AD11">
    <cfRule type="cellIs" dxfId="417" priority="539" operator="equal">
      <formula>"Catastrófico"</formula>
    </cfRule>
    <cfRule type="cellIs" dxfId="419" priority="540" operator="equal">
      <formula>"Mayor"</formula>
    </cfRule>
    <cfRule type="cellIs" dxfId="420" priority="541" operator="equal">
      <formula>"Moderado"</formula>
    </cfRule>
    <cfRule type="cellIs" dxfId="418" priority="542" operator="equal">
      <formula>"Menor"</formula>
    </cfRule>
    <cfRule type="cellIs" dxfId="416" priority="543" operator="equal">
      <formula>"Leve"</formula>
    </cfRule>
  </conditionalFormatting>
  <conditionalFormatting sqref="O21">
    <cfRule type="cellIs" dxfId="413" priority="509" operator="equal">
      <formula>"Catastrófico"</formula>
    </cfRule>
    <cfRule type="cellIs" dxfId="414" priority="510" operator="equal">
      <formula>"Mayor"</formula>
    </cfRule>
    <cfRule type="cellIs" dxfId="415" priority="511" operator="equal">
      <formula>"Moderado"</formula>
    </cfRule>
    <cfRule type="cellIs" dxfId="411" priority="512" operator="equal">
      <formula>"Menor"</formula>
    </cfRule>
    <cfRule type="cellIs" dxfId="412" priority="513" operator="equal">
      <formula>"Leve"</formula>
    </cfRule>
  </conditionalFormatting>
  <conditionalFormatting sqref="O24 O26">
    <cfRule type="cellIs" dxfId="410" priority="495" operator="equal">
      <formula>"Catastrófico"</formula>
    </cfRule>
    <cfRule type="cellIs" dxfId="409" priority="496" operator="equal">
      <formula>"Mayor"</formula>
    </cfRule>
    <cfRule type="cellIs" dxfId="408" priority="497" operator="equal">
      <formula>"Moderado"</formula>
    </cfRule>
    <cfRule type="cellIs" dxfId="407" priority="498" operator="equal">
      <formula>"Menor"</formula>
    </cfRule>
    <cfRule type="cellIs" dxfId="406" priority="499" operator="equal">
      <formula>"Leve"</formula>
    </cfRule>
  </conditionalFormatting>
  <conditionalFormatting sqref="O37 AD37:AD45 O42 AD86:AD89 AD132:AD138 AD219:AD223 AD234:AD241">
    <cfRule type="cellIs" dxfId="401" priority="480" operator="equal">
      <formula>"Catastrófico"</formula>
    </cfRule>
    <cfRule type="cellIs" dxfId="402" priority="481" operator="equal">
      <formula>"Mayor"</formula>
    </cfRule>
    <cfRule type="cellIs" dxfId="403" priority="482" operator="equal">
      <formula>"Moderado"</formula>
    </cfRule>
    <cfRule type="cellIs" dxfId="404" priority="483" operator="equal">
      <formula>"Menor"</formula>
    </cfRule>
    <cfRule type="cellIs" dxfId="405" priority="484" operator="equal">
      <formula>"Leve"</formula>
    </cfRule>
  </conditionalFormatting>
  <conditionalFormatting sqref="O55">
    <cfRule type="cellIs" dxfId="399" priority="438" operator="equal">
      <formula>"Catastrófico"</formula>
    </cfRule>
    <cfRule type="cellIs" dxfId="398" priority="439" operator="equal">
      <formula>"Mayor"</formula>
    </cfRule>
    <cfRule type="cellIs" dxfId="397" priority="440" operator="equal">
      <formula>"Moderado"</formula>
    </cfRule>
    <cfRule type="cellIs" dxfId="400" priority="441" operator="equal">
      <formula>"Menor"</formula>
    </cfRule>
    <cfRule type="cellIs" dxfId="396" priority="442" operator="equal">
      <formula>"Leve"</formula>
    </cfRule>
  </conditionalFormatting>
  <conditionalFormatting sqref="O71">
    <cfRule type="cellIs" dxfId="392" priority="422" operator="equal">
      <formula>"Catastrófico"</formula>
    </cfRule>
    <cfRule type="cellIs" dxfId="391" priority="423" operator="equal">
      <formula>"Mayor"</formula>
    </cfRule>
    <cfRule type="cellIs" dxfId="393" priority="424" operator="equal">
      <formula>"Moderado"</formula>
    </cfRule>
    <cfRule type="cellIs" dxfId="394" priority="425" operator="equal">
      <formula>"Menor"</formula>
    </cfRule>
    <cfRule type="cellIs" dxfId="395" priority="426" operator="equal">
      <formula>"Leve"</formula>
    </cfRule>
  </conditionalFormatting>
  <conditionalFormatting sqref="O86 O88">
    <cfRule type="cellIs" dxfId="389" priority="393" operator="equal">
      <formula>"Catastrófico"</formula>
    </cfRule>
    <cfRule type="cellIs" dxfId="390" priority="394" operator="equal">
      <formula>"Mayor"</formula>
    </cfRule>
    <cfRule type="cellIs" dxfId="388" priority="395" operator="equal">
      <formula>"Moderado"</formula>
    </cfRule>
    <cfRule type="cellIs" dxfId="387" priority="396" operator="equal">
      <formula>"Menor"</formula>
    </cfRule>
    <cfRule type="cellIs" dxfId="386" priority="397" operator="equal">
      <formula>"Leve"</formula>
    </cfRule>
  </conditionalFormatting>
  <conditionalFormatting sqref="O100:O101 O105">
    <cfRule type="cellIs" dxfId="381" priority="375" operator="equal">
      <formula>"Catastrófico"</formula>
    </cfRule>
    <cfRule type="cellIs" dxfId="382" priority="376" operator="equal">
      <formula>"Mayor"</formula>
    </cfRule>
    <cfRule type="cellIs" dxfId="383" priority="377" operator="equal">
      <formula>"Moderado"</formula>
    </cfRule>
    <cfRule type="cellIs" dxfId="384" priority="378" operator="equal">
      <formula>"Menor"</formula>
    </cfRule>
    <cfRule type="cellIs" dxfId="385" priority="379" operator="equal">
      <formula>"Leve"</formula>
    </cfRule>
  </conditionalFormatting>
  <conditionalFormatting sqref="O116 AC116:AD116">
    <cfRule type="cellIs" dxfId="379" priority="314" operator="equal">
      <formula>"Catastrófico"</formula>
    </cfRule>
    <cfRule type="cellIs" dxfId="378" priority="315" operator="equal">
      <formula>"Mayor"</formula>
    </cfRule>
    <cfRule type="cellIs" dxfId="376" priority="316" operator="equal">
      <formula>"Moderado"</formula>
    </cfRule>
    <cfRule type="cellIs" dxfId="377" priority="317" operator="equal">
      <formula>"Menor"</formula>
    </cfRule>
    <cfRule type="cellIs" dxfId="380" priority="318" operator="equal">
      <formula>"Leve"</formula>
    </cfRule>
  </conditionalFormatting>
  <conditionalFormatting sqref="O132:O138">
    <cfRule type="cellIs" dxfId="375" priority="270" operator="equal">
      <formula>"Catastrófico"</formula>
    </cfRule>
    <cfRule type="cellIs" dxfId="372" priority="271" operator="equal">
      <formula>"Mayor"</formula>
    </cfRule>
    <cfRule type="cellIs" dxfId="373" priority="272" operator="equal">
      <formula>"Moderado"</formula>
    </cfRule>
    <cfRule type="cellIs" dxfId="371" priority="273" operator="equal">
      <formula>"Menor"</formula>
    </cfRule>
    <cfRule type="cellIs" dxfId="374" priority="274" operator="equal">
      <formula>"Leve"</formula>
    </cfRule>
  </conditionalFormatting>
  <conditionalFormatting sqref="O149">
    <cfRule type="cellIs" dxfId="370" priority="256" operator="equal">
      <formula>"Catastrófico"</formula>
    </cfRule>
    <cfRule type="cellIs" dxfId="369" priority="257" operator="equal">
      <formula>"Mayor"</formula>
    </cfRule>
    <cfRule type="cellIs" dxfId="367" priority="258" operator="equal">
      <formula>"Moderado"</formula>
    </cfRule>
    <cfRule type="cellIs" dxfId="368" priority="259" operator="equal">
      <formula>"Menor"</formula>
    </cfRule>
    <cfRule type="cellIs" dxfId="366" priority="260" operator="equal">
      <formula>"Leve"</formula>
    </cfRule>
  </conditionalFormatting>
  <conditionalFormatting sqref="O163">
    <cfRule type="cellIs" dxfId="363" priority="227" operator="equal">
      <formula>"Catastrófico"</formula>
    </cfRule>
    <cfRule type="cellIs" dxfId="364" priority="228" operator="equal">
      <formula>"Mayor"</formula>
    </cfRule>
    <cfRule type="cellIs" dxfId="365" priority="229" operator="equal">
      <formula>"Moderado"</formula>
    </cfRule>
    <cfRule type="cellIs" dxfId="361" priority="230" operator="equal">
      <formula>"Menor"</formula>
    </cfRule>
    <cfRule type="cellIs" dxfId="362" priority="231" operator="equal">
      <formula>"Leve"</formula>
    </cfRule>
  </conditionalFormatting>
  <conditionalFormatting sqref="O177 AD177:AD179">
    <cfRule type="cellIs" dxfId="357" priority="198" operator="equal">
      <formula>"Catastrófico"</formula>
    </cfRule>
    <cfRule type="cellIs" dxfId="356" priority="199" operator="equal">
      <formula>"Mayor"</formula>
    </cfRule>
    <cfRule type="cellIs" dxfId="358" priority="200" operator="equal">
      <formula>"Moderado"</formula>
    </cfRule>
    <cfRule type="cellIs" dxfId="359" priority="201" operator="equal">
      <formula>"Menor"</formula>
    </cfRule>
    <cfRule type="cellIs" dxfId="360" priority="202" operator="equal">
      <formula>"Leve"</formula>
    </cfRule>
  </conditionalFormatting>
  <conditionalFormatting sqref="O189 O191 O194 AD196">
    <cfRule type="cellIs" dxfId="355" priority="181" operator="equal">
      <formula>"Catastrófico"</formula>
    </cfRule>
    <cfRule type="cellIs" dxfId="354" priority="182" operator="equal">
      <formula>"Mayor"</formula>
    </cfRule>
    <cfRule type="cellIs" dxfId="352" priority="183" operator="equal">
      <formula>"Moderado"</formula>
    </cfRule>
    <cfRule type="cellIs" dxfId="351" priority="184" operator="equal">
      <formula>"Menor"</formula>
    </cfRule>
    <cfRule type="cellIs" dxfId="353" priority="185" operator="equal">
      <formula>"Leve"</formula>
    </cfRule>
  </conditionalFormatting>
  <conditionalFormatting sqref="O206 AD206:AD209">
    <cfRule type="cellIs" dxfId="350" priority="167" operator="equal">
      <formula>"Catastrófico"</formula>
    </cfRule>
    <cfRule type="cellIs" dxfId="346" priority="168" operator="equal">
      <formula>"Mayor"</formula>
    </cfRule>
    <cfRule type="cellIs" dxfId="349" priority="169" operator="equal">
      <formula>"Moderado"</formula>
    </cfRule>
    <cfRule type="cellIs" dxfId="348" priority="170" operator="equal">
      <formula>"Menor"</formula>
    </cfRule>
    <cfRule type="cellIs" dxfId="347" priority="171" operator="equal">
      <formula>"Leve"</formula>
    </cfRule>
  </conditionalFormatting>
  <conditionalFormatting sqref="O219 O223">
    <cfRule type="cellIs" dxfId="341" priority="151" operator="equal">
      <formula>"Catastrófico"</formula>
    </cfRule>
    <cfRule type="cellIs" dxfId="345" priority="152" operator="equal">
      <formula>"Mayor"</formula>
    </cfRule>
    <cfRule type="cellIs" dxfId="344" priority="153" operator="equal">
      <formula>"Moderado"</formula>
    </cfRule>
    <cfRule type="cellIs" dxfId="342" priority="154" operator="equal">
      <formula>"Menor"</formula>
    </cfRule>
    <cfRule type="cellIs" dxfId="343" priority="155" operator="equal">
      <formula>"Leve"</formula>
    </cfRule>
  </conditionalFormatting>
  <conditionalFormatting sqref="O234 O238 O240:O241">
    <cfRule type="cellIs" dxfId="336" priority="129" operator="equal">
      <formula>"Catastrófico"</formula>
    </cfRule>
    <cfRule type="cellIs" dxfId="337" priority="130" operator="equal">
      <formula>"Mayor"</formula>
    </cfRule>
    <cfRule type="cellIs" dxfId="338" priority="131" operator="equal">
      <formula>"Moderado"</formula>
    </cfRule>
    <cfRule type="cellIs" dxfId="340" priority="132" operator="equal">
      <formula>"Menor"</formula>
    </cfRule>
    <cfRule type="cellIs" dxfId="339" priority="133" operator="equal">
      <formula>"Leve"</formula>
    </cfRule>
  </conditionalFormatting>
  <conditionalFormatting sqref="O251 AD251">
    <cfRule type="cellIs" dxfId="333" priority="111" operator="equal">
      <formula>"Catastrófico"</formula>
    </cfRule>
    <cfRule type="cellIs" dxfId="332" priority="112" operator="equal">
      <formula>"Mayor"</formula>
    </cfRule>
    <cfRule type="cellIs" dxfId="331" priority="113" operator="equal">
      <formula>"Moderado"</formula>
    </cfRule>
    <cfRule type="cellIs" dxfId="334" priority="114" operator="equal">
      <formula>"Menor"</formula>
    </cfRule>
    <cfRule type="cellIs" dxfId="335" priority="115" operator="equal">
      <formula>"Leve"</formula>
    </cfRule>
  </conditionalFormatting>
  <conditionalFormatting sqref="O263 O267">
    <cfRule type="cellIs" dxfId="327" priority="96" operator="equal">
      <formula>"Catastrófico"</formula>
    </cfRule>
    <cfRule type="cellIs" dxfId="326" priority="97" operator="equal">
      <formula>"Mayor"</formula>
    </cfRule>
    <cfRule type="cellIs" dxfId="329" priority="98" operator="equal">
      <formula>"Moderado"</formula>
    </cfRule>
    <cfRule type="cellIs" dxfId="328" priority="99" operator="equal">
      <formula>"Menor"</formula>
    </cfRule>
    <cfRule type="cellIs" dxfId="330" priority="100" operator="equal">
      <formula>"Leve"</formula>
    </cfRule>
  </conditionalFormatting>
  <conditionalFormatting sqref="O270">
    <cfRule type="cellIs" dxfId="325" priority="50" operator="equal">
      <formula>"Catastrófico"</formula>
    </cfRule>
    <cfRule type="cellIs" dxfId="321" priority="51" operator="equal">
      <formula>"Mayor"</formula>
    </cfRule>
    <cfRule type="cellIs" dxfId="323" priority="52" operator="equal">
      <formula>"Moderado"</formula>
    </cfRule>
    <cfRule type="cellIs" dxfId="324" priority="53" operator="equal">
      <formula>"Menor"</formula>
    </cfRule>
    <cfRule type="cellIs" dxfId="322" priority="54" operator="equal">
      <formula>"Leve"</formula>
    </cfRule>
  </conditionalFormatting>
  <conditionalFormatting sqref="O304 AD304:AD308">
    <cfRule type="cellIs" dxfId="317" priority="21" operator="equal">
      <formula>"Catastrófico"</formula>
    </cfRule>
    <cfRule type="cellIs" dxfId="318" priority="22" operator="equal">
      <formula>"Mayor"</formula>
    </cfRule>
    <cfRule type="cellIs" dxfId="319" priority="23" operator="equal">
      <formula>"Moderado"</formula>
    </cfRule>
    <cfRule type="cellIs" dxfId="316" priority="24" operator="equal">
      <formula>"Menor"</formula>
    </cfRule>
    <cfRule type="cellIs" dxfId="320" priority="25" operator="equal">
      <formula>"Leve"</formula>
    </cfRule>
  </conditionalFormatting>
  <conditionalFormatting sqref="O315:O317 AD315:AD317 O319 AD319">
    <cfRule type="cellIs" dxfId="311" priority="6" operator="equal">
      <formula>"Catastrófico"</formula>
    </cfRule>
    <cfRule type="cellIs" dxfId="312" priority="7" operator="equal">
      <formula>"Mayor"</formula>
    </cfRule>
    <cfRule type="cellIs" dxfId="313" priority="8" operator="equal">
      <formula>"Moderado"</formula>
    </cfRule>
    <cfRule type="cellIs" dxfId="314" priority="9" operator="equal">
      <formula>"Menor"</formula>
    </cfRule>
    <cfRule type="cellIs" dxfId="315" priority="10" operator="equal">
      <formula>"Leve"</formula>
    </cfRule>
  </conditionalFormatting>
  <conditionalFormatting sqref="P116:Q116 AE116:AF116 AF189:AF194">
    <cfRule type="cellIs" dxfId="310" priority="319" operator="equal">
      <formula>"Extremo"</formula>
    </cfRule>
    <cfRule type="cellIs" dxfId="309" priority="320" operator="equal">
      <formula>"Alto"</formula>
    </cfRule>
    <cfRule type="cellIs" dxfId="308" priority="321" operator="equal">
      <formula>"Moderado"</formula>
    </cfRule>
    <cfRule type="cellIs" dxfId="307" priority="322" operator="equal">
      <formula>"Bajo"</formula>
    </cfRule>
  </conditionalFormatting>
  <conditionalFormatting sqref="P119:Q119 AE119:AF119">
    <cfRule type="cellIs" dxfId="304" priority="334" operator="equal">
      <formula>"Extremo"</formula>
    </cfRule>
    <cfRule type="cellIs" dxfId="305" priority="335" operator="equal">
      <formula>"Alto"</formula>
    </cfRule>
    <cfRule type="cellIs" dxfId="306" priority="336" operator="equal">
      <formula>"Moderado"</formula>
    </cfRule>
    <cfRule type="cellIs" dxfId="303" priority="337" operator="equal">
      <formula>"Bajo"</formula>
    </cfRule>
  </conditionalFormatting>
  <conditionalFormatting sqref="Q10 AF10:AF11">
    <cfRule type="cellIs" dxfId="301" priority="544" operator="equal">
      <formula>"Extremo"</formula>
    </cfRule>
    <cfRule type="cellIs" dxfId="302" priority="545" operator="equal">
      <formula>"Alto"</formula>
    </cfRule>
    <cfRule type="cellIs" dxfId="300" priority="546" operator="equal">
      <formula>"Moderado"</formula>
    </cfRule>
    <cfRule type="cellIs" dxfId="299" priority="547" operator="equal">
      <formula>"Bajo"</formula>
    </cfRule>
  </conditionalFormatting>
  <conditionalFormatting sqref="Q21">
    <cfRule type="cellIs" dxfId="295" priority="514" operator="equal">
      <formula>"Extremo"</formula>
    </cfRule>
    <cfRule type="cellIs" dxfId="298" priority="515" operator="equal">
      <formula>"Alto"</formula>
    </cfRule>
    <cfRule type="cellIs" dxfId="296" priority="516" operator="equal">
      <formula>"Moderado"</formula>
    </cfRule>
    <cfRule type="cellIs" dxfId="297" priority="517" operator="equal">
      <formula>"Bajo"</formula>
    </cfRule>
  </conditionalFormatting>
  <conditionalFormatting sqref="Q24 Q26">
    <cfRule type="cellIs" dxfId="294" priority="500" operator="equal">
      <formula>"Extremo"</formula>
    </cfRule>
    <cfRule type="cellIs" dxfId="291" priority="501" operator="equal">
      <formula>"Alto"</formula>
    </cfRule>
    <cfRule type="cellIs" dxfId="293" priority="502" operator="equal">
      <formula>"Moderado"</formula>
    </cfRule>
    <cfRule type="cellIs" dxfId="292" priority="503" operator="equal">
      <formula>"Bajo"</formula>
    </cfRule>
  </conditionalFormatting>
  <conditionalFormatting sqref="Q37 AF37:AF45 AF86:AF89 AF132:AF138 AF223 AF234:AF241">
    <cfRule type="cellIs" dxfId="287" priority="476" operator="equal">
      <formula>"Extremo"</formula>
    </cfRule>
    <cfRule type="cellIs" dxfId="290" priority="477" operator="equal">
      <formula>"Alto"</formula>
    </cfRule>
    <cfRule type="cellIs" dxfId="288" priority="478" operator="equal">
      <formula>"Moderado"</formula>
    </cfRule>
    <cfRule type="cellIs" dxfId="289" priority="479" operator="equal">
      <formula>"Bajo"</formula>
    </cfRule>
  </conditionalFormatting>
  <conditionalFormatting sqref="Q42">
    <cfRule type="cellIs" dxfId="285" priority="472" operator="equal">
      <formula>"Extremo"</formula>
    </cfRule>
    <cfRule type="cellIs" dxfId="283" priority="473" operator="equal">
      <formula>"Alto"</formula>
    </cfRule>
    <cfRule type="cellIs" dxfId="286" priority="474" operator="equal">
      <formula>"Moderado"</formula>
    </cfRule>
    <cfRule type="cellIs" dxfId="284" priority="475" operator="equal">
      <formula>"Bajo"</formula>
    </cfRule>
  </conditionalFormatting>
  <conditionalFormatting sqref="Q55">
    <cfRule type="cellIs" dxfId="282" priority="443" operator="equal">
      <formula>"Extremo"</formula>
    </cfRule>
    <cfRule type="cellIs" dxfId="281" priority="444" operator="equal">
      <formula>"Alto"</formula>
    </cfRule>
    <cfRule type="cellIs" dxfId="280" priority="445" operator="equal">
      <formula>"Moderado"</formula>
    </cfRule>
    <cfRule type="cellIs" dxfId="279" priority="446" operator="equal">
      <formula>"Bajo"</formula>
    </cfRule>
  </conditionalFormatting>
  <conditionalFormatting sqref="Q71">
    <cfRule type="cellIs" dxfId="276" priority="418" operator="equal">
      <formula>"Extremo"</formula>
    </cfRule>
    <cfRule type="cellIs" dxfId="275" priority="419" operator="equal">
      <formula>"Alto"</formula>
    </cfRule>
    <cfRule type="cellIs" dxfId="277" priority="420" operator="equal">
      <formula>"Moderado"</formula>
    </cfRule>
    <cfRule type="cellIs" dxfId="278" priority="421" operator="equal">
      <formula>"Bajo"</formula>
    </cfRule>
  </conditionalFormatting>
  <conditionalFormatting sqref="Q86">
    <cfRule type="cellIs" dxfId="271" priority="389" operator="equal">
      <formula>"Extremo"</formula>
    </cfRule>
    <cfRule type="cellIs" dxfId="274" priority="390" operator="equal">
      <formula>"Alto"</formula>
    </cfRule>
    <cfRule type="cellIs" dxfId="272" priority="391" operator="equal">
      <formula>"Moderado"</formula>
    </cfRule>
    <cfRule type="cellIs" dxfId="273" priority="392" operator="equal">
      <formula>"Bajo"</formula>
    </cfRule>
  </conditionalFormatting>
  <conditionalFormatting sqref="Q88">
    <cfRule type="cellIs" dxfId="269" priority="385" operator="equal">
      <formula>"Extremo"</formula>
    </cfRule>
    <cfRule type="cellIs" dxfId="270" priority="386" operator="equal">
      <formula>"Alto"</formula>
    </cfRule>
    <cfRule type="cellIs" dxfId="267" priority="387" operator="equal">
      <formula>"Moderado"</formula>
    </cfRule>
    <cfRule type="cellIs" dxfId="268" priority="388" operator="equal">
      <formula>"Bajo"</formula>
    </cfRule>
  </conditionalFormatting>
  <conditionalFormatting sqref="Q100:Q101">
    <cfRule type="cellIs" dxfId="266" priority="371" operator="equal">
      <formula>"Extremo"</formula>
    </cfRule>
    <cfRule type="cellIs" dxfId="265" priority="372" operator="equal">
      <formula>"Alto"</formula>
    </cfRule>
    <cfRule type="cellIs" dxfId="264" priority="373" operator="equal">
      <formula>"Moderado"</formula>
    </cfRule>
    <cfRule type="cellIs" dxfId="263" priority="374" operator="equal">
      <formula>"Bajo"</formula>
    </cfRule>
  </conditionalFormatting>
  <conditionalFormatting sqref="Q105">
    <cfRule type="cellIs" dxfId="262" priority="353" operator="equal">
      <formula>"Extremo"</formula>
    </cfRule>
    <cfRule type="cellIs" dxfId="261" priority="354" operator="equal">
      <formula>"Alto"</formula>
    </cfRule>
    <cfRule type="cellIs" dxfId="260" priority="355" operator="equal">
      <formula>"Moderado"</formula>
    </cfRule>
    <cfRule type="cellIs" dxfId="259" priority="356" operator="equal">
      <formula>"Bajo"</formula>
    </cfRule>
  </conditionalFormatting>
  <conditionalFormatting sqref="Q132:Q138">
    <cfRule type="cellIs" dxfId="255" priority="266" operator="equal">
      <formula>"Extremo"</formula>
    </cfRule>
    <cfRule type="cellIs" dxfId="257" priority="267" operator="equal">
      <formula>"Alto"</formula>
    </cfRule>
    <cfRule type="cellIs" dxfId="256" priority="268" operator="equal">
      <formula>"Moderado"</formula>
    </cfRule>
    <cfRule type="cellIs" dxfId="258" priority="269" operator="equal">
      <formula>"Bajo"</formula>
    </cfRule>
  </conditionalFormatting>
  <conditionalFormatting sqref="Q149">
    <cfRule type="cellIs" dxfId="251" priority="252" operator="equal">
      <formula>"Extremo"</formula>
    </cfRule>
    <cfRule type="cellIs" dxfId="252" priority="253" operator="equal">
      <formula>"Alto"</formula>
    </cfRule>
    <cfRule type="cellIs" dxfId="253" priority="254" operator="equal">
      <formula>"Moderado"</formula>
    </cfRule>
    <cfRule type="cellIs" dxfId="254" priority="255" operator="equal">
      <formula>"Bajo"</formula>
    </cfRule>
  </conditionalFormatting>
  <conditionalFormatting sqref="Q163">
    <cfRule type="cellIs" dxfId="250" priority="223" operator="equal">
      <formula>"Extremo"</formula>
    </cfRule>
    <cfRule type="cellIs" dxfId="247" priority="224" operator="equal">
      <formula>"Alto"</formula>
    </cfRule>
    <cfRule type="cellIs" dxfId="248" priority="225" operator="equal">
      <formula>"Moderado"</formula>
    </cfRule>
    <cfRule type="cellIs" dxfId="249" priority="226" operator="equal">
      <formula>"Bajo"</formula>
    </cfRule>
  </conditionalFormatting>
  <conditionalFormatting sqref="Q177 AF177:AF179">
    <cfRule type="cellIs" dxfId="246" priority="194" operator="equal">
      <formula>"Extremo"</formula>
    </cfRule>
    <cfRule type="cellIs" dxfId="245" priority="195" operator="equal">
      <formula>"Alto"</formula>
    </cfRule>
    <cfRule type="cellIs" dxfId="244" priority="196" operator="equal">
      <formula>"Moderado"</formula>
    </cfRule>
    <cfRule type="cellIs" dxfId="243" priority="197" operator="equal">
      <formula>"Bajo"</formula>
    </cfRule>
  </conditionalFormatting>
  <conditionalFormatting sqref="Q189 AF196">
    <cfRule type="cellIs" dxfId="239" priority="186" operator="equal">
      <formula>"Extremo"</formula>
    </cfRule>
    <cfRule type="cellIs" dxfId="241" priority="187" operator="equal">
      <formula>"Alto"</formula>
    </cfRule>
    <cfRule type="cellIs" dxfId="242" priority="188" operator="equal">
      <formula>"Moderado"</formula>
    </cfRule>
    <cfRule type="cellIs" dxfId="240" priority="189" operator="equal">
      <formula>"Bajo"</formula>
    </cfRule>
  </conditionalFormatting>
  <conditionalFormatting sqref="Q191 Q194">
    <cfRule type="cellIs" dxfId="236" priority="190" operator="equal">
      <formula>"Extremo"</formula>
    </cfRule>
    <cfRule type="cellIs" dxfId="235" priority="191" operator="equal">
      <formula>"Alto"</formula>
    </cfRule>
    <cfRule type="cellIs" dxfId="238" priority="192" operator="equal">
      <formula>"Moderado"</formula>
    </cfRule>
    <cfRule type="cellIs" dxfId="237" priority="193" operator="equal">
      <formula>"Bajo"</formula>
    </cfRule>
  </conditionalFormatting>
  <conditionalFormatting sqref="Q206 AF206:AF209">
    <cfRule type="cellIs" dxfId="231" priority="172" operator="equal">
      <formula>"Extremo"</formula>
    </cfRule>
    <cfRule type="cellIs" dxfId="232" priority="173" operator="equal">
      <formula>"Alto"</formula>
    </cfRule>
    <cfRule type="cellIs" dxfId="233" priority="174" operator="equal">
      <formula>"Moderado"</formula>
    </cfRule>
    <cfRule type="cellIs" dxfId="234" priority="175" operator="equal">
      <formula>"Bajo"</formula>
    </cfRule>
  </conditionalFormatting>
  <conditionalFormatting sqref="Q219">
    <cfRule type="cellIs" dxfId="230" priority="147" operator="equal">
      <formula>"Extremo"</formula>
    </cfRule>
    <cfRule type="cellIs" dxfId="227" priority="148" operator="equal">
      <formula>"Alto"</formula>
    </cfRule>
    <cfRule type="cellIs" dxfId="228" priority="149" operator="equal">
      <formula>"Moderado"</formula>
    </cfRule>
    <cfRule type="cellIs" dxfId="229" priority="150" operator="equal">
      <formula>"Bajo"</formula>
    </cfRule>
  </conditionalFormatting>
  <conditionalFormatting sqref="Q223">
    <cfRule type="cellIs" dxfId="226" priority="143" operator="equal">
      <formula>"Extremo"</formula>
    </cfRule>
    <cfRule type="cellIs" dxfId="225" priority="144" operator="equal">
      <formula>"Alto"</formula>
    </cfRule>
    <cfRule type="cellIs" dxfId="224" priority="145" operator="equal">
      <formula>"Moderado"</formula>
    </cfRule>
    <cfRule type="cellIs" dxfId="223" priority="146" operator="equal">
      <formula>"Bajo"</formula>
    </cfRule>
  </conditionalFormatting>
  <conditionalFormatting sqref="Q234">
    <cfRule type="cellIs" dxfId="222" priority="125" operator="equal">
      <formula>"Extremo"</formula>
    </cfRule>
    <cfRule type="cellIs" dxfId="221" priority="126" operator="equal">
      <formula>"Alto"</formula>
    </cfRule>
    <cfRule type="cellIs" dxfId="220" priority="127" operator="equal">
      <formula>"Moderado"</formula>
    </cfRule>
    <cfRule type="cellIs" dxfId="219" priority="128" operator="equal">
      <formula>"Bajo"</formula>
    </cfRule>
  </conditionalFormatting>
  <conditionalFormatting sqref="Q238 Q240:Q241">
    <cfRule type="cellIs" dxfId="216" priority="121" operator="equal">
      <formula>"Extremo"</formula>
    </cfRule>
    <cfRule type="cellIs" dxfId="215" priority="122" operator="equal">
      <formula>"Alto"</formula>
    </cfRule>
    <cfRule type="cellIs" dxfId="217" priority="123" operator="equal">
      <formula>"Moderado"</formula>
    </cfRule>
    <cfRule type="cellIs" dxfId="218" priority="124" operator="equal">
      <formula>"Bajo"</formula>
    </cfRule>
  </conditionalFormatting>
  <conditionalFormatting sqref="Q251 AF251">
    <cfRule type="cellIs" dxfId="214" priority="107" operator="equal">
      <formula>"Extremo"</formula>
    </cfRule>
    <cfRule type="cellIs" dxfId="213" priority="108" operator="equal">
      <formula>"Alto"</formula>
    </cfRule>
    <cfRule type="cellIs" dxfId="212" priority="109" operator="equal">
      <formula>"Moderado"</formula>
    </cfRule>
    <cfRule type="cellIs" dxfId="211" priority="110" operator="equal">
      <formula>"Bajo"</formula>
    </cfRule>
  </conditionalFormatting>
  <conditionalFormatting sqref="Q263">
    <cfRule type="cellIs" dxfId="210" priority="92" operator="equal">
      <formula>"Extremo"</formula>
    </cfRule>
    <cfRule type="cellIs" dxfId="209" priority="93" operator="equal">
      <formula>"Alto"</formula>
    </cfRule>
    <cfRule type="cellIs" dxfId="208" priority="94" operator="equal">
      <formula>"Moderado"</formula>
    </cfRule>
    <cfRule type="cellIs" dxfId="207" priority="95" operator="equal">
      <formula>"Bajo"</formula>
    </cfRule>
  </conditionalFormatting>
  <conditionalFormatting sqref="Q267">
    <cfRule type="cellIs" dxfId="206" priority="83" operator="equal">
      <formula>"Extremo"</formula>
    </cfRule>
    <cfRule type="cellIs" dxfId="204" priority="84" operator="equal">
      <formula>"Alto"</formula>
    </cfRule>
    <cfRule type="cellIs" dxfId="203" priority="85" operator="equal">
      <formula>"Moderado"</formula>
    </cfRule>
    <cfRule type="cellIs" dxfId="205" priority="86" operator="equal">
      <formula>"Bajo"</formula>
    </cfRule>
  </conditionalFormatting>
  <conditionalFormatting sqref="Q270">
    <cfRule type="cellIs" dxfId="200" priority="46" operator="equal">
      <formula>"Extremo"</formula>
    </cfRule>
    <cfRule type="cellIs" dxfId="202" priority="47" operator="equal">
      <formula>"Alto"</formula>
    </cfRule>
    <cfRule type="cellIs" dxfId="201" priority="48" operator="equal">
      <formula>"Moderado"</formula>
    </cfRule>
    <cfRule type="cellIs" dxfId="199" priority="49" operator="equal">
      <formula>"Bajo"</formula>
    </cfRule>
  </conditionalFormatting>
  <conditionalFormatting sqref="Q304 AF304:AF308">
    <cfRule type="cellIs" dxfId="195" priority="17" operator="equal">
      <formula>"Extremo"</formula>
    </cfRule>
    <cfRule type="cellIs" dxfId="198" priority="18" operator="equal">
      <formula>"Alto"</formula>
    </cfRule>
    <cfRule type="cellIs" dxfId="197" priority="19" operator="equal">
      <formula>"Moderado"</formula>
    </cfRule>
    <cfRule type="cellIs" dxfId="196" priority="20" operator="equal">
      <formula>"Bajo"</formula>
    </cfRule>
  </conditionalFormatting>
  <conditionalFormatting sqref="Q315:Q317 AF315:AF317 Q319 AF319">
    <cfRule type="cellIs" dxfId="191" priority="2" operator="equal">
      <formula>"Extremo"</formula>
    </cfRule>
    <cfRule type="cellIs" dxfId="192" priority="3" operator="equal">
      <formula>"Alto"</formula>
    </cfRule>
    <cfRule type="cellIs" dxfId="193" priority="4" operator="equal">
      <formula>"Moderado"</formula>
    </cfRule>
    <cfRule type="cellIs" dxfId="194" priority="5" operator="equal">
      <formula>"Bajo"</formula>
    </cfRule>
  </conditionalFormatting>
  <conditionalFormatting sqref="AA116:AA119 J119:K119">
    <cfRule type="cellIs" dxfId="186" priority="323" operator="equal">
      <formula>"Muy Alta"</formula>
    </cfRule>
    <cfRule type="cellIs" dxfId="187" priority="324" operator="equal">
      <formula>"Alta"</formula>
    </cfRule>
    <cfRule type="cellIs" dxfId="188" priority="325" operator="equal">
      <formula>"Media"</formula>
    </cfRule>
    <cfRule type="cellIs" dxfId="189" priority="326" operator="equal">
      <formula>"Baja"</formula>
    </cfRule>
    <cfRule type="cellIs" dxfId="190" priority="327" operator="equal">
      <formula>"Muy Baja"</formula>
    </cfRule>
  </conditionalFormatting>
  <conditionalFormatting sqref="AA272 AA294 AA321:AA373">
    <cfRule type="cellIs" dxfId="181" priority="559" operator="equal">
      <formula>"Alta"</formula>
    </cfRule>
    <cfRule type="cellIs" dxfId="182" priority="560" operator="equal">
      <formula>"Muy Alta"</formula>
    </cfRule>
    <cfRule type="cellIs" dxfId="183" priority="561" operator="equal">
      <formula>"Muy Baja"</formula>
    </cfRule>
    <cfRule type="cellIs" dxfId="184" priority="562" operator="equal">
      <formula>"Baja"</formula>
    </cfRule>
    <cfRule type="cellIs" dxfId="185" priority="563" operator="equal">
      <formula>"Media"</formula>
    </cfRule>
  </conditionalFormatting>
  <conditionalFormatting sqref="AA121:AB122">
    <cfRule type="cellIs" dxfId="176" priority="294" operator="equal">
      <formula>"Muy Alta"</formula>
    </cfRule>
    <cfRule type="cellIs" dxfId="177" priority="295" operator="equal">
      <formula>"Alta"</formula>
    </cfRule>
    <cfRule type="cellIs" dxfId="178" priority="296" operator="equal">
      <formula>"Media"</formula>
    </cfRule>
    <cfRule type="cellIs" dxfId="179" priority="297" operator="equal">
      <formula>"Baja"</formula>
    </cfRule>
    <cfRule type="cellIs" dxfId="180" priority="298" operator="equal">
      <formula>"Muy Baja"</formula>
    </cfRule>
  </conditionalFormatting>
  <conditionalFormatting sqref="AB21:AB27">
    <cfRule type="cellIs" dxfId="173" priority="518" operator="equal">
      <formula>"Muy Alta"</formula>
    </cfRule>
    <cfRule type="cellIs" dxfId="174" priority="519" operator="equal">
      <formula>"Alta"</formula>
    </cfRule>
    <cfRule type="cellIs" dxfId="175" priority="520" operator="equal">
      <formula>"Media"</formula>
    </cfRule>
    <cfRule type="cellIs" dxfId="172" priority="521" operator="equal">
      <formula>"Baja"</formula>
    </cfRule>
    <cfRule type="cellIs" dxfId="171" priority="522" operator="equal">
      <formula>"Muy Baja"</formula>
    </cfRule>
  </conditionalFormatting>
  <conditionalFormatting sqref="AB55 AB57:AB61">
    <cfRule type="cellIs" dxfId="168" priority="447" operator="equal">
      <formula>"Muy Alta"</formula>
    </cfRule>
    <cfRule type="cellIs" dxfId="167" priority="448" operator="equal">
      <formula>"Alta"</formula>
    </cfRule>
    <cfRule type="cellIs" dxfId="166" priority="449" operator="equal">
      <formula>"Media"</formula>
    </cfRule>
    <cfRule type="cellIs" dxfId="170" priority="450" operator="equal">
      <formula>"Baja"</formula>
    </cfRule>
    <cfRule type="cellIs" dxfId="169" priority="451" operator="equal">
      <formula>"Muy Baja"</formula>
    </cfRule>
  </conditionalFormatting>
  <conditionalFormatting sqref="AB71:AB75">
    <cfRule type="cellIs" dxfId="162" priority="412" operator="equal">
      <formula>"Muy Alta"</formula>
    </cfRule>
    <cfRule type="cellIs" dxfId="163" priority="413" operator="equal">
      <formula>"Alta"</formula>
    </cfRule>
    <cfRule type="cellIs" dxfId="164" priority="414" operator="equal">
      <formula>"Media"</formula>
    </cfRule>
    <cfRule type="cellIs" dxfId="161" priority="415" operator="equal">
      <formula>"Baja"</formula>
    </cfRule>
    <cfRule type="cellIs" dxfId="165" priority="416" operator="equal">
      <formula>"Muy Baja"</formula>
    </cfRule>
  </conditionalFormatting>
  <conditionalFormatting sqref="AB100:AB101">
    <cfRule type="cellIs" dxfId="160" priority="366" operator="equal">
      <formula>"Muy Alta"</formula>
    </cfRule>
    <cfRule type="cellIs" dxfId="159" priority="367" operator="equal">
      <formula>"Alta"</formula>
    </cfRule>
    <cfRule type="cellIs" dxfId="158" priority="368" operator="equal">
      <formula>"Media"</formula>
    </cfRule>
    <cfRule type="cellIs" dxfId="157" priority="369" operator="equal">
      <formula>"Baja"</formula>
    </cfRule>
    <cfRule type="cellIs" dxfId="156" priority="370" operator="equal">
      <formula>"Muy Baja"</formula>
    </cfRule>
  </conditionalFormatting>
  <conditionalFormatting sqref="AB103:AB106">
    <cfRule type="cellIs" dxfId="152" priority="347" operator="equal">
      <formula>"Muy Alta"</formula>
    </cfRule>
    <cfRule type="cellIs" dxfId="151" priority="348" operator="equal">
      <formula>"Alta"</formula>
    </cfRule>
    <cfRule type="cellIs" dxfId="155" priority="349" operator="equal">
      <formula>"Media"</formula>
    </cfRule>
    <cfRule type="cellIs" dxfId="154" priority="350" operator="equal">
      <formula>"Baja"</formula>
    </cfRule>
    <cfRule type="cellIs" dxfId="153" priority="351" operator="equal">
      <formula>"Muy Baja"</formula>
    </cfRule>
  </conditionalFormatting>
  <conditionalFormatting sqref="AB119:AB122">
    <cfRule type="cellIs" dxfId="148" priority="280" operator="equal">
      <formula>"Muy Alta"</formula>
    </cfRule>
    <cfRule type="cellIs" dxfId="147" priority="281" operator="equal">
      <formula>"Alta"</formula>
    </cfRule>
    <cfRule type="cellIs" dxfId="146" priority="282" operator="equal">
      <formula>"Media"</formula>
    </cfRule>
    <cfRule type="cellIs" dxfId="150" priority="283" operator="equal">
      <formula>"Baja"</formula>
    </cfRule>
    <cfRule type="cellIs" dxfId="149" priority="284" operator="equal">
      <formula>"Muy Baja"</formula>
    </cfRule>
  </conditionalFormatting>
  <conditionalFormatting sqref="AB149:AB152">
    <cfRule type="cellIs" dxfId="143" priority="246" operator="equal">
      <formula>"Muy Alta"</formula>
    </cfRule>
    <cfRule type="cellIs" dxfId="144" priority="247" operator="equal">
      <formula>"Alta"</formula>
    </cfRule>
    <cfRule type="cellIs" dxfId="141" priority="248" operator="equal">
      <formula>"Media"</formula>
    </cfRule>
    <cfRule type="cellIs" dxfId="142" priority="249" operator="equal">
      <formula>"Baja"</formula>
    </cfRule>
    <cfRule type="cellIs" dxfId="145" priority="250" operator="equal">
      <formula>"Muy Baja"</formula>
    </cfRule>
  </conditionalFormatting>
  <conditionalFormatting sqref="AB163:AB166">
    <cfRule type="cellIs" dxfId="137" priority="217" operator="equal">
      <formula>"Muy Alta"</formula>
    </cfRule>
    <cfRule type="cellIs" dxfId="138" priority="218" operator="equal">
      <formula>"Alta"</formula>
    </cfRule>
    <cfRule type="cellIs" dxfId="139" priority="219" operator="equal">
      <formula>"Media"</formula>
    </cfRule>
    <cfRule type="cellIs" dxfId="140" priority="220" operator="equal">
      <formula>"Baja"</formula>
    </cfRule>
    <cfRule type="cellIs" dxfId="136" priority="221" operator="equal">
      <formula>"Muy Baja"</formula>
    </cfRule>
  </conditionalFormatting>
  <conditionalFormatting sqref="AB263:AB264">
    <cfRule type="cellIs" dxfId="131" priority="87" operator="equal">
      <formula>"Muy Alta"</formula>
    </cfRule>
    <cfRule type="cellIs" dxfId="134" priority="88" operator="equal">
      <formula>"Alta"</formula>
    </cfRule>
    <cfRule type="cellIs" dxfId="133" priority="89" operator="equal">
      <formula>"Media"</formula>
    </cfRule>
    <cfRule type="cellIs" dxfId="132" priority="90" operator="equal">
      <formula>"Baja"</formula>
    </cfRule>
    <cfRule type="cellIs" dxfId="135" priority="91" operator="equal">
      <formula>"Muy Baja"</formula>
    </cfRule>
  </conditionalFormatting>
  <conditionalFormatting sqref="AB267:AB268">
    <cfRule type="cellIs" dxfId="130" priority="78" operator="equal">
      <formula>"Muy Alta"</formula>
    </cfRule>
    <cfRule type="cellIs" dxfId="126" priority="79" operator="equal">
      <formula>"Alta"</formula>
    </cfRule>
    <cfRule type="cellIs" dxfId="127" priority="80" operator="equal">
      <formula>"Media"</formula>
    </cfRule>
    <cfRule type="cellIs" dxfId="128" priority="81" operator="equal">
      <formula>"Baja"</formula>
    </cfRule>
    <cfRule type="cellIs" dxfId="129" priority="82" operator="equal">
      <formula>"Muy Baja"</formula>
    </cfRule>
  </conditionalFormatting>
  <conditionalFormatting sqref="AB270">
    <cfRule type="cellIs" dxfId="122" priority="41" operator="equal">
      <formula>"Muy Alta"</formula>
    </cfRule>
    <cfRule type="cellIs" dxfId="125" priority="42" operator="equal">
      <formula>"Alta"</formula>
    </cfRule>
    <cfRule type="cellIs" dxfId="124" priority="43" operator="equal">
      <formula>"Media"</formula>
    </cfRule>
    <cfRule type="cellIs" dxfId="121" priority="44" operator="equal">
      <formula>"Baja"</formula>
    </cfRule>
    <cfRule type="cellIs" dxfId="123" priority="45" operator="equal">
      <formula>"Muy Baja"</formula>
    </cfRule>
  </conditionalFormatting>
  <conditionalFormatting sqref="AC272 AC294 AC321:AC373">
    <cfRule type="cellIs" dxfId="116" priority="554" operator="equal">
      <formula>"Menor"</formula>
    </cfRule>
    <cfRule type="cellIs" dxfId="117" priority="555" operator="equal">
      <formula>"Moderado"</formula>
    </cfRule>
    <cfRule type="cellIs" dxfId="118" priority="556" operator="equal">
      <formula>"Mayor"</formula>
    </cfRule>
    <cfRule type="cellIs" dxfId="119" priority="557" operator="equal">
      <formula>"Catastrófico"</formula>
    </cfRule>
    <cfRule type="cellIs" dxfId="120" priority="558" operator="equal">
      <formula>"Leve"</formula>
    </cfRule>
  </conditionalFormatting>
  <conditionalFormatting sqref="AC121:AD122">
    <cfRule type="cellIs" dxfId="112" priority="299" operator="equal">
      <formula>"Catastrófico"</formula>
    </cfRule>
    <cfRule type="cellIs" dxfId="111" priority="300" operator="equal">
      <formula>"Mayor"</formula>
    </cfRule>
    <cfRule type="cellIs" dxfId="115" priority="301" operator="equal">
      <formula>"Moderado"</formula>
    </cfRule>
    <cfRule type="cellIs" dxfId="114" priority="302" operator="equal">
      <formula>"Menor"</formula>
    </cfRule>
    <cfRule type="cellIs" dxfId="113" priority="303" operator="equal">
      <formula>"Leve"</formula>
    </cfRule>
  </conditionalFormatting>
  <conditionalFormatting sqref="AD21:AD27">
    <cfRule type="cellIs" dxfId="106" priority="523" operator="equal">
      <formula>"Catastrófico"</formula>
    </cfRule>
    <cfRule type="cellIs" dxfId="110" priority="524" operator="equal">
      <formula>"Mayor"</formula>
    </cfRule>
    <cfRule type="cellIs" dxfId="109" priority="525" operator="equal">
      <formula>"Moderado"</formula>
    </cfRule>
    <cfRule type="cellIs" dxfId="108" priority="526" operator="equal">
      <formula>"Menor"</formula>
    </cfRule>
    <cfRule type="cellIs" dxfId="107" priority="527" operator="equal">
      <formula>"Leve"</formula>
    </cfRule>
  </conditionalFormatting>
  <conditionalFormatting sqref="AD55 AD57:AD61">
    <cfRule type="cellIs" dxfId="101" priority="452" operator="equal">
      <formula>"Catastrófico"</formula>
    </cfRule>
    <cfRule type="cellIs" dxfId="105" priority="453" operator="equal">
      <formula>"Mayor"</formula>
    </cfRule>
    <cfRule type="cellIs" dxfId="102" priority="454" operator="equal">
      <formula>"Moderado"</formula>
    </cfRule>
    <cfRule type="cellIs" dxfId="103" priority="455" operator="equal">
      <formula>"Menor"</formula>
    </cfRule>
    <cfRule type="cellIs" dxfId="104" priority="456" operator="equal">
      <formula>"Leve"</formula>
    </cfRule>
  </conditionalFormatting>
  <conditionalFormatting sqref="AD71:AD75">
    <cfRule type="cellIs" dxfId="99" priority="403" operator="equal">
      <formula>"Catastrófico"</formula>
    </cfRule>
    <cfRule type="cellIs" dxfId="100" priority="404" operator="equal">
      <formula>"Mayor"</formula>
    </cfRule>
    <cfRule type="cellIs" dxfId="96" priority="405" operator="equal">
      <formula>"Moderado"</formula>
    </cfRule>
    <cfRule type="cellIs" dxfId="97" priority="406" operator="equal">
      <formula>"Menor"</formula>
    </cfRule>
    <cfRule type="cellIs" dxfId="98" priority="407" operator="equal">
      <formula>"Leve"</formula>
    </cfRule>
  </conditionalFormatting>
  <conditionalFormatting sqref="AD100:AD101">
    <cfRule type="cellIs" dxfId="92" priority="361" operator="equal">
      <formula>"Catastrófico"</formula>
    </cfRule>
    <cfRule type="cellIs" dxfId="94" priority="362" operator="equal">
      <formula>"Mayor"</formula>
    </cfRule>
    <cfRule type="cellIs" dxfId="93" priority="363" operator="equal">
      <formula>"Moderado"</formula>
    </cfRule>
    <cfRule type="cellIs" dxfId="95" priority="364" operator="equal">
      <formula>"Menor"</formula>
    </cfRule>
    <cfRule type="cellIs" dxfId="91" priority="365" operator="equal">
      <formula>"Leve"</formula>
    </cfRule>
  </conditionalFormatting>
  <conditionalFormatting sqref="AD103:AD106">
    <cfRule type="cellIs" dxfId="88" priority="342" operator="equal">
      <formula>"Catastrófico"</formula>
    </cfRule>
    <cfRule type="cellIs" dxfId="86" priority="343" operator="equal">
      <formula>"Mayor"</formula>
    </cfRule>
    <cfRule type="cellIs" dxfId="87" priority="344" operator="equal">
      <formula>"Moderado"</formula>
    </cfRule>
    <cfRule type="cellIs" dxfId="90" priority="345" operator="equal">
      <formula>"Menor"</formula>
    </cfRule>
    <cfRule type="cellIs" dxfId="89" priority="346" operator="equal">
      <formula>"Leve"</formula>
    </cfRule>
  </conditionalFormatting>
  <conditionalFormatting sqref="AD119:AD122">
    <cfRule type="cellIs" dxfId="81" priority="285" operator="equal">
      <formula>"Catastrófico"</formula>
    </cfRule>
    <cfRule type="cellIs" dxfId="82" priority="286" operator="equal">
      <formula>"Mayor"</formula>
    </cfRule>
    <cfRule type="cellIs" dxfId="83" priority="287" operator="equal">
      <formula>"Moderado"</formula>
    </cfRule>
    <cfRule type="cellIs" dxfId="84" priority="288" operator="equal">
      <formula>"Menor"</formula>
    </cfRule>
    <cfRule type="cellIs" dxfId="85" priority="289" operator="equal">
      <formula>"Leve"</formula>
    </cfRule>
  </conditionalFormatting>
  <conditionalFormatting sqref="AD149:AD152">
    <cfRule type="cellIs" dxfId="76" priority="241" operator="equal">
      <formula>"Catastrófico"</formula>
    </cfRule>
    <cfRule type="cellIs" dxfId="77" priority="242" operator="equal">
      <formula>"Mayor"</formula>
    </cfRule>
    <cfRule type="cellIs" dxfId="78" priority="243" operator="equal">
      <formula>"Moderado"</formula>
    </cfRule>
    <cfRule type="cellIs" dxfId="79" priority="244" operator="equal">
      <formula>"Menor"</formula>
    </cfRule>
    <cfRule type="cellIs" dxfId="80" priority="245" operator="equal">
      <formula>"Leve"</formula>
    </cfRule>
  </conditionalFormatting>
  <conditionalFormatting sqref="AD163:AD166">
    <cfRule type="cellIs" dxfId="75" priority="212" operator="equal">
      <formula>"Catastrófico"</formula>
    </cfRule>
    <cfRule type="cellIs" dxfId="74" priority="213" operator="equal">
      <formula>"Mayor"</formula>
    </cfRule>
    <cfRule type="cellIs" dxfId="73" priority="214" operator="equal">
      <formula>"Moderado"</formula>
    </cfRule>
    <cfRule type="cellIs" dxfId="72" priority="215" operator="equal">
      <formula>"Menor"</formula>
    </cfRule>
    <cfRule type="cellIs" dxfId="71" priority="216" operator="equal">
      <formula>"Leve"</formula>
    </cfRule>
  </conditionalFormatting>
  <conditionalFormatting sqref="AD263:AD264">
    <cfRule type="cellIs" dxfId="68" priority="64" operator="equal">
      <formula>"Catastrófico"</formula>
    </cfRule>
    <cfRule type="cellIs" dxfId="69" priority="65" operator="equal">
      <formula>"Mayor"</formula>
    </cfRule>
    <cfRule type="cellIs" dxfId="70" priority="66" operator="equal">
      <formula>"Moderado"</formula>
    </cfRule>
    <cfRule type="cellIs" dxfId="66" priority="67" operator="equal">
      <formula>"Menor"</formula>
    </cfRule>
    <cfRule type="cellIs" dxfId="67" priority="68" operator="equal">
      <formula>"Leve"</formula>
    </cfRule>
  </conditionalFormatting>
  <conditionalFormatting sqref="AD267:AD268">
    <cfRule type="cellIs" dxfId="65" priority="73" operator="equal">
      <formula>"Catastrófico"</formula>
    </cfRule>
    <cfRule type="cellIs" dxfId="64" priority="74" operator="equal">
      <formula>"Mayor"</formula>
    </cfRule>
    <cfRule type="cellIs" dxfId="63" priority="75" operator="equal">
      <formula>"Moderado"</formula>
    </cfRule>
    <cfRule type="cellIs" dxfId="62" priority="76" operator="equal">
      <formula>"Menor"</formula>
    </cfRule>
    <cfRule type="cellIs" dxfId="61" priority="77" operator="equal">
      <formula>"Leve"</formula>
    </cfRule>
  </conditionalFormatting>
  <conditionalFormatting sqref="AD270">
    <cfRule type="cellIs" dxfId="56" priority="36" operator="equal">
      <formula>"Catastrófico"</formula>
    </cfRule>
    <cfRule type="cellIs" dxfId="60" priority="37" operator="equal">
      <formula>"Mayor"</formula>
    </cfRule>
    <cfRule type="cellIs" dxfId="59" priority="38" operator="equal">
      <formula>"Moderado"</formula>
    </cfRule>
    <cfRule type="cellIs" dxfId="58" priority="39" operator="equal">
      <formula>"Menor"</formula>
    </cfRule>
    <cfRule type="cellIs" dxfId="57" priority="40" operator="equal">
      <formula>"Leve"</formula>
    </cfRule>
  </conditionalFormatting>
  <conditionalFormatting sqref="AE272 AE294 AE321:AE373">
    <cfRule type="cellIs" dxfId="55" priority="550" operator="equal">
      <formula>"Bajo"</formula>
    </cfRule>
    <cfRule type="cellIs" dxfId="54" priority="551" operator="equal">
      <formula>"Moderado"</formula>
    </cfRule>
    <cfRule type="cellIs" dxfId="53" priority="552" operator="equal">
      <formula>"Alto"</formula>
    </cfRule>
    <cfRule type="cellIs" dxfId="52" priority="553" operator="equal">
      <formula>"Extremo"</formula>
    </cfRule>
  </conditionalFormatting>
  <conditionalFormatting sqref="AE121:AF122">
    <cfRule type="cellIs" dxfId="51" priority="304" operator="equal">
      <formula>"Extremo"</formula>
    </cfRule>
    <cfRule type="cellIs" dxfId="48" priority="305" operator="equal">
      <formula>"Alto"</formula>
    </cfRule>
    <cfRule type="cellIs" dxfId="49" priority="306" operator="equal">
      <formula>"Moderado"</formula>
    </cfRule>
    <cfRule type="cellIs" dxfId="50" priority="307" operator="equal">
      <formula>"Bajo"</formula>
    </cfRule>
  </conditionalFormatting>
  <conditionalFormatting sqref="AF21:AF27">
    <cfRule type="cellIs" dxfId="47" priority="528" operator="equal">
      <formula>"Extremo"</formula>
    </cfRule>
    <cfRule type="cellIs" dxfId="46" priority="529" operator="equal">
      <formula>"Alto"</formula>
    </cfRule>
    <cfRule type="cellIs" dxfId="45" priority="530" operator="equal">
      <formula>"Moderado"</formula>
    </cfRule>
    <cfRule type="cellIs" dxfId="44" priority="531" operator="equal">
      <formula>"Bajo"</formula>
    </cfRule>
  </conditionalFormatting>
  <conditionalFormatting sqref="AF55 AF57:AF61">
    <cfRule type="cellIs" dxfId="43" priority="457" operator="equal">
      <formula>"Extremo"</formula>
    </cfRule>
    <cfRule type="cellIs" dxfId="40" priority="458" operator="equal">
      <formula>"Alto"</formula>
    </cfRule>
    <cfRule type="cellIs" dxfId="41" priority="459" operator="equal">
      <formula>"Moderado"</formula>
    </cfRule>
    <cfRule type="cellIs" dxfId="42" priority="460" operator="equal">
      <formula>"Bajo"</formula>
    </cfRule>
  </conditionalFormatting>
  <conditionalFormatting sqref="AF71:AF75">
    <cfRule type="cellIs" dxfId="38" priority="408" operator="equal">
      <formula>"Extremo"</formula>
    </cfRule>
    <cfRule type="cellIs" dxfId="37" priority="409" operator="equal">
      <formula>"Alto"</formula>
    </cfRule>
    <cfRule type="cellIs" dxfId="36" priority="410" operator="equal">
      <formula>"Moderado"</formula>
    </cfRule>
    <cfRule type="cellIs" dxfId="39" priority="411" operator="equal">
      <formula>"Bajo"</formula>
    </cfRule>
  </conditionalFormatting>
  <conditionalFormatting sqref="AF100:AF101">
    <cfRule type="cellIs" dxfId="35" priority="357" operator="equal">
      <formula>"Extremo"</formula>
    </cfRule>
    <cfRule type="cellIs" dxfId="32" priority="358" operator="equal">
      <formula>"Alto"</formula>
    </cfRule>
    <cfRule type="cellIs" dxfId="34" priority="359" operator="equal">
      <formula>"Moderado"</formula>
    </cfRule>
    <cfRule type="cellIs" dxfId="33" priority="360" operator="equal">
      <formula>"Bajo"</formula>
    </cfRule>
  </conditionalFormatting>
  <conditionalFormatting sqref="AF103:AF106">
    <cfRule type="cellIs" dxfId="31" priority="338" operator="equal">
      <formula>"Extremo"</formula>
    </cfRule>
    <cfRule type="cellIs" dxfId="30" priority="339" operator="equal">
      <formula>"Alto"</formula>
    </cfRule>
    <cfRule type="cellIs" dxfId="29" priority="340" operator="equal">
      <formula>"Moderado"</formula>
    </cfRule>
    <cfRule type="cellIs" dxfId="28" priority="341" operator="equal">
      <formula>"Bajo"</formula>
    </cfRule>
  </conditionalFormatting>
  <conditionalFormatting sqref="AF119:AF122">
    <cfRule type="cellIs" dxfId="24" priority="290" operator="equal">
      <formula>"Extremo"</formula>
    </cfRule>
    <cfRule type="cellIs" dxfId="25" priority="291" operator="equal">
      <formula>"Alto"</formula>
    </cfRule>
    <cfRule type="cellIs" dxfId="27" priority="292" operator="equal">
      <formula>"Moderado"</formula>
    </cfRule>
    <cfRule type="cellIs" dxfId="26" priority="293" operator="equal">
      <formula>"Bajo"</formula>
    </cfRule>
  </conditionalFormatting>
  <conditionalFormatting sqref="AF149:AF152">
    <cfRule type="cellIs" dxfId="20" priority="237" operator="equal">
      <formula>"Extremo"</formula>
    </cfRule>
    <cfRule type="cellIs" dxfId="21" priority="238" operator="equal">
      <formula>"Alto"</formula>
    </cfRule>
    <cfRule type="cellIs" dxfId="22" priority="239" operator="equal">
      <formula>"Moderado"</formula>
    </cfRule>
    <cfRule type="cellIs" dxfId="23" priority="240" operator="equal">
      <formula>"Bajo"</formula>
    </cfRule>
  </conditionalFormatting>
  <conditionalFormatting sqref="AF163:AF166">
    <cfRule type="cellIs" dxfId="19" priority="208" operator="equal">
      <formula>"Extremo"</formula>
    </cfRule>
    <cfRule type="cellIs" dxfId="18" priority="209" operator="equal">
      <formula>"Alto"</formula>
    </cfRule>
    <cfRule type="cellIs" dxfId="17" priority="210" operator="equal">
      <formula>"Moderado"</formula>
    </cfRule>
    <cfRule type="cellIs" dxfId="16" priority="211" operator="equal">
      <formula>"Bajo"</formula>
    </cfRule>
  </conditionalFormatting>
  <conditionalFormatting sqref="AF219">
    <cfRule type="cellIs" dxfId="15" priority="139" operator="equal">
      <formula>"Extremo"</formula>
    </cfRule>
    <cfRule type="cellIs" dxfId="14" priority="140" operator="equal">
      <formula>"Alto"</formula>
    </cfRule>
    <cfRule type="cellIs" dxfId="12" priority="141" operator="equal">
      <formula>"Moderado"</formula>
    </cfRule>
    <cfRule type="cellIs" dxfId="13" priority="142" operator="equal">
      <formula>"Bajo"</formula>
    </cfRule>
  </conditionalFormatting>
  <conditionalFormatting sqref="AF263:AF264">
    <cfRule type="cellIs" dxfId="9" priority="60" operator="equal">
      <formula>"Extremo"</formula>
    </cfRule>
    <cfRule type="cellIs" dxfId="8" priority="61" operator="equal">
      <formula>"Alto"</formula>
    </cfRule>
    <cfRule type="cellIs" dxfId="11" priority="62" operator="equal">
      <formula>"Moderado"</formula>
    </cfRule>
    <cfRule type="cellIs" dxfId="10" priority="63" operator="equal">
      <formula>"Bajo"</formula>
    </cfRule>
  </conditionalFormatting>
  <conditionalFormatting sqref="AF267:AF268">
    <cfRule type="cellIs" dxfId="4" priority="69" operator="equal">
      <formula>"Extremo"</formula>
    </cfRule>
    <cfRule type="cellIs" dxfId="6" priority="70" operator="equal">
      <formula>"Alto"</formula>
    </cfRule>
    <cfRule type="cellIs" dxfId="7" priority="71" operator="equal">
      <formula>"Moderado"</formula>
    </cfRule>
    <cfRule type="cellIs" dxfId="5" priority="72" operator="equal">
      <formula>"Bajo"</formula>
    </cfRule>
  </conditionalFormatting>
  <conditionalFormatting sqref="AF270">
    <cfRule type="cellIs" dxfId="0" priority="32" operator="equal">
      <formula>"Extremo"</formula>
    </cfRule>
    <cfRule type="cellIs" dxfId="1" priority="33" operator="equal">
      <formula>"Alto"</formula>
    </cfRule>
    <cfRule type="cellIs" dxfId="2" priority="34" operator="equal">
      <formula>"Moderado"</formula>
    </cfRule>
    <cfRule type="cellIs" dxfId="3" priority="35" operator="equal">
      <formula>"Bajo"</formula>
    </cfRule>
  </conditionalFormatting>
  <dataValidations count="7">
    <dataValidation type="custom" allowBlank="1" showInputMessage="1" showErrorMessage="1" error="Recuerde que las acciones se generan bajo la medida de mitigar el riesgo" sqref="AI251:AI253" xr:uid="{C7D23964-3A18-4898-9673-E8DF53106DE1}">
      <formula1>IF(OR(AG251=#REF!,AG251=#REF!,AG251=#REF!),ISBLANK(AG251),ISTEXT(AG251))</formula1>
    </dataValidation>
    <dataValidation type="custom" allowBlank="1" showInputMessage="1" showErrorMessage="1" error="Recuerde que las acciones se generan bajo la medida de mitigar el riesgo" sqref="AK251:AK253" xr:uid="{D85F7562-6A45-4C8C-BEA4-F63D915AB1EC}">
      <formula1>IF(OR(AG251=#REF!,AG251=#REF!,AG251=#REF!),ISBLANK(AG251),ISTEXT(AG251))</formula1>
    </dataValidation>
    <dataValidation type="custom" allowBlank="1" showInputMessage="1" showErrorMessage="1" error="Recuerde que las acciones se generan bajo la medida de mitigar el riesgo" sqref="AL251:AL253" xr:uid="{A004352B-3141-4FA5-B1CF-07A5875A2410}">
      <formula1>IF(OR(AG251=#REF!,AG251=#REF!,AG251=#REF!),ISBLANK(AG251),ISTEXT(AG251))</formula1>
    </dataValidation>
    <dataValidation type="list" allowBlank="1" showInputMessage="1" showErrorMessage="1" sqref="G132:G138 G149 G163:G166 G177 G219:G223 G234:G241 G251:G253 G263 G267 G270 G282:G293 G304:G308 G315:G320" xr:uid="{495017F9-32E2-4BA6-A7DF-8ED969ED4EEB}">
      <formula1>"Gestión, FISCAL,"</formula1>
    </dataValidation>
    <dataValidation type="list" allowBlank="1" showInputMessage="1" showErrorMessage="1" sqref="G100:G106" xr:uid="{55BE26A6-8DFA-4CC2-BEAC-023E84B87770}">
      <formula1>"Gestión,Fiscal"</formula1>
    </dataValidation>
    <dataValidation type="list" allowBlank="1" showErrorMessage="1" sqref="G10 G21 G24 G26 G55 G57 G59 G71 G116 G119 G121 G189 G191 G194 G206" xr:uid="{759EE11B-6B2D-447F-A3F4-BB4801619962}">
      <formula1>"Gestión,FISCAL"</formula1>
    </dataValidation>
    <dataValidation type="list" allowBlank="1" showInputMessage="1" showErrorMessage="1" sqref="G42" xr:uid="{9763AB53-10F2-402F-916A-17B402A1E3B0}">
      <formula1>"Gestion,Fiscal"</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07AF-236B-46E5-BBD6-E6B074501E4F}">
  <dimension ref="A1:AS281"/>
  <sheetViews>
    <sheetView zoomScale="40" zoomScaleNormal="40" workbookViewId="0">
      <selection activeCell="F265" sqref="F265"/>
    </sheetView>
  </sheetViews>
  <sheetFormatPr baseColWidth="10" defaultColWidth="11.44140625" defaultRowHeight="13.8" x14ac:dyDescent="0.3"/>
  <cols>
    <col min="1" max="1" width="4" style="36" bestFit="1" customWidth="1"/>
    <col min="2" max="2" width="15.5546875" style="36" customWidth="1"/>
    <col min="3" max="3" width="31.109375" style="36" customWidth="1"/>
    <col min="4" max="4" width="38.109375" style="36" customWidth="1"/>
    <col min="5" max="5" width="57.33203125" style="36" customWidth="1"/>
    <col min="6" max="6" width="61.6640625" style="35" customWidth="1"/>
    <col min="7" max="7" width="18.77734375" style="35" customWidth="1"/>
    <col min="8" max="8" width="31.6640625" style="37" customWidth="1"/>
    <col min="9" max="9" width="32.21875" style="35" customWidth="1"/>
    <col min="10" max="10" width="33.6640625" style="35" bestFit="1" customWidth="1"/>
    <col min="11" max="11" width="11.33203125" style="35" customWidth="1"/>
    <col min="12" max="12" width="24.77734375" style="35" customWidth="1"/>
    <col min="13" max="13" width="28.33203125" style="35" customWidth="1"/>
    <col min="14" max="14" width="31.6640625" style="35" customWidth="1"/>
    <col min="15" max="15" width="23.88671875" style="35" customWidth="1"/>
    <col min="16" max="16" width="18.5546875" style="35" customWidth="1"/>
    <col min="17" max="17" width="14.33203125" style="35" customWidth="1"/>
    <col min="18" max="18" width="25.5546875" style="35" customWidth="1"/>
    <col min="19" max="19" width="73.44140625" style="35" customWidth="1"/>
    <col min="20" max="20" width="16.21875" style="35" customWidth="1"/>
    <col min="21" max="21" width="13.6640625" style="35" customWidth="1"/>
    <col min="22" max="22" width="12" style="35" customWidth="1"/>
    <col min="23" max="23" width="11.5546875" style="35" customWidth="1"/>
    <col min="24" max="24" width="6.6640625" style="35" customWidth="1"/>
    <col min="25" max="25" width="4.6640625" style="35" customWidth="1"/>
    <col min="26" max="26" width="16" style="35" customWidth="1"/>
    <col min="27" max="27" width="8.6640625" style="35" customWidth="1"/>
    <col min="28" max="28" width="10.44140625" style="35" customWidth="1"/>
    <col min="29" max="29" width="9.33203125" style="35" customWidth="1"/>
    <col min="30" max="30" width="9.109375" style="35" customWidth="1"/>
    <col min="31" max="31" width="8.44140625" style="35" customWidth="1"/>
    <col min="32" max="32" width="10" style="35" customWidth="1"/>
    <col min="33" max="33" width="28.6640625" style="35" customWidth="1"/>
    <col min="34" max="34" width="61.77734375" style="35" customWidth="1"/>
    <col min="35" max="35" width="47.21875" style="35" customWidth="1"/>
    <col min="36" max="36" width="29.44140625" style="35" customWidth="1"/>
    <col min="37" max="37" width="13.88671875" style="35" customWidth="1"/>
    <col min="38" max="38" width="33" style="35" customWidth="1"/>
    <col min="39" max="39" width="33.33203125" style="35" bestFit="1" customWidth="1"/>
    <col min="40" max="40" width="66.109375" style="35" customWidth="1"/>
    <col min="41" max="41" width="48.6640625" style="35" bestFit="1" customWidth="1"/>
    <col min="42" max="42" width="32.5546875" style="35" customWidth="1"/>
    <col min="43" max="43" width="19.5546875" style="35" customWidth="1"/>
    <col min="44" max="44" width="57.6640625" style="35" customWidth="1"/>
    <col min="45" max="45" width="22.88671875" style="35" customWidth="1"/>
    <col min="46" max="46" width="19.44140625" style="35" customWidth="1"/>
    <col min="47" max="47" width="27" style="35" customWidth="1"/>
    <col min="48" max="48" width="18.109375" style="35" customWidth="1"/>
    <col min="49" max="49" width="19.44140625" style="35" customWidth="1"/>
    <col min="50" max="16384" width="11.44140625" style="35"/>
  </cols>
  <sheetData>
    <row r="1" spans="1:39" x14ac:dyDescent="0.3">
      <c r="A1" s="741" t="s">
        <v>148</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3"/>
    </row>
    <row r="2" spans="1:39" x14ac:dyDescent="0.3">
      <c r="A2" s="744"/>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6"/>
    </row>
    <row r="3" spans="1:39" ht="14.4" x14ac:dyDescent="0.3">
      <c r="A3" s="42"/>
      <c r="B3" s="43"/>
      <c r="C3" s="43"/>
      <c r="D3" s="43"/>
      <c r="E3" s="134"/>
      <c r="F3" s="135"/>
      <c r="G3" s="136"/>
      <c r="H3" s="41"/>
      <c r="I3" s="44"/>
      <c r="J3" s="41"/>
      <c r="K3" s="136"/>
      <c r="L3" s="41"/>
      <c r="M3" s="41"/>
      <c r="N3" s="41"/>
      <c r="O3" s="136"/>
      <c r="P3" s="41"/>
      <c r="Q3" s="136"/>
      <c r="R3" s="41"/>
      <c r="S3" s="41"/>
      <c r="T3" s="41"/>
      <c r="U3" s="41"/>
      <c r="V3" s="41"/>
      <c r="W3" s="41"/>
      <c r="X3" s="41"/>
      <c r="Y3" s="41"/>
      <c r="Z3" s="41"/>
      <c r="AA3" s="41"/>
      <c r="AB3" s="41"/>
      <c r="AC3" s="41"/>
      <c r="AD3" s="41"/>
      <c r="AE3" s="41"/>
      <c r="AF3" s="41"/>
      <c r="AG3" s="41"/>
      <c r="AH3" s="41"/>
      <c r="AI3" s="41"/>
      <c r="AJ3" s="136"/>
      <c r="AK3" s="41"/>
      <c r="AL3" s="41"/>
      <c r="AM3" s="41"/>
    </row>
    <row r="4" spans="1:39" ht="23.4" x14ac:dyDescent="0.3">
      <c r="A4" s="734" t="s">
        <v>149</v>
      </c>
      <c r="B4" s="735"/>
      <c r="C4" s="736" t="s">
        <v>289</v>
      </c>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row>
    <row r="5" spans="1:39" ht="23.4" x14ac:dyDescent="0.3">
      <c r="A5" s="734" t="s">
        <v>150</v>
      </c>
      <c r="B5" s="735"/>
      <c r="C5" s="747" t="s">
        <v>290</v>
      </c>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row>
    <row r="6" spans="1:39" ht="23.4" x14ac:dyDescent="0.3">
      <c r="A6" s="734" t="s">
        <v>151</v>
      </c>
      <c r="B6" s="735"/>
      <c r="C6" s="736" t="s">
        <v>291</v>
      </c>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row>
    <row r="7" spans="1:39" x14ac:dyDescent="0.3">
      <c r="A7" s="737" t="s">
        <v>152</v>
      </c>
      <c r="B7" s="738"/>
      <c r="C7" s="739"/>
      <c r="D7" s="739"/>
      <c r="E7" s="739"/>
      <c r="F7" s="739"/>
      <c r="G7" s="739"/>
      <c r="H7" s="739"/>
      <c r="I7" s="739"/>
      <c r="J7" s="740"/>
      <c r="K7" s="724" t="s">
        <v>153</v>
      </c>
      <c r="L7" s="739"/>
      <c r="M7" s="739"/>
      <c r="N7" s="739"/>
      <c r="O7" s="739"/>
      <c r="P7" s="739"/>
      <c r="Q7" s="740"/>
      <c r="R7" s="724" t="s">
        <v>154</v>
      </c>
      <c r="S7" s="739"/>
      <c r="T7" s="739"/>
      <c r="U7" s="739"/>
      <c r="V7" s="739"/>
      <c r="W7" s="739"/>
      <c r="X7" s="739"/>
      <c r="Y7" s="739"/>
      <c r="Z7" s="740"/>
      <c r="AA7" s="724" t="s">
        <v>155</v>
      </c>
      <c r="AB7" s="739"/>
      <c r="AC7" s="739"/>
      <c r="AD7" s="739"/>
      <c r="AE7" s="739"/>
      <c r="AF7" s="739"/>
      <c r="AG7" s="740"/>
      <c r="AH7" s="724" t="s">
        <v>156</v>
      </c>
      <c r="AI7" s="739"/>
      <c r="AJ7" s="739"/>
      <c r="AK7" s="739"/>
      <c r="AL7" s="739"/>
      <c r="AM7" s="740"/>
    </row>
    <row r="8" spans="1:39" x14ac:dyDescent="0.3">
      <c r="A8" s="728" t="s">
        <v>157</v>
      </c>
      <c r="B8" s="730" t="s">
        <v>141</v>
      </c>
      <c r="C8" s="1077" t="s">
        <v>158</v>
      </c>
      <c r="D8" s="1077" t="s">
        <v>159</v>
      </c>
      <c r="E8" s="1079" t="s">
        <v>160</v>
      </c>
      <c r="F8" s="1081" t="s">
        <v>60</v>
      </c>
      <c r="G8" s="137"/>
      <c r="H8" s="38"/>
      <c r="I8" s="725" t="s">
        <v>161</v>
      </c>
      <c r="J8" s="726" t="s">
        <v>162</v>
      </c>
      <c r="K8" s="1083" t="s">
        <v>163</v>
      </c>
      <c r="L8" s="723" t="s">
        <v>164</v>
      </c>
      <c r="M8" s="725" t="s">
        <v>165</v>
      </c>
      <c r="N8" s="725" t="s">
        <v>166</v>
      </c>
      <c r="O8" s="1074" t="s">
        <v>167</v>
      </c>
      <c r="P8" s="723" t="s">
        <v>164</v>
      </c>
      <c r="Q8" s="1076" t="s">
        <v>168</v>
      </c>
      <c r="R8" s="721" t="s">
        <v>169</v>
      </c>
      <c r="S8" s="699" t="s">
        <v>170</v>
      </c>
      <c r="T8" s="725" t="s">
        <v>171</v>
      </c>
      <c r="U8" s="699" t="s">
        <v>172</v>
      </c>
      <c r="V8" s="699"/>
      <c r="W8" s="699"/>
      <c r="X8" s="699"/>
      <c r="Y8" s="699"/>
      <c r="Z8" s="699"/>
      <c r="AA8" s="720" t="s">
        <v>173</v>
      </c>
      <c r="AB8" s="720" t="s">
        <v>174</v>
      </c>
      <c r="AC8" s="720" t="s">
        <v>164</v>
      </c>
      <c r="AD8" s="720" t="s">
        <v>175</v>
      </c>
      <c r="AE8" s="720" t="s">
        <v>164</v>
      </c>
      <c r="AF8" s="720" t="s">
        <v>176</v>
      </c>
      <c r="AG8" s="721" t="s">
        <v>177</v>
      </c>
      <c r="AH8" s="699" t="s">
        <v>156</v>
      </c>
      <c r="AI8" s="699" t="s">
        <v>142</v>
      </c>
      <c r="AJ8" s="1072" t="s">
        <v>178</v>
      </c>
      <c r="AK8" s="699" t="s">
        <v>179</v>
      </c>
      <c r="AL8" s="699" t="s">
        <v>180</v>
      </c>
      <c r="AM8" s="1073" t="s">
        <v>181</v>
      </c>
    </row>
    <row r="9" spans="1:39" ht="73.8" x14ac:dyDescent="0.3">
      <c r="A9" s="729"/>
      <c r="B9" s="730"/>
      <c r="C9" s="1078"/>
      <c r="D9" s="1078"/>
      <c r="E9" s="1080"/>
      <c r="F9" s="1082"/>
      <c r="G9" s="137" t="s">
        <v>201</v>
      </c>
      <c r="H9" s="38" t="s">
        <v>182</v>
      </c>
      <c r="I9" s="726"/>
      <c r="J9" s="699"/>
      <c r="K9" s="1076"/>
      <c r="L9" s="724"/>
      <c r="M9" s="726"/>
      <c r="N9" s="726"/>
      <c r="O9" s="1075"/>
      <c r="P9" s="724"/>
      <c r="Q9" s="1072"/>
      <c r="R9" s="722"/>
      <c r="S9" s="699"/>
      <c r="T9" s="726"/>
      <c r="U9" s="39" t="s">
        <v>183</v>
      </c>
      <c r="V9" s="39" t="s">
        <v>184</v>
      </c>
      <c r="W9" s="39" t="s">
        <v>185</v>
      </c>
      <c r="X9" s="39" t="s">
        <v>186</v>
      </c>
      <c r="Y9" s="39" t="s">
        <v>187</v>
      </c>
      <c r="Z9" s="39" t="s">
        <v>188</v>
      </c>
      <c r="AA9" s="720"/>
      <c r="AB9" s="720"/>
      <c r="AC9" s="720"/>
      <c r="AD9" s="720"/>
      <c r="AE9" s="720"/>
      <c r="AF9" s="720"/>
      <c r="AG9" s="722"/>
      <c r="AH9" s="699"/>
      <c r="AI9" s="699"/>
      <c r="AJ9" s="1072"/>
      <c r="AK9" s="699"/>
      <c r="AL9" s="699"/>
      <c r="AM9" s="1073"/>
    </row>
    <row r="10" spans="1:39" ht="124.2" x14ac:dyDescent="0.3">
      <c r="A10" s="248">
        <v>1</v>
      </c>
      <c r="B10" s="138" t="s">
        <v>199</v>
      </c>
      <c r="C10" s="249" t="s">
        <v>292</v>
      </c>
      <c r="D10" s="250" t="s">
        <v>293</v>
      </c>
      <c r="E10" s="139" t="str">
        <f>'[1]Priorizacion de Causas'!B35</f>
        <v>Deficiente seguimiento por parte de los ordenadores del gasto  en la ejecución presupuestal</v>
      </c>
      <c r="F10" s="251" t="s">
        <v>294</v>
      </c>
      <c r="G10" s="252" t="s">
        <v>202</v>
      </c>
      <c r="H10" s="253" t="s">
        <v>295</v>
      </c>
      <c r="I10" s="254" t="s">
        <v>190</v>
      </c>
      <c r="J10" s="255">
        <f>11+3</f>
        <v>14</v>
      </c>
      <c r="K10" s="203" t="str">
        <f t="shared" ref="K10:K16" si="0">IF(J10&lt;=0,"",IF(J10&lt;=2,"Muy Baja",IF(J10&lt;=24,"Baja",IF(J10&lt;=500,"Media",IF(J10&lt;=5000,"Alta","Muy Alta")))))</f>
        <v>Baja</v>
      </c>
      <c r="L10" s="256">
        <f t="shared" ref="L10:L16" si="1">IF(K10="","",IF(K10="Muy Baja",0.2,IF(K10="Baja",0.4,IF(K10="Media",0.6,IF(K10="Alta",0.8,IF(K10="Muy Alta",1,))))))</f>
        <v>0.4</v>
      </c>
      <c r="M10" s="257" t="s">
        <v>296</v>
      </c>
      <c r="N10" s="140" t="str">
        <f>IF(NOT(ISERROR(MATCH(M10,'[1]Tabla Impacto'!$B$221:$B$223,0))),'[1]Tabla Impacto'!$F$223&amp;"Por favor no seleccionar los criterios de impacto(Afectación Económica o presupuestal y Pérdida Reputacional)",M10)</f>
        <v xml:space="preserve">     Mayor a 10000 SMLMV</v>
      </c>
      <c r="O10" s="203" t="str">
        <f>IF(OR(N10='[1]Tabla Impacto'!$C$11,N10='[1]Tabla Impacto'!$D$11),"Leve",IF(OR(N10='[1]Tabla Impacto'!$C$12,N10='[1]Tabla Impacto'!$D$12),"Menor",IF(OR(N10='[1]Tabla Impacto'!$C$13,N10='[1]Tabla Impacto'!$D$13),"Moderado",IF(OR(N10='[1]Tabla Impacto'!$C$14,N10='[1]Tabla Impacto'!$D$14),"Mayor",IF(OR(N10='[1]Tabla Impacto'!$C$15,N10='[1]Tabla Impacto'!$D$15),"Catastrófico","")))))</f>
        <v>Catastrófico</v>
      </c>
      <c r="P10" s="256">
        <f t="shared" ref="P10:P16" si="2">IF(O10="","",IF(O10="Leve",0.2,IF(O10="Menor",0.4,IF(O10="Moderado",0.6,IF(O10="Mayor",0.8,IF(O10="Catastrófico",1,))))))</f>
        <v>1</v>
      </c>
      <c r="Q10" s="206" t="str">
        <f t="shared" ref="Q10:Q16" si="3">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141">
        <v>1</v>
      </c>
      <c r="S10" s="142" t="str">
        <f>[1]DOFA!E39</f>
        <v>D3, O4-El director (a) de Presupuesto por medio de su equipo de trabajo, realizará seguimiento a la ejecución presupuestal elaborando y presentando de manera mensual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
Dejando como evidencia los correos electrónicos institucionales. (MANUAL  PRESUPUESTO: MAN-GHP-01- ELABORACIÓN DEL INFORME EJECUTIVO DE EJECUCIÓN PRESUPUESTAL DE GASTOS //CARACTERIZACION DEL PROCESO: CAR-GHP-001 )</v>
      </c>
      <c r="T10" s="143" t="str">
        <f t="shared" ref="T10:T16" si="4">IF(OR(U10="Preventivo",U10="Detectivo"),"Probabilidad",IF(U10="Correctivo","Impacto",""))</f>
        <v>Probabilidad</v>
      </c>
      <c r="U10" s="144" t="s">
        <v>197</v>
      </c>
      <c r="V10" s="144" t="s">
        <v>191</v>
      </c>
      <c r="W10" s="145" t="str">
        <f t="shared" ref="W10:W16" si="5">IF(AND(U10="Preventivo",V10="Automático"),"50%",IF(AND(U10="Preventivo",V10="Manual"),"40%",IF(AND(U10="Detectivo",V10="Automático"),"40%",IF(AND(U10="Detectivo",V10="Manual"),"30%",IF(AND(U10="Correctivo",V10="Automático"),"35%",IF(AND(U10="Correctivo",V10="Manual"),"25%",""))))))</f>
        <v>40%</v>
      </c>
      <c r="X10" s="144" t="s">
        <v>198</v>
      </c>
      <c r="Y10" s="144" t="s">
        <v>193</v>
      </c>
      <c r="Z10" s="144" t="s">
        <v>194</v>
      </c>
      <c r="AA10" s="146">
        <f>IFERROR(IF(T10="Probabilidad",(L10-(+L10*W10)),IF(T10="Impacto",L10,"")),"")</f>
        <v>0.24</v>
      </c>
      <c r="AB10" s="147" t="str">
        <f t="shared" ref="AB10:AB16" si="6">IFERROR(IF(AA10="","",IF(AA10&lt;=0.2,"Muy Baja",IF(AA10&lt;=0.4,"Baja",IF(AA10&lt;=0.6,"Media",IF(AA10&lt;=0.8,"Alta","Muy Alta"))))),"")</f>
        <v>Baja</v>
      </c>
      <c r="AC10" s="148">
        <f t="shared" ref="AC10:AC16" si="7">+AA10</f>
        <v>0.24</v>
      </c>
      <c r="AD10" s="147" t="str">
        <f t="shared" ref="AD10:AD16" si="8">IFERROR(IF(AE10="","",IF(AE10&lt;=0.2,"Leve",IF(AE10&lt;=0.4,"Menor",IF(AE10&lt;=0.6,"Moderado",IF(AE10&lt;=0.8,"Mayor","Catastrófico"))))),"")</f>
        <v>Catastrófico</v>
      </c>
      <c r="AE10" s="148">
        <f>IFERROR(IF(T10="Impacto",(P10-(+P10*W10)),IF(T10="Probabilidad",P10,"")),"")</f>
        <v>1</v>
      </c>
      <c r="AF10" s="149" t="str">
        <f t="shared" ref="AF10:AF16" si="9">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150" t="s">
        <v>195</v>
      </c>
      <c r="AH10" s="142" t="s">
        <v>297</v>
      </c>
      <c r="AI10" s="142" t="s">
        <v>298</v>
      </c>
      <c r="AJ10" s="151">
        <v>45658</v>
      </c>
      <c r="AK10" s="152"/>
      <c r="AL10" s="142"/>
      <c r="AM10" s="153" t="s">
        <v>196</v>
      </c>
    </row>
    <row r="11" spans="1:39" ht="96.6" x14ac:dyDescent="0.3">
      <c r="A11" s="248">
        <v>2</v>
      </c>
      <c r="B11" s="258" t="s">
        <v>199</v>
      </c>
      <c r="C11" s="259" t="s">
        <v>299</v>
      </c>
      <c r="D11" s="260" t="s">
        <v>300</v>
      </c>
      <c r="E11" s="155" t="str">
        <f>'[1]Priorizacion de Causas'!B36</f>
        <v>Falta de aplicación de las políticas del proceso de gestión docuemntal en el control y préstamo de la documentación.</v>
      </c>
      <c r="F11" s="261" t="s">
        <v>301</v>
      </c>
      <c r="G11" s="262" t="s">
        <v>202</v>
      </c>
      <c r="H11" s="156" t="s">
        <v>302</v>
      </c>
      <c r="I11" s="263" t="s">
        <v>190</v>
      </c>
      <c r="J11" s="264">
        <v>120000</v>
      </c>
      <c r="K11" s="203" t="str">
        <f t="shared" si="0"/>
        <v>Muy Alta</v>
      </c>
      <c r="L11" s="265">
        <f t="shared" si="1"/>
        <v>1</v>
      </c>
      <c r="M11" s="266" t="s">
        <v>200</v>
      </c>
      <c r="N11" s="140" t="str">
        <f>IF(NOT(ISERROR(MATCH(M11,'[1]Tabla Impacto'!$B$221:$B$223,0))),'[1]Tabla Impacto'!$F$223&amp;"Por favor no seleccionar los criterios de impacto(Afectación Económica o presupuestal y Pérdida Reputacional)",M11)</f>
        <v xml:space="preserve">     El riesgo afecta la imagen de la entidad con algunos usuarios de relevancia frente al logro de los objetivos</v>
      </c>
      <c r="O11" s="203" t="str">
        <f>IF(OR(N11='[1]Tabla Impacto'!$C$11,N11='[1]Tabla Impacto'!$D$11),"Leve",IF(OR(N11='[1]Tabla Impacto'!$C$12,N11='[1]Tabla Impacto'!$D$12),"Menor",IF(OR(N11='[1]Tabla Impacto'!$C$13,N11='[1]Tabla Impacto'!$D$13),"Moderado",IF(OR(N11='[1]Tabla Impacto'!$C$14,N11='[1]Tabla Impacto'!$D$14),"Mayor",IF(OR(N11='[1]Tabla Impacto'!$C$15,N11='[1]Tabla Impacto'!$D$15),"Catastrófico","")))))</f>
        <v>Moderado</v>
      </c>
      <c r="P11" s="265">
        <f t="shared" si="2"/>
        <v>0.6</v>
      </c>
      <c r="Q11" s="206" t="str">
        <f t="shared" si="3"/>
        <v>Alto</v>
      </c>
      <c r="R11" s="157">
        <v>1</v>
      </c>
      <c r="S11" s="158" t="str">
        <f>[1]DOFA!E40</f>
        <v>D1, D3, D12, O4, O7, F7 El Profesional Universitado y/o técnico Operativo cada vez que se requiera controla el prestamo y devolución de expedientes   deacuerdo a los lineamientos establecidos por Gestión Documental, dejando como Evidencia Planillas de control.
(GESTION DOCUMENTAL: FORMATO CONTROL PRESTAMO: PRO-GD-03)</v>
      </c>
      <c r="T11" s="159" t="str">
        <f t="shared" si="4"/>
        <v>Probabilidad</v>
      </c>
      <c r="U11" s="160" t="s">
        <v>197</v>
      </c>
      <c r="V11" s="160" t="s">
        <v>191</v>
      </c>
      <c r="W11" s="161" t="str">
        <f t="shared" si="5"/>
        <v>40%</v>
      </c>
      <c r="X11" s="160" t="s">
        <v>198</v>
      </c>
      <c r="Y11" s="160" t="s">
        <v>193</v>
      </c>
      <c r="Z11" s="160" t="s">
        <v>194</v>
      </c>
      <c r="AA11" s="162">
        <f>IFERROR(IF(T11="Probabilidad",(L11-(+L11*W11)),IF(T11="Impacto",L11,"")),"")</f>
        <v>0.6</v>
      </c>
      <c r="AB11" s="147" t="str">
        <f t="shared" si="6"/>
        <v>Media</v>
      </c>
      <c r="AC11" s="163">
        <f t="shared" si="7"/>
        <v>0.6</v>
      </c>
      <c r="AD11" s="147" t="str">
        <f t="shared" si="8"/>
        <v>Moderado</v>
      </c>
      <c r="AE11" s="163">
        <f>IFERROR(IF(T11="Impacto",(P11-(+P11*W11)),IF(T11="Probabilidad",P11,"")),"")</f>
        <v>0.6</v>
      </c>
      <c r="AF11" s="149" t="str">
        <f t="shared" si="9"/>
        <v>Moderado</v>
      </c>
      <c r="AG11" s="164" t="s">
        <v>195</v>
      </c>
      <c r="AH11" s="158" t="s">
        <v>303</v>
      </c>
      <c r="AI11" s="158" t="s">
        <v>304</v>
      </c>
      <c r="AJ11" s="165">
        <v>45658</v>
      </c>
      <c r="AK11" s="166"/>
      <c r="AL11" s="158"/>
      <c r="AM11" s="167" t="s">
        <v>196</v>
      </c>
    </row>
    <row r="12" spans="1:39" ht="96.6" x14ac:dyDescent="0.3">
      <c r="A12" s="248">
        <v>3</v>
      </c>
      <c r="B12" s="138" t="s">
        <v>189</v>
      </c>
      <c r="C12" s="168" t="s">
        <v>305</v>
      </c>
      <c r="D12" s="169" t="s">
        <v>306</v>
      </c>
      <c r="E12" s="170" t="str">
        <f>'[1]Priorizacion de Causas'!B19</f>
        <v xml:space="preserve"> falta de actualización de los documentos de los procesos de gestión de la Secretaría de Hacienda.</v>
      </c>
      <c r="F12" s="171" t="s">
        <v>307</v>
      </c>
      <c r="G12" s="267" t="s">
        <v>202</v>
      </c>
      <c r="H12" s="172" t="s">
        <v>308</v>
      </c>
      <c r="I12" s="268" t="s">
        <v>190</v>
      </c>
      <c r="J12" s="269">
        <v>5</v>
      </c>
      <c r="K12" s="203" t="str">
        <f t="shared" si="0"/>
        <v>Baja</v>
      </c>
      <c r="L12" s="270">
        <f t="shared" si="1"/>
        <v>0.4</v>
      </c>
      <c r="M12" s="271" t="s">
        <v>200</v>
      </c>
      <c r="N12" s="140" t="str">
        <f>IF(NOT(ISERROR(MATCH(M12,'[1]Tabla Impacto'!$B$221:$B$223,0))),'[1]Tabla Impacto'!$F$223&amp;"Por favor no seleccionar los criterios de impacto(Afectación Económica o presupuestal y Pérdida Reputacional)",M12)</f>
        <v xml:space="preserve">     El riesgo afecta la imagen de la entidad con algunos usuarios de relevancia frente al logro de los objetivos</v>
      </c>
      <c r="O12" s="203"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 s="270">
        <f t="shared" si="2"/>
        <v>0.6</v>
      </c>
      <c r="Q12" s="206" t="str">
        <f t="shared" si="3"/>
        <v>Moderado</v>
      </c>
      <c r="R12" s="173">
        <v>1</v>
      </c>
      <c r="S12" s="174" t="str">
        <f>[1]DOFA!E41</f>
        <v>D2, D6,  F2, O5 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
(GESTION DOCUMENTAL: POLITICA GESTION DOCUMENTAL: POL-GD-001-PRO-SIG-001 CONTROL DE DOCUMENTOS DEL SIGAMI)</v>
      </c>
      <c r="T12" s="175" t="str">
        <f t="shared" si="4"/>
        <v>Probabilidad</v>
      </c>
      <c r="U12" s="176" t="s">
        <v>197</v>
      </c>
      <c r="V12" s="176" t="s">
        <v>191</v>
      </c>
      <c r="W12" s="177" t="str">
        <f t="shared" si="5"/>
        <v>40%</v>
      </c>
      <c r="X12" s="176" t="s">
        <v>198</v>
      </c>
      <c r="Y12" s="176" t="s">
        <v>193</v>
      </c>
      <c r="Z12" s="176" t="s">
        <v>194</v>
      </c>
      <c r="AA12" s="178">
        <f>IFERROR(IF(T12="Probabilidad",(L12-(+L12*W12)),IF(T12="Impacto",L12,"")),"")</f>
        <v>0.24</v>
      </c>
      <c r="AB12" s="147" t="str">
        <f t="shared" si="6"/>
        <v>Baja</v>
      </c>
      <c r="AC12" s="179">
        <f t="shared" si="7"/>
        <v>0.24</v>
      </c>
      <c r="AD12" s="147" t="str">
        <f t="shared" si="8"/>
        <v>Moderado</v>
      </c>
      <c r="AE12" s="179">
        <f>IFERROR(IF(T12="Impacto",(P12-(+P12*W12)),IF(T12="Probabilidad",P12,"")),"")</f>
        <v>0.6</v>
      </c>
      <c r="AF12" s="149" t="str">
        <f t="shared" si="9"/>
        <v>Moderado</v>
      </c>
      <c r="AG12" s="180" t="s">
        <v>195</v>
      </c>
      <c r="AH12" s="174" t="s">
        <v>309</v>
      </c>
      <c r="AI12" s="174" t="s">
        <v>310</v>
      </c>
      <c r="AJ12" s="181">
        <v>45658</v>
      </c>
      <c r="AK12" s="182"/>
      <c r="AL12" s="174"/>
      <c r="AM12" s="183" t="s">
        <v>196</v>
      </c>
    </row>
    <row r="13" spans="1:39" ht="55.2" x14ac:dyDescent="0.3">
      <c r="A13" s="184">
        <v>4</v>
      </c>
      <c r="B13" s="185" t="s">
        <v>189</v>
      </c>
      <c r="C13" s="186" t="s">
        <v>311</v>
      </c>
      <c r="D13" s="187" t="s">
        <v>312</v>
      </c>
      <c r="E13" s="155" t="str">
        <f>'[1]Priorizacion de Causas'!B20</f>
        <v>Inconsistencia en los cruces entre bancos y las certificaciones</v>
      </c>
      <c r="F13" s="188" t="s">
        <v>313</v>
      </c>
      <c r="G13" s="189" t="s">
        <v>202</v>
      </c>
      <c r="H13" s="156" t="s">
        <v>314</v>
      </c>
      <c r="I13" s="190" t="s">
        <v>190</v>
      </c>
      <c r="J13" s="191">
        <v>1</v>
      </c>
      <c r="K13" s="192" t="str">
        <f t="shared" si="0"/>
        <v>Muy Baja</v>
      </c>
      <c r="L13" s="193">
        <f t="shared" si="1"/>
        <v>0.2</v>
      </c>
      <c r="M13" s="194" t="s">
        <v>315</v>
      </c>
      <c r="N13" s="195" t="str">
        <f>IF(NOT(ISERROR(MATCH(M13,'[1]Tabla Impacto'!$B$221:$B$223,0))),'[1]Tabla Impacto'!$F$223&amp;"Por favor no seleccionar los criterios de impacto(Afectación Económica o presupuestal y Pérdida Reputacional)",M13)</f>
        <v xml:space="preserve">     El riesgo afecta la imagen de alguna área de la organización</v>
      </c>
      <c r="O13" s="192" t="str">
        <f>IF(OR(N13='[1]Tabla Impacto'!$C$11,N13='[1]Tabla Impacto'!$D$11),"Leve",IF(OR(N13='[1]Tabla Impacto'!$C$12,N13='[1]Tabla Impacto'!$D$12),"Menor",IF(OR(N13='[1]Tabla Impacto'!$C$13,N13='[1]Tabla Impacto'!$D$13),"Moderado",IF(OR(N13='[1]Tabla Impacto'!$C$14,N13='[1]Tabla Impacto'!$D$14),"Mayor",IF(OR(N13='[1]Tabla Impacto'!$C$15,N13='[1]Tabla Impacto'!$D$15),"Catastrófico","")))))</f>
        <v>Leve</v>
      </c>
      <c r="P13" s="193">
        <f t="shared" si="2"/>
        <v>0.2</v>
      </c>
      <c r="Q13" s="196" t="str">
        <f t="shared" si="3"/>
        <v>Bajo</v>
      </c>
      <c r="R13" s="157">
        <v>1</v>
      </c>
      <c r="S13" s="158" t="str">
        <f>[1]DOFA!E42</f>
        <v>D 13, D14. O10, F11 , A4. El Director de Tesoreria , anualmente, emitirá Certificado de superávit o déficit fiscal, dejando como evidencia dicha certificación. 
(PRO-GHP-010: PROCEDIMIENTO: CIERRE DEL EJERCICIO FISCAL)</v>
      </c>
      <c r="T13" s="159" t="str">
        <f t="shared" si="4"/>
        <v>Probabilidad</v>
      </c>
      <c r="U13" s="160" t="s">
        <v>197</v>
      </c>
      <c r="V13" s="160" t="s">
        <v>191</v>
      </c>
      <c r="W13" s="161" t="str">
        <f t="shared" si="5"/>
        <v>40%</v>
      </c>
      <c r="X13" s="160" t="s">
        <v>192</v>
      </c>
      <c r="Y13" s="160" t="s">
        <v>193</v>
      </c>
      <c r="Z13" s="160" t="s">
        <v>194</v>
      </c>
      <c r="AA13" s="162">
        <f>IFERROR(IF(T13="Probabilidad",(L13-(+L13*W13)),IF(T13="Impacto",L13,"")),"")</f>
        <v>0.12</v>
      </c>
      <c r="AB13" s="147" t="str">
        <f t="shared" si="6"/>
        <v>Muy Baja</v>
      </c>
      <c r="AC13" s="163">
        <f t="shared" si="7"/>
        <v>0.12</v>
      </c>
      <c r="AD13" s="147" t="str">
        <f t="shared" si="8"/>
        <v>Leve</v>
      </c>
      <c r="AE13" s="163">
        <f>IFERROR(IF(T13="Impacto",(P13-(+P13*W13)),IF(T13="Probabilidad",P13,"")),"")</f>
        <v>0.2</v>
      </c>
      <c r="AF13" s="149" t="str">
        <f t="shared" si="9"/>
        <v>Bajo</v>
      </c>
      <c r="AG13" s="164" t="s">
        <v>195</v>
      </c>
      <c r="AH13" s="158" t="s">
        <v>316</v>
      </c>
      <c r="AI13" s="197" t="s">
        <v>304</v>
      </c>
      <c r="AJ13" s="165">
        <v>45658</v>
      </c>
      <c r="AK13" s="166"/>
      <c r="AL13" s="158"/>
      <c r="AM13" s="167" t="s">
        <v>196</v>
      </c>
    </row>
    <row r="14" spans="1:39" ht="151.80000000000001" x14ac:dyDescent="0.3">
      <c r="A14" s="184">
        <v>5</v>
      </c>
      <c r="B14" s="1060" t="s">
        <v>199</v>
      </c>
      <c r="C14" s="1062" t="s">
        <v>317</v>
      </c>
      <c r="D14" s="1063" t="s">
        <v>318</v>
      </c>
      <c r="E14" s="200" t="str">
        <f>'[1]Priorizacion de Causas'!B37</f>
        <v>1, Retraso en la entrega de información relacionada con actualización y/o conservación catastral por parte del Gestor catastral.  Notificación indebida y/o extemporanea</v>
      </c>
      <c r="F14" s="1065" t="s">
        <v>319</v>
      </c>
      <c r="G14" s="1066" t="s">
        <v>203</v>
      </c>
      <c r="H14" s="201" t="s">
        <v>320</v>
      </c>
      <c r="I14" s="1068" t="s">
        <v>190</v>
      </c>
      <c r="J14" s="202">
        <v>100</v>
      </c>
      <c r="K14" s="203" t="str">
        <f t="shared" si="0"/>
        <v>Media</v>
      </c>
      <c r="L14" s="204">
        <f t="shared" si="1"/>
        <v>0.6</v>
      </c>
      <c r="M14" s="205" t="s">
        <v>321</v>
      </c>
      <c r="N14" s="1070" t="str">
        <f>IF(NOT(ISERROR(MATCH(M14,'[1]Tabla Impacto'!$B$221:$B$223,0))),'[1]Tabla Impacto'!$F$223&amp;"Por favor no seleccionar los criterios de impacto(Afectación Económica o presupuestal y Pérdida Reputacional)",M14)</f>
        <v xml:space="preserve">     Entre 200 y 1000 SMLMV</v>
      </c>
      <c r="O14" s="203" t="str">
        <f>IF(OR(N14='[1]Tabla Impacto'!$C$11,N14='[1]Tabla Impacto'!$D$11),"Leve",IF(OR(N14='[1]Tabla Impacto'!$C$12,N14='[1]Tabla Impacto'!$D$12),"Menor",IF(OR(N14='[1]Tabla Impacto'!$C$13,N14='[1]Tabla Impacto'!$D$13),"Moderado",IF(OR(N14='[1]Tabla Impacto'!$C$14,N14='[1]Tabla Impacto'!$D$14),"Mayor",IF(OR(N14='[1]Tabla Impacto'!$C$15,N14='[1]Tabla Impacto'!$D$15),"Catastrófico","")))))</f>
        <v>Menor</v>
      </c>
      <c r="P14" s="204">
        <f t="shared" si="2"/>
        <v>0.4</v>
      </c>
      <c r="Q14" s="206" t="str">
        <f t="shared" si="3"/>
        <v>Moderado</v>
      </c>
      <c r="R14" s="207">
        <v>1</v>
      </c>
      <c r="S14" s="208" t="str">
        <f>[1]DOFA!E43</f>
        <v>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PRO-GHP-05 FACTURACION  Impuesto Predial Unificado.</v>
      </c>
      <c r="T14" s="209" t="str">
        <f>IF(OR(U14="Preventivo",U14="Detectivo"),"Probabilidad",IF(U14="Correctivo","Impacto",""))</f>
        <v>Probabilidad</v>
      </c>
      <c r="U14" s="210" t="s">
        <v>197</v>
      </c>
      <c r="V14" s="210" t="s">
        <v>191</v>
      </c>
      <c r="W14" s="211" t="str">
        <f t="shared" si="5"/>
        <v>40%</v>
      </c>
      <c r="X14" s="210" t="s">
        <v>198</v>
      </c>
      <c r="Y14" s="210" t="s">
        <v>193</v>
      </c>
      <c r="Z14" s="210" t="s">
        <v>194</v>
      </c>
      <c r="AA14" s="212">
        <f>IFERROR(IF(T14="Probabilidad",(L14-(+L14*W14)),IF(T14="Impacto",L14,"")),"")</f>
        <v>0.36</v>
      </c>
      <c r="AB14" s="147" t="str">
        <f t="shared" si="6"/>
        <v>Baja</v>
      </c>
      <c r="AC14" s="213">
        <f t="shared" si="7"/>
        <v>0.36</v>
      </c>
      <c r="AD14" s="147" t="str">
        <f t="shared" si="8"/>
        <v>Menor</v>
      </c>
      <c r="AE14" s="213">
        <f>IFERROR(IF(T14="Impacto",(P14-(+P14*W14)),IF(T14="Probabilidad",P14,"")),"")</f>
        <v>0.4</v>
      </c>
      <c r="AF14" s="149" t="str">
        <f t="shared" si="9"/>
        <v>Moderado</v>
      </c>
      <c r="AG14" s="214" t="s">
        <v>195</v>
      </c>
      <c r="AH14" s="208" t="s">
        <v>322</v>
      </c>
      <c r="AI14" s="215" t="s">
        <v>323</v>
      </c>
      <c r="AJ14" s="216">
        <v>45658</v>
      </c>
      <c r="AK14" s="217"/>
      <c r="AL14" s="208"/>
      <c r="AM14" s="218" t="s">
        <v>196</v>
      </c>
    </row>
    <row r="15" spans="1:39" ht="138" x14ac:dyDescent="0.3">
      <c r="A15" s="198">
        <v>6</v>
      </c>
      <c r="B15" s="1061"/>
      <c r="C15" s="1061"/>
      <c r="D15" s="1064"/>
      <c r="E15" s="219" t="str">
        <f>'[1]Priorizacion de Causas'!B38</f>
        <v xml:space="preserve">Debilidad de la Dirección de Tesorería-grupo Cobro Coactivo para efectuar el control de  los impulsos procesales de la cartera de cobro.  </v>
      </c>
      <c r="F15" s="1065"/>
      <c r="G15" s="1067"/>
      <c r="H15" s="220" t="s">
        <v>324</v>
      </c>
      <c r="I15" s="1069"/>
      <c r="J15" s="221">
        <v>300000000</v>
      </c>
      <c r="K15" s="203" t="str">
        <f t="shared" si="0"/>
        <v>Muy Alta</v>
      </c>
      <c r="L15" s="222">
        <f t="shared" si="1"/>
        <v>1</v>
      </c>
      <c r="M15" s="223" t="s">
        <v>325</v>
      </c>
      <c r="N15" s="1071" t="str">
        <f>IF(NOT(ISERROR(MATCH(M15,_xlfn.ANCHORARRAY(F17),0))),L19&amp;"Por favor no seleccionar los criterios de impacto",M15)</f>
        <v xml:space="preserve">     Entre 5000 y 10000 SMLMV</v>
      </c>
      <c r="O15" s="203" t="str">
        <f>IF(OR(N15='[1]Tabla Impacto'!$C$11,N15='[1]Tabla Impacto'!$D$11),"Leve",IF(OR(N15='[1]Tabla Impacto'!$C$12,N15='[1]Tabla Impacto'!$D$12),"Menor",IF(OR(N15='[1]Tabla Impacto'!$C$13,N15='[1]Tabla Impacto'!$D$13),"Moderado",IF(OR(N15='[1]Tabla Impacto'!$C$14,N15='[1]Tabla Impacto'!$D$14),"Mayor",IF(OR(N15='[1]Tabla Impacto'!$C$15,N15='[1]Tabla Impacto'!$D$15),"Catastrófico","")))))</f>
        <v>Mayor</v>
      </c>
      <c r="P15" s="222">
        <f t="shared" si="2"/>
        <v>0.8</v>
      </c>
      <c r="Q15" s="206" t="str">
        <f t="shared" si="3"/>
        <v>Alto</v>
      </c>
      <c r="R15" s="224">
        <v>2</v>
      </c>
      <c r="S15" s="225" t="str">
        <f>[1]DOFA!E44</f>
        <v>F10, A4, D5, O10 , El director de Tesorería trimestralmente,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dejando como evidencia los informes trimestrales presentados al Director de Tesoreria
MANUAL ESPECÍFICO DE FUNCIONES Y COMPETENCIAS
LABORALES (MAN-GHS-003) ( DESCRIPCION DE FUNCIONES ESENCIALES y Página: 491 de 731)</v>
      </c>
      <c r="T15" s="226" t="str">
        <f>IF(OR(U15="Preventivo",U15="Detectivo"),"Probabilidad",IF(U15="Correctivo","Impacto",""))</f>
        <v>Probabilidad</v>
      </c>
      <c r="U15" s="227" t="s">
        <v>197</v>
      </c>
      <c r="V15" s="227" t="s">
        <v>191</v>
      </c>
      <c r="W15" s="228" t="str">
        <f t="shared" si="5"/>
        <v>40%</v>
      </c>
      <c r="X15" s="227" t="s">
        <v>198</v>
      </c>
      <c r="Y15" s="227" t="s">
        <v>193</v>
      </c>
      <c r="Z15" s="227" t="s">
        <v>194</v>
      </c>
      <c r="AA15" s="229">
        <f>IFERROR(IF(AND(T14="Probabilidad",T15="Probabilidad"),(AC14-(+AC14*W15)),IF(AND(T14="Impacto",T15="Probabilidad"),(L14-(+L14*W15)),IF(T15="Impacto",AC14,""))),"")</f>
        <v>0.216</v>
      </c>
      <c r="AB15" s="147" t="str">
        <f t="shared" si="6"/>
        <v>Baja</v>
      </c>
      <c r="AC15" s="230">
        <f t="shared" si="7"/>
        <v>0.216</v>
      </c>
      <c r="AD15" s="231" t="str">
        <f t="shared" si="8"/>
        <v>Menor</v>
      </c>
      <c r="AE15" s="230">
        <f>IFERROR(IF(AND(T14="Impacto",T15="Impacto"),(AE14-(+AE14*W15)),IF(AND(T14="Probabilidad",T15="Impacto"),(P14-(+P14*W15)),IF(T15="Probabilidad",AE14,""))),"")</f>
        <v>0.4</v>
      </c>
      <c r="AF15" s="149" t="str">
        <f t="shared" si="9"/>
        <v>Moderado</v>
      </c>
      <c r="AG15" s="232" t="s">
        <v>195</v>
      </c>
      <c r="AH15" s="233" t="s">
        <v>326</v>
      </c>
      <c r="AI15" s="233" t="s">
        <v>304</v>
      </c>
      <c r="AJ15" s="234">
        <v>45658</v>
      </c>
      <c r="AK15" s="235"/>
      <c r="AL15" s="225"/>
      <c r="AM15" s="233" t="s">
        <v>196</v>
      </c>
    </row>
    <row r="16" spans="1:39" ht="124.2" x14ac:dyDescent="0.3">
      <c r="A16" s="236">
        <v>7</v>
      </c>
      <c r="B16" s="272" t="s">
        <v>199</v>
      </c>
      <c r="C16" s="273" t="s">
        <v>327</v>
      </c>
      <c r="D16" s="274" t="s">
        <v>328</v>
      </c>
      <c r="E16" s="237" t="str">
        <f>'[1]Priorizacion de Causas'!B34</f>
        <v>Inadecuada deducción de impuestos, tasas o contribuciones al contratista</v>
      </c>
      <c r="F16" s="275" t="s">
        <v>329</v>
      </c>
      <c r="G16" s="276" t="s">
        <v>203</v>
      </c>
      <c r="H16" s="238" t="s">
        <v>330</v>
      </c>
      <c r="I16" s="277" t="s">
        <v>190</v>
      </c>
      <c r="J16" s="278">
        <v>6000</v>
      </c>
      <c r="K16" s="279" t="str">
        <f t="shared" si="0"/>
        <v>Muy Alta</v>
      </c>
      <c r="L16" s="280">
        <f t="shared" si="1"/>
        <v>1</v>
      </c>
      <c r="M16" s="281" t="s">
        <v>325</v>
      </c>
      <c r="N16" s="45" t="str">
        <f>IF(NOT(ISERROR(MATCH(M16,'[1]Tabla Impacto'!$B$221:$B$223,0))),'[1]Tabla Impacto'!$F$223&amp;"Por favor no seleccionar los criterios de impacto(Afectación Económica o presupuestal y Pérdida Reputacional)",M16)</f>
        <v xml:space="preserve">     Entre 5000 y 10000 SMLMV</v>
      </c>
      <c r="O16" s="279" t="str">
        <f>IF(OR(N16='[1]Tabla Impacto'!$C$11,N16='[1]Tabla Impacto'!$D$11),"Leve",IF(OR(N16='[1]Tabla Impacto'!$C$12,N16='[1]Tabla Impacto'!$D$12),"Menor",IF(OR(N16='[1]Tabla Impacto'!$C$13,N16='[1]Tabla Impacto'!$D$13),"Moderado",IF(OR(N16='[1]Tabla Impacto'!$C$14,N16='[1]Tabla Impacto'!$D$14),"Mayor",IF(OR(N16='[1]Tabla Impacto'!$C$15,N16='[1]Tabla Impacto'!$D$15),"Catastrófico","")))))</f>
        <v>Mayor</v>
      </c>
      <c r="P16" s="280">
        <f t="shared" si="2"/>
        <v>0.8</v>
      </c>
      <c r="Q16" s="282" t="str">
        <f t="shared" si="3"/>
        <v>Alto</v>
      </c>
      <c r="R16" s="239">
        <v>1</v>
      </c>
      <c r="S16" s="142" t="str">
        <f>[1]DOFA!E45</f>
        <v>El técnico, los profesionales y el Grupo de Apoyo cada vez que llegue al correo documentos y órdenes de pago para tramite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PROCEDIMIENTO: ÓRDENES DE PAGO Código: PRO-GHP-008</v>
      </c>
      <c r="T16" s="143" t="str">
        <f t="shared" si="4"/>
        <v>Probabilidad</v>
      </c>
      <c r="U16" s="144" t="s">
        <v>197</v>
      </c>
      <c r="V16" s="144" t="s">
        <v>191</v>
      </c>
      <c r="W16" s="145" t="str">
        <f t="shared" si="5"/>
        <v>40%</v>
      </c>
      <c r="X16" s="144" t="s">
        <v>198</v>
      </c>
      <c r="Y16" s="144" t="s">
        <v>193</v>
      </c>
      <c r="Z16" s="144" t="s">
        <v>194</v>
      </c>
      <c r="AA16" s="146">
        <f>IFERROR(IF(T16="Probabilidad",(L16-(+L16*W16)),IF(T16="Impacto",L16,"")),"")</f>
        <v>0.6</v>
      </c>
      <c r="AB16" s="147" t="str">
        <f t="shared" si="6"/>
        <v>Media</v>
      </c>
      <c r="AC16" s="148">
        <f t="shared" si="7"/>
        <v>0.6</v>
      </c>
      <c r="AD16" s="147" t="str">
        <f t="shared" si="8"/>
        <v>Mayor</v>
      </c>
      <c r="AE16" s="148">
        <f>IFERROR(IF(T16="Impacto",(P16-(+P16*W16)),IF(T16="Probabilidad",P16,"")),"")</f>
        <v>0.8</v>
      </c>
      <c r="AF16" s="149" t="str">
        <f t="shared" si="9"/>
        <v>Alto</v>
      </c>
      <c r="AG16" s="150" t="s">
        <v>195</v>
      </c>
      <c r="AH16" s="142" t="s">
        <v>331</v>
      </c>
      <c r="AI16" s="240" t="s">
        <v>298</v>
      </c>
      <c r="AJ16" s="151">
        <v>45658</v>
      </c>
      <c r="AK16" s="152"/>
      <c r="AL16" s="142"/>
      <c r="AM16" s="240" t="s">
        <v>196</v>
      </c>
    </row>
    <row r="17" spans="1:39" x14ac:dyDescent="0.3">
      <c r="A17" s="1046" t="s">
        <v>148</v>
      </c>
      <c r="B17" s="1047"/>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7"/>
      <c r="AL17" s="1047"/>
      <c r="AM17" s="1048"/>
    </row>
    <row r="18" spans="1:39" x14ac:dyDescent="0.3">
      <c r="A18" s="1049"/>
      <c r="B18" s="1050"/>
      <c r="C18" s="1050"/>
      <c r="D18" s="1050"/>
      <c r="E18" s="1050"/>
      <c r="F18" s="1050"/>
      <c r="G18" s="1050"/>
      <c r="H18" s="1050"/>
      <c r="I18" s="1050"/>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1"/>
    </row>
    <row r="19" spans="1:39" ht="14.4" x14ac:dyDescent="0.3">
      <c r="A19" s="47"/>
      <c r="B19" s="48"/>
      <c r="C19" s="47"/>
      <c r="D19" s="47"/>
      <c r="E19" s="47"/>
      <c r="F19" s="46"/>
      <c r="G19" s="46"/>
      <c r="H19" s="46"/>
      <c r="I19" s="49"/>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row>
    <row r="20" spans="1:39" ht="23.4" x14ac:dyDescent="0.3">
      <c r="A20" s="1052" t="s">
        <v>149</v>
      </c>
      <c r="B20" s="1031"/>
      <c r="C20" s="1053" t="s">
        <v>204</v>
      </c>
      <c r="D20" s="1054"/>
      <c r="E20" s="1054"/>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5"/>
    </row>
    <row r="21" spans="1:39" ht="23.4" x14ac:dyDescent="0.3">
      <c r="A21" s="1052" t="s">
        <v>150</v>
      </c>
      <c r="B21" s="1031"/>
      <c r="C21" s="1056" t="s">
        <v>205</v>
      </c>
      <c r="D21" s="1031"/>
      <c r="E21" s="1031"/>
      <c r="F21" s="1031"/>
      <c r="G21" s="1031"/>
      <c r="H21" s="1031"/>
      <c r="I21" s="1031"/>
      <c r="J21" s="1031"/>
      <c r="K21" s="1031"/>
      <c r="L21" s="1031"/>
      <c r="M21" s="1031"/>
      <c r="N21" s="1031"/>
      <c r="O21" s="1031"/>
      <c r="P21" s="1031"/>
      <c r="Q21" s="1031"/>
      <c r="R21" s="1031"/>
      <c r="S21" s="1031"/>
      <c r="T21" s="1031"/>
      <c r="U21" s="1031"/>
      <c r="V21" s="1031"/>
      <c r="W21" s="1031"/>
      <c r="X21" s="1031"/>
      <c r="Y21" s="1031"/>
      <c r="Z21" s="1031"/>
      <c r="AA21" s="1031"/>
      <c r="AB21" s="1031"/>
      <c r="AC21" s="1031"/>
      <c r="AD21" s="1031"/>
      <c r="AE21" s="1031"/>
      <c r="AF21" s="1031"/>
      <c r="AG21" s="1031"/>
      <c r="AH21" s="1031"/>
      <c r="AI21" s="1031"/>
      <c r="AJ21" s="1031"/>
      <c r="AK21" s="1031"/>
      <c r="AL21" s="1031"/>
      <c r="AM21" s="1032"/>
    </row>
    <row r="22" spans="1:39" ht="23.4" x14ac:dyDescent="0.3">
      <c r="A22" s="1052" t="s">
        <v>151</v>
      </c>
      <c r="B22" s="1031"/>
      <c r="C22" s="1057" t="s">
        <v>206</v>
      </c>
      <c r="D22" s="1058"/>
      <c r="E22" s="1058"/>
      <c r="F22" s="1058"/>
      <c r="G22" s="1058"/>
      <c r="H22" s="1058"/>
      <c r="I22" s="1058"/>
      <c r="J22" s="1058"/>
      <c r="K22" s="1058"/>
      <c r="L22" s="1058"/>
      <c r="M22" s="1058"/>
      <c r="N22" s="1058"/>
      <c r="O22" s="1058"/>
      <c r="P22" s="1058"/>
      <c r="Q22" s="1058"/>
      <c r="R22" s="1058"/>
      <c r="S22" s="1058"/>
      <c r="T22" s="1058"/>
      <c r="U22" s="1058"/>
      <c r="V22" s="1058"/>
      <c r="W22" s="1058"/>
      <c r="X22" s="1058"/>
      <c r="Y22" s="1058"/>
      <c r="Z22" s="1058"/>
      <c r="AA22" s="1058"/>
      <c r="AB22" s="1058"/>
      <c r="AC22" s="1058"/>
      <c r="AD22" s="1058"/>
      <c r="AE22" s="1058"/>
      <c r="AF22" s="1058"/>
      <c r="AG22" s="1058"/>
      <c r="AH22" s="1058"/>
      <c r="AI22" s="1058"/>
      <c r="AJ22" s="1058"/>
      <c r="AK22" s="1058"/>
      <c r="AL22" s="1058"/>
      <c r="AM22" s="1059"/>
    </row>
    <row r="23" spans="1:39" ht="14.4" x14ac:dyDescent="0.3">
      <c r="A23" s="1030" t="s">
        <v>152</v>
      </c>
      <c r="B23" s="1031"/>
      <c r="C23" s="1031"/>
      <c r="D23" s="1031"/>
      <c r="E23" s="1031"/>
      <c r="F23" s="1031"/>
      <c r="G23" s="1031"/>
      <c r="H23" s="1031"/>
      <c r="I23" s="1031"/>
      <c r="J23" s="1032"/>
      <c r="K23" s="1033" t="s">
        <v>153</v>
      </c>
      <c r="L23" s="1034"/>
      <c r="M23" s="1034"/>
      <c r="N23" s="1034"/>
      <c r="O23" s="1034"/>
      <c r="P23" s="1034"/>
      <c r="Q23" s="1035"/>
      <c r="R23" s="1033" t="s">
        <v>154</v>
      </c>
      <c r="S23" s="1034"/>
      <c r="T23" s="1034"/>
      <c r="U23" s="1034"/>
      <c r="V23" s="1034"/>
      <c r="W23" s="1034"/>
      <c r="X23" s="1034"/>
      <c r="Y23" s="1034"/>
      <c r="Z23" s="1035"/>
      <c r="AA23" s="1033" t="s">
        <v>155</v>
      </c>
      <c r="AB23" s="1034"/>
      <c r="AC23" s="1034"/>
      <c r="AD23" s="1034"/>
      <c r="AE23" s="1034"/>
      <c r="AF23" s="1034"/>
      <c r="AG23" s="1035"/>
      <c r="AH23" s="1033" t="s">
        <v>156</v>
      </c>
      <c r="AI23" s="1034"/>
      <c r="AJ23" s="1034"/>
      <c r="AK23" s="1034"/>
      <c r="AL23" s="1034"/>
      <c r="AM23" s="1035"/>
    </row>
    <row r="24" spans="1:39" ht="14.4" x14ac:dyDescent="0.3">
      <c r="A24" s="1036" t="s">
        <v>157</v>
      </c>
      <c r="B24" s="1037" t="s">
        <v>141</v>
      </c>
      <c r="C24" s="1038" t="s">
        <v>158</v>
      </c>
      <c r="D24" s="1038" t="s">
        <v>159</v>
      </c>
      <c r="E24" s="1019" t="s">
        <v>160</v>
      </c>
      <c r="F24" s="1039" t="s">
        <v>60</v>
      </c>
      <c r="G24" s="50"/>
      <c r="H24" s="50"/>
      <c r="I24" s="1019" t="s">
        <v>161</v>
      </c>
      <c r="J24" s="1038" t="s">
        <v>162</v>
      </c>
      <c r="K24" s="1038" t="s">
        <v>163</v>
      </c>
      <c r="L24" s="1040" t="s">
        <v>164</v>
      </c>
      <c r="M24" s="1019" t="s">
        <v>165</v>
      </c>
      <c r="N24" s="1019" t="s">
        <v>166</v>
      </c>
      <c r="O24" s="1042" t="s">
        <v>167</v>
      </c>
      <c r="P24" s="1040" t="s">
        <v>164</v>
      </c>
      <c r="Q24" s="1038" t="s">
        <v>168</v>
      </c>
      <c r="R24" s="1018" t="s">
        <v>169</v>
      </c>
      <c r="S24" s="1019" t="s">
        <v>170</v>
      </c>
      <c r="T24" s="1043" t="s">
        <v>171</v>
      </c>
      <c r="U24" s="1044" t="s">
        <v>172</v>
      </c>
      <c r="V24" s="1031"/>
      <c r="W24" s="1031"/>
      <c r="X24" s="1031"/>
      <c r="Y24" s="1031"/>
      <c r="Z24" s="1032"/>
      <c r="AA24" s="1018" t="s">
        <v>173</v>
      </c>
      <c r="AB24" s="1018" t="s">
        <v>174</v>
      </c>
      <c r="AC24" s="1018" t="s">
        <v>164</v>
      </c>
      <c r="AD24" s="1018" t="s">
        <v>175</v>
      </c>
      <c r="AE24" s="1018" t="s">
        <v>164</v>
      </c>
      <c r="AF24" s="1018" t="s">
        <v>176</v>
      </c>
      <c r="AG24" s="1018" t="s">
        <v>177</v>
      </c>
      <c r="AH24" s="1019" t="s">
        <v>156</v>
      </c>
      <c r="AI24" s="1019" t="s">
        <v>142</v>
      </c>
      <c r="AJ24" s="1019" t="s">
        <v>178</v>
      </c>
      <c r="AK24" s="1019" t="s">
        <v>179</v>
      </c>
      <c r="AL24" s="1019" t="s">
        <v>180</v>
      </c>
      <c r="AM24" s="1045" t="s">
        <v>181</v>
      </c>
    </row>
    <row r="25" spans="1:39" ht="71.400000000000006" x14ac:dyDescent="0.3">
      <c r="A25" s="996"/>
      <c r="B25" s="996"/>
      <c r="C25" s="996"/>
      <c r="D25" s="996"/>
      <c r="E25" s="1007"/>
      <c r="F25" s="1007"/>
      <c r="G25" s="50" t="s">
        <v>201</v>
      </c>
      <c r="H25" s="50" t="s">
        <v>182</v>
      </c>
      <c r="I25" s="996"/>
      <c r="J25" s="996"/>
      <c r="K25" s="996"/>
      <c r="L25" s="1041"/>
      <c r="M25" s="996"/>
      <c r="N25" s="996"/>
      <c r="O25" s="1041"/>
      <c r="P25" s="1041"/>
      <c r="Q25" s="996"/>
      <c r="R25" s="996"/>
      <c r="S25" s="996"/>
      <c r="T25" s="534"/>
      <c r="U25" s="51" t="s">
        <v>183</v>
      </c>
      <c r="V25" s="51" t="s">
        <v>184</v>
      </c>
      <c r="W25" s="51" t="s">
        <v>185</v>
      </c>
      <c r="X25" s="51" t="s">
        <v>186</v>
      </c>
      <c r="Y25" s="51" t="s">
        <v>187</v>
      </c>
      <c r="Z25" s="51" t="s">
        <v>188</v>
      </c>
      <c r="AA25" s="996"/>
      <c r="AB25" s="996"/>
      <c r="AC25" s="996"/>
      <c r="AD25" s="996"/>
      <c r="AE25" s="996"/>
      <c r="AF25" s="996"/>
      <c r="AG25" s="996"/>
      <c r="AH25" s="996"/>
      <c r="AI25" s="996"/>
      <c r="AJ25" s="996"/>
      <c r="AK25" s="996"/>
      <c r="AL25" s="996"/>
      <c r="AM25" s="1041"/>
    </row>
    <row r="26" spans="1:39" ht="156" x14ac:dyDescent="0.3">
      <c r="A26" s="1021">
        <v>1</v>
      </c>
      <c r="B26" s="1022" t="s">
        <v>199</v>
      </c>
      <c r="C26" s="1022" t="s">
        <v>209</v>
      </c>
      <c r="D26" s="1022" t="s">
        <v>210</v>
      </c>
      <c r="E26" s="53" t="s">
        <v>211</v>
      </c>
      <c r="F26" s="1022" t="s">
        <v>212</v>
      </c>
      <c r="G26" s="1022" t="s">
        <v>202</v>
      </c>
      <c r="H26" s="54" t="s">
        <v>213</v>
      </c>
      <c r="I26" s="55" t="s">
        <v>190</v>
      </c>
      <c r="J26" s="1023">
        <v>365</v>
      </c>
      <c r="K26" s="1012" t="str">
        <f>IF(J26&lt;=0,"",IF(J26&lt;=2,"Muy Baja",IF(J26&lt;=L1159,"Baja",IF(J26&lt;=500,"Media",IF(J26&lt;=5000,"Alta","Muy Alta")))))</f>
        <v>Media</v>
      </c>
      <c r="L26" s="1013">
        <f>IF(K26="","",IF(K26="Muy Baja",0.2,IF(K26="Baja",0.4,IF(K26="Media",0.6,IF(K26="Alta",0.8,IF(K26="Muy Alta",1,))))))</f>
        <v>0.6</v>
      </c>
      <c r="M26" s="1013" t="s">
        <v>214</v>
      </c>
      <c r="N26" s="1013" t="str">
        <f>IF(NOT(ISERROR(MATCH(M26,'[2]Tabla Impacto'!$B$221:$B$223,0))),'[2]Tabla Impacto'!$F$223&amp;"Por favor no seleccionar los criterios de impacto(Afectación Económica o presupuestal y Pérdida Reputacional)",M26)</f>
        <v xml:space="preserve">     El riesgo afecta la imagen de de la entidad con efecto publicitario sostenido a nivel de sector administrativo, nivel departamental o municipal</v>
      </c>
      <c r="O26" s="1012" t="str">
        <f>IF(OR(N26='[2]Tabla Impacto'!$C$11,N26='[2]Tabla Impacto'!$D$11),"Leve",IF(OR(N26='[2]Tabla Impacto'!$C$12,N26='[2]Tabla Impacto'!$D$12),"Menor",IF(OR(N26='[2]Tabla Impacto'!$C$13,N26='[2]Tabla Impacto'!$D$13),"Moderado",IF(OR(N26='[2]Tabla Impacto'!$C$14,N26='[2]Tabla Impacto'!$D$14),"Mayor",IF(OR(N26='[2]Tabla Impacto'!$C$15,N26='[2]Tabla Impacto'!$D$15),"Catastrófico","")))))</f>
        <v>Mayor</v>
      </c>
      <c r="P26" s="1013">
        <f>IF(O26="","",IF(O26="Leve",0.2,IF(O26="Menor",0.4,IF(O26="Moderado",0.6,IF(O26="Mayor",0.8,IF(O26="Catastrófico",1,))))))</f>
        <v>0.8</v>
      </c>
      <c r="Q26" s="1024"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Alto</v>
      </c>
      <c r="R26" s="56">
        <v>1</v>
      </c>
      <c r="S26" s="1025" t="s">
        <v>215</v>
      </c>
      <c r="T26" s="1027" t="str">
        <f>IF(OR(U26="Preventivo",U26="Detectivo"),"Probabilidad",IF(U26="Correctivo","Impacto",""))</f>
        <v>Probabilidad</v>
      </c>
      <c r="U26" s="997" t="s">
        <v>197</v>
      </c>
      <c r="V26" s="997" t="s">
        <v>191</v>
      </c>
      <c r="W26" s="1000" t="str">
        <f>IF(AND(U26="Preventivo",V26="Automático"),"50%",IF(AND(U26="Preventivo",V26="Manual"),"40%",IF(AND(U26="Detectivo",V26="Automático"),"40%",IF(AND(U26="Detectivo",V26="Manual"),"30%",IF(AND(U26="Correctivo",V26="Automático"),"35%",IF(AND(U26="Correctivo",V26="Manual"),"25%",""))))))</f>
        <v>40%</v>
      </c>
      <c r="X26" s="997" t="s">
        <v>198</v>
      </c>
      <c r="Y26" s="997" t="s">
        <v>193</v>
      </c>
      <c r="Z26" s="997" t="s">
        <v>194</v>
      </c>
      <c r="AA26" s="998">
        <f>IFERROR(IF(T26="Probabilidad",(L26-(+L26*W26)),IF(T26="Impacto",L26,"")),"")</f>
        <v>0.36</v>
      </c>
      <c r="AB26" s="999" t="str">
        <f>IFERROR(IF(AA26="","",IF(AA26&lt;=0.2,"Muy Baja",IF(AA26&lt;=0.4,"Baja",IF(AA26&lt;=0.6,"Media",IF(AA26&lt;=0.8,"Alta","Muy Alta"))))),"")</f>
        <v>Baja</v>
      </c>
      <c r="AC26" s="1000">
        <f>+AA26</f>
        <v>0.36</v>
      </c>
      <c r="AD26" s="999" t="str">
        <f>IFERROR(IF(AE26="","",IF(AE26&lt;=0.2,"Leve",IF(AE26&lt;=0.4,"Menor",IF(AE26&lt;=0.6,"Moderado",IF(AE26&lt;=0.8,"Mayor","Catastrófico"))))),"")</f>
        <v>Mayor</v>
      </c>
      <c r="AE26" s="1000">
        <f>IFERROR(IF(T26="Impacto",(P26-(+P26*W26)),IF(T26="Probabilidad",P26,"")),"")</f>
        <v>0.8</v>
      </c>
      <c r="AF26" s="1001"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Alto</v>
      </c>
      <c r="AG26" s="997" t="s">
        <v>195</v>
      </c>
      <c r="AH26" s="1016" t="s">
        <v>216</v>
      </c>
      <c r="AI26" s="1016" t="s">
        <v>217</v>
      </c>
      <c r="AJ26" s="1002">
        <v>45412</v>
      </c>
      <c r="AK26" s="1002">
        <v>45534</v>
      </c>
      <c r="AL26" s="1016" t="s">
        <v>218</v>
      </c>
      <c r="AM26" s="1016" t="s">
        <v>196</v>
      </c>
    </row>
    <row r="27" spans="1:39" ht="27.6" x14ac:dyDescent="0.3">
      <c r="A27" s="1007"/>
      <c r="B27" s="1007"/>
      <c r="C27" s="1007"/>
      <c r="D27" s="1007"/>
      <c r="E27" s="59" t="s">
        <v>221</v>
      </c>
      <c r="F27" s="996"/>
      <c r="G27" s="1007"/>
      <c r="H27" s="54"/>
      <c r="I27" s="60"/>
      <c r="J27" s="1007"/>
      <c r="K27" s="1007"/>
      <c r="L27" s="1007"/>
      <c r="M27" s="1007"/>
      <c r="N27" s="1007"/>
      <c r="O27" s="1007"/>
      <c r="P27" s="1007"/>
      <c r="Q27" s="1007"/>
      <c r="R27" s="56">
        <v>2</v>
      </c>
      <c r="S27" s="1026"/>
      <c r="T27" s="996"/>
      <c r="U27" s="996"/>
      <c r="V27" s="996"/>
      <c r="W27" s="996"/>
      <c r="X27" s="996"/>
      <c r="Y27" s="996"/>
      <c r="Z27" s="996"/>
      <c r="AA27" s="996"/>
      <c r="AB27" s="996"/>
      <c r="AC27" s="996"/>
      <c r="AD27" s="996"/>
      <c r="AE27" s="996"/>
      <c r="AF27" s="996"/>
      <c r="AG27" s="996"/>
      <c r="AH27" s="1017"/>
      <c r="AI27" s="1017"/>
      <c r="AJ27" s="1003"/>
      <c r="AK27" s="1003"/>
      <c r="AL27" s="1017"/>
      <c r="AM27" s="1017"/>
    </row>
    <row r="28" spans="1:39" ht="69" x14ac:dyDescent="0.3">
      <c r="A28" s="61">
        <v>2</v>
      </c>
      <c r="B28" s="62" t="s">
        <v>199</v>
      </c>
      <c r="C28" s="62" t="s">
        <v>209</v>
      </c>
      <c r="D28" s="62" t="s">
        <v>224</v>
      </c>
      <c r="E28" s="63" t="s">
        <v>225</v>
      </c>
      <c r="F28" s="1010" t="s">
        <v>226</v>
      </c>
      <c r="G28" s="1006" t="s">
        <v>202</v>
      </c>
      <c r="H28" s="1008" t="s">
        <v>227</v>
      </c>
      <c r="I28" s="1006" t="s">
        <v>190</v>
      </c>
      <c r="J28" s="1011">
        <v>365</v>
      </c>
      <c r="K28" s="1012" t="str">
        <f>IF(J28&lt;=0,"",IF(J28&lt;=2,"Muy Baja",IF(J28&lt;=L1161,"Baja",IF(J28&lt;=500,"Media",IF(J28&lt;=5000,"Alta","Muy Alta")))))</f>
        <v>Media</v>
      </c>
      <c r="L28" s="1013">
        <f>IF(K28="","",IF(K28="Muy Baja",0.2,IF(K28="Baja",0.4,IF(K28="Media",0.6,IF(K28="Alta",0.8,IF(K28="Muy Alta",1,))))))</f>
        <v>0.6</v>
      </c>
      <c r="M28" s="1014" t="s">
        <v>200</v>
      </c>
      <c r="N28" s="1007"/>
      <c r="O28" s="1028"/>
      <c r="P28" s="64"/>
      <c r="Q28" s="1007"/>
      <c r="R28" s="56">
        <v>3</v>
      </c>
      <c r="S28" s="65" t="s">
        <v>228</v>
      </c>
      <c r="T28" s="1029" t="str">
        <f>IF(OR(U28="Preventivo",U28="Detectivo"),"Probabilidad",IF(U28="Correctivo","Impacto",""))</f>
        <v>Probabilidad</v>
      </c>
      <c r="U28" s="997" t="s">
        <v>197</v>
      </c>
      <c r="V28" s="997" t="s">
        <v>191</v>
      </c>
      <c r="W28" s="1000" t="str">
        <f>IF(AND(U28="Preventivo",V28="Automático"),"50%",IF(AND(U28="Preventivo",V28="Manual"),"40%",IF(AND(U28="Detectivo",V28="Automático"),"40%",IF(AND(U28="Detectivo",V28="Manual"),"30%",IF(AND(U28="Correctivo",V28="Automático"),"35%",IF(AND(U28="Correctivo",V28="Manual"),"25%",""))))))</f>
        <v>40%</v>
      </c>
      <c r="X28" s="997" t="s">
        <v>192</v>
      </c>
      <c r="Y28" s="997" t="s">
        <v>193</v>
      </c>
      <c r="Z28" s="997" t="s">
        <v>194</v>
      </c>
      <c r="AA28" s="66" t="str">
        <f t="shared" ref="AA28:AA31" si="10">IFERROR(IF(AND(T27="Probabilidad",T28="Probabilidad"),(AC27-(+AC27*W28)),IF(AND(T27="Impacto",T28="Probabilidad"),(AC26-(+AC26*W28)),IF(T28="Impacto",AC27,""))),"")</f>
        <v/>
      </c>
      <c r="AB28" s="67" t="str">
        <f t="shared" ref="AB28:AB32" si="11">IFERROR(IF(AA28="","",IF(AA28&lt;=0.2,"Muy Baja",IF(AA28&lt;=0.4,"Baja",IF(AA28&lt;=0.6,"Media",IF(AA28&lt;=0.8,"Alta","Muy Alta"))))),"")</f>
        <v/>
      </c>
      <c r="AC28" s="58" t="str">
        <f t="shared" ref="AC28:AC32" si="12">+AA28</f>
        <v/>
      </c>
      <c r="AD28" s="67" t="str">
        <f t="shared" ref="AD28:AD32" si="13">IFERROR(IF(AE28="","",IF(AE28&lt;=0.2,"Leve",IF(AE28&lt;=0.4,"Menor",IF(AE28&lt;=0.6,"Moderado",IF(AE28&lt;=0.8,"Mayor","Catastrófico"))))),"")</f>
        <v>Leve</v>
      </c>
      <c r="AE28" s="58">
        <f t="shared" ref="AE28:AE31" si="14">IFERROR(IF(AND(T27="Impacto",T28="Impacto"),(AE27-(+AE27*W28)),IF(AND(T27="Probabilidad",T28="Impacto"),(AE26-(+AE26*W28)),IF(T28="Probabilidad",AE27,""))),"")</f>
        <v>0</v>
      </c>
      <c r="AF28" s="68" t="str">
        <f t="shared" ref="AF28:AF32" si="15">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57"/>
      <c r="AH28" s="1020" t="s">
        <v>229</v>
      </c>
      <c r="AI28" s="995" t="s">
        <v>230</v>
      </c>
      <c r="AJ28" s="1002">
        <v>45412</v>
      </c>
      <c r="AK28" s="1002">
        <v>45534</v>
      </c>
      <c r="AL28" s="1004" t="s">
        <v>231</v>
      </c>
      <c r="AM28" s="1004" t="s">
        <v>196</v>
      </c>
    </row>
    <row r="29" spans="1:39" ht="55.2" x14ac:dyDescent="0.3">
      <c r="A29" s="61"/>
      <c r="B29" s="62"/>
      <c r="C29" s="62"/>
      <c r="D29" s="62"/>
      <c r="E29" s="63" t="s">
        <v>234</v>
      </c>
      <c r="F29" s="996"/>
      <c r="G29" s="1007"/>
      <c r="H29" s="996"/>
      <c r="I29" s="1007"/>
      <c r="J29" s="1007"/>
      <c r="K29" s="1007"/>
      <c r="L29" s="1007"/>
      <c r="M29" s="1007"/>
      <c r="N29" s="1007"/>
      <c r="O29" s="1007"/>
      <c r="P29" s="64"/>
      <c r="Q29" s="1007"/>
      <c r="R29" s="56">
        <v>4</v>
      </c>
      <c r="S29" s="65" t="s">
        <v>235</v>
      </c>
      <c r="T29" s="996"/>
      <c r="U29" s="996"/>
      <c r="V29" s="996"/>
      <c r="W29" s="996"/>
      <c r="X29" s="996"/>
      <c r="Y29" s="996"/>
      <c r="Z29" s="996"/>
      <c r="AA29" s="66" t="str">
        <f t="shared" si="10"/>
        <v/>
      </c>
      <c r="AB29" s="67" t="str">
        <f t="shared" si="11"/>
        <v/>
      </c>
      <c r="AC29" s="58" t="str">
        <f t="shared" si="12"/>
        <v/>
      </c>
      <c r="AD29" s="67" t="str">
        <f t="shared" si="13"/>
        <v/>
      </c>
      <c r="AE29" s="58" t="str">
        <f t="shared" si="14"/>
        <v/>
      </c>
      <c r="AF29" s="68" t="str">
        <f t="shared" si="15"/>
        <v/>
      </c>
      <c r="AG29" s="57"/>
      <c r="AH29" s="996"/>
      <c r="AI29" s="996"/>
      <c r="AJ29" s="1003"/>
      <c r="AK29" s="1003"/>
      <c r="AL29" s="1005"/>
      <c r="AM29" s="1005"/>
    </row>
    <row r="30" spans="1:39" ht="82.8" x14ac:dyDescent="0.3">
      <c r="A30" s="61"/>
      <c r="B30" s="1006" t="s">
        <v>199</v>
      </c>
      <c r="C30" s="1006" t="s">
        <v>236</v>
      </c>
      <c r="D30" s="1006" t="s">
        <v>237</v>
      </c>
      <c r="E30" s="69" t="s">
        <v>238</v>
      </c>
      <c r="F30" s="1008" t="s">
        <v>239</v>
      </c>
      <c r="G30" s="1009" t="s">
        <v>203</v>
      </c>
      <c r="H30" s="1010" t="s">
        <v>240</v>
      </c>
      <c r="I30" s="1006" t="s">
        <v>190</v>
      </c>
      <c r="J30" s="1011">
        <v>365</v>
      </c>
      <c r="K30" s="1012" t="str">
        <f>IF(J30&lt;=0,"",IF(J30&lt;=2,"Muy Baja",IF(J30&lt;=L1163,"Baja",IF(J30&lt;=500,"Media",IF(J30&lt;=5000,"Alta","Muy Alta")))))</f>
        <v>Media</v>
      </c>
      <c r="L30" s="1013">
        <f>IF(K30="","",IF(K30="Muy Baja",0.2,IF(K30="Baja",0.4,IF(K30="Media",0.6,IF(K30="Alta",0.8,IF(K30="Muy Alta",1,))))))</f>
        <v>0.6</v>
      </c>
      <c r="M30" s="1014" t="s">
        <v>241</v>
      </c>
      <c r="N30" s="1007"/>
      <c r="O30" s="1015" t="str">
        <f>IF(OR(N32='[2]Tabla Impacto'!$C$11,N32='[2]Tabla Impacto'!$D$11),"Leve",IF(OR(N32='[2]Tabla Impacto'!$C$12,N32='[2]Tabla Impacto'!$D$12),"Menor",IF(OR(N32='[2]Tabla Impacto'!$C$13,N32='[2]Tabla Impacto'!$D$13),"Moderado",IF(OR(N32='[2]Tabla Impacto'!$C$14,N32='[2]Tabla Impacto'!$D$14),"Mayor",IF(OR(N32='[2]Tabla Impacto'!$C$15,N32='[2]Tabla Impacto'!$D$15),"Catastrófico","")))))</f>
        <v/>
      </c>
      <c r="P30" s="64"/>
      <c r="Q30" s="1007"/>
      <c r="R30" s="56">
        <v>5</v>
      </c>
      <c r="S30" s="65" t="s">
        <v>242</v>
      </c>
      <c r="T30" s="56" t="str">
        <f t="shared" ref="T30:T32" si="16">IF(OR(U30="Preventivo",U30="Detectivo"),"Probabilidad",IF(U30="Correctivo","Impacto",""))</f>
        <v>Probabilidad</v>
      </c>
      <c r="U30" s="70" t="s">
        <v>243</v>
      </c>
      <c r="V30" s="70" t="s">
        <v>191</v>
      </c>
      <c r="W30" s="71" t="str">
        <f t="shared" ref="W30:W32" si="17">IF(AND(U30="Preventivo",V30="Automático"),"50%",IF(AND(U30="Preventivo",V30="Manual"),"40%",IF(AND(U30="Detectivo",V30="Automático"),"40%",IF(AND(U30="Detectivo",V30="Manual"),"30%",IF(AND(U30="Correctivo",V30="Automático"),"35%",IF(AND(U30="Correctivo",V30="Manual"),"25%",""))))))</f>
        <v>30%</v>
      </c>
      <c r="X30" s="70" t="s">
        <v>198</v>
      </c>
      <c r="Y30" s="70" t="s">
        <v>193</v>
      </c>
      <c r="Z30" s="70" t="s">
        <v>194</v>
      </c>
      <c r="AA30" s="66" t="str">
        <f t="shared" si="10"/>
        <v/>
      </c>
      <c r="AB30" s="67" t="str">
        <f t="shared" si="11"/>
        <v/>
      </c>
      <c r="AC30" s="58" t="str">
        <f t="shared" si="12"/>
        <v/>
      </c>
      <c r="AD30" s="67" t="str">
        <f t="shared" si="13"/>
        <v/>
      </c>
      <c r="AE30" s="58" t="str">
        <f t="shared" si="14"/>
        <v/>
      </c>
      <c r="AF30" s="68" t="str">
        <f t="shared" si="15"/>
        <v/>
      </c>
      <c r="AG30" s="57"/>
      <c r="AH30" s="72" t="s">
        <v>244</v>
      </c>
      <c r="AI30" s="72" t="s">
        <v>245</v>
      </c>
      <c r="AJ30" s="73" t="s">
        <v>246</v>
      </c>
      <c r="AK30" s="73">
        <v>45534</v>
      </c>
      <c r="AL30" s="74" t="s">
        <v>231</v>
      </c>
      <c r="AM30" s="74" t="s">
        <v>196</v>
      </c>
    </row>
    <row r="31" spans="1:39" ht="82.8" x14ac:dyDescent="0.3">
      <c r="A31" s="75"/>
      <c r="B31" s="1007"/>
      <c r="C31" s="1007"/>
      <c r="D31" s="1007"/>
      <c r="E31" s="76" t="s">
        <v>249</v>
      </c>
      <c r="F31" s="1007"/>
      <c r="G31" s="1007"/>
      <c r="H31" s="1007"/>
      <c r="I31" s="1007"/>
      <c r="J31" s="1007"/>
      <c r="K31" s="1007"/>
      <c r="L31" s="1007"/>
      <c r="M31" s="1007"/>
      <c r="N31" s="996"/>
      <c r="O31" s="1007"/>
      <c r="P31" s="77"/>
      <c r="Q31" s="996"/>
      <c r="R31" s="56">
        <v>6</v>
      </c>
      <c r="S31" s="65" t="s">
        <v>250</v>
      </c>
      <c r="T31" s="56" t="str">
        <f t="shared" si="16"/>
        <v/>
      </c>
      <c r="U31" s="70"/>
      <c r="V31" s="70"/>
      <c r="W31" s="71" t="str">
        <f t="shared" si="17"/>
        <v/>
      </c>
      <c r="X31" s="70"/>
      <c r="Y31" s="70"/>
      <c r="Z31" s="70"/>
      <c r="AA31" s="66" t="str">
        <f t="shared" si="10"/>
        <v/>
      </c>
      <c r="AB31" s="67" t="str">
        <f t="shared" si="11"/>
        <v/>
      </c>
      <c r="AC31" s="58" t="str">
        <f t="shared" si="12"/>
        <v/>
      </c>
      <c r="AD31" s="67" t="str">
        <f t="shared" si="13"/>
        <v/>
      </c>
      <c r="AE31" s="58" t="str">
        <f t="shared" si="14"/>
        <v/>
      </c>
      <c r="AF31" s="68" t="str">
        <f t="shared" si="15"/>
        <v/>
      </c>
      <c r="AG31" s="57"/>
      <c r="AH31" s="72"/>
      <c r="AI31" s="56"/>
      <c r="AJ31" s="78"/>
      <c r="AK31" s="78"/>
      <c r="AL31" s="72"/>
      <c r="AM31" s="56"/>
    </row>
    <row r="32" spans="1:39" ht="41.4" x14ac:dyDescent="0.3">
      <c r="A32" s="283"/>
      <c r="B32" s="1007"/>
      <c r="C32" s="1007"/>
      <c r="D32" s="1007"/>
      <c r="E32" s="79" t="s">
        <v>251</v>
      </c>
      <c r="F32" s="996"/>
      <c r="G32" s="1007"/>
      <c r="H32" s="996"/>
      <c r="I32" s="1007"/>
      <c r="J32" s="1007"/>
      <c r="K32" s="1007"/>
      <c r="L32" s="1007"/>
      <c r="M32" s="1007"/>
      <c r="N32" s="82">
        <f>IF(NOT(ISERROR(MATCH(M32,'[2]Tabla Impacto'!$B$221:$B$223,0))),'[2]Tabla Impacto'!$F$223&amp;"Por favor no seleccionar los criterios de impacto(Afectación Económica o presupuestal y Pérdida Reputacional)",M32)</f>
        <v>0</v>
      </c>
      <c r="O32" s="1007"/>
      <c r="P32" s="80" t="str">
        <f>IF(O30="","",IF(O30="Leve",0.2,IF(O30="Menor",0.4,IF(O30="Moderado",0.6,IF(O30="Mayor",0.8,IF(O30="Catastrófico",1,))))))</f>
        <v/>
      </c>
      <c r="Q32" s="81" t="str">
        <f>IF(OR(AND(K32="Muy Baja",O30="Leve"),AND(K32="Muy Baja",O30="Menor"),AND(K32="Baja",O30="Leve")),"Bajo",IF(OR(AND(K32="Muy baja",O30="Moderado"),AND(K32="Baja",O30="Menor"),AND(K32="Baja",O30="Moderado"),AND(K32="Media",O30="Leve"),AND(K32="Media",O30="Menor"),AND(K32="Media",O30="Moderado"),AND(K32="Alta",O30="Leve"),AND(K32="Alta",O30="Menor")),"Moderado",IF(OR(AND(K32="Muy Baja",O30="Mayor"),AND(K32="Baja",O30="Mayor"),AND(K32="Media",O30="Mayor"),AND(K32="Alta",O30="Moderado"),AND(K32="Alta",O30="Mayor"),AND(K32="Muy Alta",O30="Leve"),AND(K32="Muy Alta",O30="Menor"),AND(K32="Muy Alta",O30="Moderado"),AND(K32="Muy Alta",O30="Mayor")),"Alto",IF(OR(AND(K32="Muy Baja",O30="Catastrófico"),AND(K32="Baja",O30="Catastrófico"),AND(K32="Media",O30="Catastrófico"),AND(K32="Alta",O30="Catastrófico"),AND(K32="Muy Alta",O30="Catastrófico")),"Extremo",""))))</f>
        <v/>
      </c>
      <c r="R32" s="56">
        <v>1</v>
      </c>
      <c r="S32" s="65" t="s">
        <v>252</v>
      </c>
      <c r="T32" s="56" t="str">
        <f t="shared" si="16"/>
        <v/>
      </c>
      <c r="U32" s="70"/>
      <c r="V32" s="70"/>
      <c r="W32" s="71" t="str">
        <f t="shared" si="17"/>
        <v/>
      </c>
      <c r="X32" s="70"/>
      <c r="Y32" s="70"/>
      <c r="Z32" s="70"/>
      <c r="AA32" s="66" t="str">
        <f>IFERROR(IF(T32="Probabilidad",(L32-(+L32*W32)),IF(T32="Impacto",L32,"")),"")</f>
        <v/>
      </c>
      <c r="AB32" s="67" t="str">
        <f t="shared" si="11"/>
        <v/>
      </c>
      <c r="AC32" s="58" t="str">
        <f t="shared" si="12"/>
        <v/>
      </c>
      <c r="AD32" s="67" t="str">
        <f t="shared" si="13"/>
        <v/>
      </c>
      <c r="AE32" s="58" t="str">
        <f>IFERROR(IF(T32="Impacto",(P32-(+P32*W32)),IF(T32="Probabilidad",P32,"")),"")</f>
        <v/>
      </c>
      <c r="AF32" s="68" t="str">
        <f t="shared" si="15"/>
        <v/>
      </c>
      <c r="AG32" s="57"/>
      <c r="AH32" s="72"/>
      <c r="AI32" s="56"/>
      <c r="AJ32" s="78"/>
      <c r="AK32" s="78"/>
      <c r="AL32" s="72"/>
      <c r="AM32" s="56"/>
    </row>
    <row r="33" spans="1:40" ht="14.4" x14ac:dyDescent="0.3">
      <c r="A33" s="741" t="s">
        <v>148</v>
      </c>
      <c r="B33" s="742"/>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3"/>
      <c r="AN33" s="41"/>
    </row>
    <row r="34" spans="1:40" ht="14.4" x14ac:dyDescent="0.3">
      <c r="A34" s="744"/>
      <c r="B34" s="745"/>
      <c r="C34" s="745"/>
      <c r="D34" s="745"/>
      <c r="E34" s="745"/>
      <c r="F34" s="74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6"/>
      <c r="AN34" s="41"/>
    </row>
    <row r="35" spans="1:40" ht="14.4" x14ac:dyDescent="0.3">
      <c r="A35" s="42"/>
      <c r="B35" s="43"/>
      <c r="C35" s="42"/>
      <c r="D35" s="42"/>
      <c r="E35" s="42"/>
      <c r="F35" s="41"/>
      <c r="G35" s="41"/>
      <c r="H35" s="41"/>
      <c r="I35" s="44"/>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row>
    <row r="36" spans="1:40" ht="23.4" x14ac:dyDescent="0.3">
      <c r="A36" s="734" t="s">
        <v>149</v>
      </c>
      <c r="B36" s="735"/>
      <c r="C36" s="747" t="s">
        <v>332</v>
      </c>
      <c r="D36" s="747"/>
      <c r="E36" s="747"/>
      <c r="F36" s="747"/>
      <c r="G36" s="747"/>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7"/>
      <c r="AJ36" s="747"/>
      <c r="AK36" s="747"/>
      <c r="AL36" s="747"/>
      <c r="AM36" s="747"/>
      <c r="AN36" s="41"/>
    </row>
    <row r="37" spans="1:40" ht="23.4" x14ac:dyDescent="0.3">
      <c r="A37" s="734" t="s">
        <v>150</v>
      </c>
      <c r="B37" s="735"/>
      <c r="C37" s="736" t="s">
        <v>333</v>
      </c>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c r="AJ37" s="736"/>
      <c r="AK37" s="736"/>
      <c r="AL37" s="736"/>
      <c r="AM37" s="736"/>
      <c r="AN37" s="41"/>
    </row>
    <row r="38" spans="1:40" ht="23.4" x14ac:dyDescent="0.3">
      <c r="A38" s="734" t="s">
        <v>151</v>
      </c>
      <c r="B38" s="735"/>
      <c r="C38" s="736" t="s">
        <v>334</v>
      </c>
      <c r="D38" s="736"/>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736"/>
      <c r="AM38" s="736"/>
      <c r="AN38" s="41"/>
    </row>
    <row r="39" spans="1:40" x14ac:dyDescent="0.3">
      <c r="A39" s="737" t="s">
        <v>152</v>
      </c>
      <c r="B39" s="738"/>
      <c r="C39" s="739"/>
      <c r="D39" s="739"/>
      <c r="E39" s="739"/>
      <c r="F39" s="739"/>
      <c r="G39" s="739"/>
      <c r="H39" s="739"/>
      <c r="I39" s="739"/>
      <c r="J39" s="740"/>
      <c r="K39" s="724" t="s">
        <v>153</v>
      </c>
      <c r="L39" s="739"/>
      <c r="M39" s="739"/>
      <c r="N39" s="739"/>
      <c r="O39" s="739"/>
      <c r="P39" s="739"/>
      <c r="Q39" s="740"/>
      <c r="R39" s="724" t="s">
        <v>154</v>
      </c>
      <c r="S39" s="739"/>
      <c r="T39" s="739"/>
      <c r="U39" s="739"/>
      <c r="V39" s="739"/>
      <c r="W39" s="739"/>
      <c r="X39" s="739"/>
      <c r="Y39" s="739"/>
      <c r="Z39" s="740"/>
      <c r="AA39" s="724" t="s">
        <v>155</v>
      </c>
      <c r="AB39" s="739"/>
      <c r="AC39" s="739"/>
      <c r="AD39" s="739"/>
      <c r="AE39" s="739"/>
      <c r="AF39" s="739"/>
      <c r="AG39" s="740"/>
      <c r="AH39" s="724" t="s">
        <v>156</v>
      </c>
      <c r="AI39" s="739"/>
      <c r="AJ39" s="739"/>
      <c r="AK39" s="739"/>
      <c r="AL39" s="739"/>
      <c r="AM39" s="740"/>
      <c r="AN39" s="723" t="s">
        <v>335</v>
      </c>
    </row>
    <row r="40" spans="1:40" x14ac:dyDescent="0.3">
      <c r="A40" s="728" t="s">
        <v>157</v>
      </c>
      <c r="B40" s="730" t="s">
        <v>141</v>
      </c>
      <c r="C40" s="726" t="s">
        <v>158</v>
      </c>
      <c r="D40" s="726" t="s">
        <v>159</v>
      </c>
      <c r="E40" s="725" t="s">
        <v>160</v>
      </c>
      <c r="F40" s="732" t="s">
        <v>60</v>
      </c>
      <c r="G40" s="38"/>
      <c r="H40" s="38"/>
      <c r="I40" s="725" t="s">
        <v>161</v>
      </c>
      <c r="J40" s="726" t="s">
        <v>162</v>
      </c>
      <c r="K40" s="731" t="s">
        <v>163</v>
      </c>
      <c r="L40" s="723" t="s">
        <v>164</v>
      </c>
      <c r="M40" s="725" t="s">
        <v>165</v>
      </c>
      <c r="N40" s="725" t="s">
        <v>166</v>
      </c>
      <c r="O40" s="727" t="s">
        <v>167</v>
      </c>
      <c r="P40" s="723" t="s">
        <v>164</v>
      </c>
      <c r="Q40" s="726" t="s">
        <v>168</v>
      </c>
      <c r="R40" s="721" t="s">
        <v>169</v>
      </c>
      <c r="S40" s="699" t="s">
        <v>170</v>
      </c>
      <c r="T40" s="725" t="s">
        <v>171</v>
      </c>
      <c r="U40" s="699" t="s">
        <v>172</v>
      </c>
      <c r="V40" s="699"/>
      <c r="W40" s="699"/>
      <c r="X40" s="699"/>
      <c r="Y40" s="699"/>
      <c r="Z40" s="699"/>
      <c r="AA40" s="720" t="s">
        <v>173</v>
      </c>
      <c r="AB40" s="720" t="s">
        <v>174</v>
      </c>
      <c r="AC40" s="720" t="s">
        <v>164</v>
      </c>
      <c r="AD40" s="720" t="s">
        <v>175</v>
      </c>
      <c r="AE40" s="720" t="s">
        <v>164</v>
      </c>
      <c r="AF40" s="720" t="s">
        <v>176</v>
      </c>
      <c r="AG40" s="721" t="s">
        <v>177</v>
      </c>
      <c r="AH40" s="699" t="s">
        <v>156</v>
      </c>
      <c r="AI40" s="699" t="s">
        <v>142</v>
      </c>
      <c r="AJ40" s="699" t="s">
        <v>178</v>
      </c>
      <c r="AK40" s="699" t="s">
        <v>179</v>
      </c>
      <c r="AL40" s="699" t="s">
        <v>180</v>
      </c>
      <c r="AM40" s="699" t="s">
        <v>181</v>
      </c>
      <c r="AN40" s="723"/>
    </row>
    <row r="41" spans="1:40" ht="71.400000000000006" x14ac:dyDescent="0.3">
      <c r="A41" s="729"/>
      <c r="B41" s="730"/>
      <c r="C41" s="699"/>
      <c r="D41" s="699"/>
      <c r="E41" s="731"/>
      <c r="F41" s="733"/>
      <c r="G41" s="38" t="s">
        <v>201</v>
      </c>
      <c r="H41" s="38" t="s">
        <v>182</v>
      </c>
      <c r="I41" s="726"/>
      <c r="J41" s="699"/>
      <c r="K41" s="726"/>
      <c r="L41" s="724"/>
      <c r="M41" s="726"/>
      <c r="N41" s="726"/>
      <c r="O41" s="724"/>
      <c r="P41" s="724"/>
      <c r="Q41" s="699"/>
      <c r="R41" s="722"/>
      <c r="S41" s="699"/>
      <c r="T41" s="726"/>
      <c r="U41" s="39" t="s">
        <v>183</v>
      </c>
      <c r="V41" s="39" t="s">
        <v>184</v>
      </c>
      <c r="W41" s="39" t="s">
        <v>185</v>
      </c>
      <c r="X41" s="39" t="s">
        <v>186</v>
      </c>
      <c r="Y41" s="39" t="s">
        <v>187</v>
      </c>
      <c r="Z41" s="39" t="s">
        <v>188</v>
      </c>
      <c r="AA41" s="720"/>
      <c r="AB41" s="720"/>
      <c r="AC41" s="720"/>
      <c r="AD41" s="720"/>
      <c r="AE41" s="720"/>
      <c r="AF41" s="720"/>
      <c r="AG41" s="722"/>
      <c r="AH41" s="699"/>
      <c r="AI41" s="699"/>
      <c r="AJ41" s="699"/>
      <c r="AK41" s="699"/>
      <c r="AL41" s="699"/>
      <c r="AM41" s="699"/>
      <c r="AN41" s="723"/>
    </row>
    <row r="42" spans="1:40" ht="409.6" x14ac:dyDescent="0.3">
      <c r="A42" s="653">
        <v>1</v>
      </c>
      <c r="B42" s="757" t="s">
        <v>199</v>
      </c>
      <c r="C42" s="757" t="s">
        <v>336</v>
      </c>
      <c r="D42" s="759" t="s">
        <v>337</v>
      </c>
      <c r="E42" s="286" t="s">
        <v>338</v>
      </c>
      <c r="F42" s="761" t="s">
        <v>339</v>
      </c>
      <c r="G42" s="783" t="s">
        <v>202</v>
      </c>
      <c r="H42" s="761" t="s">
        <v>340</v>
      </c>
      <c r="I42" s="762" t="s">
        <v>190</v>
      </c>
      <c r="J42" s="764">
        <v>300</v>
      </c>
      <c r="K42" s="766" t="str">
        <f>IF(J42&lt;=0,"",IF(J42&lt;=2,"Muy Baja",IF(J42&lt;=24,"Baja",IF(J42&lt;=500,"Media",IF(J42&lt;=5000,"Alta","Muy Alta")))))</f>
        <v>Media</v>
      </c>
      <c r="L42" s="768">
        <f>IF(K42="","",IF(K42="Muy Baja",0.2,IF(K42="Baja",0.4,IF(K42="Media",0.6,IF(K42="Alta",0.8,IF(K42="Muy Alta",1,))))))</f>
        <v>0.6</v>
      </c>
      <c r="M42" s="770" t="s">
        <v>315</v>
      </c>
      <c r="N42" s="768" t="str">
        <f>IF(NOT(ISERROR(MATCH(M42,'[3]Tabla Impacto'!$B$221:$B$223,0))),'[3]Tabla Impacto'!$F$223&amp;"Por favor no seleccionar los criterios de impacto(Afectación Económica o presupuestal y Pérdida Reputacional)",M42)</f>
        <v xml:space="preserve">     El riesgo afecta la imagen de alguna área de la organización</v>
      </c>
      <c r="O42" s="766" t="str">
        <f>IF(OR(N42='[3]Tabla Impacto'!$C$11,N42='[3]Tabla Impacto'!$D$11),"Leve",IF(OR(N42='[3]Tabla Impacto'!$C$12,N42='[3]Tabla Impacto'!$D$12),"Menor",IF(OR(N42='[3]Tabla Impacto'!$C$13,N42='[3]Tabla Impacto'!$D$13),"Moderado",IF(OR(N42='[3]Tabla Impacto'!$C$14,N42='[3]Tabla Impacto'!$D$14),"Mayor",IF(OR(N42='[3]Tabla Impacto'!$C$15,N42='[3]Tabla Impacto'!$D$15),"Catastrófico","")))))</f>
        <v>Leve</v>
      </c>
      <c r="P42" s="768">
        <f>IF(O42="","",IF(O42="Leve",0.2,IF(O42="Menor",0.4,IF(O42="Moderado",0.6,IF(O42="Mayor",0.8,IF(O42="Catastrófico",1,))))))</f>
        <v>0.2</v>
      </c>
      <c r="Q42" s="772" t="str">
        <f>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Moderado</v>
      </c>
      <c r="R42" s="243">
        <v>1</v>
      </c>
      <c r="S42" s="247">
        <f>+[3]DOFA!E68</f>
        <v>0</v>
      </c>
      <c r="T42" s="91" t="str">
        <f>IF(OR(U42="Preventivo",U42="Detectivo"),"Probabilidad",IF(U42="Correctivo","Impacto",""))</f>
        <v>Probabilidad</v>
      </c>
      <c r="U42" s="83" t="s">
        <v>197</v>
      </c>
      <c r="V42" s="83" t="s">
        <v>191</v>
      </c>
      <c r="W42" s="84" t="str">
        <f>IF(AND(U42="Preventivo",V42="Automático"),"50%",IF(AND(U42="Preventivo",V42="Manual"),"40%",IF(AND(U42="Detectivo",V42="Automático"),"40%",IF(AND(U42="Detectivo",V42="Manual"),"30%",IF(AND(U42="Correctivo",V42="Automático"),"35%",IF(AND(U42="Correctivo",V42="Manual"),"25%",""))))))</f>
        <v>40%</v>
      </c>
      <c r="X42" s="83" t="s">
        <v>198</v>
      </c>
      <c r="Y42" s="83" t="s">
        <v>193</v>
      </c>
      <c r="Z42" s="83" t="s">
        <v>194</v>
      </c>
      <c r="AA42" s="92">
        <f>IFERROR(IF(T42="Probabilidad",(L42-(+L42*W42)),IF(T42="Impacto",L42,"")),"")</f>
        <v>0.36</v>
      </c>
      <c r="AB42" s="85" t="str">
        <f>IFERROR(IF(AA42="","",IF(AA42&lt;=0.2,"Muy Baja",IF(AA42&lt;=0.4,"Baja",IF(AA42&lt;=0.6,"Media",IF(AA42&lt;=0.8,"Alta","Muy Alta"))))),"")</f>
        <v>Baja</v>
      </c>
      <c r="AC42" s="86">
        <f>+AA42</f>
        <v>0.36</v>
      </c>
      <c r="AD42" s="85" t="str">
        <f>IFERROR(IF(AE42="","",IF(AE42&lt;=0.2,"Leve",IF(AE42&lt;=0.4,"Menor",IF(AE42&lt;=0.6,"Moderado",IF(AE42&lt;=0.8,"Mayor","Catastrófico"))))),"")</f>
        <v>Leve</v>
      </c>
      <c r="AE42" s="86">
        <f>IFERROR(IF(T42="Impacto",(P42-(+P42*W42)),IF(T42="Probabilidad",P42,"")),"")</f>
        <v>0.2</v>
      </c>
      <c r="AF42" s="87" t="str">
        <f>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Bajo</v>
      </c>
      <c r="AG42" s="88" t="s">
        <v>195</v>
      </c>
      <c r="AH42" s="293"/>
      <c r="AI42" s="294"/>
      <c r="AJ42" s="295"/>
      <c r="AK42" s="295"/>
      <c r="AL42" s="294"/>
      <c r="AM42" s="296"/>
      <c r="AN42" s="297" t="s">
        <v>341</v>
      </c>
    </row>
    <row r="43" spans="1:40" ht="41.4" x14ac:dyDescent="0.3">
      <c r="A43" s="667"/>
      <c r="B43" s="758"/>
      <c r="C43" s="758"/>
      <c r="D43" s="760"/>
      <c r="E43" s="300" t="s">
        <v>342</v>
      </c>
      <c r="F43" s="761"/>
      <c r="G43" s="784"/>
      <c r="H43" s="761"/>
      <c r="I43" s="763"/>
      <c r="J43" s="765"/>
      <c r="K43" s="767"/>
      <c r="L43" s="769"/>
      <c r="M43" s="771"/>
      <c r="N43" s="769">
        <f>IF(NOT(ISERROR(MATCH(M43,_xlfn.ANCHORARRAY(F48),0))),#REF!&amp;"Por favor no seleccionar los criterios de impacto",M43)</f>
        <v>0</v>
      </c>
      <c r="O43" s="767"/>
      <c r="P43" s="769"/>
      <c r="Q43" s="773"/>
      <c r="R43" s="243">
        <v>2</v>
      </c>
      <c r="S43" s="154"/>
      <c r="T43" s="91" t="str">
        <f>IF(OR(U43="Preventivo",U43="Detectivo"),"Probabilidad",IF(U43="Correctivo","Impacto",""))</f>
        <v/>
      </c>
      <c r="U43" s="83"/>
      <c r="V43" s="83"/>
      <c r="W43" s="84" t="str">
        <f t="shared" ref="W43:W45" si="18">IF(AND(U43="Preventivo",V43="Automático"),"50%",IF(AND(U43="Preventivo",V43="Manual"),"40%",IF(AND(U43="Detectivo",V43="Automático"),"40%",IF(AND(U43="Detectivo",V43="Manual"),"30%",IF(AND(U43="Correctivo",V43="Automático"),"35%",IF(AND(U43="Correctivo",V43="Manual"),"25%",""))))))</f>
        <v/>
      </c>
      <c r="X43" s="83"/>
      <c r="Y43" s="83"/>
      <c r="Z43" s="83"/>
      <c r="AA43" s="92" t="str">
        <f>IFERROR(IF(AND(T42="Probabilidad",T43="Probabilidad"),(AC42-(+AC42*W43)),IF(AND(T42="Impacto",T43="Probabilidad"),(L42-(+L42*W43)),IF(T43="Impacto",AC42,""))),"")</f>
        <v/>
      </c>
      <c r="AB43" s="85" t="str">
        <f t="shared" ref="AB43:AB45" si="19">IFERROR(IF(AA43="","",IF(AA43&lt;=0.2,"Muy Baja",IF(AA43&lt;=0.4,"Baja",IF(AA43&lt;=0.6,"Media",IF(AA43&lt;=0.8,"Alta","Muy Alta"))))),"")</f>
        <v/>
      </c>
      <c r="AC43" s="86" t="str">
        <f>+AA43</f>
        <v/>
      </c>
      <c r="AD43" s="85" t="str">
        <f t="shared" ref="AD43:AD45" si="20">IFERROR(IF(AE43="","",IF(AE43&lt;=0.2,"Leve",IF(AE43&lt;=0.4,"Menor",IF(AE43&lt;=0.6,"Moderado",IF(AE43&lt;=0.8,"Mayor","Catastrófico"))))),"")</f>
        <v/>
      </c>
      <c r="AE43" s="86" t="str">
        <f>IFERROR(IF(AND(T42="Impacto",T43="Impacto"),(AE42-(+AE42*W43)),IF(AND(T42="Probabilidad",T43="Impacto"),(P42-(+P42*W43)),IF(T43="Probabilidad",AE42,""))),"")</f>
        <v/>
      </c>
      <c r="AF43" s="87" t="str">
        <f t="shared" ref="AF43:AF45" si="21">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88"/>
      <c r="AH43" s="293"/>
      <c r="AI43" s="245"/>
      <c r="AJ43" s="246"/>
      <c r="AK43" s="246"/>
      <c r="AL43" s="244"/>
      <c r="AM43" s="304"/>
      <c r="AN43" s="305"/>
    </row>
    <row r="44" spans="1:40" ht="15.6" x14ac:dyDescent="0.3">
      <c r="A44" s="667"/>
      <c r="B44" s="758"/>
      <c r="C44" s="758"/>
      <c r="D44" s="760"/>
      <c r="E44" s="993"/>
      <c r="F44" s="761"/>
      <c r="G44" s="784"/>
      <c r="H44" s="761"/>
      <c r="I44" s="763"/>
      <c r="J44" s="765"/>
      <c r="K44" s="767"/>
      <c r="L44" s="769"/>
      <c r="M44" s="771"/>
      <c r="N44" s="769">
        <f>IF(NOT(ISERROR(MATCH(M44,_xlfn.ANCHORARRAY(#REF!),0))),#REF!&amp;"Por favor no seleccionar los criterios de impacto",M44)</f>
        <v>0</v>
      </c>
      <c r="O44" s="767"/>
      <c r="P44" s="769"/>
      <c r="Q44" s="773"/>
      <c r="R44" s="243">
        <v>3</v>
      </c>
      <c r="S44" s="247"/>
      <c r="T44" s="91" t="str">
        <f t="shared" ref="T44:T45" si="22">IF(OR(U44="Preventivo",U44="Detectivo"),"Probabilidad",IF(U44="Correctivo","Impacto",""))</f>
        <v/>
      </c>
      <c r="U44" s="83"/>
      <c r="V44" s="83"/>
      <c r="W44" s="84" t="str">
        <f t="shared" si="18"/>
        <v/>
      </c>
      <c r="X44" s="83"/>
      <c r="Y44" s="83"/>
      <c r="Z44" s="83"/>
      <c r="AA44" s="92" t="str">
        <f>IFERROR(IF(AND(T43="Probabilidad",T44="Probabilidad"),(AC43-(+AC43*W44)),IF(AND(T43="Impacto",T44="Probabilidad"),(AC42-(+AC42*W44)),IF(T44="Impacto",AC43,""))),"")</f>
        <v/>
      </c>
      <c r="AB44" s="85" t="str">
        <f t="shared" si="19"/>
        <v/>
      </c>
      <c r="AC44" s="86" t="str">
        <f t="shared" ref="AC44:AC45" si="23">+AA44</f>
        <v/>
      </c>
      <c r="AD44" s="85" t="str">
        <f t="shared" si="20"/>
        <v/>
      </c>
      <c r="AE44" s="86" t="str">
        <f t="shared" ref="AE44:AE45" si="24">IFERROR(IF(AND(T43="Impacto",T44="Impacto"),(AE43-(+AE43*W44)),IF(AND(T43="Probabilidad",T44="Impacto"),(AE42-(+AE42*W44)),IF(T44="Probabilidad",AE43,""))),"")</f>
        <v/>
      </c>
      <c r="AF44" s="87" t="str">
        <f t="shared" si="21"/>
        <v/>
      </c>
      <c r="AG44" s="88"/>
      <c r="AH44" s="293"/>
      <c r="AI44" s="245"/>
      <c r="AJ44" s="246"/>
      <c r="AK44" s="246"/>
      <c r="AL44" s="244"/>
      <c r="AM44" s="304"/>
      <c r="AN44" s="305"/>
    </row>
    <row r="45" spans="1:40" ht="15.6" x14ac:dyDescent="0.3">
      <c r="A45" s="667"/>
      <c r="B45" s="758"/>
      <c r="C45" s="758"/>
      <c r="D45" s="760"/>
      <c r="E45" s="994"/>
      <c r="F45" s="761"/>
      <c r="G45" s="784"/>
      <c r="H45" s="761"/>
      <c r="I45" s="763"/>
      <c r="J45" s="765"/>
      <c r="K45" s="767"/>
      <c r="L45" s="769"/>
      <c r="M45" s="771"/>
      <c r="N45" s="769">
        <f>IF(NOT(ISERROR(MATCH(M45,_xlfn.ANCHORARRAY(#REF!),0))),#REF!&amp;"Por favor no seleccionar los criterios de impacto",M45)</f>
        <v>0</v>
      </c>
      <c r="O45" s="767"/>
      <c r="P45" s="769"/>
      <c r="Q45" s="773"/>
      <c r="R45" s="243">
        <v>4</v>
      </c>
      <c r="S45" s="154"/>
      <c r="T45" s="91" t="str">
        <f t="shared" si="22"/>
        <v/>
      </c>
      <c r="U45" s="83"/>
      <c r="V45" s="83"/>
      <c r="W45" s="84" t="str">
        <f t="shared" si="18"/>
        <v/>
      </c>
      <c r="X45" s="83"/>
      <c r="Y45" s="83"/>
      <c r="Z45" s="83"/>
      <c r="AA45" s="92" t="str">
        <f t="shared" ref="AA45" si="25">IFERROR(IF(AND(T44="Probabilidad",T45="Probabilidad"),(AC44-(+AC44*W45)),IF(AND(T44="Impacto",T45="Probabilidad"),(AC43-(+AC43*W45)),IF(T45="Impacto",AC44,""))),"")</f>
        <v/>
      </c>
      <c r="AB45" s="85" t="str">
        <f t="shared" si="19"/>
        <v/>
      </c>
      <c r="AC45" s="86" t="str">
        <f t="shared" si="23"/>
        <v/>
      </c>
      <c r="AD45" s="85" t="str">
        <f t="shared" si="20"/>
        <v/>
      </c>
      <c r="AE45" s="86" t="str">
        <f t="shared" si="24"/>
        <v/>
      </c>
      <c r="AF45" s="87" t="str">
        <f t="shared" si="21"/>
        <v/>
      </c>
      <c r="AG45" s="88"/>
      <c r="AH45" s="293"/>
      <c r="AI45" s="245"/>
      <c r="AJ45" s="246"/>
      <c r="AK45" s="246"/>
      <c r="AL45" s="244"/>
      <c r="AM45" s="304"/>
      <c r="AN45" s="305"/>
    </row>
    <row r="46" spans="1:40" ht="79.8" x14ac:dyDescent="0.3">
      <c r="A46" s="653">
        <v>2</v>
      </c>
      <c r="B46" s="748" t="s">
        <v>199</v>
      </c>
      <c r="C46" s="748" t="s">
        <v>343</v>
      </c>
      <c r="D46" s="750" t="s">
        <v>344</v>
      </c>
      <c r="E46" s="308" t="s">
        <v>345</v>
      </c>
      <c r="F46" s="752" t="s">
        <v>346</v>
      </c>
      <c r="G46" s="783" t="s">
        <v>202</v>
      </c>
      <c r="H46" s="309" t="s">
        <v>347</v>
      </c>
      <c r="I46" s="755" t="s">
        <v>190</v>
      </c>
      <c r="J46" s="682">
        <v>500</v>
      </c>
      <c r="K46" s="659" t="str">
        <f>IF(J46&lt;=0,"",IF(J46&lt;=2,"Muy Baja",IF(J46&lt;=24,"Baja",IF(J46&lt;=500,"Media",IF(J46&lt;=5000,"Alta","Muy Alta")))))</f>
        <v>Media</v>
      </c>
      <c r="L46" s="661">
        <f>IF(K46="","",IF(K46="Muy Baja",0.2,IF(K46="Baja",0.4,IF(K46="Media",0.6,IF(K46="Alta",0.8,IF(K46="Muy Alta",1,))))))</f>
        <v>0.6</v>
      </c>
      <c r="M46" s="663" t="s">
        <v>315</v>
      </c>
      <c r="N46" s="661" t="str">
        <f>IF(NOT(ISERROR(MATCH(M46,'[3]Tabla Impacto'!$B$221:$B$223,0))),'[3]Tabla Impacto'!$F$223&amp;"Por favor no seleccionar los criterios de impacto(Afectación Económica o presupuestal y Pérdida Reputacional)",M46)</f>
        <v xml:space="preserve">     El riesgo afecta la imagen de alguna área de la organización</v>
      </c>
      <c r="O46" s="659" t="str">
        <f>IF(OR(N46='[3]Tabla Impacto'!$C$11,N46='[3]Tabla Impacto'!$D$11),"Leve",IF(OR(N46='[3]Tabla Impacto'!$C$12,N46='[3]Tabla Impacto'!$D$12),"Menor",IF(OR(N46='[3]Tabla Impacto'!$C$13,N46='[3]Tabla Impacto'!$D$13),"Moderado",IF(OR(N46='[3]Tabla Impacto'!$C$14,N46='[3]Tabla Impacto'!$D$14),"Mayor",IF(OR(N46='[3]Tabla Impacto'!$C$15,N46='[3]Tabla Impacto'!$D$15),"Catastrófico","")))))</f>
        <v>Leve</v>
      </c>
      <c r="P46" s="661">
        <f>IF(O46="","",IF(O46="Leve",0.2,IF(O46="Menor",0.4,IF(O46="Moderado",0.6,IF(O46="Mayor",0.8,IF(O46="Catastrófico",1,))))))</f>
        <v>0.2</v>
      </c>
      <c r="Q46" s="665"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243">
        <v>1</v>
      </c>
      <c r="S46" s="154" t="s">
        <v>348</v>
      </c>
      <c r="T46" s="91" t="str">
        <f>IF(OR(U46="Preventivo",U46="Detectivo"),"Probabilidad",IF(U46="Correctivo","Impacto",""))</f>
        <v>Probabilidad</v>
      </c>
      <c r="U46" s="83" t="s">
        <v>197</v>
      </c>
      <c r="V46" s="83" t="s">
        <v>191</v>
      </c>
      <c r="W46" s="84" t="str">
        <f>IF(AND(U46="Preventivo",V46="Automático"),"50%",IF(AND(U46="Preventivo",V46="Manual"),"40%",IF(AND(U46="Detectivo",V46="Automático"),"40%",IF(AND(U46="Detectivo",V46="Manual"),"30%",IF(AND(U46="Correctivo",V46="Automático"),"35%",IF(AND(U46="Correctivo",V46="Manual"),"25%",""))))))</f>
        <v>40%</v>
      </c>
      <c r="X46" s="83" t="s">
        <v>198</v>
      </c>
      <c r="Y46" s="83" t="s">
        <v>193</v>
      </c>
      <c r="Z46" s="83" t="s">
        <v>194</v>
      </c>
      <c r="AA46" s="92">
        <f>IFERROR(IF(T46="Probabilidad",(L46-(+L46*W46)),IF(T46="Impacto",L46,"")),"")</f>
        <v>0.36</v>
      </c>
      <c r="AB46" s="85" t="str">
        <f>IFERROR(IF(AA46="","",IF(AA46&lt;=0.2,"Muy Baja",IF(AA46&lt;=0.4,"Baja",IF(AA46&lt;=0.6,"Media",IF(AA46&lt;=0.8,"Alta","Muy Alta"))))),"")</f>
        <v>Baja</v>
      </c>
      <c r="AC46" s="86">
        <f>+AA46</f>
        <v>0.36</v>
      </c>
      <c r="AD46" s="85" t="str">
        <f>IFERROR(IF(AE46="","",IF(AE46&lt;=0.2,"Leve",IF(AE46&lt;=0.4,"Menor",IF(AE46&lt;=0.6,"Moderado",IF(AE46&lt;=0.8,"Mayor","Catastrófico"))))),"")</f>
        <v>Leve</v>
      </c>
      <c r="AE46" s="86">
        <f>IFERROR(IF(T46="Impacto",(P46-(+P46*W46)),IF(T46="Probabilidad",P46,"")),"")</f>
        <v>0.2</v>
      </c>
      <c r="AF46" s="87"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Bajo</v>
      </c>
      <c r="AG46" s="88"/>
      <c r="AH46" s="989"/>
      <c r="AI46" s="991"/>
      <c r="AJ46" s="295"/>
      <c r="AK46" s="295"/>
      <c r="AL46" s="244"/>
      <c r="AM46" s="304"/>
      <c r="AN46" s="314" t="s">
        <v>349</v>
      </c>
    </row>
    <row r="47" spans="1:40" ht="79.8" x14ac:dyDescent="0.3">
      <c r="A47" s="667"/>
      <c r="B47" s="749"/>
      <c r="C47" s="749"/>
      <c r="D47" s="751"/>
      <c r="E47" s="308" t="s">
        <v>350</v>
      </c>
      <c r="F47" s="752"/>
      <c r="G47" s="784"/>
      <c r="H47" s="309" t="s">
        <v>351</v>
      </c>
      <c r="I47" s="756"/>
      <c r="J47" s="683"/>
      <c r="K47" s="660"/>
      <c r="L47" s="662"/>
      <c r="M47" s="664"/>
      <c r="N47" s="662">
        <f>IF(NOT(ISERROR(MATCH(M47,_xlfn.ANCHORARRAY(F49),0))),#REF!&amp;"Por favor no seleccionar los criterios de impacto",M47)</f>
        <v>0</v>
      </c>
      <c r="O47" s="660"/>
      <c r="P47" s="662"/>
      <c r="Q47" s="666"/>
      <c r="R47" s="243">
        <v>2</v>
      </c>
      <c r="S47" s="154" t="s">
        <v>352</v>
      </c>
      <c r="T47" s="91" t="str">
        <f>IF(OR(U47="Preventivo",U47="Detectivo"),"Probabilidad",IF(U47="Correctivo","Impacto",""))</f>
        <v>Probabilidad</v>
      </c>
      <c r="U47" s="83" t="s">
        <v>197</v>
      </c>
      <c r="V47" s="83" t="s">
        <v>191</v>
      </c>
      <c r="W47" s="84" t="str">
        <f t="shared" ref="W47" si="26">IF(AND(U47="Preventivo",V47="Automático"),"50%",IF(AND(U47="Preventivo",V47="Manual"),"40%",IF(AND(U47="Detectivo",V47="Automático"),"40%",IF(AND(U47="Detectivo",V47="Manual"),"30%",IF(AND(U47="Correctivo",V47="Automático"),"35%",IF(AND(U47="Correctivo",V47="Manual"),"25%",""))))))</f>
        <v>40%</v>
      </c>
      <c r="X47" s="83" t="s">
        <v>198</v>
      </c>
      <c r="Y47" s="83" t="s">
        <v>193</v>
      </c>
      <c r="Z47" s="83" t="s">
        <v>194</v>
      </c>
      <c r="AA47" s="92">
        <f>IFERROR(IF(AND(T46="Probabilidad",T47="Probabilidad"),(AC46-(+AC46*W47)),IF(AND(T46="Impacto",T47="Probabilidad"),(L46-(+L46*W47)),IF(T47="Impacto",AC46,""))),"")</f>
        <v>0.216</v>
      </c>
      <c r="AB47" s="85" t="str">
        <f t="shared" ref="AB47" si="27">IFERROR(IF(AA47="","",IF(AA47&lt;=0.2,"Muy Baja",IF(AA47&lt;=0.4,"Baja",IF(AA47&lt;=0.6,"Media",IF(AA47&lt;=0.8,"Alta","Muy Alta"))))),"")</f>
        <v>Baja</v>
      </c>
      <c r="AC47" s="86">
        <f>+AA47</f>
        <v>0.216</v>
      </c>
      <c r="AD47" s="85" t="str">
        <f t="shared" ref="AD47" si="28">IFERROR(IF(AE47="","",IF(AE47&lt;=0.2,"Leve",IF(AE47&lt;=0.4,"Menor",IF(AE47&lt;=0.6,"Moderado",IF(AE47&lt;=0.8,"Mayor","Catastrófico"))))),"")</f>
        <v>Leve</v>
      </c>
      <c r="AE47" s="86">
        <f>IFERROR(IF(AND(T46="Impacto",T47="Impacto"),(AE46-(+AE46*W47)),IF(AND(T46="Probabilidad",T47="Impacto"),(P46-(+P46*W47)),IF(T47="Probabilidad",AE46,""))),"")</f>
        <v>0.2</v>
      </c>
      <c r="AF47" s="87" t="str">
        <f t="shared" ref="AF47" si="29">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Bajo</v>
      </c>
      <c r="AG47" s="88"/>
      <c r="AH47" s="990"/>
      <c r="AI47" s="992"/>
      <c r="AJ47" s="246"/>
      <c r="AK47" s="246"/>
      <c r="AL47" s="244"/>
      <c r="AM47" s="304"/>
      <c r="AN47" s="314" t="s">
        <v>353</v>
      </c>
    </row>
    <row r="48" spans="1:40" ht="290.39999999999998" x14ac:dyDescent="0.3">
      <c r="A48" s="236">
        <v>3</v>
      </c>
      <c r="B48" s="306" t="s">
        <v>354</v>
      </c>
      <c r="C48" s="306" t="s">
        <v>355</v>
      </c>
      <c r="D48" s="331" t="s">
        <v>356</v>
      </c>
      <c r="E48" s="315" t="s">
        <v>357</v>
      </c>
      <c r="F48" s="242" t="s">
        <v>358</v>
      </c>
      <c r="G48" s="316" t="s">
        <v>203</v>
      </c>
      <c r="H48" s="317" t="s">
        <v>359</v>
      </c>
      <c r="I48" s="310" t="s">
        <v>190</v>
      </c>
      <c r="J48" s="122">
        <v>12</v>
      </c>
      <c r="K48" s="311" t="str">
        <f t="shared" ref="K48" si="30">IF(J48&lt;=0,"",IF(J48&lt;=2,"Muy Baja",IF(J48&lt;=24,"Baja",IF(J48&lt;=500,"Media",IF(J48&lt;=5000,"Alta","Muy Alta")))))</f>
        <v>Baja</v>
      </c>
      <c r="L48" s="45">
        <f t="shared" ref="L48" si="31">IF(K48="","",IF(K48="Muy Baja",0.2,IF(K48="Baja",0.4,IF(K48="Media",0.6,IF(K48="Alta",0.8,IF(K48="Muy Alta",1,))))))</f>
        <v>0.4</v>
      </c>
      <c r="M48" s="312"/>
      <c r="N48" s="45">
        <f>IF(NOT(ISERROR(MATCH(M48,'[3]Tabla Impacto'!$B$221:$B$223,0))),'[3]Tabla Impacto'!$F$223&amp;"Por favor no seleccionar los criterios de impacto(Afectación Económica o presupuestal y Pérdida Reputacional)",M48)</f>
        <v>0</v>
      </c>
      <c r="O48" s="311" t="str">
        <f>IF(OR(N48='[3]Tabla Impacto'!$C$11,N48='[3]Tabla Impacto'!$D$11),"Leve",IF(OR(N48='[3]Tabla Impacto'!$C$12,N48='[3]Tabla Impacto'!$D$12),"Menor",IF(OR(N48='[3]Tabla Impacto'!$C$13,N48='[3]Tabla Impacto'!$D$13),"Moderado",IF(OR(N48='[3]Tabla Impacto'!$C$14,N48='[3]Tabla Impacto'!$D$14),"Mayor",IF(OR(N48='[3]Tabla Impacto'!$C$15,N48='[3]Tabla Impacto'!$D$15),"Catastrófico","")))))</f>
        <v/>
      </c>
      <c r="P48" s="45" t="str">
        <f t="shared" ref="P48" si="32">IF(O48="","",IF(O48="Leve",0.2,IF(O48="Menor",0.4,IF(O48="Moderado",0.6,IF(O48="Mayor",0.8,IF(O48="Catastrófico",1,))))))</f>
        <v/>
      </c>
      <c r="Q48" s="313" t="str">
        <f t="shared" ref="Q48" si="33">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243">
        <v>1</v>
      </c>
      <c r="S48" s="154" t="s">
        <v>360</v>
      </c>
      <c r="T48" s="91" t="str">
        <f>IF(OR(U48="Preventivo",U48="Detectivo"),"Probabilidad",IF(U48="Correctivo","Impacto",""))</f>
        <v>Probabilidad</v>
      </c>
      <c r="U48" s="83" t="s">
        <v>197</v>
      </c>
      <c r="V48" s="83" t="s">
        <v>191</v>
      </c>
      <c r="W48" s="84" t="str">
        <f>IF(AND(U48="Preventivo",V48="Automático"),"50%",IF(AND(U48="Preventivo",V48="Manual"),"40%",IF(AND(U48="Detectivo",V48="Automático"),"40%",IF(AND(U48="Detectivo",V48="Manual"),"30%",IF(AND(U48="Correctivo",V48="Automático"),"35%",IF(AND(U48="Correctivo",V48="Manual"),"25%",""))))))</f>
        <v>40%</v>
      </c>
      <c r="X48" s="83" t="s">
        <v>198</v>
      </c>
      <c r="Y48" s="83" t="s">
        <v>193</v>
      </c>
      <c r="Z48" s="83" t="s">
        <v>194</v>
      </c>
      <c r="AA48" s="92">
        <f>IFERROR(IF(T48="Probabilidad",(L48-(+L48*W48)),IF(T48="Impacto",L48,"")),"")</f>
        <v>0.24</v>
      </c>
      <c r="AB48" s="85" t="str">
        <f>IFERROR(IF(AA48="","",IF(AA48&lt;=0.2,"Muy Baja",IF(AA48&lt;=0.4,"Baja",IF(AA48&lt;=0.6,"Media",IF(AA48&lt;=0.8,"Alta","Muy Alta"))))),"")</f>
        <v>Baja</v>
      </c>
      <c r="AC48" s="86">
        <f>+AA48</f>
        <v>0.24</v>
      </c>
      <c r="AD48" s="85" t="str">
        <f>IFERROR(IF(AE48="","",IF(AE48&lt;=0.2,"Leve",IF(AE48&lt;=0.4,"Menor",IF(AE48&lt;=0.6,"Moderado",IF(AE48&lt;=0.8,"Mayor","Catastrófico"))))),"")</f>
        <v/>
      </c>
      <c r="AE48" s="86" t="str">
        <f>IFERROR(IF(T48="Impacto",(P48-(+P48*W48)),IF(T48="Probabilidad",P48,"")),"")</f>
        <v/>
      </c>
      <c r="AF48" s="87"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88"/>
      <c r="AH48" s="318"/>
      <c r="AI48" s="319"/>
      <c r="AJ48" s="320"/>
      <c r="AK48" s="320"/>
      <c r="AL48" s="321"/>
      <c r="AM48" s="322"/>
      <c r="AN48" s="323" t="s">
        <v>361</v>
      </c>
    </row>
    <row r="49" spans="1:40" ht="82.8" x14ac:dyDescent="0.3">
      <c r="A49" s="236">
        <v>4</v>
      </c>
      <c r="B49" s="306" t="s">
        <v>354</v>
      </c>
      <c r="C49" s="306" t="s">
        <v>362</v>
      </c>
      <c r="D49" s="307" t="s">
        <v>363</v>
      </c>
      <c r="E49" s="315" t="s">
        <v>364</v>
      </c>
      <c r="F49" s="242" t="s">
        <v>365</v>
      </c>
      <c r="G49" s="89" t="s">
        <v>203</v>
      </c>
      <c r="H49" s="317" t="s">
        <v>359</v>
      </c>
      <c r="I49" s="310" t="s">
        <v>190</v>
      </c>
      <c r="J49" s="122">
        <v>300</v>
      </c>
      <c r="K49" s="311" t="str">
        <f t="shared" ref="K49" si="34">IF(J49&lt;=0,"",IF(J49&lt;=2,"Muy Baja",IF(J49&lt;=24,"Baja",IF(J49&lt;=500,"Media",IF(J49&lt;=5000,"Alta","Muy Alta")))))</f>
        <v>Media</v>
      </c>
      <c r="L49" s="45">
        <f t="shared" ref="L49" si="35">IF(K49="","",IF(K49="Muy Baja",0.2,IF(K49="Baja",0.4,IF(K49="Media",0.6,IF(K49="Alta",0.8,IF(K49="Muy Alta",1,))))))</f>
        <v>0.6</v>
      </c>
      <c r="M49" s="312" t="s">
        <v>321</v>
      </c>
      <c r="N49" s="45" t="str">
        <f>IF(NOT(ISERROR(MATCH(M49,'[3]Tabla Impacto'!$B$221:$B$223,0))),'[3]Tabla Impacto'!$F$223&amp;"Por favor no seleccionar los criterios de impacto(Afectación Económica o presupuestal y Pérdida Reputacional)",M49)</f>
        <v xml:space="preserve">     Entre 200 y 1000 SMLMV</v>
      </c>
      <c r="O49" s="311" t="str">
        <f>IF(OR(N49='[3]Tabla Impacto'!$C$11,N49='[3]Tabla Impacto'!$D$11),"Leve",IF(OR(N49='[3]Tabla Impacto'!$C$12,N49='[3]Tabla Impacto'!$D$12),"Menor",IF(OR(N49='[3]Tabla Impacto'!$C$13,N49='[3]Tabla Impacto'!$D$13),"Moderado",IF(OR(N49='[3]Tabla Impacto'!$C$14,N49='[3]Tabla Impacto'!$D$14),"Mayor",IF(OR(N49='[3]Tabla Impacto'!$C$15,N49='[3]Tabla Impacto'!$D$15),"Catastrófico","")))))</f>
        <v>Menor</v>
      </c>
      <c r="P49" s="45">
        <f t="shared" ref="P49" si="36">IF(O49="","",IF(O49="Leve",0.2,IF(O49="Menor",0.4,IF(O49="Moderado",0.6,IF(O49="Mayor",0.8,IF(O49="Catastrófico",1,))))))</f>
        <v>0.4</v>
      </c>
      <c r="Q49" s="313" t="str">
        <f t="shared" ref="Q49" si="37">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Moderado</v>
      </c>
      <c r="R49" s="243">
        <v>1</v>
      </c>
      <c r="S49" s="154" t="s">
        <v>366</v>
      </c>
      <c r="T49" s="91" t="str">
        <f>IF(OR(U49="Preventivo",U49="Detectivo"),"Probabilidad",IF(U49="Correctivo","Impacto",""))</f>
        <v>Probabilidad</v>
      </c>
      <c r="U49" s="83" t="s">
        <v>197</v>
      </c>
      <c r="V49" s="83" t="s">
        <v>191</v>
      </c>
      <c r="W49" s="84" t="str">
        <f>IF(AND(U49="Preventivo",V49="Automático"),"50%",IF(AND(U49="Preventivo",V49="Manual"),"40%",IF(AND(U49="Detectivo",V49="Automático"),"40%",IF(AND(U49="Detectivo",V49="Manual"),"30%",IF(AND(U49="Correctivo",V49="Automático"),"35%",IF(AND(U49="Correctivo",V49="Manual"),"25%",""))))))</f>
        <v>40%</v>
      </c>
      <c r="X49" s="83" t="s">
        <v>198</v>
      </c>
      <c r="Y49" s="83" t="s">
        <v>193</v>
      </c>
      <c r="Z49" s="324" t="s">
        <v>194</v>
      </c>
      <c r="AA49" s="325">
        <f>IFERROR(IF(T49="Probabilidad",(L49-(+L49*W49)),IF(T49="Impacto",L49,"")),"")</f>
        <v>0.36</v>
      </c>
      <c r="AB49" s="326" t="str">
        <f>IFERROR(IF(AA49="","",IF(AA49&lt;=0.2,"Muy Baja",IF(AA49&lt;=0.4,"Baja",IF(AA49&lt;=0.6,"Media",IF(AA49&lt;=0.8,"Alta","Muy Alta"))))),"")</f>
        <v>Baja</v>
      </c>
      <c r="AC49" s="327">
        <f>+AA49</f>
        <v>0.36</v>
      </c>
      <c r="AD49" s="326" t="str">
        <f>IFERROR(IF(AE49="","",IF(AE49&lt;=0.2,"Leve",IF(AE49&lt;=0.4,"Menor",IF(AE49&lt;=0.6,"Moderado",IF(AE49&lt;=0.8,"Mayor","Catastrófico"))))),"")</f>
        <v>Menor</v>
      </c>
      <c r="AE49" s="327">
        <f>IFERROR(IF(T49="Impacto",(P49-(+P49*W49)),IF(T49="Probabilidad",P49,"")),"")</f>
        <v>0.4</v>
      </c>
      <c r="AF49" s="328" t="str">
        <f>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Moderado</v>
      </c>
      <c r="AG49" s="329"/>
      <c r="AH49" s="330"/>
      <c r="AI49" s="319"/>
      <c r="AJ49" s="320"/>
      <c r="AK49" s="320"/>
      <c r="AL49" s="321"/>
      <c r="AM49" s="322"/>
      <c r="AN49" s="314" t="s">
        <v>367</v>
      </c>
    </row>
    <row r="50" spans="1:40" ht="14.4" x14ac:dyDescent="0.3">
      <c r="A50" s="985" t="s">
        <v>148</v>
      </c>
      <c r="B50" s="986"/>
      <c r="C50" s="986"/>
      <c r="D50" s="986"/>
      <c r="E50" s="986"/>
      <c r="F50" s="986"/>
      <c r="G50" s="986"/>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41"/>
    </row>
    <row r="51" spans="1:40" ht="14.4" x14ac:dyDescent="0.3">
      <c r="A51" s="985"/>
      <c r="B51" s="986"/>
      <c r="C51" s="986"/>
      <c r="D51" s="986"/>
      <c r="E51" s="986"/>
      <c r="F51" s="986"/>
      <c r="G51" s="986"/>
      <c r="H51" s="986"/>
      <c r="I51" s="986"/>
      <c r="J51" s="986"/>
      <c r="K51" s="986"/>
      <c r="L51" s="986"/>
      <c r="M51" s="986"/>
      <c r="N51" s="986"/>
      <c r="O51" s="986"/>
      <c r="P51" s="986"/>
      <c r="Q51" s="986"/>
      <c r="R51" s="986"/>
      <c r="S51" s="986"/>
      <c r="T51" s="986"/>
      <c r="U51" s="986"/>
      <c r="V51" s="986"/>
      <c r="W51" s="986"/>
      <c r="X51" s="986"/>
      <c r="Y51" s="986"/>
      <c r="Z51" s="986"/>
      <c r="AA51" s="986"/>
      <c r="AB51" s="986"/>
      <c r="AC51" s="986"/>
      <c r="AD51" s="986"/>
      <c r="AE51" s="986"/>
      <c r="AF51" s="986"/>
      <c r="AG51" s="986"/>
      <c r="AH51" s="986"/>
      <c r="AI51" s="986"/>
      <c r="AJ51" s="986"/>
      <c r="AK51" s="986"/>
      <c r="AL51" s="986"/>
      <c r="AM51" s="41"/>
    </row>
    <row r="52" spans="1:40" ht="14.4" x14ac:dyDescent="0.3">
      <c r="A52" s="42"/>
      <c r="B52" s="43"/>
      <c r="C52" s="42"/>
      <c r="D52" s="42"/>
      <c r="E52" s="42"/>
      <c r="F52" s="41"/>
      <c r="G52" s="41"/>
      <c r="H52" s="41"/>
      <c r="I52" s="44"/>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row>
    <row r="53" spans="1:40" ht="23.4" x14ac:dyDescent="0.3">
      <c r="A53" s="734" t="s">
        <v>149</v>
      </c>
      <c r="B53" s="735"/>
      <c r="C53" s="987" t="s">
        <v>368</v>
      </c>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c r="AK53" s="988"/>
      <c r="AL53" s="988"/>
      <c r="AM53" s="41"/>
    </row>
    <row r="54" spans="1:40" ht="23.4" x14ac:dyDescent="0.3">
      <c r="A54" s="734" t="s">
        <v>150</v>
      </c>
      <c r="B54" s="735"/>
      <c r="C54" s="982" t="s">
        <v>369</v>
      </c>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983"/>
      <c r="AJ54" s="983"/>
      <c r="AK54" s="983"/>
      <c r="AL54" s="983"/>
      <c r="AM54" s="41"/>
    </row>
    <row r="55" spans="1:40" ht="23.4" x14ac:dyDescent="0.3">
      <c r="A55" s="734" t="s">
        <v>151</v>
      </c>
      <c r="B55" s="735"/>
      <c r="C55" s="982" t="s">
        <v>370</v>
      </c>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c r="AD55" s="983"/>
      <c r="AE55" s="983"/>
      <c r="AF55" s="983"/>
      <c r="AG55" s="983"/>
      <c r="AH55" s="983"/>
      <c r="AI55" s="983"/>
      <c r="AJ55" s="983"/>
      <c r="AK55" s="983"/>
      <c r="AL55" s="983"/>
      <c r="AM55" s="41"/>
    </row>
    <row r="56" spans="1:40" ht="14.4" x14ac:dyDescent="0.3">
      <c r="A56" s="332" t="s">
        <v>152</v>
      </c>
      <c r="B56" s="333"/>
      <c r="C56" s="334"/>
      <c r="D56" s="334"/>
      <c r="E56" s="334"/>
      <c r="F56" s="334"/>
      <c r="G56" s="334"/>
      <c r="H56" s="334"/>
      <c r="I56" s="334"/>
      <c r="J56" s="335"/>
      <c r="K56" s="336" t="s">
        <v>153</v>
      </c>
      <c r="L56" s="334"/>
      <c r="M56" s="334"/>
      <c r="N56" s="334"/>
      <c r="O56" s="334"/>
      <c r="P56" s="334"/>
      <c r="Q56" s="335"/>
      <c r="R56" s="336" t="s">
        <v>154</v>
      </c>
      <c r="S56" s="334"/>
      <c r="T56" s="334"/>
      <c r="U56" s="334"/>
      <c r="V56" s="334"/>
      <c r="W56" s="334"/>
      <c r="X56" s="334"/>
      <c r="Y56" s="334"/>
      <c r="Z56" s="335"/>
      <c r="AA56" s="336" t="s">
        <v>155</v>
      </c>
      <c r="AB56" s="334"/>
      <c r="AC56" s="334"/>
      <c r="AD56" s="334"/>
      <c r="AE56" s="334"/>
      <c r="AF56" s="334"/>
      <c r="AG56" s="335"/>
      <c r="AH56" s="336" t="s">
        <v>156</v>
      </c>
      <c r="AI56" s="334"/>
      <c r="AJ56" s="334"/>
      <c r="AK56" s="334"/>
      <c r="AL56" s="334"/>
      <c r="AM56" s="41"/>
    </row>
    <row r="57" spans="1:40" ht="14.4" x14ac:dyDescent="0.3">
      <c r="A57" s="728" t="s">
        <v>157</v>
      </c>
      <c r="B57" s="730" t="s">
        <v>141</v>
      </c>
      <c r="C57" s="726" t="s">
        <v>158</v>
      </c>
      <c r="D57" s="726" t="s">
        <v>159</v>
      </c>
      <c r="E57" s="725" t="s">
        <v>160</v>
      </c>
      <c r="F57" s="732" t="s">
        <v>60</v>
      </c>
      <c r="G57" s="38"/>
      <c r="H57" s="38"/>
      <c r="I57" s="725" t="s">
        <v>161</v>
      </c>
      <c r="J57" s="726" t="s">
        <v>162</v>
      </c>
      <c r="K57" s="731" t="s">
        <v>163</v>
      </c>
      <c r="L57" s="723" t="s">
        <v>164</v>
      </c>
      <c r="M57" s="725" t="s">
        <v>165</v>
      </c>
      <c r="N57" s="725" t="s">
        <v>166</v>
      </c>
      <c r="O57" s="727" t="s">
        <v>167</v>
      </c>
      <c r="P57" s="723" t="s">
        <v>164</v>
      </c>
      <c r="Q57" s="726" t="s">
        <v>168</v>
      </c>
      <c r="R57" s="721" t="s">
        <v>169</v>
      </c>
      <c r="S57" s="699" t="s">
        <v>170</v>
      </c>
      <c r="T57" s="725" t="s">
        <v>171</v>
      </c>
      <c r="U57" s="699" t="s">
        <v>172</v>
      </c>
      <c r="V57" s="699"/>
      <c r="W57" s="699"/>
      <c r="X57" s="699"/>
      <c r="Y57" s="699"/>
      <c r="Z57" s="699"/>
      <c r="AA57" s="720" t="s">
        <v>173</v>
      </c>
      <c r="AB57" s="720" t="s">
        <v>174</v>
      </c>
      <c r="AC57" s="720" t="s">
        <v>164</v>
      </c>
      <c r="AD57" s="720" t="s">
        <v>175</v>
      </c>
      <c r="AE57" s="720" t="s">
        <v>164</v>
      </c>
      <c r="AF57" s="720" t="s">
        <v>176</v>
      </c>
      <c r="AG57" s="721" t="s">
        <v>177</v>
      </c>
      <c r="AH57" s="699" t="s">
        <v>156</v>
      </c>
      <c r="AI57" s="699" t="s">
        <v>142</v>
      </c>
      <c r="AJ57" s="699" t="s">
        <v>178</v>
      </c>
      <c r="AK57" s="699" t="s">
        <v>179</v>
      </c>
      <c r="AL57" s="725" t="s">
        <v>181</v>
      </c>
      <c r="AM57" s="41"/>
    </row>
    <row r="58" spans="1:40" ht="71.400000000000006" x14ac:dyDescent="0.3">
      <c r="A58" s="729"/>
      <c r="B58" s="730"/>
      <c r="C58" s="699"/>
      <c r="D58" s="699"/>
      <c r="E58" s="731"/>
      <c r="F58" s="733"/>
      <c r="G58" s="38" t="s">
        <v>371</v>
      </c>
      <c r="H58" s="38" t="s">
        <v>182</v>
      </c>
      <c r="I58" s="726"/>
      <c r="J58" s="699"/>
      <c r="K58" s="726"/>
      <c r="L58" s="724"/>
      <c r="M58" s="726"/>
      <c r="N58" s="726"/>
      <c r="O58" s="724"/>
      <c r="P58" s="724"/>
      <c r="Q58" s="699"/>
      <c r="R58" s="722"/>
      <c r="S58" s="699"/>
      <c r="T58" s="726"/>
      <c r="U58" s="39" t="s">
        <v>183</v>
      </c>
      <c r="V58" s="39" t="s">
        <v>184</v>
      </c>
      <c r="W58" s="39" t="s">
        <v>185</v>
      </c>
      <c r="X58" s="39" t="s">
        <v>186</v>
      </c>
      <c r="Y58" s="39" t="s">
        <v>187</v>
      </c>
      <c r="Z58" s="39" t="s">
        <v>188</v>
      </c>
      <c r="AA58" s="720"/>
      <c r="AB58" s="720"/>
      <c r="AC58" s="720"/>
      <c r="AD58" s="720"/>
      <c r="AE58" s="720"/>
      <c r="AF58" s="720"/>
      <c r="AG58" s="722"/>
      <c r="AH58" s="699"/>
      <c r="AI58" s="699"/>
      <c r="AJ58" s="699"/>
      <c r="AK58" s="699"/>
      <c r="AL58" s="984"/>
      <c r="AM58" s="337" t="s">
        <v>372</v>
      </c>
    </row>
    <row r="59" spans="1:40" ht="262.2" x14ac:dyDescent="0.3">
      <c r="A59" s="653">
        <v>1</v>
      </c>
      <c r="B59" s="757" t="s">
        <v>199</v>
      </c>
      <c r="C59" s="757" t="s">
        <v>373</v>
      </c>
      <c r="D59" s="759" t="s">
        <v>374</v>
      </c>
      <c r="E59" s="338" t="s">
        <v>375</v>
      </c>
      <c r="F59" s="761" t="s">
        <v>376</v>
      </c>
      <c r="G59" s="783" t="s">
        <v>202</v>
      </c>
      <c r="H59" s="761" t="s">
        <v>377</v>
      </c>
      <c r="I59" s="762" t="s">
        <v>190</v>
      </c>
      <c r="J59" s="764">
        <f>(4570+1875+1042)</f>
        <v>7487</v>
      </c>
      <c r="K59" s="766" t="str">
        <f>IF(J59&lt;=0,"",IF(J59&lt;=2,"Muy Baja",IF(J59&lt;=24,"Baja",IF(J59&lt;=500,"Media",IF(J59&lt;=5000,"Alta","Muy Alta")))))</f>
        <v>Muy Alta</v>
      </c>
      <c r="L59" s="768">
        <f>IF(K59="","",IF(K59="Muy Baja",0.2,IF(K59="Baja",0.4,IF(K59="Media",0.6,IF(K59="Alta",0.8,IF(K59="Muy Alta",1,))))))</f>
        <v>1</v>
      </c>
      <c r="M59" s="770" t="s">
        <v>214</v>
      </c>
      <c r="N59" s="768" t="str">
        <f>IF(NOT(ISERROR(MATCH(M59,'[4]Tabla Impacto'!$B$221:$B$223,0))),'[4]Tabla Impacto'!$F$223&amp;"Por favor no seleccionar los criterios de impacto(Afectación Económica o presupuestal y Pérdida Reputacional)",M59)</f>
        <v xml:space="preserve">     El riesgo afecta la imagen de de la entidad con efecto publicitario sostenido a nivel de sector administrativo, nivel departamental o municipal</v>
      </c>
      <c r="O59" s="766" t="str">
        <f>IF(OR(N59='[4]Tabla Impacto'!$C$11,N59='[4]Tabla Impacto'!$D$11),"Leve",IF(OR(N59='[4]Tabla Impacto'!$C$12,N59='[4]Tabla Impacto'!$D$12),"Menor",IF(OR(N59='[4]Tabla Impacto'!$C$13,N59='[4]Tabla Impacto'!$D$13),"Moderado",IF(OR(N59='[4]Tabla Impacto'!$C$14,N59='[4]Tabla Impacto'!$D$14),"Mayor",IF(OR(N59='[4]Tabla Impacto'!$C$15,N59='[4]Tabla Impacto'!$D$15),"Catastrófico","")))))</f>
        <v>Mayor</v>
      </c>
      <c r="P59" s="768">
        <f>IF(O59="","",IF(O59="Leve",0.2,IF(O59="Menor",0.4,IF(O59="Moderado",0.6,IF(O59="Mayor",0.8,IF(O59="Catastrófico",1,))))))</f>
        <v>0.8</v>
      </c>
      <c r="Q59" s="772"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Alto</v>
      </c>
      <c r="R59" s="339">
        <v>1</v>
      </c>
      <c r="S59" s="340" t="s">
        <v>378</v>
      </c>
      <c r="T59" s="341" t="str">
        <f>IF(OR(U59="Preventivo",U59="Detectivo"),"Probabilidad",IF(U59="Correctivo","Impacto",""))</f>
        <v>Impacto</v>
      </c>
      <c r="U59" s="83" t="s">
        <v>379</v>
      </c>
      <c r="V59" s="83" t="s">
        <v>191</v>
      </c>
      <c r="W59" s="84" t="str">
        <f>IF(AND(U59="Preventivo",V59="Automático"),"50%",IF(AND(U59="Preventivo",V59="Manual"),"40%",IF(AND(U59="Detectivo",V59="Automático"),"40%",IF(AND(U59="Detectivo",V59="Manual"),"30%",IF(AND(U59="Correctivo",V59="Automático"),"35%",IF(AND(U59="Correctivo",V59="Manual"),"25%",""))))))</f>
        <v>25%</v>
      </c>
      <c r="X59" s="83" t="s">
        <v>198</v>
      </c>
      <c r="Y59" s="83" t="s">
        <v>193</v>
      </c>
      <c r="Z59" s="83" t="s">
        <v>194</v>
      </c>
      <c r="AA59" s="342">
        <f>IFERROR(IF(T59="Probabilidad",(L59-(+L59*W59)),IF(T59="Impacto",L59,"")),"")</f>
        <v>1</v>
      </c>
      <c r="AB59" s="85" t="str">
        <f>IFERROR(IF(AA59="","",IF(AA59&lt;=0.2,"Muy Baja",IF(AA59&lt;=0.4,"Baja",IF(AA59&lt;=0.6,"Media",IF(AA59&lt;=0.8,"Alta","Muy Alta"))))),"")</f>
        <v>Muy Alta</v>
      </c>
      <c r="AC59" s="86">
        <f>+AA59</f>
        <v>1</v>
      </c>
      <c r="AD59" s="85" t="str">
        <f>IFERROR(IF(AE59="","",IF(AE59&lt;=0.2,"Leve",IF(AE59&lt;=0.4,"Menor",IF(AE59&lt;=0.6,"Moderado",IF(AE59&lt;=0.8,"Mayor","Catastrófico"))))),"")</f>
        <v>Moderado</v>
      </c>
      <c r="AE59" s="86">
        <f>IFERROR(IF(T59="Impacto",(P59-(+P59*W59)),IF(T59="Probabilidad",P59,"")),"")</f>
        <v>0.60000000000000009</v>
      </c>
      <c r="AF59" s="87" t="str">
        <f>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Alto</v>
      </c>
      <c r="AG59" s="88" t="s">
        <v>195</v>
      </c>
      <c r="AH59" s="343" t="s">
        <v>380</v>
      </c>
      <c r="AI59" s="344" t="s">
        <v>381</v>
      </c>
      <c r="AJ59" s="345">
        <v>45658</v>
      </c>
      <c r="AK59" s="345">
        <v>46022</v>
      </c>
      <c r="AL59" s="346" t="s">
        <v>196</v>
      </c>
      <c r="AM59" s="347" t="s">
        <v>382</v>
      </c>
    </row>
    <row r="60" spans="1:40" ht="220.8" x14ac:dyDescent="0.3">
      <c r="A60" s="667"/>
      <c r="B60" s="758"/>
      <c r="C60" s="758"/>
      <c r="D60" s="760"/>
      <c r="E60" s="976" t="s">
        <v>383</v>
      </c>
      <c r="F60" s="761"/>
      <c r="G60" s="784"/>
      <c r="H60" s="761"/>
      <c r="I60" s="763"/>
      <c r="J60" s="765"/>
      <c r="K60" s="767"/>
      <c r="L60" s="769"/>
      <c r="M60" s="771"/>
      <c r="N60" s="769"/>
      <c r="O60" s="767"/>
      <c r="P60" s="769"/>
      <c r="Q60" s="773"/>
      <c r="R60" s="974">
        <v>2</v>
      </c>
      <c r="S60" s="757" t="s">
        <v>384</v>
      </c>
      <c r="T60" s="348" t="str">
        <f>IF(OR(U60="Preventivo",U60="Detectivo"),"Probabilidad",IF(U60="Correctivo","Impacto",""))</f>
        <v>Impacto</v>
      </c>
      <c r="U60" s="349" t="s">
        <v>379</v>
      </c>
      <c r="V60" s="349" t="s">
        <v>191</v>
      </c>
      <c r="W60" s="350" t="str">
        <f>IF(AND(U60="Preventivo",V60="Automático"),"50%",IF(AND(U60="Preventivo",V60="Manual"),"40%",IF(AND(U60="Detectivo",V60="Automático"),"40%",IF(AND(U60="Detectivo",V60="Manual"),"30%",IF(AND(U60="Correctivo",V60="Automático"),"35%",IF(AND(U60="Correctivo",V60="Manual"),"25%",""))))))</f>
        <v>25%</v>
      </c>
      <c r="X60" s="349" t="s">
        <v>198</v>
      </c>
      <c r="Y60" s="349" t="s">
        <v>193</v>
      </c>
      <c r="Z60" s="349" t="s">
        <v>194</v>
      </c>
      <c r="AA60" s="342">
        <f>IFERROR(IF(T60="Probabilidad",(L59-(+L59*W60)),IF(T60="Impacto",L59,"")),"")</f>
        <v>1</v>
      </c>
      <c r="AB60" s="85" t="str">
        <f t="shared" ref="AB60:AB68" si="38">IFERROR(IF(AA60="","",IF(AA60&lt;=0.2,"Muy Baja",IF(AA60&lt;=0.4,"Baja",IF(AA60&lt;=0.6,"Media",IF(AA60&lt;=0.8,"Alta","Muy Alta"))))),"")</f>
        <v>Muy Alta</v>
      </c>
      <c r="AC60" s="86">
        <f t="shared" ref="AC60:AC68" si="39">+AA60</f>
        <v>1</v>
      </c>
      <c r="AD60" s="85" t="str">
        <f t="shared" ref="AD60:AD68" si="40">IFERROR(IF(AE60="","",IF(AE60&lt;=0.2,"Leve",IF(AE60&lt;=0.4,"Menor",IF(AE60&lt;=0.6,"Moderado",IF(AE60&lt;=0.8,"Mayor","Catastrófico"))))),"")</f>
        <v>Moderado</v>
      </c>
      <c r="AE60" s="86">
        <f>IFERROR(IF(AND(T59="Impacto",T60="Impacto"),(AE59-(+AE59*W60)),IF(AND(T59="Probabilidad",T60="Impacto"),(P59-(+P59*W60)),IF(T60="Probabilidad",AE59,""))),"")</f>
        <v>0.45000000000000007</v>
      </c>
      <c r="AF60" s="87" t="str">
        <f t="shared" ref="AF60:AF68" si="41">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Alto</v>
      </c>
      <c r="AG60" s="88" t="s">
        <v>195</v>
      </c>
      <c r="AH60" s="351" t="s">
        <v>385</v>
      </c>
      <c r="AI60" s="352" t="s">
        <v>381</v>
      </c>
      <c r="AJ60" s="353">
        <v>45658</v>
      </c>
      <c r="AK60" s="353">
        <v>46022</v>
      </c>
      <c r="AL60" s="354" t="s">
        <v>196</v>
      </c>
      <c r="AM60" s="355" t="s">
        <v>386</v>
      </c>
    </row>
    <row r="61" spans="1:40" ht="82.8" x14ac:dyDescent="0.3">
      <c r="A61" s="667"/>
      <c r="B61" s="758"/>
      <c r="C61" s="758"/>
      <c r="D61" s="760"/>
      <c r="E61" s="977"/>
      <c r="F61" s="761"/>
      <c r="G61" s="784"/>
      <c r="H61" s="761"/>
      <c r="I61" s="763"/>
      <c r="J61" s="765"/>
      <c r="K61" s="767"/>
      <c r="L61" s="769"/>
      <c r="M61" s="771"/>
      <c r="N61" s="769">
        <f>IF(NOT(ISERROR(MATCH(M61,_xlfn.ANCHORARRAY(F65),0))),L67&amp;"Por favor no seleccionar los criterios de impacto",M61)</f>
        <v>0</v>
      </c>
      <c r="O61" s="767"/>
      <c r="P61" s="769"/>
      <c r="Q61" s="773"/>
      <c r="R61" s="975"/>
      <c r="S61" s="776"/>
      <c r="T61" s="348" t="str">
        <f>IF(OR(U61="Preventivo",U61="Detectivo"),"Probabilidad",IF(U61="Correctivo","Impacto",""))</f>
        <v>Impacto</v>
      </c>
      <c r="U61" s="349" t="s">
        <v>379</v>
      </c>
      <c r="V61" s="349" t="s">
        <v>191</v>
      </c>
      <c r="W61" s="350" t="str">
        <f>IF(AND(U61="Preventivo",V61="Automático"),"50%",IF(AND(U61="Preventivo",V61="Manual"),"40%",IF(AND(U61="Detectivo",V61="Automático"),"40%",IF(AND(U61="Detectivo",V61="Manual"),"30%",IF(AND(U61="Correctivo",V61="Automático"),"35%",IF(AND(U61="Correctivo",V61="Manual"),"25%",""))))))</f>
        <v>25%</v>
      </c>
      <c r="X61" s="349" t="s">
        <v>198</v>
      </c>
      <c r="Y61" s="349" t="s">
        <v>193</v>
      </c>
      <c r="Z61" s="349" t="s">
        <v>194</v>
      </c>
      <c r="AA61" s="342">
        <f>IFERROR(IF(T61="Probabilidad",(L59-(+L59*W61)),IF(T61="Impacto",L59,"")),"")</f>
        <v>1</v>
      </c>
      <c r="AB61" s="85" t="str">
        <f t="shared" si="38"/>
        <v>Muy Alta</v>
      </c>
      <c r="AC61" s="86">
        <f t="shared" si="39"/>
        <v>1</v>
      </c>
      <c r="AD61" s="85" t="str">
        <f t="shared" si="40"/>
        <v>Menor</v>
      </c>
      <c r="AE61" s="86">
        <f>IFERROR(IF(AND(T60="Impacto",T61="Impacto"),(AE60-(+AE60*W61)),IF(AND(T60="Probabilidad",T61="Impacto"),(AE59-(+AE59*W61)),IF(T61="Probabilidad",AE60,""))),"")</f>
        <v>0.33750000000000002</v>
      </c>
      <c r="AF61" s="87" t="str">
        <f t="shared" si="41"/>
        <v>Alto</v>
      </c>
      <c r="AG61" s="88" t="s">
        <v>195</v>
      </c>
      <c r="AH61" s="351" t="s">
        <v>387</v>
      </c>
      <c r="AI61" s="352" t="s">
        <v>381</v>
      </c>
      <c r="AJ61" s="353">
        <v>45658</v>
      </c>
      <c r="AK61" s="353">
        <v>46022</v>
      </c>
      <c r="AL61" s="354" t="s">
        <v>196</v>
      </c>
      <c r="AM61" s="356" t="s">
        <v>388</v>
      </c>
    </row>
    <row r="62" spans="1:40" ht="156" x14ac:dyDescent="0.3">
      <c r="A62" s="667"/>
      <c r="B62" s="758"/>
      <c r="C62" s="758"/>
      <c r="D62" s="760"/>
      <c r="E62" s="357" t="s">
        <v>389</v>
      </c>
      <c r="F62" s="761"/>
      <c r="G62" s="784"/>
      <c r="H62" s="761"/>
      <c r="I62" s="763"/>
      <c r="J62" s="765"/>
      <c r="K62" s="767"/>
      <c r="L62" s="769"/>
      <c r="M62" s="771"/>
      <c r="N62" s="769">
        <f>IF(NOT(ISERROR(MATCH(M62,_xlfn.ANCHORARRAY(F67),0))),#REF!&amp;"Por favor no seleccionar los criterios de impacto",M62)</f>
        <v>0</v>
      </c>
      <c r="O62" s="767"/>
      <c r="P62" s="769"/>
      <c r="Q62" s="773"/>
      <c r="R62" s="339">
        <v>4</v>
      </c>
      <c r="S62" s="340" t="s">
        <v>390</v>
      </c>
      <c r="T62" s="341" t="str">
        <f t="shared" ref="T62" si="42">IF(OR(U62="Preventivo",U62="Detectivo"),"Probabilidad",IF(U62="Correctivo","Impacto",""))</f>
        <v>Impacto</v>
      </c>
      <c r="U62" s="83" t="s">
        <v>379</v>
      </c>
      <c r="V62" s="83" t="s">
        <v>191</v>
      </c>
      <c r="W62" s="84" t="str">
        <f t="shared" ref="W62:W68" si="43">IF(AND(U62="Preventivo",V62="Automático"),"50%",IF(AND(U62="Preventivo",V62="Manual"),"40%",IF(AND(U62="Detectivo",V62="Automático"),"40%",IF(AND(U62="Detectivo",V62="Manual"),"30%",IF(AND(U62="Correctivo",V62="Automático"),"35%",IF(AND(U62="Correctivo",V62="Manual"),"25%",""))))))</f>
        <v>25%</v>
      </c>
      <c r="X62" s="83" t="s">
        <v>198</v>
      </c>
      <c r="Y62" s="83" t="s">
        <v>193</v>
      </c>
      <c r="Z62" s="83" t="s">
        <v>194</v>
      </c>
      <c r="AA62" s="342">
        <f>IFERROR(IF(T62="Probabilidad",(L59-(+L59*W62)),IF(T62="Impacto",L59,"")),"")</f>
        <v>1</v>
      </c>
      <c r="AB62" s="85" t="str">
        <f t="shared" si="38"/>
        <v>Muy Alta</v>
      </c>
      <c r="AC62" s="86">
        <f t="shared" si="39"/>
        <v>1</v>
      </c>
      <c r="AD62" s="85" t="str">
        <f t="shared" si="40"/>
        <v>Menor</v>
      </c>
      <c r="AE62" s="86">
        <f>IFERROR(IF(AND(T61="Impacto",T62="Impacto"),(AE61-(+AE61*W62)),IF(AND(T61="Probabilidad",T62="Impacto"),(AE60-(+AE60*W62)),IF(T62="Probabilidad",AE61,""))),"")</f>
        <v>0.25312500000000004</v>
      </c>
      <c r="AF62" s="87" t="str">
        <f t="shared" si="41"/>
        <v>Alto</v>
      </c>
      <c r="AG62" s="88" t="s">
        <v>195</v>
      </c>
      <c r="AH62" s="343" t="s">
        <v>391</v>
      </c>
      <c r="AI62" s="344" t="s">
        <v>381</v>
      </c>
      <c r="AJ62" s="345">
        <v>45658</v>
      </c>
      <c r="AK62" s="345">
        <v>46022</v>
      </c>
      <c r="AL62" s="346" t="s">
        <v>196</v>
      </c>
      <c r="AM62" s="355" t="s">
        <v>392</v>
      </c>
    </row>
    <row r="63" spans="1:40" ht="171.6" x14ac:dyDescent="0.3">
      <c r="A63" s="653">
        <v>2</v>
      </c>
      <c r="B63" s="757" t="s">
        <v>189</v>
      </c>
      <c r="C63" s="757" t="s">
        <v>393</v>
      </c>
      <c r="D63" s="978" t="s">
        <v>394</v>
      </c>
      <c r="E63" s="358" t="s">
        <v>395</v>
      </c>
      <c r="F63" s="761" t="s">
        <v>396</v>
      </c>
      <c r="G63" s="784"/>
      <c r="H63" s="980" t="s">
        <v>397</v>
      </c>
      <c r="I63" s="762" t="s">
        <v>398</v>
      </c>
      <c r="J63" s="764">
        <f>(4570+1875+1042)</f>
        <v>7487</v>
      </c>
      <c r="K63" s="766" t="str">
        <f>IF(J63&lt;=0,"",IF(J63&lt;=2,"Muy Baja",IF(J63&lt;=24,"Baja",IF(J63&lt;=500,"Media",IF(J63&lt;=5000,"Alta","Muy Alta")))))</f>
        <v>Muy Alta</v>
      </c>
      <c r="L63" s="768">
        <f>IF(K63="","",IF(K63="Muy Baja",0.2,IF(K63="Baja",0.4,IF(K63="Media",0.6,IF(K63="Alta",0.8,IF(K63="Muy Alta",1,))))))</f>
        <v>1</v>
      </c>
      <c r="M63" s="770" t="s">
        <v>321</v>
      </c>
      <c r="N63" s="768" t="str">
        <f>IF(NOT(ISERROR(MATCH(M63,'[4]Tabla Impacto'!$B$221:$B$223,0))),'[4]Tabla Impacto'!$F$223&amp;"Por favor no seleccionar los criterios de impacto(Afectación Económica o presupuestal y Pérdida Reputacional)",M63)</f>
        <v xml:space="preserve">     Entre 200 y 1000 SMLMV</v>
      </c>
      <c r="O63" s="766" t="str">
        <f>IF(OR(N63='[4]Tabla Impacto'!$C$11,N63='[4]Tabla Impacto'!$D$11),"Leve",IF(OR(N63='[4]Tabla Impacto'!$C$12,N63='[4]Tabla Impacto'!$D$12),"Menor",IF(OR(N63='[4]Tabla Impacto'!$C$13,N63='[4]Tabla Impacto'!$D$13),"Moderado",IF(OR(N63='[4]Tabla Impacto'!$C$14,N63='[4]Tabla Impacto'!$D$14),"Mayor",IF(OR(N63='[4]Tabla Impacto'!$C$15,N63='[4]Tabla Impacto'!$D$15),"Catastrófico","")))))</f>
        <v>Menor</v>
      </c>
      <c r="P63" s="768">
        <f>IF(O63="","",IF(O63="Leve",0.2,IF(O63="Menor",0.4,IF(O63="Moderado",0.6,IF(O63="Mayor",0.8,IF(O63="Catastrófico",1,))))))</f>
        <v>0.4</v>
      </c>
      <c r="Q63" s="772" t="str">
        <f>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Alto</v>
      </c>
      <c r="R63" s="339">
        <v>1</v>
      </c>
      <c r="S63" s="359" t="s">
        <v>399</v>
      </c>
      <c r="T63" s="341" t="str">
        <f>IF(OR(U63="Preventivo",U63="Detectivo"),"Probabilidad",IF(U63="Correctivo","Impacto",""))</f>
        <v>Impacto</v>
      </c>
      <c r="U63" s="83" t="s">
        <v>379</v>
      </c>
      <c r="V63" s="83" t="s">
        <v>191</v>
      </c>
      <c r="W63" s="84" t="str">
        <f t="shared" si="43"/>
        <v>25%</v>
      </c>
      <c r="X63" s="83" t="s">
        <v>198</v>
      </c>
      <c r="Y63" s="83" t="s">
        <v>193</v>
      </c>
      <c r="Z63" s="83" t="s">
        <v>194</v>
      </c>
      <c r="AA63" s="342">
        <f>IFERROR(IF(T63="Probabilidad",(L63-(+L63*W63)),IF(T63="Impacto",L63,"")),"")</f>
        <v>1</v>
      </c>
      <c r="AB63" s="85" t="str">
        <f t="shared" si="38"/>
        <v>Muy Alta</v>
      </c>
      <c r="AC63" s="86">
        <f t="shared" si="39"/>
        <v>1</v>
      </c>
      <c r="AD63" s="85" t="str">
        <f t="shared" si="40"/>
        <v>Leve</v>
      </c>
      <c r="AE63" s="86">
        <f>IFERROR(IF(AND(T62="Impacto",T63="Impacto"),(AE62-(+AE62*W63)),IF(AND(T62="Probabilidad",T63="Impacto"),(AE61-(+AE61*W63)),IF(T63="Probabilidad",AE62,""))),"")</f>
        <v>0.18984375000000003</v>
      </c>
      <c r="AF63" s="87" t="str">
        <f t="shared" si="41"/>
        <v>Alto</v>
      </c>
      <c r="AG63" s="88" t="s">
        <v>195</v>
      </c>
      <c r="AH63" s="343" t="s">
        <v>400</v>
      </c>
      <c r="AI63" s="344" t="s">
        <v>381</v>
      </c>
      <c r="AJ63" s="345">
        <v>45658</v>
      </c>
      <c r="AK63" s="345">
        <v>46022</v>
      </c>
      <c r="AL63" s="346" t="s">
        <v>196</v>
      </c>
      <c r="AM63" s="347" t="s">
        <v>401</v>
      </c>
    </row>
    <row r="64" spans="1:40" ht="110.4" x14ac:dyDescent="0.3">
      <c r="A64" s="667"/>
      <c r="B64" s="758"/>
      <c r="C64" s="758"/>
      <c r="D64" s="979"/>
      <c r="E64" s="360" t="s">
        <v>402</v>
      </c>
      <c r="F64" s="761"/>
      <c r="G64" s="784"/>
      <c r="H64" s="981"/>
      <c r="I64" s="763"/>
      <c r="J64" s="765"/>
      <c r="K64" s="767"/>
      <c r="L64" s="769"/>
      <c r="M64" s="771"/>
      <c r="N64" s="769">
        <f>IF(NOT(ISERROR(MATCH(M64,_xlfn.ANCHORARRAY(F68),0))),#REF!&amp;"Por favor no seleccionar los criterios de impacto",M64)</f>
        <v>0</v>
      </c>
      <c r="O64" s="767"/>
      <c r="P64" s="769"/>
      <c r="Q64" s="773"/>
      <c r="R64" s="339">
        <v>2</v>
      </c>
      <c r="S64" s="340" t="s">
        <v>403</v>
      </c>
      <c r="T64" s="341" t="str">
        <f>IF(OR(U64="Preventivo",U64="Detectivo"),"Probabilidad",IF(U64="Correctivo","Impacto",""))</f>
        <v>Impacto</v>
      </c>
      <c r="U64" s="83" t="s">
        <v>379</v>
      </c>
      <c r="V64" s="83" t="s">
        <v>191</v>
      </c>
      <c r="W64" s="84" t="str">
        <f t="shared" si="43"/>
        <v>25%</v>
      </c>
      <c r="X64" s="83" t="s">
        <v>198</v>
      </c>
      <c r="Y64" s="83" t="s">
        <v>193</v>
      </c>
      <c r="Z64" s="83" t="s">
        <v>194</v>
      </c>
      <c r="AA64" s="342">
        <f>IFERROR(IF(T64="Probabilidad",(L63-(+L63*W64)),IF(T64="Impacto",L63,"")),"")</f>
        <v>1</v>
      </c>
      <c r="AB64" s="85" t="str">
        <f t="shared" si="38"/>
        <v>Muy Alta</v>
      </c>
      <c r="AC64" s="86">
        <f t="shared" si="39"/>
        <v>1</v>
      </c>
      <c r="AD64" s="85" t="str">
        <f t="shared" si="40"/>
        <v>Leve</v>
      </c>
      <c r="AE64" s="86">
        <f>IFERROR(IF(AND(T63="Impacto",T64="Impacto"),(AE63-(+AE63*W64)),IF(AND(T63="Probabilidad",T64="Impacto"),(AE62-(+AE62*W64)),IF(T64="Probabilidad",AE63,""))),"")</f>
        <v>0.14238281250000001</v>
      </c>
      <c r="AF64" s="87" t="str">
        <f t="shared" si="41"/>
        <v>Alto</v>
      </c>
      <c r="AG64" s="88" t="s">
        <v>195</v>
      </c>
      <c r="AH64" s="343" t="s">
        <v>404</v>
      </c>
      <c r="AI64" s="344" t="s">
        <v>381</v>
      </c>
      <c r="AJ64" s="345">
        <v>45658</v>
      </c>
      <c r="AK64" s="345">
        <v>46022</v>
      </c>
      <c r="AL64" s="346" t="s">
        <v>196</v>
      </c>
      <c r="AM64" s="355" t="s">
        <v>405</v>
      </c>
    </row>
    <row r="65" spans="1:39" ht="124.8" x14ac:dyDescent="0.3">
      <c r="A65" s="653">
        <v>3</v>
      </c>
      <c r="B65" s="757" t="s">
        <v>199</v>
      </c>
      <c r="C65" s="757" t="s">
        <v>406</v>
      </c>
      <c r="D65" s="759" t="s">
        <v>407</v>
      </c>
      <c r="E65" s="357" t="s">
        <v>408</v>
      </c>
      <c r="F65" s="761" t="s">
        <v>409</v>
      </c>
      <c r="G65" s="783" t="s">
        <v>410</v>
      </c>
      <c r="H65" s="783" t="s">
        <v>411</v>
      </c>
      <c r="I65" s="762" t="s">
        <v>190</v>
      </c>
      <c r="J65" s="764">
        <f>(54*7)</f>
        <v>378</v>
      </c>
      <c r="K65" s="766" t="str">
        <f t="shared" ref="K65" si="44">IF(J65&lt;=0,"",IF(J65&lt;=2,"Muy Baja",IF(J65&lt;=24,"Baja",IF(J65&lt;=500,"Media",IF(J65&lt;=5000,"Alta","Muy Alta")))))</f>
        <v>Media</v>
      </c>
      <c r="L65" s="768">
        <f t="shared" ref="L65" si="45">IF(K65="","",IF(K65="Muy Baja",0.2,IF(K65="Baja",0.4,IF(K65="Media",0.6,IF(K65="Alta",0.8,IF(K65="Muy Alta",1,))))))</f>
        <v>0.6</v>
      </c>
      <c r="M65" s="770" t="s">
        <v>412</v>
      </c>
      <c r="N65" s="768" t="str">
        <f>IF(NOT(ISERROR(MATCH(M65,'[4]Tabla Impacto'!$B$221:$B$223,0))),'[4]Tabla Impacto'!$F$223&amp;"Por favor no seleccionar los criterios de impacto(Afectación Económica o presupuestal y Pérdida Reputacional)",M65)</f>
        <v xml:space="preserve">     El riesgo afecta la imagen de la entidad internamente, de conocimiento general, nivel interno, de junta dircetiva y accionistas y/o de provedores</v>
      </c>
      <c r="O65" s="766" t="str">
        <f>IF(OR(N65='[4]Tabla Impacto'!$C$11,N65='[4]Tabla Impacto'!$D$11),"Leve",IF(OR(N65='[4]Tabla Impacto'!$C$12,N65='[4]Tabla Impacto'!$D$12),"Menor",IF(OR(N65='[4]Tabla Impacto'!$C$13,N65='[4]Tabla Impacto'!$D$13),"Moderado",IF(OR(N65='[4]Tabla Impacto'!$C$14,N65='[4]Tabla Impacto'!$D$14),"Mayor",IF(OR(N65='[4]Tabla Impacto'!$C$15,N65='[4]Tabla Impacto'!$D$15),"Catastrófico","")))))</f>
        <v>Menor</v>
      </c>
      <c r="P65" s="768">
        <f t="shared" ref="P65" si="46">IF(O65="","",IF(O65="Leve",0.2,IF(O65="Menor",0.4,IF(O65="Moderado",0.6,IF(O65="Mayor",0.8,IF(O65="Catastrófico",1,))))))</f>
        <v>0.4</v>
      </c>
      <c r="Q65" s="772" t="str">
        <f t="shared" ref="Q65" si="47">IF(OR(AND(K65="Muy Baja",O65="Leve"),AND(K65="Muy Baja",O65="Menor"),AND(K65="Baja",O65="Leve")),"Bajo",IF(OR(AND(K65="Muy baja",O65="Moderado"),AND(K65="Baja",O65="Menor"),AND(K65="Baja",O65="Moderado"),AND(K65="Media",O65="Leve"),AND(K65="Media",O65="Menor"),AND(K65="Media",O65="Moderado"),AND(K65="Alta",O65="Leve"),AND(K65="Alta",O65="Menor")),"Moderado",IF(OR(AND(K65="Muy Baja",O65="Mayor"),AND(K65="Baja",O65="Mayor"),AND(K65="Media",O65="Mayor"),AND(K65="Alta",O65="Moderado"),AND(K65="Alta",O65="Mayor"),AND(K65="Muy Alta",O65="Leve"),AND(K65="Muy Alta",O65="Menor"),AND(K65="Muy Alta",O65="Moderado"),AND(K65="Muy Alta",O65="Mayor")),"Alto",IF(OR(AND(K65="Muy Baja",O65="Catastrófico"),AND(K65="Baja",O65="Catastrófico"),AND(K65="Media",O65="Catastrófico"),AND(K65="Alta",O65="Catastrófico"),AND(K65="Muy Alta",O65="Catastrófico")),"Extremo",""))))</f>
        <v>Moderado</v>
      </c>
      <c r="R65" s="339">
        <v>1</v>
      </c>
      <c r="S65" s="340" t="s">
        <v>413</v>
      </c>
      <c r="T65" s="341" t="str">
        <f t="shared" ref="T65:T68" si="48">IF(OR(U65="Preventivo",U65="Detectivo"),"Probabilidad",IF(U65="Correctivo","Impacto",""))</f>
        <v>Impacto</v>
      </c>
      <c r="U65" s="83" t="s">
        <v>379</v>
      </c>
      <c r="V65" s="83" t="s">
        <v>191</v>
      </c>
      <c r="W65" s="84" t="str">
        <f t="shared" si="43"/>
        <v>25%</v>
      </c>
      <c r="X65" s="83" t="s">
        <v>198</v>
      </c>
      <c r="Y65" s="83" t="s">
        <v>193</v>
      </c>
      <c r="Z65" s="83" t="s">
        <v>194</v>
      </c>
      <c r="AA65" s="342">
        <f>IFERROR(IF(T65="Probabilidad",(L65-(+L65*W65)),IF(T65="Impacto",L65,"")),"")</f>
        <v>0.6</v>
      </c>
      <c r="AB65" s="85" t="str">
        <f t="shared" si="38"/>
        <v>Media</v>
      </c>
      <c r="AC65" s="86">
        <f t="shared" si="39"/>
        <v>0.6</v>
      </c>
      <c r="AD65" s="85" t="str">
        <f t="shared" si="40"/>
        <v>Menor</v>
      </c>
      <c r="AE65" s="86">
        <f>IFERROR(IF(T65="Impacto",(P65-(+P65*W65)),IF(T65="Probabilidad",P65,"")),"")</f>
        <v>0.30000000000000004</v>
      </c>
      <c r="AF65" s="87" t="str">
        <f t="shared" si="41"/>
        <v>Moderado</v>
      </c>
      <c r="AG65" s="88" t="s">
        <v>195</v>
      </c>
      <c r="AH65" s="344" t="s">
        <v>414</v>
      </c>
      <c r="AI65" s="344" t="s">
        <v>381</v>
      </c>
      <c r="AJ65" s="345">
        <v>45658</v>
      </c>
      <c r="AK65" s="345">
        <v>46022</v>
      </c>
      <c r="AL65" s="346" t="s">
        <v>196</v>
      </c>
      <c r="AM65" s="355" t="s">
        <v>415</v>
      </c>
    </row>
    <row r="66" spans="1:39" ht="171.6" x14ac:dyDescent="0.3">
      <c r="A66" s="667"/>
      <c r="B66" s="758"/>
      <c r="C66" s="758"/>
      <c r="D66" s="760"/>
      <c r="E66" s="357" t="s">
        <v>416</v>
      </c>
      <c r="F66" s="761"/>
      <c r="G66" s="784"/>
      <c r="H66" s="784"/>
      <c r="I66" s="763"/>
      <c r="J66" s="765"/>
      <c r="K66" s="767"/>
      <c r="L66" s="769"/>
      <c r="M66" s="771"/>
      <c r="N66" s="769">
        <f>IF(NOT(ISERROR(MATCH(M66,_xlfn.ANCHORARRAY(F69),0))),L71&amp;"Por favor no seleccionar los criterios de impacto",M66)</f>
        <v>0</v>
      </c>
      <c r="O66" s="767"/>
      <c r="P66" s="769"/>
      <c r="Q66" s="773"/>
      <c r="R66" s="339">
        <v>2</v>
      </c>
      <c r="S66" s="340" t="s">
        <v>417</v>
      </c>
      <c r="T66" s="341" t="str">
        <f t="shared" si="48"/>
        <v>Impacto</v>
      </c>
      <c r="U66" s="83" t="s">
        <v>379</v>
      </c>
      <c r="V66" s="83" t="s">
        <v>191</v>
      </c>
      <c r="W66" s="84" t="str">
        <f t="shared" si="43"/>
        <v>25%</v>
      </c>
      <c r="X66" s="83" t="s">
        <v>198</v>
      </c>
      <c r="Y66" s="83" t="s">
        <v>193</v>
      </c>
      <c r="Z66" s="83" t="s">
        <v>194</v>
      </c>
      <c r="AA66" s="342">
        <f>IFERROR(IF(T66="Probabilidad",(L65-(+L65*W66)),IF(T66="Impacto",L65,"")),"")</f>
        <v>0.6</v>
      </c>
      <c r="AB66" s="85" t="str">
        <f t="shared" si="38"/>
        <v>Media</v>
      </c>
      <c r="AC66" s="86">
        <f t="shared" si="39"/>
        <v>0.6</v>
      </c>
      <c r="AD66" s="85" t="str">
        <f t="shared" si="40"/>
        <v>Menor</v>
      </c>
      <c r="AE66" s="86">
        <f>IFERROR(IF(AND(T65="Impacto",T66="Impacto"),(AE65-(+AE65*W66)),IF(AND(T65="Probabilidad",T66="Impacto"),(P65-(+P65*W66)),IF(T66="Probabilidad",AE65,""))),"")</f>
        <v>0.22500000000000003</v>
      </c>
      <c r="AF66" s="87" t="str">
        <f t="shared" si="41"/>
        <v>Moderado</v>
      </c>
      <c r="AG66" s="88" t="s">
        <v>195</v>
      </c>
      <c r="AH66" s="344" t="s">
        <v>418</v>
      </c>
      <c r="AI66" s="344" t="s">
        <v>381</v>
      </c>
      <c r="AJ66" s="345">
        <v>45658</v>
      </c>
      <c r="AK66" s="345">
        <v>46022</v>
      </c>
      <c r="AL66" s="346" t="s">
        <v>196</v>
      </c>
      <c r="AM66" s="355" t="s">
        <v>419</v>
      </c>
    </row>
    <row r="67" spans="1:39" ht="109.2" x14ac:dyDescent="0.3">
      <c r="A67" s="667"/>
      <c r="B67" s="758"/>
      <c r="C67" s="758"/>
      <c r="D67" s="760"/>
      <c r="E67" s="361" t="s">
        <v>420</v>
      </c>
      <c r="F67" s="761"/>
      <c r="G67" s="784"/>
      <c r="H67" s="784"/>
      <c r="I67" s="763"/>
      <c r="J67" s="765"/>
      <c r="K67" s="767"/>
      <c r="L67" s="769"/>
      <c r="M67" s="771"/>
      <c r="N67" s="769">
        <f>IF(NOT(ISERROR(MATCH(M67,_xlfn.ANCHORARRAY(F70),0))),L72&amp;"Por favor no seleccionar los criterios de impacto",M67)</f>
        <v>0</v>
      </c>
      <c r="O67" s="767"/>
      <c r="P67" s="769"/>
      <c r="Q67" s="773"/>
      <c r="R67" s="339">
        <v>3</v>
      </c>
      <c r="S67" s="362" t="s">
        <v>421</v>
      </c>
      <c r="T67" s="341" t="str">
        <f t="shared" si="48"/>
        <v>Impacto</v>
      </c>
      <c r="U67" s="83" t="s">
        <v>379</v>
      </c>
      <c r="V67" s="83" t="s">
        <v>191</v>
      </c>
      <c r="W67" s="84" t="str">
        <f t="shared" si="43"/>
        <v>25%</v>
      </c>
      <c r="X67" s="83" t="s">
        <v>198</v>
      </c>
      <c r="Y67" s="83" t="s">
        <v>193</v>
      </c>
      <c r="Z67" s="83" t="s">
        <v>194</v>
      </c>
      <c r="AA67" s="342">
        <f>IFERROR(IF(T67="Probabilidad",(L65-(+L65*W67)),IF(T67="Impacto",L65,"")),"")</f>
        <v>0.6</v>
      </c>
      <c r="AB67" s="85" t="str">
        <f t="shared" si="38"/>
        <v>Media</v>
      </c>
      <c r="AC67" s="86">
        <f t="shared" si="39"/>
        <v>0.6</v>
      </c>
      <c r="AD67" s="85" t="str">
        <f t="shared" si="40"/>
        <v>Leve</v>
      </c>
      <c r="AE67" s="86">
        <f>IFERROR(IF(AND(T66="Impacto",T67="Impacto"),(AE66-(+AE66*W67)),IF(AND(T66="Probabilidad",T67="Impacto"),(AE65-(+AE65*W67)),IF(T67="Probabilidad",AE66,""))),"")</f>
        <v>0.16875000000000001</v>
      </c>
      <c r="AF67" s="87" t="str">
        <f t="shared" si="41"/>
        <v>Moderado</v>
      </c>
      <c r="AG67" s="88" t="s">
        <v>195</v>
      </c>
      <c r="AH67" s="344" t="s">
        <v>422</v>
      </c>
      <c r="AI67" s="344" t="s">
        <v>381</v>
      </c>
      <c r="AJ67" s="345">
        <v>45658</v>
      </c>
      <c r="AK67" s="345">
        <v>46022</v>
      </c>
      <c r="AL67" s="346" t="s">
        <v>196</v>
      </c>
      <c r="AM67" s="363" t="s">
        <v>423</v>
      </c>
    </row>
    <row r="68" spans="1:39" ht="93.6" x14ac:dyDescent="0.3">
      <c r="A68" s="236">
        <v>4</v>
      </c>
      <c r="B68" s="284" t="s">
        <v>199</v>
      </c>
      <c r="C68" s="284" t="s">
        <v>406</v>
      </c>
      <c r="D68" s="285" t="s">
        <v>424</v>
      </c>
      <c r="E68" s="364" t="s">
        <v>425</v>
      </c>
      <c r="F68" s="287" t="s">
        <v>426</v>
      </c>
      <c r="G68" s="876"/>
      <c r="H68" s="287" t="s">
        <v>427</v>
      </c>
      <c r="I68" s="288" t="s">
        <v>190</v>
      </c>
      <c r="J68" s="289">
        <v>54</v>
      </c>
      <c r="K68" s="290" t="str">
        <f t="shared" ref="K68" si="49">IF(J68&lt;=0,"",IF(J68&lt;=2,"Muy Baja",IF(J68&lt;=24,"Baja",IF(J68&lt;=500,"Media",IF(J68&lt;=5000,"Alta","Muy Alta")))))</f>
        <v>Media</v>
      </c>
      <c r="L68" s="291">
        <f t="shared" ref="L68" si="50">IF(K68="","",IF(K68="Muy Baja",0.2,IF(K68="Baja",0.4,IF(K68="Media",0.6,IF(K68="Alta",0.8,IF(K68="Muy Alta",1,))))))</f>
        <v>0.6</v>
      </c>
      <c r="M68" s="365" t="s">
        <v>412</v>
      </c>
      <c r="N68" s="291" t="str">
        <f>IF(NOT(ISERROR(MATCH(M68,'[4]Tabla Impacto'!$B$221:$B$223,0))),'[4]Tabla Impacto'!$F$223&amp;"Por favor no seleccionar los criterios de impacto(Afectación Económica o presupuestal y Pérdida Reputacional)",M68)</f>
        <v xml:space="preserve">     El riesgo afecta la imagen de la entidad internamente, de conocimiento general, nivel interno, de junta dircetiva y accionistas y/o de provedores</v>
      </c>
      <c r="O68" s="290" t="str">
        <f>IF(OR(N68='[4]Tabla Impacto'!$C$11,N68='[4]Tabla Impacto'!$D$11),"Leve",IF(OR(N68='[4]Tabla Impacto'!$C$12,N68='[4]Tabla Impacto'!$D$12),"Menor",IF(OR(N68='[4]Tabla Impacto'!$C$13,N68='[4]Tabla Impacto'!$D$13),"Moderado",IF(OR(N68='[4]Tabla Impacto'!$C$14,N68='[4]Tabla Impacto'!$D$14),"Mayor",IF(OR(N68='[4]Tabla Impacto'!$C$15,N68='[4]Tabla Impacto'!$D$15),"Catastrófico","")))))</f>
        <v>Menor</v>
      </c>
      <c r="P68" s="291">
        <f t="shared" ref="P68" si="51">IF(O68="","",IF(O68="Leve",0.2,IF(O68="Menor",0.4,IF(O68="Moderado",0.6,IF(O68="Mayor",0.8,IF(O68="Catastrófico",1,))))))</f>
        <v>0.4</v>
      </c>
      <c r="Q68" s="292" t="str">
        <f t="shared" ref="Q68" si="52">IF(OR(AND(K68="Muy Baja",O68="Leve"),AND(K68="Muy Baja",O68="Menor"),AND(K68="Baja",O68="Leve")),"Bajo",IF(OR(AND(K68="Muy baja",O68="Moderado"),AND(K68="Baja",O68="Menor"),AND(K68="Baja",O68="Moderado"),AND(K68="Media",O68="Leve"),AND(K68="Media",O68="Menor"),AND(K68="Media",O68="Moderado"),AND(K68="Alta",O68="Leve"),AND(K68="Alta",O68="Menor")),"Moderado",IF(OR(AND(K68="Muy Baja",O68="Mayor"),AND(K68="Baja",O68="Mayor"),AND(K68="Media",O68="Mayor"),AND(K68="Alta",O68="Moderado"),AND(K68="Alta",O68="Mayor"),AND(K68="Muy Alta",O68="Leve"),AND(K68="Muy Alta",O68="Menor"),AND(K68="Muy Alta",O68="Moderado"),AND(K68="Muy Alta",O68="Mayor")),"Alto",IF(OR(AND(K68="Muy Baja",O68="Catastrófico"),AND(K68="Baja",O68="Catastrófico"),AND(K68="Media",O68="Catastrófico"),AND(K68="Alta",O68="Catastrófico"),AND(K68="Muy Alta",O68="Catastrófico")),"Extremo",""))))</f>
        <v>Moderado</v>
      </c>
      <c r="R68" s="339">
        <v>1</v>
      </c>
      <c r="S68" s="340" t="s">
        <v>428</v>
      </c>
      <c r="T68" s="341" t="str">
        <f t="shared" si="48"/>
        <v>Impacto</v>
      </c>
      <c r="U68" s="83" t="s">
        <v>379</v>
      </c>
      <c r="V68" s="83" t="s">
        <v>191</v>
      </c>
      <c r="W68" s="84" t="str">
        <f t="shared" si="43"/>
        <v>25%</v>
      </c>
      <c r="X68" s="83" t="s">
        <v>198</v>
      </c>
      <c r="Y68" s="83" t="s">
        <v>193</v>
      </c>
      <c r="Z68" s="83" t="s">
        <v>194</v>
      </c>
      <c r="AA68" s="342">
        <f>IFERROR(IF(T68="Probabilidad",(L68-(+L68*W68)),IF(T68="Impacto",L68,"")),"")</f>
        <v>0.6</v>
      </c>
      <c r="AB68" s="85" t="str">
        <f t="shared" si="38"/>
        <v>Media</v>
      </c>
      <c r="AC68" s="86">
        <f t="shared" si="39"/>
        <v>0.6</v>
      </c>
      <c r="AD68" s="85" t="str">
        <f t="shared" si="40"/>
        <v>Leve</v>
      </c>
      <c r="AE68" s="86">
        <f>IFERROR(IF(AND(T67="Impacto",T68="Impacto"),(AE67-(+AE67*W68)),IF(AND(T67="Probabilidad",T68="Impacto"),(AE66-(+AE66*W68)),IF(T68="Probabilidad",AE67,""))),"")</f>
        <v>0.12656250000000002</v>
      </c>
      <c r="AF68" s="87" t="str">
        <f t="shared" si="41"/>
        <v>Moderado</v>
      </c>
      <c r="AG68" s="88" t="s">
        <v>195</v>
      </c>
      <c r="AH68" s="344" t="s">
        <v>429</v>
      </c>
      <c r="AI68" s="344" t="s">
        <v>381</v>
      </c>
      <c r="AJ68" s="345">
        <v>45658</v>
      </c>
      <c r="AK68" s="345">
        <v>46022</v>
      </c>
      <c r="AL68" s="346" t="s">
        <v>196</v>
      </c>
      <c r="AM68" s="355" t="s">
        <v>430</v>
      </c>
    </row>
    <row r="69" spans="1:39" x14ac:dyDescent="0.3">
      <c r="A69" s="957" t="s">
        <v>148</v>
      </c>
      <c r="B69" s="958"/>
      <c r="C69" s="958"/>
      <c r="D69" s="958"/>
      <c r="E69" s="958"/>
      <c r="F69" s="958"/>
      <c r="G69" s="958"/>
      <c r="H69" s="958"/>
      <c r="I69" s="958"/>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958"/>
      <c r="AK69" s="958"/>
      <c r="AL69" s="958"/>
    </row>
    <row r="70" spans="1:39" x14ac:dyDescent="0.3">
      <c r="A70" s="959"/>
      <c r="B70" s="960"/>
      <c r="C70" s="960"/>
      <c r="D70" s="960"/>
      <c r="E70" s="960"/>
      <c r="F70" s="960"/>
      <c r="G70" s="960"/>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row>
    <row r="71" spans="1:39" ht="15.6" x14ac:dyDescent="0.3">
      <c r="A71" s="366"/>
      <c r="B71" s="367"/>
      <c r="C71" s="366"/>
      <c r="D71" s="366"/>
      <c r="E71" s="366"/>
      <c r="F71" s="368"/>
      <c r="G71" s="368"/>
      <c r="H71" s="368"/>
      <c r="I71" s="369"/>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row>
    <row r="72" spans="1:39" ht="15.6" x14ac:dyDescent="0.3">
      <c r="A72" s="961" t="s">
        <v>149</v>
      </c>
      <c r="B72" s="962"/>
      <c r="C72" s="963" t="s">
        <v>431</v>
      </c>
      <c r="D72" s="964"/>
      <c r="E72" s="964"/>
      <c r="F72" s="964"/>
      <c r="G72" s="964"/>
      <c r="H72" s="964"/>
      <c r="I72" s="964"/>
      <c r="J72" s="964"/>
      <c r="K72" s="964"/>
      <c r="L72" s="964"/>
      <c r="M72" s="964"/>
      <c r="N72" s="964"/>
      <c r="O72" s="964"/>
      <c r="P72" s="964"/>
      <c r="Q72" s="964"/>
      <c r="R72" s="964"/>
      <c r="S72" s="964"/>
      <c r="T72" s="964"/>
      <c r="U72" s="964"/>
      <c r="V72" s="964"/>
      <c r="W72" s="964"/>
      <c r="X72" s="964"/>
      <c r="Y72" s="964"/>
      <c r="Z72" s="964"/>
      <c r="AA72" s="964"/>
      <c r="AB72" s="964"/>
      <c r="AC72" s="964"/>
      <c r="AD72" s="964"/>
      <c r="AE72" s="964"/>
      <c r="AF72" s="964"/>
      <c r="AG72" s="964"/>
      <c r="AH72" s="964"/>
      <c r="AI72" s="964"/>
      <c r="AJ72" s="964"/>
      <c r="AK72" s="964"/>
      <c r="AL72" s="964"/>
    </row>
    <row r="73" spans="1:39" ht="15.6" x14ac:dyDescent="0.3">
      <c r="A73" s="961" t="s">
        <v>150</v>
      </c>
      <c r="B73" s="962"/>
      <c r="C73" s="965" t="s">
        <v>432</v>
      </c>
      <c r="D73" s="965"/>
      <c r="E73" s="965"/>
      <c r="F73" s="965"/>
      <c r="G73" s="965"/>
      <c r="H73" s="965"/>
      <c r="I73" s="965"/>
      <c r="J73" s="965"/>
      <c r="K73" s="965"/>
      <c r="L73" s="965"/>
      <c r="M73" s="965"/>
      <c r="N73" s="965"/>
      <c r="O73" s="965"/>
      <c r="P73" s="965"/>
      <c r="Q73" s="965"/>
      <c r="R73" s="965"/>
      <c r="S73" s="965"/>
      <c r="T73" s="965"/>
      <c r="U73" s="965"/>
      <c r="V73" s="965"/>
      <c r="W73" s="965"/>
      <c r="X73" s="965"/>
      <c r="Y73" s="965"/>
      <c r="Z73" s="965"/>
      <c r="AA73" s="965"/>
      <c r="AB73" s="965"/>
      <c r="AC73" s="965"/>
      <c r="AD73" s="965"/>
      <c r="AE73" s="965"/>
      <c r="AF73" s="965"/>
      <c r="AG73" s="965"/>
      <c r="AH73" s="965"/>
      <c r="AI73" s="965"/>
      <c r="AJ73" s="965"/>
      <c r="AK73" s="965"/>
      <c r="AL73" s="965"/>
    </row>
    <row r="74" spans="1:39" ht="15.6" x14ac:dyDescent="0.3">
      <c r="A74" s="961" t="s">
        <v>151</v>
      </c>
      <c r="B74" s="962"/>
      <c r="C74" s="966" t="s">
        <v>433</v>
      </c>
      <c r="D74" s="966"/>
      <c r="E74" s="966"/>
      <c r="F74" s="966"/>
      <c r="G74" s="966"/>
      <c r="H74" s="966"/>
      <c r="I74" s="966"/>
      <c r="J74" s="966"/>
      <c r="K74" s="966"/>
      <c r="L74" s="966"/>
      <c r="M74" s="966"/>
      <c r="N74" s="966"/>
      <c r="O74" s="966"/>
      <c r="P74" s="966"/>
      <c r="Q74" s="966"/>
      <c r="R74" s="966"/>
      <c r="S74" s="966"/>
      <c r="T74" s="966"/>
      <c r="U74" s="966"/>
      <c r="V74" s="966"/>
      <c r="W74" s="966"/>
      <c r="X74" s="966"/>
      <c r="Y74" s="966"/>
      <c r="Z74" s="966"/>
      <c r="AA74" s="966"/>
      <c r="AB74" s="966"/>
      <c r="AC74" s="966"/>
      <c r="AD74" s="966"/>
      <c r="AE74" s="966"/>
      <c r="AF74" s="966"/>
      <c r="AG74" s="966"/>
      <c r="AH74" s="966"/>
      <c r="AI74" s="966"/>
      <c r="AJ74" s="966"/>
      <c r="AK74" s="966"/>
      <c r="AL74" s="966"/>
    </row>
    <row r="75" spans="1:39" ht="15.6" x14ac:dyDescent="0.3">
      <c r="A75" s="967" t="s">
        <v>152</v>
      </c>
      <c r="B75" s="968"/>
      <c r="C75" s="969"/>
      <c r="D75" s="969"/>
      <c r="E75" s="969"/>
      <c r="F75" s="969"/>
      <c r="G75" s="969"/>
      <c r="H75" s="969"/>
      <c r="I75" s="969"/>
      <c r="J75" s="970"/>
      <c r="K75" s="943" t="s">
        <v>153</v>
      </c>
      <c r="L75" s="969"/>
      <c r="M75" s="969"/>
      <c r="N75" s="969"/>
      <c r="O75" s="969"/>
      <c r="P75" s="969"/>
      <c r="Q75" s="970"/>
      <c r="R75" s="943" t="s">
        <v>154</v>
      </c>
      <c r="S75" s="969"/>
      <c r="T75" s="969"/>
      <c r="U75" s="969"/>
      <c r="V75" s="969"/>
      <c r="W75" s="969"/>
      <c r="X75" s="969"/>
      <c r="Y75" s="969"/>
      <c r="Z75" s="970"/>
      <c r="AA75" s="943" t="s">
        <v>155</v>
      </c>
      <c r="AB75" s="969"/>
      <c r="AC75" s="969"/>
      <c r="AD75" s="969"/>
      <c r="AE75" s="969"/>
      <c r="AF75" s="969"/>
      <c r="AG75" s="970"/>
      <c r="AH75" s="971" t="s">
        <v>434</v>
      </c>
      <c r="AI75" s="972"/>
      <c r="AJ75" s="972"/>
      <c r="AK75" s="972"/>
      <c r="AL75" s="972"/>
    </row>
    <row r="76" spans="1:39" ht="15.6" x14ac:dyDescent="0.3">
      <c r="A76" s="951" t="s">
        <v>157</v>
      </c>
      <c r="B76" s="953" t="s">
        <v>141</v>
      </c>
      <c r="C76" s="941" t="s">
        <v>158</v>
      </c>
      <c r="D76" s="941" t="s">
        <v>159</v>
      </c>
      <c r="E76" s="940" t="s">
        <v>160</v>
      </c>
      <c r="F76" s="955" t="s">
        <v>60</v>
      </c>
      <c r="G76" s="370"/>
      <c r="H76" s="370"/>
      <c r="I76" s="940" t="s">
        <v>161</v>
      </c>
      <c r="J76" s="941" t="s">
        <v>162</v>
      </c>
      <c r="K76" s="954" t="s">
        <v>163</v>
      </c>
      <c r="L76" s="944" t="s">
        <v>164</v>
      </c>
      <c r="M76" s="940" t="s">
        <v>165</v>
      </c>
      <c r="N76" s="940" t="s">
        <v>166</v>
      </c>
      <c r="O76" s="942" t="s">
        <v>167</v>
      </c>
      <c r="P76" s="944" t="s">
        <v>164</v>
      </c>
      <c r="Q76" s="941" t="s">
        <v>168</v>
      </c>
      <c r="R76" s="946" t="s">
        <v>169</v>
      </c>
      <c r="S76" s="945" t="s">
        <v>170</v>
      </c>
      <c r="T76" s="940" t="s">
        <v>171</v>
      </c>
      <c r="U76" s="945" t="s">
        <v>172</v>
      </c>
      <c r="V76" s="945"/>
      <c r="W76" s="945"/>
      <c r="X76" s="945"/>
      <c r="Y76" s="945"/>
      <c r="Z76" s="945"/>
      <c r="AA76" s="973" t="s">
        <v>173</v>
      </c>
      <c r="AB76" s="973" t="s">
        <v>174</v>
      </c>
      <c r="AC76" s="973" t="s">
        <v>164</v>
      </c>
      <c r="AD76" s="973" t="s">
        <v>175</v>
      </c>
      <c r="AE76" s="973" t="s">
        <v>164</v>
      </c>
      <c r="AF76" s="973" t="s">
        <v>176</v>
      </c>
      <c r="AG76" s="946" t="s">
        <v>177</v>
      </c>
      <c r="AH76" s="940" t="s">
        <v>434</v>
      </c>
      <c r="AI76" s="940" t="s">
        <v>142</v>
      </c>
      <c r="AJ76" s="940" t="s">
        <v>435</v>
      </c>
      <c r="AK76" s="940" t="s">
        <v>436</v>
      </c>
      <c r="AL76" s="940" t="s">
        <v>181</v>
      </c>
    </row>
    <row r="77" spans="1:39" ht="97.2" x14ac:dyDescent="0.3">
      <c r="A77" s="952"/>
      <c r="B77" s="953"/>
      <c r="C77" s="945"/>
      <c r="D77" s="945"/>
      <c r="E77" s="954"/>
      <c r="F77" s="956"/>
      <c r="G77" s="370" t="s">
        <v>201</v>
      </c>
      <c r="H77" s="370" t="s">
        <v>182</v>
      </c>
      <c r="I77" s="941"/>
      <c r="J77" s="945"/>
      <c r="K77" s="941"/>
      <c r="L77" s="943"/>
      <c r="M77" s="941"/>
      <c r="N77" s="941"/>
      <c r="O77" s="943"/>
      <c r="P77" s="943"/>
      <c r="Q77" s="945"/>
      <c r="R77" s="947"/>
      <c r="S77" s="945"/>
      <c r="T77" s="941"/>
      <c r="U77" s="371" t="s">
        <v>183</v>
      </c>
      <c r="V77" s="371" t="s">
        <v>184</v>
      </c>
      <c r="W77" s="371" t="s">
        <v>185</v>
      </c>
      <c r="X77" s="371" t="s">
        <v>186</v>
      </c>
      <c r="Y77" s="371" t="s">
        <v>187</v>
      </c>
      <c r="Z77" s="371" t="s">
        <v>188</v>
      </c>
      <c r="AA77" s="973"/>
      <c r="AB77" s="973"/>
      <c r="AC77" s="973"/>
      <c r="AD77" s="973"/>
      <c r="AE77" s="973"/>
      <c r="AF77" s="973"/>
      <c r="AG77" s="947"/>
      <c r="AH77" s="941"/>
      <c r="AI77" s="941"/>
      <c r="AJ77" s="941"/>
      <c r="AK77" s="941"/>
      <c r="AL77" s="941"/>
    </row>
    <row r="78" spans="1:39" ht="80.400000000000006" x14ac:dyDescent="0.3">
      <c r="A78" s="886">
        <v>1</v>
      </c>
      <c r="B78" s="883" t="s">
        <v>199</v>
      </c>
      <c r="C78" s="883" t="s">
        <v>437</v>
      </c>
      <c r="D78" s="883" t="s">
        <v>438</v>
      </c>
      <c r="E78" s="883" t="s">
        <v>439</v>
      </c>
      <c r="F78" s="910" t="s">
        <v>440</v>
      </c>
      <c r="G78" s="910" t="s">
        <v>203</v>
      </c>
      <c r="H78" s="910" t="s">
        <v>441</v>
      </c>
      <c r="I78" s="883" t="s">
        <v>190</v>
      </c>
      <c r="J78" s="914">
        <v>500</v>
      </c>
      <c r="K78" s="917" t="str">
        <f>IF(J78&lt;=0,"",IF(J78&lt;=2,"Muy Baja",IF(J78&lt;=24,"Baja",IF(J78&lt;=500,"Media",IF(J78&lt;=5000,"Alta","Muy Alta")))))</f>
        <v>Media</v>
      </c>
      <c r="L78" s="920">
        <f>IF(K78="","",IF(K78="Muy Baja",0.2,IF(K78="Baja",0.4,IF(K78="Media",0.6,IF(K78="Alta",0.8,IF(K78="Muy Alta",1,))))))</f>
        <v>0.6</v>
      </c>
      <c r="M78" s="923" t="s">
        <v>442</v>
      </c>
      <c r="N78" s="920" t="str">
        <f>IF(NOT(ISERROR(MATCH(M78,'[5]Tabla Impacto'!$B$221:$B$223,0))),'[5]Tabla Impacto'!$F$223&amp;"Por favor no seleccionar los criterios de impacto(Afectación Económica o presupuestal y Pérdida Reputacional)",M78)</f>
        <v xml:space="preserve">     Entre 50 y 100 SMLMV </v>
      </c>
      <c r="O78" s="917" t="str">
        <f>IF(OR(N78='[5]Tabla Impacto'!$C$11,N78='[5]Tabla Impacto'!$D$11),"Leve",IF(OR(N78='[5]Tabla Impacto'!$C$12,N78='[5]Tabla Impacto'!$D$12),"Menor",IF(OR(N78='[5]Tabla Impacto'!$C$13,N78='[5]Tabla Impacto'!$D$13),"Moderado",IF(OR(N78='[5]Tabla Impacto'!$C$14,N78='[5]Tabla Impacto'!$D$14),"Mayor",IF(OR(N78='[5]Tabla Impacto'!$C$15,N78='[5]Tabla Impacto'!$D$15),"Catastrófico","")))))</f>
        <v>Moderado</v>
      </c>
      <c r="P78" s="920">
        <f>IF(O78="","",IF(O78="Leve",0.2,IF(O78="Menor",0.4,IF(O78="Moderado",0.6,IF(O78="Mayor",0.8,IF(O78="Catastrófico",1,))))))</f>
        <v>0.6</v>
      </c>
      <c r="Q78" s="926" t="str">
        <f>IF(OR(AND(K78="Muy Baja",O78="Leve"),AND(K78="Muy Baja",O78="Menor"),AND(K78="Baja",O78="Leve")),"Bajo",IF(OR(AND(K78="Muy baja",O78="Moderado"),AND(K78="Baja",O78="Menor"),AND(K78="Baja",O78="Moderado"),AND(K78="Media",O78="Leve"),AND(K78="Media",O78="Menor"),AND(K78="Media",O78="Moderado"),AND(K78="Alta",O78="Leve"),AND(K78="Alta",O78="Menor")),"Moderado",IF(OR(AND(K78="Muy Baja",O78="Mayor"),AND(K78="Baja",O78="Mayor"),AND(K78="Media",O78="Mayor"),AND(K78="Alta",O78="Moderado"),AND(K78="Alta",O78="Mayor"),AND(K78="Muy Alta",O78="Leve"),AND(K78="Muy Alta",O78="Menor"),AND(K78="Muy Alta",O78="Moderado"),AND(K78="Muy Alta",O78="Mayor")),"Alto",IF(OR(AND(K78="Muy Baja",O78="Catastrófico"),AND(K78="Baja",O78="Catastrófico"),AND(K78="Media",O78="Catastrófico"),AND(K78="Alta",O78="Catastrófico"),AND(K78="Muy Alta",O78="Catastrófico")),"Extremo",""))))</f>
        <v>Moderado</v>
      </c>
      <c r="R78" s="374">
        <v>1</v>
      </c>
      <c r="S78" s="375" t="s">
        <v>443</v>
      </c>
      <c r="T78" s="376" t="str">
        <f>IF(OR(U78="Preventivo",U78="Detectivo"),"Probabilidad",IF(U78="Correctivo","Impacto",""))</f>
        <v>Probabilidad</v>
      </c>
      <c r="U78" s="377" t="s">
        <v>197</v>
      </c>
      <c r="V78" s="377" t="s">
        <v>191</v>
      </c>
      <c r="W78" s="378" t="str">
        <f>IF(AND(U78="Preventivo",V78="Automático"),"50%",IF(AND(U78="Preventivo",V78="Manual"),"40%",IF(AND(U78="Detectivo",V78="Automático"),"40%",IF(AND(U78="Detectivo",V78="Manual"),"30%",IF(AND(U78="Correctivo",V78="Automático"),"35%",IF(AND(U78="Correctivo",V78="Manual"),"25%",""))))))</f>
        <v>40%</v>
      </c>
      <c r="X78" s="377" t="s">
        <v>198</v>
      </c>
      <c r="Y78" s="377" t="s">
        <v>193</v>
      </c>
      <c r="Z78" s="377" t="s">
        <v>194</v>
      </c>
      <c r="AA78" s="379">
        <f>IFERROR(IF(T78="Probabilidad",(L78-(+L78*W78)),IF(T78="Impacto",L78,"")),"")</f>
        <v>0.36</v>
      </c>
      <c r="AB78" s="380" t="str">
        <f>IFERROR(IF(AA78="","",IF(AA78&lt;=0.2,"Muy Baja",IF(AA78&lt;=0.4,"Baja",IF(AA78&lt;=0.6,"Media",IF(AA78&lt;=0.8,"Alta","Muy Alta"))))),"")</f>
        <v>Baja</v>
      </c>
      <c r="AC78" s="381">
        <f>+AA78</f>
        <v>0.36</v>
      </c>
      <c r="AD78" s="380" t="str">
        <f>IFERROR(IF(AE78="","",IF(AE78&lt;=0.2,"Leve",IF(AE78&lt;=0.4,"Menor",IF(AE78&lt;=0.6,"Moderado",IF(AE78&lt;=0.8,"Mayor","Catastrófico"))))),"")</f>
        <v>Moderado</v>
      </c>
      <c r="AE78" s="381">
        <f>IFERROR(IF(T78="Impacto",(P78-(+P78*W78)),IF(T78="Probabilidad",P78,"")),"")</f>
        <v>0.6</v>
      </c>
      <c r="AF78" s="382" t="str">
        <f>IFERROR(IF(OR(AND(AB78="Muy Baja",AD78="Leve"),AND(AB78="Muy Baja",AD78="Menor"),AND(AB78="Baja",AD78="Leve")),"Bajo",IF(OR(AND(AB78="Muy baja",AD78="Moderado"),AND(AB78="Baja",AD78="Menor"),AND(AB78="Baja",AD78="Moderado"),AND(AB78="Media",AD78="Leve"),AND(AB78="Media",AD78="Menor"),AND(AB78="Media",AD78="Moderado"),AND(AB78="Alta",AD78="Leve"),AND(AB78="Alta",AD78="Menor")),"Moderado",IF(OR(AND(AB78="Muy Baja",AD78="Mayor"),AND(AB78="Baja",AD78="Mayor"),AND(AB78="Media",AD78="Mayor"),AND(AB78="Alta",AD78="Moderado"),AND(AB78="Alta",AD78="Mayor"),AND(AB78="Muy Alta",AD78="Leve"),AND(AB78="Muy Alta",AD78="Menor"),AND(AB78="Muy Alta",AD78="Moderado"),AND(AB78="Muy Alta",AD78="Mayor")),"Alto",IF(OR(AND(AB78="Muy Baja",AD78="Catastrófico"),AND(AB78="Baja",AD78="Catastrófico"),AND(AB78="Media",AD78="Catastrófico"),AND(AB78="Alta",AD78="Catastrófico"),AND(AB78="Muy Alta",AD78="Catastrófico")),"Extremo","")))),"")</f>
        <v>Moderado</v>
      </c>
      <c r="AG78" s="383" t="s">
        <v>444</v>
      </c>
      <c r="AH78" s="384"/>
      <c r="AI78" s="372"/>
      <c r="AJ78" s="372"/>
      <c r="AK78" s="372"/>
      <c r="AL78" s="372"/>
    </row>
    <row r="79" spans="1:39" x14ac:dyDescent="0.3">
      <c r="A79" s="887"/>
      <c r="B79" s="884"/>
      <c r="C79" s="884"/>
      <c r="D79" s="884"/>
      <c r="E79" s="884"/>
      <c r="F79" s="911"/>
      <c r="G79" s="911"/>
      <c r="H79" s="911"/>
      <c r="I79" s="884"/>
      <c r="J79" s="915"/>
      <c r="K79" s="918"/>
      <c r="L79" s="921"/>
      <c r="M79" s="924"/>
      <c r="N79" s="921">
        <f>IF(NOT(ISERROR(MATCH(M79,_xlfn.ANCHORARRAY(#REF!),0))),#REF!&amp;"Por favor no seleccionar los criterios de impacto",M79)</f>
        <v>0</v>
      </c>
      <c r="O79" s="918"/>
      <c r="P79" s="921"/>
      <c r="Q79" s="927"/>
      <c r="R79" s="886">
        <v>2</v>
      </c>
      <c r="S79" s="910" t="s">
        <v>445</v>
      </c>
      <c r="T79" s="937" t="str">
        <f>IF(OR(U79="Preventivo",U79="Detectivo"),"Probabilidad",IF(U79="Correctivo","Impacto",""))</f>
        <v>Probabilidad</v>
      </c>
      <c r="U79" s="895" t="s">
        <v>197</v>
      </c>
      <c r="V79" s="895" t="s">
        <v>191</v>
      </c>
      <c r="W79" s="904" t="str">
        <f t="shared" ref="W79" si="53">IF(AND(U79="Preventivo",V79="Automático"),"50%",IF(AND(U79="Preventivo",V79="Manual"),"40%",IF(AND(U79="Detectivo",V79="Automático"),"40%",IF(AND(U79="Detectivo",V79="Manual"),"30%",IF(AND(U79="Correctivo",V79="Automático"),"35%",IF(AND(U79="Correctivo",V79="Manual"),"25%",""))))))</f>
        <v>40%</v>
      </c>
      <c r="X79" s="895" t="s">
        <v>198</v>
      </c>
      <c r="Y79" s="895" t="s">
        <v>193</v>
      </c>
      <c r="Z79" s="895" t="s">
        <v>194</v>
      </c>
      <c r="AA79" s="898">
        <f>IFERROR(IF(AND(T78="Probabilidad",T79="Probabilidad"),(AC78-(+AC78*W79)),IF(T79="Probabilidad",(L78-(+L78*W79)),IF(T79="Impacto",AC78,""))),"")</f>
        <v>0.216</v>
      </c>
      <c r="AB79" s="926" t="str">
        <f t="shared" ref="AB79" si="54">IFERROR(IF(AA79="","",IF(AA79&lt;=0.2,"Muy Baja",IF(AA79&lt;=0.4,"Baja",IF(AA79&lt;=0.6,"Media",IF(AA79&lt;=0.8,"Alta","Muy Alta"))))),"")</f>
        <v>Baja</v>
      </c>
      <c r="AC79" s="948">
        <f t="shared" ref="AC79" si="55">+AA79</f>
        <v>0.216</v>
      </c>
      <c r="AD79" s="901" t="str">
        <f t="shared" ref="AD79" si="56">IFERROR(IF(AE79="","",IF(AE79&lt;=0.2,"Leve",IF(AE79&lt;=0.4,"Menor",IF(AE79&lt;=0.6,"Moderado",IF(AE79&lt;=0.8,"Mayor","Catastrófico"))))),"")</f>
        <v>Moderado</v>
      </c>
      <c r="AE79" s="904">
        <f>IFERROR(IF(AND(T78="Impacto",T79="Impacto"),(AE78-(+AE78*W79)),IF(T79="Impacto",(P78-(+P78*W79)),IF(T79="Probabilidad",AE78,""))),"")</f>
        <v>0.6</v>
      </c>
      <c r="AF79" s="907" t="str">
        <f t="shared" ref="AF79" si="57">IFERROR(IF(OR(AND(AB79="Muy Baja",AD79="Leve"),AND(AB79="Muy Baja",AD79="Menor"),AND(AB79="Baja",AD79="Leve")),"Bajo",IF(OR(AND(AB79="Muy baja",AD79="Moderado"),AND(AB79="Baja",AD79="Menor"),AND(AB79="Baja",AD79="Moderado"),AND(AB79="Media",AD79="Leve"),AND(AB79="Media",AD79="Menor"),AND(AB79="Media",AD79="Moderado"),AND(AB79="Alta",AD79="Leve"),AND(AB79="Alta",AD79="Menor")),"Moderado",IF(OR(AND(AB79="Muy Baja",AD79="Mayor"),AND(AB79="Baja",AD79="Mayor"),AND(AB79="Media",AD79="Mayor"),AND(AB79="Alta",AD79="Moderado"),AND(AB79="Alta",AD79="Mayor"),AND(AB79="Muy Alta",AD79="Leve"),AND(AB79="Muy Alta",AD79="Menor"),AND(AB79="Muy Alta",AD79="Moderado"),AND(AB79="Muy Alta",AD79="Mayor")),"Alto",IF(OR(AND(AB79="Muy Baja",AD79="Catastrófico"),AND(AB79="Baja",AD79="Catastrófico"),AND(AB79="Media",AD79="Catastrófico"),AND(AB79="Alta",AD79="Catastrófico"),AND(AB79="Muy Alta",AD79="Catastrófico")),"Extremo","")))),"")</f>
        <v>Moderado</v>
      </c>
      <c r="AG79" s="895" t="s">
        <v>444</v>
      </c>
      <c r="AH79" s="932"/>
      <c r="AI79" s="884"/>
      <c r="AJ79" s="884"/>
      <c r="AK79" s="884"/>
      <c r="AL79" s="884"/>
    </row>
    <row r="80" spans="1:39" x14ac:dyDescent="0.3">
      <c r="A80" s="887"/>
      <c r="B80" s="884"/>
      <c r="C80" s="884"/>
      <c r="D80" s="884"/>
      <c r="E80" s="884" t="s">
        <v>446</v>
      </c>
      <c r="F80" s="911"/>
      <c r="G80" s="911"/>
      <c r="H80" s="911"/>
      <c r="I80" s="884"/>
      <c r="J80" s="915"/>
      <c r="K80" s="918"/>
      <c r="L80" s="921"/>
      <c r="M80" s="924"/>
      <c r="N80" s="921">
        <f>IF(NOT(ISERROR(MATCH(M80,_xlfn.ANCHORARRAY(#REF!),0))),#REF!&amp;"Por favor no seleccionar los criterios de impacto",M80)</f>
        <v>0</v>
      </c>
      <c r="O80" s="918"/>
      <c r="P80" s="921"/>
      <c r="Q80" s="927"/>
      <c r="R80" s="887"/>
      <c r="S80" s="911"/>
      <c r="T80" s="938"/>
      <c r="U80" s="896"/>
      <c r="V80" s="896"/>
      <c r="W80" s="905"/>
      <c r="X80" s="896"/>
      <c r="Y80" s="896"/>
      <c r="Z80" s="896"/>
      <c r="AA80" s="899"/>
      <c r="AB80" s="927"/>
      <c r="AC80" s="949"/>
      <c r="AD80" s="902"/>
      <c r="AE80" s="905"/>
      <c r="AF80" s="908"/>
      <c r="AG80" s="896"/>
      <c r="AH80" s="932"/>
      <c r="AI80" s="884"/>
      <c r="AJ80" s="884"/>
      <c r="AK80" s="884"/>
      <c r="AL80" s="884"/>
    </row>
    <row r="81" spans="1:39" x14ac:dyDescent="0.3">
      <c r="A81" s="887"/>
      <c r="B81" s="884"/>
      <c r="C81" s="884"/>
      <c r="D81" s="884"/>
      <c r="E81" s="885"/>
      <c r="F81" s="911"/>
      <c r="G81" s="912"/>
      <c r="H81" s="912"/>
      <c r="I81" s="884"/>
      <c r="J81" s="915"/>
      <c r="K81" s="918"/>
      <c r="L81" s="921"/>
      <c r="M81" s="924"/>
      <c r="N81" s="921">
        <f>IF(NOT(ISERROR(MATCH(M81,_xlfn.ANCHORARRAY(#REF!),0))),#REF!&amp;"Por favor no seleccionar los criterios de impacto",M81)</f>
        <v>0</v>
      </c>
      <c r="O81" s="918"/>
      <c r="P81" s="921"/>
      <c r="Q81" s="927"/>
      <c r="R81" s="888"/>
      <c r="S81" s="912"/>
      <c r="T81" s="939"/>
      <c r="U81" s="897"/>
      <c r="V81" s="897"/>
      <c r="W81" s="906"/>
      <c r="X81" s="897"/>
      <c r="Y81" s="897"/>
      <c r="Z81" s="897"/>
      <c r="AA81" s="900"/>
      <c r="AB81" s="928"/>
      <c r="AC81" s="950"/>
      <c r="AD81" s="903"/>
      <c r="AE81" s="906"/>
      <c r="AF81" s="909"/>
      <c r="AG81" s="897"/>
      <c r="AH81" s="933"/>
      <c r="AI81" s="885"/>
      <c r="AJ81" s="885"/>
      <c r="AK81" s="885"/>
      <c r="AL81" s="885"/>
    </row>
    <row r="82" spans="1:39" ht="80.400000000000006" x14ac:dyDescent="0.3">
      <c r="A82" s="886">
        <v>2</v>
      </c>
      <c r="B82" s="883" t="s">
        <v>354</v>
      </c>
      <c r="C82" s="883" t="s">
        <v>437</v>
      </c>
      <c r="D82" s="910" t="s">
        <v>447</v>
      </c>
      <c r="E82" s="373" t="s">
        <v>448</v>
      </c>
      <c r="F82" s="910" t="s">
        <v>449</v>
      </c>
      <c r="G82" s="910" t="s">
        <v>202</v>
      </c>
      <c r="H82" s="910" t="s">
        <v>450</v>
      </c>
      <c r="I82" s="883" t="s">
        <v>190</v>
      </c>
      <c r="J82" s="914">
        <v>24</v>
      </c>
      <c r="K82" s="917" t="str">
        <f>IF(J82&lt;=0,"",IF(J82&lt;=2,"Muy Baja",IF(J82&lt;=24,"Baja",IF(J82&lt;=500,"Media",IF(J82&lt;=5000,"Alta","Muy Alta")))))</f>
        <v>Baja</v>
      </c>
      <c r="L82" s="920">
        <f>IF(K82="","",IF(K82="Muy Baja",0.2,IF(K82="Baja",0.4,IF(K82="Media",0.6,IF(K82="Alta",0.8,IF(K82="Muy Alta",1,))))))</f>
        <v>0.4</v>
      </c>
      <c r="M82" s="923" t="s">
        <v>451</v>
      </c>
      <c r="N82" s="920" t="str">
        <f>IF(NOT(ISERROR(MATCH(M82,'[5]Tabla Impacto'!$B$221:$B$223,0))),'[5]Tabla Impacto'!$F$223&amp;"Por favor no seleccionar los criterios de impacto(Afectación Económica o presupuestal y Pérdida Reputacional)",M82)</f>
        <v xml:space="preserve">     Entre 10 y 50 SMLMV </v>
      </c>
      <c r="O82" s="917" t="str">
        <f>IF(OR(N82='[5]Tabla Impacto'!$C$11,N82='[5]Tabla Impacto'!$D$11),"Leve",IF(OR(N82='[5]Tabla Impacto'!$C$12,N82='[5]Tabla Impacto'!$D$12),"Menor",IF(OR(N82='[5]Tabla Impacto'!$C$13,N82='[5]Tabla Impacto'!$D$13),"Moderado",IF(OR(N82='[5]Tabla Impacto'!$C$14,N82='[5]Tabla Impacto'!$D$14),"Mayor",IF(OR(N82='[5]Tabla Impacto'!$C$15,N82='[5]Tabla Impacto'!$D$15),"Catastrófico","")))))</f>
        <v>Menor</v>
      </c>
      <c r="P82" s="920">
        <f>IF(O82="","",IF(O82="Leve",0.2,IF(O82="Menor",0.4,IF(O82="Moderado",0.6,IF(O82="Mayor",0.8,IF(O82="Catastrófico",1,))))))</f>
        <v>0.4</v>
      </c>
      <c r="Q82" s="926"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886">
        <v>1</v>
      </c>
      <c r="S82" s="387" t="s">
        <v>452</v>
      </c>
      <c r="T82" s="388" t="str">
        <f>IF(OR(U82="Preventivo",U82="Detectivo"),"Probabilidad",IF(U82="Correctivo","Impacto",""))</f>
        <v>Probabilidad</v>
      </c>
      <c r="U82" s="377" t="s">
        <v>197</v>
      </c>
      <c r="V82" s="389" t="s">
        <v>191</v>
      </c>
      <c r="W82" s="389" t="str">
        <f>IF(AND(U82="Preventivo",V82="Automático"),"50%",IF(AND(U82="Preventivo",V82="Manual"),"40%",IF(AND(U82="Detectivo",V82="Automático"),"40%",IF(AND(U82="Detectivo",V82="Manual"),"30%",IF(AND(U82="Correctivo",V82="Automático"),"35%",IF(AND(U82="Correctivo",V82="Manual"),"25%",""))))))</f>
        <v>40%</v>
      </c>
      <c r="X82" s="389" t="s">
        <v>198</v>
      </c>
      <c r="Y82" s="389" t="s">
        <v>193</v>
      </c>
      <c r="Z82" s="389" t="s">
        <v>194</v>
      </c>
      <c r="AA82" s="379">
        <f>IFERROR(IF(T82="Probabilidad",(L82-(+L82*W82)),IF(T82="Impacto",L82,"")),"")</f>
        <v>0.24</v>
      </c>
      <c r="AB82" s="390" t="str">
        <f>IFERROR(IF(AA82="","",IF(AA82&lt;=0.2,"Muy Baja",IF(AA82&lt;=0.4,"Baja",IF(AA82&lt;=0.6,"Media",IF(AA82&lt;=0.8,"Alta","Muy Alta"))))),"")</f>
        <v>Baja</v>
      </c>
      <c r="AC82" s="386">
        <f>+AA82</f>
        <v>0.24</v>
      </c>
      <c r="AD82" s="390" t="str">
        <f>IFERROR(IF(AE82="","",IF(AE82&lt;=0.2,"Leve",IF(AE82&lt;=0.4,"Menor",IF(AE82&lt;=0.6,"Moderado",IF(AE82&lt;=0.8,"Mayor","Catastrófico"))))),"")</f>
        <v>Menor</v>
      </c>
      <c r="AE82" s="386">
        <f>IFERROR(IF(T82="Impacto",(P82-(+P82*W82)),IF(T82="Probabilidad",P82,"")),"")</f>
        <v>0.4</v>
      </c>
      <c r="AF82" s="391" t="str">
        <f>IFERROR(IF(OR(AND(AB82="Muy Baja",AD82="Leve"),AND(AB82="Muy Baja",AD82="Menor"),AND(AB82="Baja",AD82="Leve")),"Bajo",IF(OR(AND(AB82="Muy baja",AD82="Moderado"),AND(AB82="Baja",AD82="Menor"),AND(AB82="Baja",AD82="Moderado"),AND(AB82="Media",AD82="Leve"),AND(AB82="Media",AD82="Menor"),AND(AB82="Media",AD82="Moderado"),AND(AB82="Alta",AD82="Leve"),AND(AB82="Alta",AD82="Menor")),"Moderado",IF(OR(AND(AB82="Muy Baja",AD82="Mayor"),AND(AB82="Baja",AD82="Mayor"),AND(AB82="Media",AD82="Mayor"),AND(AB82="Alta",AD82="Moderado"),AND(AB82="Alta",AD82="Mayor"),AND(AB82="Muy Alta",AD82="Leve"),AND(AB82="Muy Alta",AD82="Menor"),AND(AB82="Muy Alta",AD82="Moderado"),AND(AB82="Muy Alta",AD82="Mayor")),"Alto",IF(OR(AND(AB82="Muy Baja",AD82="Catastrófico"),AND(AB82="Baja",AD82="Catastrófico"),AND(AB82="Media",AD82="Catastrófico"),AND(AB82="Alta",AD82="Catastrófico"),AND(AB82="Muy Alta",AD82="Catastrófico")),"Extremo","")))),"")</f>
        <v>Moderado</v>
      </c>
      <c r="AG82" s="389" t="s">
        <v>444</v>
      </c>
      <c r="AH82" s="384"/>
      <c r="AI82" s="372"/>
      <c r="AJ82" s="372"/>
      <c r="AK82" s="372"/>
      <c r="AL82" s="372"/>
    </row>
    <row r="83" spans="1:39" ht="45" x14ac:dyDescent="0.3">
      <c r="A83" s="887"/>
      <c r="B83" s="884"/>
      <c r="C83" s="884"/>
      <c r="D83" s="911"/>
      <c r="E83" s="911" t="s">
        <v>453</v>
      </c>
      <c r="F83" s="911"/>
      <c r="G83" s="911"/>
      <c r="H83" s="911"/>
      <c r="I83" s="884"/>
      <c r="J83" s="915"/>
      <c r="K83" s="918"/>
      <c r="L83" s="921"/>
      <c r="M83" s="924"/>
      <c r="N83" s="921">
        <f>IF(NOT(ISERROR(MATCH(M83,_xlfn.ANCHORARRAY(#REF!),0))),#REF!&amp;"Por favor no seleccionar los criterios de impacto",M83)</f>
        <v>0</v>
      </c>
      <c r="O83" s="918"/>
      <c r="P83" s="921"/>
      <c r="Q83" s="927"/>
      <c r="R83" s="888"/>
      <c r="S83" s="392" t="s">
        <v>454</v>
      </c>
      <c r="T83" s="929" t="str">
        <f>IF(OR(U83="Preventivo",U83="Detectivo"),"Probabilidad",IF(U83="Correctivo","Impacto",""))</f>
        <v>Probabilidad</v>
      </c>
      <c r="U83" s="895" t="s">
        <v>197</v>
      </c>
      <c r="V83" s="895" t="s">
        <v>191</v>
      </c>
      <c r="W83" s="895" t="str">
        <f>IF(AND(U83="Preventivo",V83="Automático"),"50%",IF(AND(U83="Preventivo",V83="Manual"),"40%",IF(AND(U83="Detectivo",V83="Automático"),"40%",IF(AND(U83="Detectivo",V83="Manual"),"30%",IF(AND(U83="Correctivo",V83="Automático"),"35%",IF(AND(U83="Correctivo",V83="Manual"),"25%",""))))))</f>
        <v>40%</v>
      </c>
      <c r="X83" s="895" t="s">
        <v>198</v>
      </c>
      <c r="Y83" s="895" t="s">
        <v>193</v>
      </c>
      <c r="Z83" s="895" t="s">
        <v>194</v>
      </c>
      <c r="AA83" s="898">
        <f>IFERROR(IF(T83="Probabilidad",(L83-(+L83*W83)),IF(T83="Impacto",L83,"")),"")</f>
        <v>0</v>
      </c>
      <c r="AB83" s="901" t="str">
        <f t="shared" ref="AB83" si="58">IFERROR(IF(AA83="","",IF(AA83&lt;=0.2,"Muy Baja",IF(AA83&lt;=0.4,"Baja",IF(AA83&lt;=0.6,"Media",IF(AA83&lt;=0.8,"Alta","Muy Alta"))))),"")</f>
        <v>Muy Baja</v>
      </c>
      <c r="AC83" s="904">
        <f t="shared" ref="AC83" si="59">+AA83</f>
        <v>0</v>
      </c>
      <c r="AD83" s="901" t="str">
        <f t="shared" ref="AD83" si="60">IFERROR(IF(AE83="","",IF(AE83&lt;=0.2,"Leve",IF(AE83&lt;=0.4,"Menor",IF(AE83&lt;=0.6,"Moderado",IF(AE83&lt;=0.8,"Mayor","Catastrófico"))))),"")</f>
        <v>Leve</v>
      </c>
      <c r="AE83" s="904">
        <f t="shared" ref="AE83" si="61">IFERROR(IF(T83="Impacto",(P83-(+P83*W83)),IF(T83="Probabilidad",P83,"")),"")</f>
        <v>0</v>
      </c>
      <c r="AF83" s="907" t="str">
        <f t="shared" ref="AF83" si="62">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Bajo</v>
      </c>
      <c r="AG83" s="895" t="s">
        <v>444</v>
      </c>
      <c r="AH83" s="932"/>
      <c r="AI83" s="884"/>
      <c r="AJ83" s="884"/>
      <c r="AK83" s="884"/>
      <c r="AL83" s="884"/>
    </row>
    <row r="84" spans="1:39" ht="60" x14ac:dyDescent="0.3">
      <c r="A84" s="887"/>
      <c r="B84" s="884"/>
      <c r="C84" s="884"/>
      <c r="D84" s="911"/>
      <c r="E84" s="911"/>
      <c r="F84" s="911"/>
      <c r="G84" s="911"/>
      <c r="H84" s="911"/>
      <c r="I84" s="884"/>
      <c r="J84" s="915"/>
      <c r="K84" s="918"/>
      <c r="L84" s="921"/>
      <c r="M84" s="924"/>
      <c r="N84" s="385"/>
      <c r="O84" s="918"/>
      <c r="P84" s="921"/>
      <c r="Q84" s="927"/>
      <c r="R84" s="886">
        <v>2</v>
      </c>
      <c r="S84" s="387" t="s">
        <v>455</v>
      </c>
      <c r="T84" s="930"/>
      <c r="U84" s="896"/>
      <c r="V84" s="896"/>
      <c r="W84" s="896"/>
      <c r="X84" s="896"/>
      <c r="Y84" s="896"/>
      <c r="Z84" s="896"/>
      <c r="AA84" s="899"/>
      <c r="AB84" s="902"/>
      <c r="AC84" s="905"/>
      <c r="AD84" s="902"/>
      <c r="AE84" s="905"/>
      <c r="AF84" s="908"/>
      <c r="AG84" s="896"/>
      <c r="AH84" s="932"/>
      <c r="AI84" s="884"/>
      <c r="AJ84" s="884"/>
      <c r="AK84" s="884"/>
      <c r="AL84" s="884"/>
    </row>
    <row r="85" spans="1:39" ht="15" x14ac:dyDescent="0.3">
      <c r="A85" s="888"/>
      <c r="B85" s="885"/>
      <c r="C85" s="884"/>
      <c r="D85" s="912"/>
      <c r="E85" s="912"/>
      <c r="F85" s="912"/>
      <c r="G85" s="912"/>
      <c r="H85" s="912"/>
      <c r="I85" s="885"/>
      <c r="J85" s="916"/>
      <c r="K85" s="919"/>
      <c r="L85" s="922"/>
      <c r="M85" s="925"/>
      <c r="N85" s="385"/>
      <c r="O85" s="919"/>
      <c r="P85" s="922"/>
      <c r="Q85" s="928"/>
      <c r="R85" s="888"/>
      <c r="S85" s="392"/>
      <c r="T85" s="931"/>
      <c r="U85" s="897"/>
      <c r="V85" s="897"/>
      <c r="W85" s="897"/>
      <c r="X85" s="897"/>
      <c r="Y85" s="897"/>
      <c r="Z85" s="897"/>
      <c r="AA85" s="900"/>
      <c r="AB85" s="903"/>
      <c r="AC85" s="906"/>
      <c r="AD85" s="903"/>
      <c r="AE85" s="906"/>
      <c r="AF85" s="909"/>
      <c r="AG85" s="897"/>
      <c r="AH85" s="933"/>
      <c r="AI85" s="885"/>
      <c r="AJ85" s="885"/>
      <c r="AK85" s="885"/>
      <c r="AL85" s="885"/>
    </row>
    <row r="86" spans="1:39" ht="15" x14ac:dyDescent="0.3">
      <c r="A86" s="886">
        <v>3</v>
      </c>
      <c r="B86" s="883" t="s">
        <v>354</v>
      </c>
      <c r="C86" s="883" t="s">
        <v>437</v>
      </c>
      <c r="D86" s="883" t="s">
        <v>456</v>
      </c>
      <c r="E86" s="883" t="s">
        <v>457</v>
      </c>
      <c r="F86" s="910" t="s">
        <v>458</v>
      </c>
      <c r="G86" s="910" t="s">
        <v>203</v>
      </c>
      <c r="H86" s="910" t="s">
        <v>450</v>
      </c>
      <c r="I86" s="883" t="s">
        <v>190</v>
      </c>
      <c r="J86" s="914">
        <v>2</v>
      </c>
      <c r="K86" s="917" t="str">
        <f>IF(J86&lt;=0,"",IF(J86&lt;=2,"Muy Baja",IF(J86&lt;=24,"Baja",IF(J86&lt;=500,"Media",IF(J86&lt;=5000,"Alta","Muy Alta")))))</f>
        <v>Muy Baja</v>
      </c>
      <c r="L86" s="920">
        <f>IF(K86="","",IF(K86="Muy Baja",0.2,IF(K86="Baja",0.4,IF(K86="Media",0.6,IF(K86="Alta",0.8,IF(K86="Muy Alta",1,))))))</f>
        <v>0.2</v>
      </c>
      <c r="M86" s="923" t="s">
        <v>459</v>
      </c>
      <c r="N86" s="920" t="str">
        <f>IF(NOT(ISERROR(MATCH(M86,'[5]Tabla Impacto'!$B$221:$B$223,0))),'[5]Tabla Impacto'!$F$223&amp;"Por favor no seleccionar los criterios de impacto(Afectación Económica o presupuestal y Pérdida Reputacional)",M86)</f>
        <v xml:space="preserve">     Afectación menor a 10 SMLMV .</v>
      </c>
      <c r="O86" s="917" t="str">
        <f>IF(OR(N86='[5]Tabla Impacto'!$C$11,N86='[5]Tabla Impacto'!$D$11),"Leve",IF(OR(N86='[5]Tabla Impacto'!$C$12,N86='[5]Tabla Impacto'!$D$12),"Menor",IF(OR(N86='[5]Tabla Impacto'!$C$13,N86='[5]Tabla Impacto'!$D$13),"Moderado",IF(OR(N86='[5]Tabla Impacto'!$C$14,N86='[5]Tabla Impacto'!$D$14),"Mayor",IF(OR(N86='[5]Tabla Impacto'!$C$15,N86='[5]Tabla Impacto'!$D$15),"Catastrófico","")))))</f>
        <v>Leve</v>
      </c>
      <c r="P86" s="920">
        <f>IF(O86="","",IF(O86="Leve",0.2,IF(O86="Menor",0.4,IF(O86="Moderado",0.6,IF(O86="Mayor",0.8,IF(O86="Catastrófico",1,))))))</f>
        <v>0.2</v>
      </c>
      <c r="Q86" s="926" t="str">
        <f>IF(OR(AND(K86="Muy Baja",O86="Leve"),AND(K86="Muy Baja",O86="Menor"),AND(K86="Baja",O86="Leve")),"Bajo",IF(OR(AND(K86="Muy baja",O86="Moderado"),AND(K86="Baja",O86="Menor"),AND(K86="Baja",O86="Moderado"),AND(K86="Media",O86="Leve"),AND(K86="Media",O86="Menor"),AND(K86="Media",O86="Moderado"),AND(K86="Alta",O86="Leve"),AND(K86="Alta",O86="Menor")),"Moderado",IF(OR(AND(K86="Muy Baja",O86="Mayor"),AND(K86="Baja",O86="Mayor"),AND(K86="Media",O86="Mayor"),AND(K86="Alta",O86="Moderado"),AND(K86="Alta",O86="Mayor"),AND(K86="Muy Alta",O86="Leve"),AND(K86="Muy Alta",O86="Menor"),AND(K86="Muy Alta",O86="Moderado"),AND(K86="Muy Alta",O86="Mayor")),"Alto",IF(OR(AND(K86="Muy Baja",O86="Catastrófico"),AND(K86="Baja",O86="Catastrófico"),AND(K86="Media",O86="Catastrófico"),AND(K86="Alta",O86="Catastrófico"),AND(K86="Muy Alta",O86="Catastrófico")),"Extremo",""))))</f>
        <v>Bajo</v>
      </c>
      <c r="R86" s="374">
        <v>1</v>
      </c>
      <c r="S86" s="883" t="s">
        <v>460</v>
      </c>
      <c r="T86" s="929" t="str">
        <f>IF(OR(U86="Preventivo",U86="Detectivo"),"Probabilidad",IF(U86="Correctivo","Impacto",""))</f>
        <v>Probabilidad</v>
      </c>
      <c r="U86" s="895" t="s">
        <v>197</v>
      </c>
      <c r="V86" s="895" t="s">
        <v>191</v>
      </c>
      <c r="W86" s="895" t="str">
        <f>IF(AND(U86="Preventivo",V86="Automático"),"50%",IF(AND(U86="Preventivo",V86="Manual"),"40%",IF(AND(U86="Detectivo",V86="Automático"),"40%",IF(AND(U86="Detectivo",V86="Manual"),"30%",IF(AND(U86="Correctivo",V86="Automático"),"35%",IF(AND(U86="Correctivo",V86="Manual"),"25%",""))))))</f>
        <v>40%</v>
      </c>
      <c r="X86" s="895" t="s">
        <v>198</v>
      </c>
      <c r="Y86" s="895" t="s">
        <v>193</v>
      </c>
      <c r="Z86" s="895" t="s">
        <v>194</v>
      </c>
      <c r="AA86" s="898">
        <f>IFERROR(IF(T86="Probabilidad",(L86-(+L86*W86)),IF(T86="Impacto",L86,"")),"")</f>
        <v>0.12</v>
      </c>
      <c r="AB86" s="901" t="str">
        <f>IFERROR(IF(AA86="","",IF(AA86&lt;=0.2,"Muy Baja",IF(AA86&lt;=0.4,"Baja",IF(AA86&lt;=0.6,"Media",IF(AA86&lt;=0.8,"Alta","Muy Alta"))))),"")</f>
        <v>Muy Baja</v>
      </c>
      <c r="AC86" s="904">
        <f>+AA86</f>
        <v>0.12</v>
      </c>
      <c r="AD86" s="901" t="str">
        <f>IFERROR(IF(AE86="","",IF(AE86&lt;=0.2,"Leve",IF(AE86&lt;=0.4,"Menor",IF(AE86&lt;=0.6,"Moderado",IF(AE86&lt;=0.8,"Mayor","Catastrófico"))))),"")</f>
        <v>Leve</v>
      </c>
      <c r="AE86" s="904">
        <f>IFERROR(IF(T86="Impacto",(P86-(+P86*W86)),IF(T86="Probabilidad",P86,"")),"")</f>
        <v>0.2</v>
      </c>
      <c r="AF86" s="907" t="str">
        <f>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Bajo</v>
      </c>
      <c r="AG86" s="895" t="s">
        <v>444</v>
      </c>
      <c r="AH86" s="934"/>
      <c r="AI86" s="883"/>
      <c r="AJ86" s="883"/>
      <c r="AK86" s="883"/>
      <c r="AL86" s="883"/>
    </row>
    <row r="87" spans="1:39" ht="15" x14ac:dyDescent="0.3">
      <c r="A87" s="887"/>
      <c r="B87" s="884"/>
      <c r="C87" s="884"/>
      <c r="D87" s="884"/>
      <c r="E87" s="884"/>
      <c r="F87" s="911"/>
      <c r="G87" s="911"/>
      <c r="H87" s="911"/>
      <c r="I87" s="884"/>
      <c r="J87" s="915"/>
      <c r="K87" s="918"/>
      <c r="L87" s="921"/>
      <c r="M87" s="924"/>
      <c r="N87" s="921"/>
      <c r="O87" s="918"/>
      <c r="P87" s="921"/>
      <c r="Q87" s="927"/>
      <c r="R87" s="374"/>
      <c r="S87" s="884"/>
      <c r="T87" s="930"/>
      <c r="U87" s="896"/>
      <c r="V87" s="896"/>
      <c r="W87" s="896"/>
      <c r="X87" s="896"/>
      <c r="Y87" s="896"/>
      <c r="Z87" s="896"/>
      <c r="AA87" s="899"/>
      <c r="AB87" s="902"/>
      <c r="AC87" s="905"/>
      <c r="AD87" s="902"/>
      <c r="AE87" s="905"/>
      <c r="AF87" s="908"/>
      <c r="AG87" s="896"/>
      <c r="AH87" s="935"/>
      <c r="AI87" s="884"/>
      <c r="AJ87" s="884"/>
      <c r="AK87" s="884"/>
      <c r="AL87" s="884"/>
    </row>
    <row r="88" spans="1:39" ht="15" x14ac:dyDescent="0.3">
      <c r="A88" s="887"/>
      <c r="B88" s="884"/>
      <c r="C88" s="884"/>
      <c r="D88" s="884"/>
      <c r="E88" s="884"/>
      <c r="F88" s="911"/>
      <c r="G88" s="911"/>
      <c r="H88" s="911"/>
      <c r="I88" s="884"/>
      <c r="J88" s="915"/>
      <c r="K88" s="918"/>
      <c r="L88" s="921"/>
      <c r="M88" s="924"/>
      <c r="N88" s="921"/>
      <c r="O88" s="918"/>
      <c r="P88" s="921"/>
      <c r="Q88" s="927"/>
      <c r="R88" s="374"/>
      <c r="S88" s="884"/>
      <c r="T88" s="930"/>
      <c r="U88" s="896"/>
      <c r="V88" s="896"/>
      <c r="W88" s="896"/>
      <c r="X88" s="896"/>
      <c r="Y88" s="896"/>
      <c r="Z88" s="896"/>
      <c r="AA88" s="899"/>
      <c r="AB88" s="902"/>
      <c r="AC88" s="905"/>
      <c r="AD88" s="902"/>
      <c r="AE88" s="905"/>
      <c r="AF88" s="908"/>
      <c r="AG88" s="896"/>
      <c r="AH88" s="935"/>
      <c r="AI88" s="884"/>
      <c r="AJ88" s="884"/>
      <c r="AK88" s="884"/>
      <c r="AL88" s="884"/>
    </row>
    <row r="89" spans="1:39" ht="15" x14ac:dyDescent="0.3">
      <c r="A89" s="887"/>
      <c r="B89" s="885"/>
      <c r="C89" s="884"/>
      <c r="D89" s="885"/>
      <c r="E89" s="885"/>
      <c r="F89" s="912"/>
      <c r="G89" s="913"/>
      <c r="H89" s="912"/>
      <c r="I89" s="885"/>
      <c r="J89" s="916"/>
      <c r="K89" s="919"/>
      <c r="L89" s="922"/>
      <c r="M89" s="925"/>
      <c r="N89" s="922"/>
      <c r="O89" s="919"/>
      <c r="P89" s="922"/>
      <c r="Q89" s="928"/>
      <c r="R89" s="374"/>
      <c r="S89" s="885"/>
      <c r="T89" s="931"/>
      <c r="U89" s="897"/>
      <c r="V89" s="897"/>
      <c r="W89" s="897"/>
      <c r="X89" s="897"/>
      <c r="Y89" s="897"/>
      <c r="Z89" s="897"/>
      <c r="AA89" s="900"/>
      <c r="AB89" s="903"/>
      <c r="AC89" s="906"/>
      <c r="AD89" s="903"/>
      <c r="AE89" s="906"/>
      <c r="AF89" s="909"/>
      <c r="AG89" s="897"/>
      <c r="AH89" s="936"/>
      <c r="AI89" s="885"/>
      <c r="AJ89" s="885"/>
      <c r="AK89" s="885"/>
      <c r="AL89" s="885"/>
    </row>
    <row r="90" spans="1:39" x14ac:dyDescent="0.3">
      <c r="A90" s="889" t="s">
        <v>148</v>
      </c>
      <c r="B90" s="890"/>
      <c r="C90" s="890"/>
      <c r="D90" s="890"/>
      <c r="E90" s="890"/>
      <c r="F90" s="890"/>
      <c r="G90" s="890"/>
      <c r="H90" s="890"/>
      <c r="I90" s="890"/>
      <c r="J90" s="890"/>
      <c r="K90" s="890"/>
      <c r="L90" s="890"/>
      <c r="M90" s="890"/>
      <c r="N90" s="890"/>
      <c r="O90" s="890"/>
      <c r="P90" s="890"/>
      <c r="Q90" s="890"/>
      <c r="R90" s="890"/>
      <c r="S90" s="890"/>
      <c r="T90" s="890"/>
      <c r="U90" s="890"/>
      <c r="V90" s="890"/>
      <c r="W90" s="890"/>
      <c r="X90" s="890"/>
      <c r="Y90" s="890"/>
      <c r="Z90" s="890"/>
      <c r="AA90" s="890"/>
      <c r="AB90" s="890"/>
      <c r="AC90" s="890"/>
      <c r="AD90" s="890"/>
      <c r="AE90" s="890"/>
      <c r="AF90" s="890"/>
      <c r="AG90" s="890"/>
      <c r="AH90" s="890"/>
      <c r="AI90" s="890"/>
      <c r="AJ90" s="890"/>
      <c r="AK90" s="890"/>
      <c r="AL90" s="890"/>
      <c r="AM90" s="891"/>
    </row>
    <row r="91" spans="1:39" x14ac:dyDescent="0.3">
      <c r="A91" s="892"/>
      <c r="B91" s="893"/>
      <c r="C91" s="893"/>
      <c r="D91" s="893"/>
      <c r="E91" s="893"/>
      <c r="F91" s="893"/>
      <c r="G91" s="893"/>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893"/>
      <c r="AK91" s="893"/>
      <c r="AL91" s="893"/>
      <c r="AM91" s="894"/>
    </row>
    <row r="92" spans="1:39" ht="14.4" x14ac:dyDescent="0.3">
      <c r="A92" s="42"/>
      <c r="B92" s="43"/>
      <c r="C92" s="42"/>
      <c r="D92" s="42"/>
      <c r="E92" s="42"/>
      <c r="F92" s="41"/>
      <c r="G92" s="41"/>
      <c r="H92" s="41"/>
      <c r="I92" s="44"/>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row>
    <row r="93" spans="1:39" ht="23.4" x14ac:dyDescent="0.3">
      <c r="A93" s="734" t="s">
        <v>149</v>
      </c>
      <c r="B93" s="735"/>
      <c r="C93" s="747" t="s">
        <v>461</v>
      </c>
      <c r="D93" s="747"/>
      <c r="E93" s="747"/>
      <c r="F93" s="747"/>
      <c r="G93" s="747"/>
      <c r="H93" s="747"/>
      <c r="I93" s="747"/>
      <c r="J93" s="747"/>
      <c r="K93" s="747"/>
      <c r="L93" s="747"/>
      <c r="M93" s="747"/>
      <c r="N93" s="747"/>
      <c r="O93" s="747"/>
      <c r="P93" s="747"/>
      <c r="Q93" s="747"/>
      <c r="R93" s="747"/>
      <c r="S93" s="747"/>
      <c r="T93" s="747"/>
      <c r="U93" s="747"/>
      <c r="V93" s="747"/>
      <c r="W93" s="747"/>
      <c r="X93" s="747"/>
      <c r="Y93" s="747"/>
      <c r="Z93" s="747"/>
      <c r="AA93" s="747"/>
      <c r="AB93" s="747"/>
      <c r="AC93" s="747"/>
      <c r="AD93" s="747"/>
      <c r="AE93" s="747"/>
      <c r="AF93" s="747"/>
      <c r="AG93" s="747"/>
      <c r="AH93" s="747"/>
      <c r="AI93" s="747"/>
      <c r="AJ93" s="747"/>
      <c r="AK93" s="747"/>
      <c r="AL93" s="747"/>
      <c r="AM93" s="747"/>
    </row>
    <row r="94" spans="1:39" ht="23.4" x14ac:dyDescent="0.3">
      <c r="A94" s="734" t="s">
        <v>150</v>
      </c>
      <c r="B94" s="735"/>
      <c r="C94" s="747" t="s">
        <v>462</v>
      </c>
      <c r="D94" s="747"/>
      <c r="E94" s="747"/>
      <c r="F94" s="747"/>
      <c r="G94" s="747"/>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7"/>
      <c r="AL94" s="747"/>
      <c r="AM94" s="747"/>
    </row>
    <row r="95" spans="1:39" ht="23.4" x14ac:dyDescent="0.3">
      <c r="A95" s="734" t="s">
        <v>151</v>
      </c>
      <c r="B95" s="735"/>
      <c r="C95" s="736" t="s">
        <v>463</v>
      </c>
      <c r="D95" s="736"/>
      <c r="E95" s="736"/>
      <c r="F95" s="736"/>
      <c r="G95" s="736"/>
      <c r="H95" s="736"/>
      <c r="I95" s="736"/>
      <c r="J95" s="736"/>
      <c r="K95" s="736"/>
      <c r="L95" s="736"/>
      <c r="M95" s="736"/>
      <c r="N95" s="736"/>
      <c r="O95" s="736"/>
      <c r="P95" s="736"/>
      <c r="Q95" s="736"/>
      <c r="R95" s="736"/>
      <c r="S95" s="736"/>
      <c r="T95" s="736"/>
      <c r="U95" s="736"/>
      <c r="V95" s="736"/>
      <c r="W95" s="736"/>
      <c r="X95" s="736"/>
      <c r="Y95" s="736"/>
      <c r="Z95" s="736"/>
      <c r="AA95" s="736"/>
      <c r="AB95" s="736"/>
      <c r="AC95" s="736"/>
      <c r="AD95" s="736"/>
      <c r="AE95" s="736"/>
      <c r="AF95" s="736"/>
      <c r="AG95" s="736"/>
      <c r="AH95" s="736"/>
      <c r="AI95" s="736"/>
      <c r="AJ95" s="736"/>
      <c r="AK95" s="736"/>
      <c r="AL95" s="736"/>
      <c r="AM95" s="736"/>
    </row>
    <row r="96" spans="1:39" x14ac:dyDescent="0.3">
      <c r="A96" s="737" t="s">
        <v>152</v>
      </c>
      <c r="B96" s="738"/>
      <c r="C96" s="739"/>
      <c r="D96" s="739"/>
      <c r="E96" s="739"/>
      <c r="F96" s="739"/>
      <c r="G96" s="739"/>
      <c r="H96" s="739"/>
      <c r="I96" s="739"/>
      <c r="J96" s="740"/>
      <c r="K96" s="724" t="s">
        <v>153</v>
      </c>
      <c r="L96" s="739"/>
      <c r="M96" s="739"/>
      <c r="N96" s="739"/>
      <c r="O96" s="739"/>
      <c r="P96" s="739"/>
      <c r="Q96" s="740"/>
      <c r="R96" s="724" t="s">
        <v>154</v>
      </c>
      <c r="S96" s="739"/>
      <c r="T96" s="739"/>
      <c r="U96" s="739"/>
      <c r="V96" s="739"/>
      <c r="W96" s="739"/>
      <c r="X96" s="739"/>
      <c r="Y96" s="739"/>
      <c r="Z96" s="740"/>
      <c r="AA96" s="724" t="s">
        <v>155</v>
      </c>
      <c r="AB96" s="739"/>
      <c r="AC96" s="739"/>
      <c r="AD96" s="739"/>
      <c r="AE96" s="739"/>
      <c r="AF96" s="739"/>
      <c r="AG96" s="740"/>
      <c r="AH96" s="724" t="s">
        <v>156</v>
      </c>
      <c r="AI96" s="739"/>
      <c r="AJ96" s="739"/>
      <c r="AK96" s="739"/>
      <c r="AL96" s="739"/>
      <c r="AM96" s="740"/>
    </row>
    <row r="97" spans="1:39" x14ac:dyDescent="0.3">
      <c r="A97" s="728" t="s">
        <v>157</v>
      </c>
      <c r="B97" s="730" t="s">
        <v>141</v>
      </c>
      <c r="C97" s="726" t="s">
        <v>158</v>
      </c>
      <c r="D97" s="726" t="s">
        <v>159</v>
      </c>
      <c r="E97" s="725" t="s">
        <v>160</v>
      </c>
      <c r="F97" s="732" t="s">
        <v>60</v>
      </c>
      <c r="G97" s="38"/>
      <c r="H97" s="38"/>
      <c r="I97" s="725" t="s">
        <v>161</v>
      </c>
      <c r="J97" s="726" t="s">
        <v>162</v>
      </c>
      <c r="K97" s="731" t="s">
        <v>163</v>
      </c>
      <c r="L97" s="723" t="s">
        <v>164</v>
      </c>
      <c r="M97" s="725" t="s">
        <v>165</v>
      </c>
      <c r="N97" s="725" t="s">
        <v>166</v>
      </c>
      <c r="O97" s="727" t="s">
        <v>167</v>
      </c>
      <c r="P97" s="723" t="s">
        <v>164</v>
      </c>
      <c r="Q97" s="726" t="s">
        <v>168</v>
      </c>
      <c r="R97" s="721" t="s">
        <v>169</v>
      </c>
      <c r="S97" s="699" t="s">
        <v>170</v>
      </c>
      <c r="T97" s="725" t="s">
        <v>171</v>
      </c>
      <c r="U97" s="699" t="s">
        <v>172</v>
      </c>
      <c r="V97" s="699"/>
      <c r="W97" s="699"/>
      <c r="X97" s="699"/>
      <c r="Y97" s="699"/>
      <c r="Z97" s="699"/>
      <c r="AA97" s="720" t="s">
        <v>173</v>
      </c>
      <c r="AB97" s="720" t="s">
        <v>174</v>
      </c>
      <c r="AC97" s="720" t="s">
        <v>164</v>
      </c>
      <c r="AD97" s="720" t="s">
        <v>175</v>
      </c>
      <c r="AE97" s="720" t="s">
        <v>164</v>
      </c>
      <c r="AF97" s="720" t="s">
        <v>176</v>
      </c>
      <c r="AG97" s="721" t="s">
        <v>177</v>
      </c>
      <c r="AH97" s="699" t="s">
        <v>156</v>
      </c>
      <c r="AI97" s="699" t="s">
        <v>142</v>
      </c>
      <c r="AJ97" s="699" t="s">
        <v>178</v>
      </c>
      <c r="AK97" s="699" t="s">
        <v>179</v>
      </c>
      <c r="AL97" s="699" t="s">
        <v>464</v>
      </c>
      <c r="AM97" s="699" t="s">
        <v>181</v>
      </c>
    </row>
    <row r="98" spans="1:39" ht="71.400000000000006" x14ac:dyDescent="0.3">
      <c r="A98" s="729"/>
      <c r="B98" s="730"/>
      <c r="C98" s="699"/>
      <c r="D98" s="699"/>
      <c r="E98" s="731"/>
      <c r="F98" s="733"/>
      <c r="G98" s="38" t="s">
        <v>201</v>
      </c>
      <c r="H98" s="38" t="s">
        <v>182</v>
      </c>
      <c r="I98" s="726"/>
      <c r="J98" s="699"/>
      <c r="K98" s="726"/>
      <c r="L98" s="724"/>
      <c r="M98" s="726"/>
      <c r="N98" s="726"/>
      <c r="O98" s="724"/>
      <c r="P98" s="724"/>
      <c r="Q98" s="699"/>
      <c r="R98" s="722"/>
      <c r="S98" s="699"/>
      <c r="T98" s="726"/>
      <c r="U98" s="39" t="s">
        <v>183</v>
      </c>
      <c r="V98" s="39" t="s">
        <v>184</v>
      </c>
      <c r="W98" s="39" t="s">
        <v>185</v>
      </c>
      <c r="X98" s="39" t="s">
        <v>186</v>
      </c>
      <c r="Y98" s="39" t="s">
        <v>187</v>
      </c>
      <c r="Z98" s="39" t="s">
        <v>188</v>
      </c>
      <c r="AA98" s="720"/>
      <c r="AB98" s="720"/>
      <c r="AC98" s="720"/>
      <c r="AD98" s="720"/>
      <c r="AE98" s="720"/>
      <c r="AF98" s="720"/>
      <c r="AG98" s="722"/>
      <c r="AH98" s="699"/>
      <c r="AI98" s="699"/>
      <c r="AJ98" s="699"/>
      <c r="AK98" s="699"/>
      <c r="AL98" s="699"/>
      <c r="AM98" s="699"/>
    </row>
    <row r="99" spans="1:39" ht="110.4" x14ac:dyDescent="0.3">
      <c r="A99" s="653">
        <v>1</v>
      </c>
      <c r="B99" s="757" t="s">
        <v>199</v>
      </c>
      <c r="C99" s="757" t="s">
        <v>465</v>
      </c>
      <c r="D99" s="874" t="s">
        <v>466</v>
      </c>
      <c r="E99" s="393" t="s">
        <v>467</v>
      </c>
      <c r="F99" s="783" t="s">
        <v>468</v>
      </c>
      <c r="G99" s="783" t="s">
        <v>202</v>
      </c>
      <c r="H99" s="783" t="s">
        <v>469</v>
      </c>
      <c r="I99" s="877" t="s">
        <v>457</v>
      </c>
      <c r="J99" s="764">
        <v>8760</v>
      </c>
      <c r="K99" s="766" t="str">
        <f>IF(J99&lt;=0,"",IF(J99&lt;=2,"Muy Baja",IF(J99&lt;=24,"Baja",IF(J99&lt;=500,"Media",IF(J99&lt;=5000,"Alta","Muy Alta")))))</f>
        <v>Muy Alta</v>
      </c>
      <c r="L99" s="768">
        <f>IF(K99="","",IF(K99="Muy Baja",0.2,IF(K99="Baja",0.4,IF(K99="Media",0.6,IF(K99="Alta",0.8,IF(K99="Muy Alta",1,))))))</f>
        <v>1</v>
      </c>
      <c r="M99" s="770" t="s">
        <v>200</v>
      </c>
      <c r="N99" s="768" t="str">
        <f>IF(NOT(ISERROR(MATCH(M99,'[6]Tabla Impacto'!$B$221:$B$223,0))),'[6]Tabla Impacto'!$F$223&amp;"Por favor no seleccionar los criterios de impacto(Afectación Económica o presupuestal y Pérdida Reputacional)",M99)</f>
        <v xml:space="preserve">     El riesgo afecta la imagen de la entidad con algunos usuarios de relevancia frente al logro de los objetivos</v>
      </c>
      <c r="O99" s="766" t="str">
        <f>IF(OR(N99='[6]Tabla Impacto'!$C$11,N99='[6]Tabla Impacto'!$D$11),"Leve",IF(OR(N99='[6]Tabla Impacto'!$C$12,N99='[6]Tabla Impacto'!$D$12),"Menor",IF(OR(N99='[6]Tabla Impacto'!$C$13,N99='[6]Tabla Impacto'!$D$13),"Moderado",IF(OR(N99='[6]Tabla Impacto'!$C$14,N99='[6]Tabla Impacto'!$D$14),"Mayor",IF(OR(N99='[6]Tabla Impacto'!$C$15,N99='[6]Tabla Impacto'!$D$15),"Catastrófico","")))))</f>
        <v>Moderado</v>
      </c>
      <c r="P99" s="768">
        <f>IF(O99="","",IF(O99="Leve",0.2,IF(O99="Menor",0.4,IF(O99="Moderado",0.6,IF(O99="Mayor",0.8,IF(O99="Catastrófico",1,))))))</f>
        <v>0.6</v>
      </c>
      <c r="Q99" s="772" t="str">
        <f>IF(OR(AND(K99="Muy Baja",O99="Leve"),AND(K99="Muy Baja",O99="Menor"),AND(K99="Baja",O99="Leve")),"Bajo",IF(OR(AND(K99="Muy baja",O99="Moderado"),AND(K99="Baja",O99="Menor"),AND(K99="Baja",O99="Moderado"),AND(K99="Media",O99="Leve"),AND(K99="Media",O99="Menor"),AND(K99="Media",O99="Moderado"),AND(K99="Alta",O99="Leve"),AND(K99="Alta",O99="Menor")),"Moderado",IF(OR(AND(K99="Muy Baja",O99="Mayor"),AND(K99="Baja",O99="Mayor"),AND(K99="Media",O99="Mayor"),AND(K99="Alta",O99="Moderado"),AND(K99="Alta",O99="Mayor"),AND(K99="Muy Alta",O99="Leve"),AND(K99="Muy Alta",O99="Menor"),AND(K99="Muy Alta",O99="Moderado"),AND(K99="Muy Alta",O99="Mayor")),"Alto",IF(OR(AND(K99="Muy Baja",O99="Catastrófico"),AND(K99="Baja",O99="Catastrófico"),AND(K99="Media",O99="Catastrófico"),AND(K99="Alta",O99="Catastrófico"),AND(K99="Muy Alta",O99="Catastrófico")),"Extremo",""))))</f>
        <v>Alto</v>
      </c>
      <c r="R99" s="243">
        <v>1</v>
      </c>
      <c r="S99" s="90" t="s">
        <v>470</v>
      </c>
      <c r="T99" s="91" t="str">
        <f t="shared" ref="T99:T101" si="63">IF(OR(U99="Preventivo",U99="Detectivo"),"Probabilidad",IF(U99="Correctivo","Impacto",""))</f>
        <v>Probabilidad</v>
      </c>
      <c r="U99" s="83" t="s">
        <v>197</v>
      </c>
      <c r="V99" s="83" t="s">
        <v>191</v>
      </c>
      <c r="W99" s="84" t="str">
        <f>IF(AND(U99="Preventivo",V99="Automático"),"50%",IF(AND(U99="Preventivo",V99="Manual"),"40%",IF(AND(U99="Detectivo",V99="Automático"),"40%",IF(AND(U99="Detectivo",V99="Manual"),"30%",IF(AND(U99="Correctivo",V99="Automático"),"35%",IF(AND(U99="Correctivo",V99="Manual"),"25%",""))))))</f>
        <v>40%</v>
      </c>
      <c r="X99" s="83" t="s">
        <v>198</v>
      </c>
      <c r="Y99" s="83" t="s">
        <v>471</v>
      </c>
      <c r="Z99" s="83" t="s">
        <v>194</v>
      </c>
      <c r="AA99" s="92">
        <f>IFERROR(IF(T99="Probabilidad",(L99-(+L99*W99)),IF(T99="Impacto",L99,"")),"")</f>
        <v>0.6</v>
      </c>
      <c r="AB99" s="85" t="str">
        <f>IFERROR(IF(AA99="","",IF(AA99&lt;=0.2,"Muy Baja",IF(AA99&lt;=0.4,"Baja",IF(AA99&lt;=0.6,"Media",IF(AA99&lt;=0.8,"Alta","Muy Alta"))))),"")</f>
        <v>Media</v>
      </c>
      <c r="AC99" s="86">
        <f>+AA99</f>
        <v>0.6</v>
      </c>
      <c r="AD99" s="85" t="str">
        <f>IFERROR(IF(AE99="","",IF(AE99&lt;=0.2,"Leve",IF(AE99&lt;=0.4,"Menor",IF(AE99&lt;=0.6,"Moderado",IF(AE99&lt;=0.8,"Mayor","Catastrófico"))))),"")</f>
        <v>Moderado</v>
      </c>
      <c r="AE99" s="86">
        <f>IFERROR(IF(T99="Impacto",(P99-(+P99*W99)),IF(T99="Probabilidad",P99,"")),"")</f>
        <v>0.6</v>
      </c>
      <c r="AF99" s="87" t="str">
        <f>IFERROR(IF(OR(AND(AB99="Muy Baja",AD99="Leve"),AND(AB99="Muy Baja",AD99="Menor"),AND(AB99="Baja",AD99="Leve")),"Bajo",IF(OR(AND(AB99="Muy baja",AD99="Moderado"),AND(AB99="Baja",AD99="Menor"),AND(AB99="Baja",AD99="Moderado"),AND(AB99="Media",AD99="Leve"),AND(AB99="Media",AD99="Menor"),AND(AB99="Media",AD99="Moderado"),AND(AB99="Alta",AD99="Leve"),AND(AB99="Alta",AD99="Menor")),"Moderado",IF(OR(AND(AB99="Muy Baja",AD99="Mayor"),AND(AB99="Baja",AD99="Mayor"),AND(AB99="Media",AD99="Mayor"),AND(AB99="Alta",AD99="Moderado"),AND(AB99="Alta",AD99="Mayor"),AND(AB99="Muy Alta",AD99="Leve"),AND(AB99="Muy Alta",AD99="Menor"),AND(AB99="Muy Alta",AD99="Moderado"),AND(AB99="Muy Alta",AD99="Mayor")),"Alto",IF(OR(AND(AB99="Muy Baja",AD99="Catastrófico"),AND(AB99="Baja",AD99="Catastrófico"),AND(AB99="Media",AD99="Catastrófico"),AND(AB99="Alta",AD99="Catastrófico"),AND(AB99="Muy Alta",AD99="Catastrófico")),"Extremo","")))),"")</f>
        <v>Moderado</v>
      </c>
      <c r="AG99" s="88" t="s">
        <v>195</v>
      </c>
      <c r="AH99" s="394">
        <f>+'[7]DOFA '!E120</f>
        <v>0</v>
      </c>
      <c r="AI99" s="395" t="s">
        <v>472</v>
      </c>
      <c r="AJ99" s="295" t="s">
        <v>473</v>
      </c>
      <c r="AK99" s="396">
        <v>45899</v>
      </c>
      <c r="AL99" s="394" t="s">
        <v>474</v>
      </c>
      <c r="AM99" s="395" t="s">
        <v>196</v>
      </c>
    </row>
    <row r="100" spans="1:39" ht="96.6" x14ac:dyDescent="0.3">
      <c r="A100" s="667"/>
      <c r="B100" s="758"/>
      <c r="C100" s="758"/>
      <c r="D100" s="875"/>
      <c r="E100" s="338" t="s">
        <v>475</v>
      </c>
      <c r="F100" s="784"/>
      <c r="G100" s="784"/>
      <c r="H100" s="784"/>
      <c r="I100" s="878"/>
      <c r="J100" s="765"/>
      <c r="K100" s="767"/>
      <c r="L100" s="769"/>
      <c r="M100" s="771"/>
      <c r="N100" s="769">
        <f>IF(NOT(ISERROR(MATCH(M100,_xlfn.ANCHORARRAY(F107),0))),L109&amp;"Por favor no seleccionar los criterios de impacto",M100)</f>
        <v>0</v>
      </c>
      <c r="O100" s="767"/>
      <c r="P100" s="769"/>
      <c r="Q100" s="773"/>
      <c r="R100" s="243">
        <v>2</v>
      </c>
      <c r="S100" s="90" t="s">
        <v>476</v>
      </c>
      <c r="T100" s="91" t="str">
        <f t="shared" si="63"/>
        <v>Probabilidad</v>
      </c>
      <c r="U100" s="83" t="s">
        <v>197</v>
      </c>
      <c r="V100" s="83" t="s">
        <v>191</v>
      </c>
      <c r="W100" s="84" t="str">
        <f t="shared" ref="W100:W102" si="64">IF(AND(U100="Preventivo",V100="Automático"),"50%",IF(AND(U100="Preventivo",V100="Manual"),"40%",IF(AND(U100="Detectivo",V100="Automático"),"40%",IF(AND(U100="Detectivo",V100="Manual"),"30%",IF(AND(U100="Correctivo",V100="Automático"),"35%",IF(AND(U100="Correctivo",V100="Manual"),"25%",""))))))</f>
        <v>40%</v>
      </c>
      <c r="X100" s="83" t="s">
        <v>198</v>
      </c>
      <c r="Y100" s="83" t="s">
        <v>471</v>
      </c>
      <c r="Z100" s="83" t="s">
        <v>194</v>
      </c>
      <c r="AA100" s="92">
        <f>IFERROR(IF(AND(T99="Probabilidad",T100="Probabilidad"),(AC99-(+AC99*W100)),IF(AND(T99="Impacto",T100="Probabilidad"),(AC98-(+AC98*W100)),IF(T100="Impacto",AC99,""))),"")</f>
        <v>0.36</v>
      </c>
      <c r="AB100" s="85" t="str">
        <f t="shared" ref="AB100:AB102" si="65">IFERROR(IF(AA100="","",IF(AA100&lt;=0.2,"Muy Baja",IF(AA100&lt;=0.4,"Baja",IF(AA100&lt;=0.6,"Media",IF(AA100&lt;=0.8,"Alta","Muy Alta"))))),"")</f>
        <v>Baja</v>
      </c>
      <c r="AC100" s="86">
        <f t="shared" ref="AC100:AC102" si="66">+AA100</f>
        <v>0.36</v>
      </c>
      <c r="AD100" s="85" t="str">
        <f t="shared" ref="AD100:AD102" si="67">IFERROR(IF(AE100="","",IF(AE100&lt;=0.2,"Leve",IF(AE100&lt;=0.4,"Menor",IF(AE100&lt;=0.6,"Moderado",IF(AE100&lt;=0.8,"Mayor","Catastrófico"))))),"")</f>
        <v>Moderado</v>
      </c>
      <c r="AE100" s="86">
        <f>IFERROR(IF(AND(T99="Impacto",T100="Impacto"),(AE99-(+AE99*W100)),IF(AND(T99="Probabilidad",T100="Impacto"),(AE98-(+AE98*W100)),IF(T100="Probabilidad",AE99,""))),"")</f>
        <v>0.6</v>
      </c>
      <c r="AF100" s="87" t="str">
        <f t="shared" ref="AF100:AF102" si="68">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88" t="s">
        <v>195</v>
      </c>
      <c r="AH100" s="397" t="s">
        <v>477</v>
      </c>
      <c r="AI100" s="395" t="s">
        <v>472</v>
      </c>
      <c r="AJ100" s="398" t="s">
        <v>478</v>
      </c>
      <c r="AK100" s="396">
        <v>45899</v>
      </c>
      <c r="AL100" s="397"/>
      <c r="AM100" s="395" t="s">
        <v>196</v>
      </c>
    </row>
    <row r="101" spans="1:39" ht="96.6" x14ac:dyDescent="0.3">
      <c r="A101" s="667"/>
      <c r="B101" s="758"/>
      <c r="C101" s="758"/>
      <c r="D101" s="875"/>
      <c r="E101" s="364" t="s">
        <v>479</v>
      </c>
      <c r="F101" s="784"/>
      <c r="G101" s="784"/>
      <c r="H101" s="784"/>
      <c r="I101" s="878"/>
      <c r="J101" s="765"/>
      <c r="K101" s="767"/>
      <c r="L101" s="769"/>
      <c r="M101" s="771"/>
      <c r="N101" s="769">
        <f>IF(NOT(ISERROR(MATCH(M101,_xlfn.ANCHORARRAY(F108),0))),L110&amp;"Por favor no seleccionar los criterios de impacto",M101)</f>
        <v>0</v>
      </c>
      <c r="O101" s="767"/>
      <c r="P101" s="769"/>
      <c r="Q101" s="773"/>
      <c r="R101" s="243">
        <v>3</v>
      </c>
      <c r="S101" s="154" t="s">
        <v>480</v>
      </c>
      <c r="T101" s="91" t="str">
        <f t="shared" si="63"/>
        <v>Probabilidad</v>
      </c>
      <c r="U101" s="83" t="s">
        <v>197</v>
      </c>
      <c r="V101" s="83" t="s">
        <v>191</v>
      </c>
      <c r="W101" s="84" t="str">
        <f t="shared" si="64"/>
        <v>40%</v>
      </c>
      <c r="X101" s="83" t="s">
        <v>198</v>
      </c>
      <c r="Y101" s="83" t="s">
        <v>471</v>
      </c>
      <c r="Z101" s="83" t="s">
        <v>194</v>
      </c>
      <c r="AA101" s="92">
        <f t="shared" ref="AA101:AA102" si="69">IFERROR(IF(AND(T100="Probabilidad",T101="Probabilidad"),(AC100-(+AC100*W101)),IF(AND(T100="Impacto",T101="Probabilidad"),(AC99-(+AC99*W101)),IF(T101="Impacto",AC100,""))),"")</f>
        <v>0.216</v>
      </c>
      <c r="AB101" s="85" t="str">
        <f t="shared" si="65"/>
        <v>Baja</v>
      </c>
      <c r="AC101" s="86">
        <f t="shared" si="66"/>
        <v>0.216</v>
      </c>
      <c r="AD101" s="85" t="str">
        <f t="shared" si="67"/>
        <v>Moderado</v>
      </c>
      <c r="AE101" s="86">
        <f t="shared" ref="AE101:AE102" si="70">IFERROR(IF(AND(T100="Impacto",T101="Impacto"),(AE100-(+AE100*W101)),IF(AND(T100="Probabilidad",T101="Impacto"),(AE99-(+AE99*W101)),IF(T101="Probabilidad",AE100,""))),"")</f>
        <v>0.6</v>
      </c>
      <c r="AF101" s="87" t="str">
        <f t="shared" si="68"/>
        <v>Moderado</v>
      </c>
      <c r="AG101" s="88" t="s">
        <v>195</v>
      </c>
      <c r="AH101" s="244">
        <f>+'[7]DOFA '!E122</f>
        <v>0</v>
      </c>
      <c r="AI101" s="244" t="s">
        <v>481</v>
      </c>
      <c r="AJ101" s="398" t="s">
        <v>473</v>
      </c>
      <c r="AK101" s="396">
        <v>45899</v>
      </c>
      <c r="AL101" s="397"/>
      <c r="AM101" s="395" t="s">
        <v>196</v>
      </c>
    </row>
    <row r="102" spans="1:39" ht="96.6" x14ac:dyDescent="0.3">
      <c r="A102" s="241"/>
      <c r="B102" s="298"/>
      <c r="C102" s="298"/>
      <c r="D102" s="299"/>
      <c r="E102" s="364" t="s">
        <v>482</v>
      </c>
      <c r="F102" s="301"/>
      <c r="G102" s="784"/>
      <c r="H102" s="876"/>
      <c r="I102" s="302"/>
      <c r="J102" s="777"/>
      <c r="K102" s="879"/>
      <c r="L102" s="880"/>
      <c r="M102" s="881"/>
      <c r="N102" s="303"/>
      <c r="O102" s="879"/>
      <c r="P102" s="303"/>
      <c r="Q102" s="882"/>
      <c r="R102" s="243">
        <v>4</v>
      </c>
      <c r="S102" s="154" t="s">
        <v>483</v>
      </c>
      <c r="T102" s="91" t="s">
        <v>484</v>
      </c>
      <c r="U102" s="83" t="s">
        <v>197</v>
      </c>
      <c r="V102" s="83" t="s">
        <v>191</v>
      </c>
      <c r="W102" s="84" t="str">
        <f t="shared" si="64"/>
        <v>40%</v>
      </c>
      <c r="X102" s="83" t="s">
        <v>192</v>
      </c>
      <c r="Y102" s="83" t="s">
        <v>471</v>
      </c>
      <c r="Z102" s="83" t="s">
        <v>485</v>
      </c>
      <c r="AA102" s="92">
        <f t="shared" si="69"/>
        <v>0.12959999999999999</v>
      </c>
      <c r="AB102" s="85" t="str">
        <f t="shared" si="65"/>
        <v>Muy Baja</v>
      </c>
      <c r="AC102" s="86">
        <f t="shared" si="66"/>
        <v>0.12959999999999999</v>
      </c>
      <c r="AD102" s="85" t="str">
        <f t="shared" si="67"/>
        <v>Moderado</v>
      </c>
      <c r="AE102" s="86">
        <f t="shared" si="70"/>
        <v>0.6</v>
      </c>
      <c r="AF102" s="87" t="str">
        <f t="shared" si="68"/>
        <v>Moderado</v>
      </c>
      <c r="AG102" s="88" t="s">
        <v>195</v>
      </c>
      <c r="AH102" s="244">
        <f>+'[7]DOFA '!E136</f>
        <v>0</v>
      </c>
      <c r="AI102" s="244" t="s">
        <v>481</v>
      </c>
      <c r="AJ102" s="398" t="s">
        <v>473</v>
      </c>
      <c r="AK102" s="396">
        <v>45838</v>
      </c>
      <c r="AL102" s="397"/>
      <c r="AM102" s="395" t="s">
        <v>196</v>
      </c>
    </row>
    <row r="103" spans="1:39" x14ac:dyDescent="0.3">
      <c r="A103" s="741" t="s">
        <v>148</v>
      </c>
      <c r="B103" s="742"/>
      <c r="C103" s="742"/>
      <c r="D103" s="742"/>
      <c r="E103" s="742"/>
      <c r="F103" s="742"/>
      <c r="G103" s="742"/>
      <c r="H103" s="742"/>
      <c r="I103" s="742"/>
      <c r="J103" s="742"/>
      <c r="K103" s="742"/>
      <c r="L103" s="742"/>
      <c r="M103" s="742"/>
      <c r="N103" s="742"/>
      <c r="O103" s="742"/>
      <c r="P103" s="742"/>
      <c r="Q103" s="742"/>
      <c r="R103" s="742"/>
      <c r="S103" s="742"/>
      <c r="T103" s="742"/>
      <c r="U103" s="742"/>
      <c r="V103" s="742"/>
      <c r="W103" s="742"/>
      <c r="X103" s="742"/>
      <c r="Y103" s="742"/>
      <c r="Z103" s="742"/>
      <c r="AA103" s="742"/>
      <c r="AB103" s="742"/>
      <c r="AC103" s="742"/>
      <c r="AD103" s="742"/>
      <c r="AE103" s="742"/>
      <c r="AF103" s="742"/>
      <c r="AG103" s="742"/>
      <c r="AH103" s="742"/>
      <c r="AI103" s="742"/>
      <c r="AJ103" s="742"/>
      <c r="AK103" s="742"/>
      <c r="AL103" s="742"/>
      <c r="AM103" s="743"/>
    </row>
    <row r="104" spans="1:39" x14ac:dyDescent="0.3">
      <c r="A104" s="744"/>
      <c r="B104" s="745"/>
      <c r="C104" s="745"/>
      <c r="D104" s="745"/>
      <c r="E104" s="745"/>
      <c r="F104" s="745"/>
      <c r="G104" s="745"/>
      <c r="H104" s="745"/>
      <c r="I104" s="745"/>
      <c r="J104" s="745"/>
      <c r="K104" s="745"/>
      <c r="L104" s="745"/>
      <c r="M104" s="745"/>
      <c r="N104" s="745"/>
      <c r="O104" s="745"/>
      <c r="P104" s="745"/>
      <c r="Q104" s="745"/>
      <c r="R104" s="745"/>
      <c r="S104" s="745"/>
      <c r="T104" s="745"/>
      <c r="U104" s="745"/>
      <c r="V104" s="745"/>
      <c r="W104" s="745"/>
      <c r="X104" s="745"/>
      <c r="Y104" s="745"/>
      <c r="Z104" s="745"/>
      <c r="AA104" s="745"/>
      <c r="AB104" s="745"/>
      <c r="AC104" s="745"/>
      <c r="AD104" s="745"/>
      <c r="AE104" s="745"/>
      <c r="AF104" s="745"/>
      <c r="AG104" s="745"/>
      <c r="AH104" s="745"/>
      <c r="AI104" s="745"/>
      <c r="AJ104" s="745"/>
      <c r="AK104" s="745"/>
      <c r="AL104" s="745"/>
      <c r="AM104" s="746"/>
    </row>
    <row r="105" spans="1:39" ht="14.4" x14ac:dyDescent="0.3">
      <c r="A105" s="42"/>
      <c r="B105" s="43"/>
      <c r="C105" s="42"/>
      <c r="D105" s="42"/>
      <c r="E105" s="42"/>
      <c r="F105" s="41"/>
      <c r="G105" s="41"/>
      <c r="H105" s="41"/>
      <c r="I105" s="44"/>
      <c r="J105" s="44"/>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row>
    <row r="106" spans="1:39" ht="23.4" x14ac:dyDescent="0.3">
      <c r="A106" s="734" t="s">
        <v>149</v>
      </c>
      <c r="B106" s="735"/>
      <c r="C106" s="747" t="s">
        <v>253</v>
      </c>
      <c r="D106" s="747"/>
      <c r="E106" s="747"/>
      <c r="F106" s="747"/>
      <c r="G106" s="747"/>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row>
    <row r="107" spans="1:39" ht="23.4" x14ac:dyDescent="0.3">
      <c r="A107" s="734" t="s">
        <v>150</v>
      </c>
      <c r="B107" s="735"/>
      <c r="C107" s="736" t="s">
        <v>254</v>
      </c>
      <c r="D107" s="736"/>
      <c r="E107" s="736"/>
      <c r="F107" s="736"/>
      <c r="G107" s="736"/>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736"/>
      <c r="AK107" s="736"/>
      <c r="AL107" s="736"/>
      <c r="AM107" s="736"/>
    </row>
    <row r="108" spans="1:39" ht="23.4" x14ac:dyDescent="0.3">
      <c r="A108" s="734" t="s">
        <v>151</v>
      </c>
      <c r="B108" s="735"/>
      <c r="C108" s="736" t="s">
        <v>255</v>
      </c>
      <c r="D108" s="736"/>
      <c r="E108" s="736"/>
      <c r="F108" s="736"/>
      <c r="G108" s="736"/>
      <c r="H108" s="736"/>
      <c r="I108" s="736"/>
      <c r="J108" s="736"/>
      <c r="K108" s="736"/>
      <c r="L108" s="736"/>
      <c r="M108" s="736"/>
      <c r="N108" s="736"/>
      <c r="O108" s="736"/>
      <c r="P108" s="736"/>
      <c r="Q108" s="736"/>
      <c r="R108" s="736"/>
      <c r="S108" s="736"/>
      <c r="T108" s="736"/>
      <c r="U108" s="736"/>
      <c r="V108" s="736"/>
      <c r="W108" s="736"/>
      <c r="X108" s="736"/>
      <c r="Y108" s="736"/>
      <c r="Z108" s="736"/>
      <c r="AA108" s="736"/>
      <c r="AB108" s="736"/>
      <c r="AC108" s="736"/>
      <c r="AD108" s="736"/>
      <c r="AE108" s="736"/>
      <c r="AF108" s="736"/>
      <c r="AG108" s="736"/>
      <c r="AH108" s="736"/>
      <c r="AI108" s="736"/>
      <c r="AJ108" s="736"/>
      <c r="AK108" s="736"/>
      <c r="AL108" s="736"/>
      <c r="AM108" s="736"/>
    </row>
    <row r="109" spans="1:39" x14ac:dyDescent="0.3">
      <c r="A109" s="737" t="s">
        <v>152</v>
      </c>
      <c r="B109" s="738"/>
      <c r="C109" s="739"/>
      <c r="D109" s="739"/>
      <c r="E109" s="739"/>
      <c r="F109" s="739"/>
      <c r="G109" s="739"/>
      <c r="H109" s="739"/>
      <c r="I109" s="739"/>
      <c r="J109" s="740"/>
      <c r="K109" s="724" t="s">
        <v>153</v>
      </c>
      <c r="L109" s="739"/>
      <c r="M109" s="739"/>
      <c r="N109" s="739"/>
      <c r="O109" s="739"/>
      <c r="P109" s="739"/>
      <c r="Q109" s="740"/>
      <c r="R109" s="724" t="s">
        <v>154</v>
      </c>
      <c r="S109" s="739"/>
      <c r="T109" s="739"/>
      <c r="U109" s="739"/>
      <c r="V109" s="739"/>
      <c r="W109" s="739"/>
      <c r="X109" s="739"/>
      <c r="Y109" s="739"/>
      <c r="Z109" s="740"/>
      <c r="AA109" s="724" t="s">
        <v>155</v>
      </c>
      <c r="AB109" s="739"/>
      <c r="AC109" s="739"/>
      <c r="AD109" s="739"/>
      <c r="AE109" s="739"/>
      <c r="AF109" s="739"/>
      <c r="AG109" s="740"/>
      <c r="AH109" s="724" t="s">
        <v>156</v>
      </c>
      <c r="AI109" s="739"/>
      <c r="AJ109" s="739"/>
      <c r="AK109" s="739"/>
      <c r="AL109" s="739"/>
      <c r="AM109" s="740"/>
    </row>
    <row r="110" spans="1:39" x14ac:dyDescent="0.3">
      <c r="A110" s="728" t="s">
        <v>157</v>
      </c>
      <c r="B110" s="730" t="s">
        <v>141</v>
      </c>
      <c r="C110" s="726" t="s">
        <v>158</v>
      </c>
      <c r="D110" s="726" t="s">
        <v>159</v>
      </c>
      <c r="E110" s="725" t="s">
        <v>160</v>
      </c>
      <c r="F110" s="732" t="s">
        <v>60</v>
      </c>
      <c r="G110" s="38"/>
      <c r="H110" s="38"/>
      <c r="I110" s="725" t="s">
        <v>161</v>
      </c>
      <c r="J110" s="726" t="s">
        <v>162</v>
      </c>
      <c r="K110" s="731" t="s">
        <v>163</v>
      </c>
      <c r="L110" s="723" t="s">
        <v>164</v>
      </c>
      <c r="M110" s="725" t="s">
        <v>165</v>
      </c>
      <c r="N110" s="725" t="s">
        <v>166</v>
      </c>
      <c r="O110" s="727" t="s">
        <v>167</v>
      </c>
      <c r="P110" s="723" t="s">
        <v>164</v>
      </c>
      <c r="Q110" s="726" t="s">
        <v>168</v>
      </c>
      <c r="R110" s="721" t="s">
        <v>169</v>
      </c>
      <c r="S110" s="699" t="s">
        <v>170</v>
      </c>
      <c r="T110" s="725" t="s">
        <v>171</v>
      </c>
      <c r="U110" s="699" t="s">
        <v>172</v>
      </c>
      <c r="V110" s="699"/>
      <c r="W110" s="699"/>
      <c r="X110" s="699"/>
      <c r="Y110" s="699"/>
      <c r="Z110" s="699"/>
      <c r="AA110" s="720" t="s">
        <v>173</v>
      </c>
      <c r="AB110" s="720" t="s">
        <v>174</v>
      </c>
      <c r="AC110" s="720" t="s">
        <v>164</v>
      </c>
      <c r="AD110" s="720" t="s">
        <v>175</v>
      </c>
      <c r="AE110" s="720" t="s">
        <v>164</v>
      </c>
      <c r="AF110" s="720" t="s">
        <v>176</v>
      </c>
      <c r="AG110" s="721" t="s">
        <v>177</v>
      </c>
      <c r="AH110" s="699" t="s">
        <v>156</v>
      </c>
      <c r="AI110" s="699" t="s">
        <v>142</v>
      </c>
      <c r="AJ110" s="699" t="s">
        <v>178</v>
      </c>
      <c r="AK110" s="699" t="s">
        <v>179</v>
      </c>
      <c r="AL110" s="699" t="s">
        <v>180</v>
      </c>
      <c r="AM110" s="699" t="s">
        <v>181</v>
      </c>
    </row>
    <row r="111" spans="1:39" ht="71.400000000000006" x14ac:dyDescent="0.3">
      <c r="A111" s="729"/>
      <c r="B111" s="730"/>
      <c r="C111" s="699"/>
      <c r="D111" s="699"/>
      <c r="E111" s="731"/>
      <c r="F111" s="733"/>
      <c r="G111" s="38" t="s">
        <v>201</v>
      </c>
      <c r="H111" s="38" t="s">
        <v>182</v>
      </c>
      <c r="I111" s="726"/>
      <c r="J111" s="699"/>
      <c r="K111" s="726"/>
      <c r="L111" s="724"/>
      <c r="M111" s="726"/>
      <c r="N111" s="726"/>
      <c r="O111" s="724"/>
      <c r="P111" s="724"/>
      <c r="Q111" s="699"/>
      <c r="R111" s="722"/>
      <c r="S111" s="699"/>
      <c r="T111" s="726"/>
      <c r="U111" s="39" t="s">
        <v>183</v>
      </c>
      <c r="V111" s="39" t="s">
        <v>184</v>
      </c>
      <c r="W111" s="39" t="s">
        <v>185</v>
      </c>
      <c r="X111" s="39" t="s">
        <v>186</v>
      </c>
      <c r="Y111" s="39" t="s">
        <v>187</v>
      </c>
      <c r="Z111" s="39" t="s">
        <v>188</v>
      </c>
      <c r="AA111" s="720"/>
      <c r="AB111" s="720"/>
      <c r="AC111" s="720"/>
      <c r="AD111" s="720"/>
      <c r="AE111" s="720"/>
      <c r="AF111" s="720"/>
      <c r="AG111" s="722"/>
      <c r="AH111" s="699"/>
      <c r="AI111" s="699"/>
      <c r="AJ111" s="699"/>
      <c r="AK111" s="699"/>
      <c r="AL111" s="699"/>
      <c r="AM111" s="699"/>
    </row>
    <row r="112" spans="1:39" ht="211.2" x14ac:dyDescent="0.3">
      <c r="A112" s="857">
        <v>1</v>
      </c>
      <c r="B112" s="859" t="s">
        <v>189</v>
      </c>
      <c r="C112" s="859" t="s">
        <v>256</v>
      </c>
      <c r="D112" s="861" t="s">
        <v>257</v>
      </c>
      <c r="E112" s="93" t="s">
        <v>281</v>
      </c>
      <c r="F112" s="863" t="s">
        <v>258</v>
      </c>
      <c r="G112" s="864" t="s">
        <v>202</v>
      </c>
      <c r="H112" s="863" t="s">
        <v>259</v>
      </c>
      <c r="I112" s="866" t="s">
        <v>190</v>
      </c>
      <c r="J112" s="94">
        <v>25</v>
      </c>
      <c r="K112" s="95" t="str">
        <f>IF(J112&lt;=0,"",IF(J112&lt;=2,"Muy Baja",IF(J112&lt;=24,"Baja",IF(J112&lt;=500,"Media",IF(J112&lt;=5000,"Alta","Muy Alta")))))</f>
        <v>Media</v>
      </c>
      <c r="L112" s="96">
        <f>IF(K112="","",IF(K112="Muy Baja",0.2,IF(K112="Baja",0.4,IF(K112="Media",0.6,IF(K112="Alta",0.8,IF(K112="Muy Alta",1,))))))</f>
        <v>0.6</v>
      </c>
      <c r="M112" s="97" t="s">
        <v>200</v>
      </c>
      <c r="N112" s="98" t="str">
        <f>IF(NOT(ISERROR(MATCH(M112,'[8]Tabla Impacto'!$B$221:$B$223,0))),'[8]Tabla Impacto'!$F$223&amp;"Por favor no seleccionar los criterios de impacto(Afectación Económica o presupuestal y Pérdida Reputacional)",M112)</f>
        <v xml:space="preserve">     El riesgo afecta la imagen de la entidad con algunos usuarios de relevancia frente al logro de los objetivos</v>
      </c>
      <c r="O112" s="95" t="str">
        <f>IF(OR(N112='[8]Tabla Impacto'!$C$11,N112='[8]Tabla Impacto'!$D$11),"Leve",IF(OR(N112='[8]Tabla Impacto'!$C$12,N112='[8]Tabla Impacto'!$D$12),"Menor",IF(OR(N112='[8]Tabla Impacto'!$C$13,N112='[8]Tabla Impacto'!$D$13),"Moderado",IF(OR(N112='[8]Tabla Impacto'!$C$14,N112='[8]Tabla Impacto'!$D$14),"Mayor",IF(OR(N112='[8]Tabla Impacto'!$C$15,N112='[8]Tabla Impacto'!$D$15),"Catastrófico","")))))</f>
        <v>Moderado</v>
      </c>
      <c r="P112" s="99">
        <f>IF(O112="","",IF(O112="Leve",0.2,IF(O112="Menor",0.4,IF(O112="Moderado",0.6,IF(O112="Mayor",0.8,IF(O112="Catastrófico",1,))))))</f>
        <v>0.6</v>
      </c>
      <c r="Q112" s="100"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01">
        <v>1</v>
      </c>
      <c r="S112" s="102" t="s">
        <v>260</v>
      </c>
      <c r="T112" s="103" t="str">
        <f t="shared" ref="T112:T116" si="71">IF(OR(U112="Preventivo",U112="Detectivo"),"Probabilidad",IF(U112="Correctivo","Impacto",""))</f>
        <v>Probabilidad</v>
      </c>
      <c r="U112" s="104" t="s">
        <v>197</v>
      </c>
      <c r="V112" s="104" t="s">
        <v>191</v>
      </c>
      <c r="W112" s="105" t="str">
        <f t="shared" ref="W112:W116" si="72">IF(AND(U112="Preventivo",V112="Automático"),"50%",IF(AND(U112="Preventivo",V112="Manual"),"40%",IF(AND(U112="Detectivo",V112="Automático"),"40%",IF(AND(U112="Detectivo",V112="Manual"),"30%",IF(AND(U112="Correctivo",V112="Automático"),"35%",IF(AND(U112="Correctivo",V112="Manual"),"25%",""))))))</f>
        <v>40%</v>
      </c>
      <c r="X112" s="104" t="s">
        <v>198</v>
      </c>
      <c r="Y112" s="104" t="s">
        <v>193</v>
      </c>
      <c r="Z112" s="104" t="s">
        <v>194</v>
      </c>
      <c r="AA112" s="106">
        <f>IFERROR(IF(T112="Probabilidad",(L112-(+L112*W112)),IF(T112="Impacto",L112,"")),"")</f>
        <v>0.36</v>
      </c>
      <c r="AB112" s="107" t="str">
        <f t="shared" ref="AB112:AB116" si="73">IFERROR(IF(AA112="","",IF(AA112&lt;=0.2,"Muy Baja",IF(AA112&lt;=0.4,"Baja",IF(AA112&lt;=0.6,"Media",IF(AA112&lt;=0.8,"Alta","Muy Alta"))))),"")</f>
        <v>Baja</v>
      </c>
      <c r="AC112" s="108">
        <f>+AA112</f>
        <v>0.36</v>
      </c>
      <c r="AD112" s="868" t="str">
        <f>IFERROR(IF(AE112="","",IF(AE112&lt;=0.2,"Leve",IF(AE112&lt;=0.4,"Menor",IF(AE112&lt;=0.6,"Moderado",IF(AE112&lt;=0.8,"Mayor","Catastrófico"))))),"")</f>
        <v>Moderado</v>
      </c>
      <c r="AE112" s="108">
        <f t="shared" ref="AE112:AE116" si="74">IFERROR(IF(T112="Impacto",(P112-(+P112*W112)),IF(T112="Probabilidad",P112,"")),"")</f>
        <v>0.6</v>
      </c>
      <c r="AF112" s="871" t="str">
        <f>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Moderado</v>
      </c>
      <c r="AG112" s="88" t="s">
        <v>195</v>
      </c>
      <c r="AH112" s="109" t="s">
        <v>261</v>
      </c>
      <c r="AI112" s="110" t="s">
        <v>262</v>
      </c>
      <c r="AJ112" s="111" t="s">
        <v>263</v>
      </c>
      <c r="AK112" s="112" t="s">
        <v>264</v>
      </c>
      <c r="AL112" s="109" t="s">
        <v>265</v>
      </c>
      <c r="AM112" s="113" t="s">
        <v>196</v>
      </c>
    </row>
    <row r="113" spans="1:39" ht="184.8" x14ac:dyDescent="0.3">
      <c r="A113" s="858"/>
      <c r="B113" s="860"/>
      <c r="C113" s="860"/>
      <c r="D113" s="862"/>
      <c r="E113" s="93" t="s">
        <v>282</v>
      </c>
      <c r="F113" s="863"/>
      <c r="G113" s="865"/>
      <c r="H113" s="863"/>
      <c r="I113" s="867"/>
      <c r="J113" s="94">
        <v>25</v>
      </c>
      <c r="K113" s="95" t="str">
        <f>IF(J113&lt;=0,"",IF(J113&lt;=2,"Muy Baja",IF(J113&lt;=24,"Baja",IF(J113&lt;=500,"Media",IF(J113&lt;=5000,"Alta","Muy Alta")))))</f>
        <v>Media</v>
      </c>
      <c r="L113" s="96">
        <f>IF(K113="","",IF(K113="Muy Baja",0.2,IF(K113="Baja",0.4,IF(K113="Media",0.6,IF(K113="Alta",0.8,IF(K113="Muy Alta",1,))))))</f>
        <v>0.6</v>
      </c>
      <c r="M113" s="97" t="s">
        <v>200</v>
      </c>
      <c r="N113" s="98" t="str">
        <f>IF(NOT(ISERROR(MATCH(M113,'[8]Tabla Impacto'!$B$221:$B$223,0))),'[8]Tabla Impacto'!$F$223&amp;"Por favor no seleccionar los criterios de impacto(Afectación Económica o presupuestal y Pérdida Reputacional)",M113)</f>
        <v xml:space="preserve">     El riesgo afecta la imagen de la entidad con algunos usuarios de relevancia frente al logro de los objetivos</v>
      </c>
      <c r="O113" s="95" t="str">
        <f>IF(OR(N113='[8]Tabla Impacto'!$C$11,N113='[8]Tabla Impacto'!$D$11),"Leve",IF(OR(N113='[8]Tabla Impacto'!$C$12,N113='[8]Tabla Impacto'!$D$12),"Menor",IF(OR(N113='[8]Tabla Impacto'!$C$13,N113='[8]Tabla Impacto'!$D$13),"Moderado",IF(OR(N113='[8]Tabla Impacto'!$C$14,N113='[8]Tabla Impacto'!$D$14),"Mayor",IF(OR(N113='[8]Tabla Impacto'!$C$15,N113='[8]Tabla Impacto'!$D$15),"Catastrófico","")))))</f>
        <v>Moderado</v>
      </c>
      <c r="P113" s="99">
        <f>IF(O113="","",IF(O113="Leve",0.2,IF(O113="Menor",0.4,IF(O113="Moderado",0.6,IF(O113="Mayor",0.8,IF(O113="Catastrófico",1,))))))</f>
        <v>0.6</v>
      </c>
      <c r="Q113" s="100" t="str">
        <f>IF(OR(AND(K113="Muy Baja",O113="Leve"),AND(K113="Muy Baja",O113="Menor"),AND(K113="Baja",O113="Leve")),"Bajo",IF(OR(AND(K113="Muy baja",O113="Moderado"),AND(K113="Baja",O113="Menor"),AND(K113="Baja",O113="Moderado"),AND(K113="Media",O113="Leve"),AND(K113="Media",O113="Menor"),AND(K113="Media",O113="Moderado"),AND(K113="Alta",O113="Leve"),AND(K113="Alta",O113="Menor")),"Moderado",IF(OR(AND(K113="Muy Baja",O113="Mayor"),AND(K113="Baja",O113="Mayor"),AND(K113="Media",O113="Mayor"),AND(K113="Alta",O113="Moderado"),AND(K113="Alta",O113="Mayor"),AND(K113="Muy Alta",O113="Leve"),AND(K113="Muy Alta",O113="Menor"),AND(K113="Muy Alta",O113="Moderado"),AND(K113="Muy Alta",O113="Mayor")),"Alto",IF(OR(AND(K113="Muy Baja",O113="Catastrófico"),AND(K113="Baja",O113="Catastrófico"),AND(K113="Media",O113="Catastrófico"),AND(K113="Alta",O113="Catastrófico"),AND(K113="Muy Alta",O113="Catastrófico")),"Extremo",""))))</f>
        <v>Moderado</v>
      </c>
      <c r="R113" s="101">
        <v>2</v>
      </c>
      <c r="S113" s="102" t="s">
        <v>266</v>
      </c>
      <c r="T113" s="103" t="str">
        <f t="shared" si="71"/>
        <v>Probabilidad</v>
      </c>
      <c r="U113" s="104" t="s">
        <v>197</v>
      </c>
      <c r="V113" s="104" t="s">
        <v>191</v>
      </c>
      <c r="W113" s="105" t="str">
        <f t="shared" si="72"/>
        <v>40%</v>
      </c>
      <c r="X113" s="104" t="s">
        <v>198</v>
      </c>
      <c r="Y113" s="104" t="s">
        <v>193</v>
      </c>
      <c r="Z113" s="104" t="s">
        <v>194</v>
      </c>
      <c r="AA113" s="106">
        <f>IFERROR(IF(AND(T112="Probabilidad",T113="Probabilidad"),(AC112-(+AC112*W113)),IF(AND(T112="Impacto",T113="Probabilidad"),(L112-(+L112*W113)),IF(T113="Impacto",AC112,""))),"")</f>
        <v>0.216</v>
      </c>
      <c r="AB113" s="107" t="str">
        <f t="shared" si="73"/>
        <v>Baja</v>
      </c>
      <c r="AC113" s="108">
        <f t="shared" ref="AC113:AC116" si="75">+AA113</f>
        <v>0.216</v>
      </c>
      <c r="AD113" s="869"/>
      <c r="AE113" s="108">
        <f t="shared" si="74"/>
        <v>0.6</v>
      </c>
      <c r="AF113" s="872"/>
      <c r="AG113" s="88" t="s">
        <v>195</v>
      </c>
      <c r="AH113" s="109" t="s">
        <v>267</v>
      </c>
      <c r="AI113" s="110" t="s">
        <v>262</v>
      </c>
      <c r="AJ113" s="111" t="s">
        <v>263</v>
      </c>
      <c r="AK113" s="112" t="s">
        <v>264</v>
      </c>
      <c r="AL113" s="109" t="s">
        <v>268</v>
      </c>
      <c r="AM113" s="113" t="s">
        <v>196</v>
      </c>
    </row>
    <row r="114" spans="1:39" ht="303.60000000000002" x14ac:dyDescent="0.3">
      <c r="A114" s="858"/>
      <c r="B114" s="860"/>
      <c r="C114" s="860"/>
      <c r="D114" s="862"/>
      <c r="E114" s="114" t="s">
        <v>283</v>
      </c>
      <c r="F114" s="863"/>
      <c r="G114" s="865"/>
      <c r="H114" s="863"/>
      <c r="I114" s="867"/>
      <c r="J114" s="94">
        <v>25</v>
      </c>
      <c r="K114" s="95" t="str">
        <f>IF(J114&lt;=0,"",IF(J114&lt;=2,"Muy Baja",IF(J114&lt;=24,"Baja",IF(J114&lt;=500,"Media",IF(J114&lt;=5000,"Alta","Muy Alta")))))</f>
        <v>Media</v>
      </c>
      <c r="L114" s="96">
        <f>IF(K114="","",IF(K114="Muy Baja",0.2,IF(K114="Baja",0.4,IF(K114="Media",0.6,IF(K114="Alta",0.8,IF(K114="Muy Alta",1,))))))</f>
        <v>0.6</v>
      </c>
      <c r="M114" s="97" t="s">
        <v>200</v>
      </c>
      <c r="N114" s="98" t="str">
        <f>IF(NOT(ISERROR(MATCH(M114,'[8]Tabla Impacto'!$B$221:$B$223,0))),'[8]Tabla Impacto'!$F$223&amp;"Por favor no seleccionar los criterios de impacto(Afectación Económica o presupuestal y Pérdida Reputacional)",M114)</f>
        <v xml:space="preserve">     El riesgo afecta la imagen de la entidad con algunos usuarios de relevancia frente al logro de los objetivos</v>
      </c>
      <c r="O114" s="95" t="str">
        <f>IF(OR(N114='[8]Tabla Impacto'!$C$11,N114='[8]Tabla Impacto'!$D$11),"Leve",IF(OR(N114='[8]Tabla Impacto'!$C$12,N114='[8]Tabla Impacto'!$D$12),"Menor",IF(OR(N114='[8]Tabla Impacto'!$C$13,N114='[8]Tabla Impacto'!$D$13),"Moderado",IF(OR(N114='[8]Tabla Impacto'!$C$14,N114='[8]Tabla Impacto'!$D$14),"Mayor",IF(OR(N114='[8]Tabla Impacto'!$C$15,N114='[8]Tabla Impacto'!$D$15),"Catastrófico","")))))</f>
        <v>Moderado</v>
      </c>
      <c r="P114" s="99">
        <f>IF(O114="","",IF(O114="Leve",0.2,IF(O114="Menor",0.4,IF(O114="Moderado",0.6,IF(O114="Mayor",0.8,IF(O114="Catastrófico",1,))))))</f>
        <v>0.6</v>
      </c>
      <c r="Q114" s="100" t="str">
        <f>IF(OR(AND(K114="Muy Baja",O114="Leve"),AND(K114="Muy Baja",O114="Menor"),AND(K114="Baja",O114="Leve")),"Bajo",IF(OR(AND(K114="Muy baja",O114="Moderado"),AND(K114="Baja",O114="Menor"),AND(K114="Baja",O114="Moderado"),AND(K114="Media",O114="Leve"),AND(K114="Media",O114="Menor"),AND(K114="Media",O114="Moderado"),AND(K114="Alta",O114="Leve"),AND(K114="Alta",O114="Menor")),"Moderado",IF(OR(AND(K114="Muy Baja",O114="Mayor"),AND(K114="Baja",O114="Mayor"),AND(K114="Media",O114="Mayor"),AND(K114="Alta",O114="Moderado"),AND(K114="Alta",O114="Mayor"),AND(K114="Muy Alta",O114="Leve"),AND(K114="Muy Alta",O114="Menor"),AND(K114="Muy Alta",O114="Moderado"),AND(K114="Muy Alta",O114="Mayor")),"Alto",IF(OR(AND(K114="Muy Baja",O114="Catastrófico"),AND(K114="Baja",O114="Catastrófico"),AND(K114="Media",O114="Catastrófico"),AND(K114="Alta",O114="Catastrófico"),AND(K114="Muy Alta",O114="Catastrófico")),"Extremo",""))))</f>
        <v>Moderado</v>
      </c>
      <c r="R114" s="101">
        <v>3</v>
      </c>
      <c r="S114" s="102" t="s">
        <v>269</v>
      </c>
      <c r="T114" s="103" t="str">
        <f t="shared" si="71"/>
        <v>Probabilidad</v>
      </c>
      <c r="U114" s="104" t="s">
        <v>197</v>
      </c>
      <c r="V114" s="104" t="s">
        <v>191</v>
      </c>
      <c r="W114" s="105" t="str">
        <f t="shared" si="72"/>
        <v>40%</v>
      </c>
      <c r="X114" s="104" t="s">
        <v>198</v>
      </c>
      <c r="Y114" s="104" t="s">
        <v>193</v>
      </c>
      <c r="Z114" s="104" t="s">
        <v>194</v>
      </c>
      <c r="AA114" s="106">
        <f>IFERROR(IF(AND(T113="Probabilidad",T114="Probabilidad"),(AC113-(+AC113*W114)),IF(AND(T113="Impacto",T114="Probabilidad"),(AC112-(+AC112*W114)),IF(T114="Impacto",AC113,""))),"")</f>
        <v>0.12959999999999999</v>
      </c>
      <c r="AB114" s="107" t="str">
        <f t="shared" si="73"/>
        <v>Muy Baja</v>
      </c>
      <c r="AC114" s="108">
        <f t="shared" si="75"/>
        <v>0.12959999999999999</v>
      </c>
      <c r="AD114" s="869"/>
      <c r="AE114" s="108">
        <f t="shared" si="74"/>
        <v>0.6</v>
      </c>
      <c r="AF114" s="872"/>
      <c r="AG114" s="88" t="s">
        <v>195</v>
      </c>
      <c r="AH114" s="109" t="s">
        <v>270</v>
      </c>
      <c r="AI114" s="113" t="s">
        <v>262</v>
      </c>
      <c r="AJ114" s="111" t="s">
        <v>263</v>
      </c>
      <c r="AK114" s="112" t="s">
        <v>264</v>
      </c>
      <c r="AL114" s="109" t="s">
        <v>265</v>
      </c>
      <c r="AM114" s="113" t="s">
        <v>196</v>
      </c>
    </row>
    <row r="115" spans="1:39" ht="158.4" x14ac:dyDescent="0.3">
      <c r="A115" s="858"/>
      <c r="B115" s="860"/>
      <c r="C115" s="860"/>
      <c r="D115" s="862"/>
      <c r="E115" s="114" t="s">
        <v>284</v>
      </c>
      <c r="F115" s="863"/>
      <c r="G115" s="865"/>
      <c r="H115" s="863"/>
      <c r="I115" s="867"/>
      <c r="J115" s="94">
        <v>25</v>
      </c>
      <c r="K115" s="95" t="str">
        <f>IF(J115&lt;=0,"",IF(J115&lt;=2,"Muy Baja",IF(J115&lt;=24,"Baja",IF(J115&lt;=500,"Media",IF(J115&lt;=5000,"Alta","Muy Alta")))))</f>
        <v>Media</v>
      </c>
      <c r="L115" s="96">
        <f>IF(K115="","",IF(K115="Muy Baja",0.2,IF(K115="Baja",0.4,IF(K115="Media",0.6,IF(K115="Alta",0.8,IF(K115="Muy Alta",1,))))))</f>
        <v>0.6</v>
      </c>
      <c r="M115" s="97" t="s">
        <v>200</v>
      </c>
      <c r="N115" s="98" t="str">
        <f>IF(NOT(ISERROR(MATCH(M115,'[8]Tabla Impacto'!$B$221:$B$223,0))),'[8]Tabla Impacto'!$F$223&amp;"Por favor no seleccionar los criterios de impacto(Afectación Económica o presupuestal y Pérdida Reputacional)",M115)</f>
        <v xml:space="preserve">     El riesgo afecta la imagen de la entidad con algunos usuarios de relevancia frente al logro de los objetivos</v>
      </c>
      <c r="O115" s="95" t="str">
        <f>IF(OR(N115='[8]Tabla Impacto'!$C$11,N115='[8]Tabla Impacto'!$D$11),"Leve",IF(OR(N115='[8]Tabla Impacto'!$C$12,N115='[8]Tabla Impacto'!$D$12),"Menor",IF(OR(N115='[8]Tabla Impacto'!$C$13,N115='[8]Tabla Impacto'!$D$13),"Moderado",IF(OR(N115='[8]Tabla Impacto'!$C$14,N115='[8]Tabla Impacto'!$D$14),"Mayor",IF(OR(N115='[8]Tabla Impacto'!$C$15,N115='[8]Tabla Impacto'!$D$15),"Catastrófico","")))))</f>
        <v>Moderado</v>
      </c>
      <c r="P115" s="99">
        <f>IF(O115="","",IF(O115="Leve",0.2,IF(O115="Menor",0.4,IF(O115="Moderado",0.6,IF(O115="Mayor",0.8,IF(O115="Catastrófico",1,))))))</f>
        <v>0.6</v>
      </c>
      <c r="Q115" s="100"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01">
        <v>4</v>
      </c>
      <c r="S115" s="102" t="s">
        <v>271</v>
      </c>
      <c r="T115" s="103" t="str">
        <f>IF(OR(U115="Preventivo",U115="Detectivo"),"Probabilidad",IF(U115="Correctivo","Impacto",""))</f>
        <v>Probabilidad</v>
      </c>
      <c r="U115" s="104" t="s">
        <v>197</v>
      </c>
      <c r="V115" s="104" t="s">
        <v>191</v>
      </c>
      <c r="W115" s="105" t="str">
        <f t="shared" si="72"/>
        <v>40%</v>
      </c>
      <c r="X115" s="104" t="s">
        <v>198</v>
      </c>
      <c r="Y115" s="104" t="s">
        <v>193</v>
      </c>
      <c r="Z115" s="104" t="s">
        <v>194</v>
      </c>
      <c r="AA115" s="106">
        <f>IFERROR(IF(AND(T114="Probabilidad",T115="Probabilidad"),(AC114-(+AC114*W115)),IF(AND(T114="Impacto",T115="Probabilidad"),(AC113-(+AC113*W115)),IF(T115="Impacto",AC114,""))),"")</f>
        <v>7.7759999999999996E-2</v>
      </c>
      <c r="AB115" s="107" t="str">
        <f t="shared" si="73"/>
        <v>Muy Baja</v>
      </c>
      <c r="AC115" s="108">
        <f t="shared" si="75"/>
        <v>7.7759999999999996E-2</v>
      </c>
      <c r="AD115" s="870"/>
      <c r="AE115" s="108">
        <f t="shared" si="74"/>
        <v>0.6</v>
      </c>
      <c r="AF115" s="873"/>
      <c r="AG115" s="88" t="s">
        <v>195</v>
      </c>
      <c r="AH115" s="109" t="s">
        <v>272</v>
      </c>
      <c r="AI115" s="113" t="s">
        <v>262</v>
      </c>
      <c r="AJ115" s="111" t="s">
        <v>263</v>
      </c>
      <c r="AK115" s="112" t="s">
        <v>264</v>
      </c>
      <c r="AL115" s="109" t="s">
        <v>273</v>
      </c>
      <c r="AM115" s="113" t="s">
        <v>196</v>
      </c>
    </row>
    <row r="116" spans="1:39" ht="207" x14ac:dyDescent="0.3">
      <c r="A116" s="115">
        <v>2</v>
      </c>
      <c r="B116" s="116" t="s">
        <v>189</v>
      </c>
      <c r="C116" s="116" t="s">
        <v>274</v>
      </c>
      <c r="D116" s="117" t="s">
        <v>275</v>
      </c>
      <c r="E116" s="118" t="s">
        <v>285</v>
      </c>
      <c r="F116" s="119" t="s">
        <v>276</v>
      </c>
      <c r="G116" s="89" t="s">
        <v>202</v>
      </c>
      <c r="H116" s="120" t="s">
        <v>277</v>
      </c>
      <c r="I116" s="121" t="s">
        <v>278</v>
      </c>
      <c r="J116" s="122">
        <v>4</v>
      </c>
      <c r="K116" s="123" t="str">
        <f>IF(J116&lt;=0,"",IF(J116&lt;=2,"Muy Baja",IF(J116&lt;=24,"Baja",IF(J116&lt;=500,"Media",IF(J116&lt;=5000,"Alta","Muy Alta")))))</f>
        <v>Baja</v>
      </c>
      <c r="L116" s="45">
        <f>IF(K116="","",IF(K116="Muy Baja",0.2,IF(K116="Baja",0.4,IF(K116="Media",0.6,IF(K116="Alta",0.8,IF(K116="Muy Alta",1,))))))</f>
        <v>0.4</v>
      </c>
      <c r="M116" s="124" t="s">
        <v>200</v>
      </c>
      <c r="N116" s="125" t="str">
        <f>IF(NOT(ISERROR(MATCH(M116,'[8]Tabla Impacto'!$B$221:$B$223,0))),'[8]Tabla Impacto'!$F$223&amp;"Por favor no seleccionar los criterios de impacto(Afectación Económica o presupuestal y Pérdida Reputacional)",M116)</f>
        <v xml:space="preserve">     El riesgo afecta la imagen de la entidad con algunos usuarios de relevancia frente al logro de los objetivos</v>
      </c>
      <c r="O116" s="126" t="str">
        <f>IF(OR(N116='[8]Tabla Impacto'!$C$11,N116='[8]Tabla Impacto'!$D$11),"Leve",IF(OR(N116='[8]Tabla Impacto'!$C$12,N116='[8]Tabla Impacto'!$D$12),"Menor",IF(OR(N116='[8]Tabla Impacto'!$C$13,N116='[8]Tabla Impacto'!$D$13),"Moderado",IF(OR(N116='[8]Tabla Impacto'!$C$14,N116='[8]Tabla Impacto'!$D$14),"Mayor",IF(OR(N116='[8]Tabla Impacto'!$C$15,N116='[8]Tabla Impacto'!$D$15),"Catastrófico","")))))</f>
        <v>Moderado</v>
      </c>
      <c r="P116" s="125">
        <f>IF(O116="","",IF(O116="Leve",0.2,IF(O116="Menor",0.4,IF(O116="Moderado",0.6,IF(O116="Mayor",0.8,IF(O116="Catastrófico",1,))))))</f>
        <v>0.6</v>
      </c>
      <c r="Q116" s="127" t="str">
        <f>IF(OR(AND(K116="Muy Baja",O116="Leve"),AND(K116="Muy Baja",O116="Menor"),AND(K116="Baja",O116="Leve")),"Bajo",IF(OR(AND(K116="Muy baja",O116="Moderado"),AND(K116="Baja",O116="Menor"),AND(K116="Baja",O116="Moderado"),AND(K116="Media",O116="Leve"),AND(K116="Media",O116="Menor"),AND(K116="Media",O116="Moderado"),AND(K116="Alta",O116="Leve"),AND(K116="Alta",O116="Menor")),"Moderado",IF(OR(AND(K116="Muy Baja",O116="Mayor"),AND(K116="Baja",O116="Mayor"),AND(K116="Media",O116="Mayor"),AND(K116="Alta",O116="Moderado"),AND(K116="Alta",O116="Mayor"),AND(K116="Muy Alta",O116="Leve"),AND(K116="Muy Alta",O116="Menor"),AND(K116="Muy Alta",O116="Moderado"),AND(K116="Muy Alta",O116="Mayor")),"Alto",IF(OR(AND(K116="Muy Baja",O116="Catastrófico"),AND(K116="Baja",O116="Catastrófico"),AND(K116="Media",O116="Catastrófico"),AND(K116="Alta",O116="Catastrófico"),AND(K116="Muy Alta",O116="Catastrófico")),"Extremo",""))))</f>
        <v>Moderado</v>
      </c>
      <c r="R116" s="115">
        <v>1</v>
      </c>
      <c r="S116" s="128" t="s">
        <v>279</v>
      </c>
      <c r="T116" s="91" t="str">
        <f t="shared" si="71"/>
        <v>Probabilidad</v>
      </c>
      <c r="U116" s="83" t="s">
        <v>197</v>
      </c>
      <c r="V116" s="83" t="s">
        <v>191</v>
      </c>
      <c r="W116" s="84" t="str">
        <f t="shared" si="72"/>
        <v>40%</v>
      </c>
      <c r="X116" s="83" t="s">
        <v>198</v>
      </c>
      <c r="Y116" s="83" t="s">
        <v>193</v>
      </c>
      <c r="Z116" s="83" t="s">
        <v>194</v>
      </c>
      <c r="AA116" s="92">
        <f>IFERROR(IF(T116="Probabilidad",(L116-(+L116*W116)),IF(T116="Impacto",L116,"")),"")</f>
        <v>0.24</v>
      </c>
      <c r="AB116" s="85" t="str">
        <f t="shared" si="73"/>
        <v>Baja</v>
      </c>
      <c r="AC116" s="86">
        <f t="shared" si="75"/>
        <v>0.24</v>
      </c>
      <c r="AD116" s="85" t="str">
        <f>IFERROR(IF(AE116="","",IF(AE116&lt;=0.2,"Leve",IF(AE116&lt;=0.4,"Menor",IF(AE116&lt;=0.6,"Moderado",IF(AE116&lt;=0.8,"Mayor","Catastrófico"))))),"")</f>
        <v>Moderado</v>
      </c>
      <c r="AE116" s="86">
        <f t="shared" si="74"/>
        <v>0.6</v>
      </c>
      <c r="AF116" s="87" t="str">
        <f>IFERROR(IF(OR(AND(AB116="Muy Baja",AD116="Leve"),AND(AB116="Muy Baja",AD116="Menor"),AND(AB116="Baja",AD116="Leve")),"Bajo",IF(OR(AND(AB116="Muy baja",AD116="Moderado"),AND(AB116="Baja",AD116="Menor"),AND(AB116="Baja",AD116="Moderado"),AND(AB116="Media",AD116="Leve"),AND(AB116="Media",AD116="Menor"),AND(AB116="Media",AD116="Moderado"),AND(AB116="Alta",AD116="Leve"),AND(AB116="Alta",AD116="Menor")),"Moderado",IF(OR(AND(AB116="Muy Baja",AD116="Mayor"),AND(AB116="Baja",AD116="Mayor"),AND(AB116="Media",AD116="Mayor"),AND(AB116="Alta",AD116="Moderado"),AND(AB116="Alta",AD116="Mayor"),AND(AB116="Muy Alta",AD116="Leve"),AND(AB116="Muy Alta",AD116="Menor"),AND(AB116="Muy Alta",AD116="Moderado"),AND(AB116="Muy Alta",AD116="Mayor")),"Alto",IF(OR(AND(AB116="Muy Baja",AD116="Catastrófico"),AND(AB116="Baja",AD116="Catastrófico"),AND(AB116="Media",AD116="Catastrófico"),AND(AB116="Alta",AD116="Catastrófico"),AND(AB116="Muy Alta",AD116="Catastrófico")),"Extremo","")))),"")</f>
        <v>Moderado</v>
      </c>
      <c r="AG116" s="88" t="s">
        <v>195</v>
      </c>
      <c r="AH116" s="90" t="s">
        <v>280</v>
      </c>
      <c r="AI116" s="113" t="s">
        <v>262</v>
      </c>
      <c r="AJ116" s="111" t="s">
        <v>263</v>
      </c>
      <c r="AK116" s="129" t="s">
        <v>264</v>
      </c>
      <c r="AL116" s="109" t="s">
        <v>265</v>
      </c>
      <c r="AM116" s="113" t="s">
        <v>196</v>
      </c>
    </row>
    <row r="117" spans="1:39" x14ac:dyDescent="0.3">
      <c r="A117" s="741" t="s">
        <v>148</v>
      </c>
      <c r="B117" s="742"/>
      <c r="C117" s="742"/>
      <c r="D117" s="742"/>
      <c r="E117" s="742"/>
      <c r="F117" s="742"/>
      <c r="G117" s="742"/>
      <c r="H117" s="742"/>
      <c r="I117" s="742"/>
      <c r="J117" s="742"/>
      <c r="K117" s="742"/>
      <c r="L117" s="742"/>
      <c r="M117" s="742"/>
      <c r="N117" s="742"/>
      <c r="O117" s="742"/>
      <c r="P117" s="742"/>
      <c r="Q117" s="742"/>
      <c r="R117" s="742"/>
      <c r="S117" s="742"/>
      <c r="T117" s="742"/>
      <c r="U117" s="742"/>
      <c r="V117" s="742"/>
      <c r="W117" s="742"/>
      <c r="X117" s="742"/>
      <c r="Y117" s="742"/>
      <c r="Z117" s="742"/>
      <c r="AA117" s="742"/>
      <c r="AB117" s="742"/>
      <c r="AC117" s="742"/>
      <c r="AD117" s="742"/>
      <c r="AE117" s="742"/>
      <c r="AF117" s="742"/>
      <c r="AG117" s="742"/>
      <c r="AH117" s="742"/>
      <c r="AI117" s="742"/>
      <c r="AJ117" s="742"/>
      <c r="AK117" s="742"/>
      <c r="AL117" s="742"/>
      <c r="AM117" s="743"/>
    </row>
    <row r="118" spans="1:39" x14ac:dyDescent="0.3">
      <c r="A118" s="744"/>
      <c r="B118" s="745"/>
      <c r="C118" s="745"/>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c r="AA118" s="745"/>
      <c r="AB118" s="745"/>
      <c r="AC118" s="745"/>
      <c r="AD118" s="745"/>
      <c r="AE118" s="745"/>
      <c r="AF118" s="745"/>
      <c r="AG118" s="745"/>
      <c r="AH118" s="745"/>
      <c r="AI118" s="745"/>
      <c r="AJ118" s="745"/>
      <c r="AK118" s="745"/>
      <c r="AL118" s="745"/>
      <c r="AM118" s="746"/>
    </row>
    <row r="119" spans="1:39" ht="14.4" x14ac:dyDescent="0.3">
      <c r="A119" s="42"/>
      <c r="B119" s="43"/>
      <c r="C119" s="42"/>
      <c r="D119" s="42"/>
      <c r="E119" s="42"/>
      <c r="F119" s="41"/>
      <c r="G119" s="41"/>
      <c r="H119" s="41"/>
      <c r="I119" s="44"/>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row>
    <row r="120" spans="1:39" ht="23.4" x14ac:dyDescent="0.3">
      <c r="A120" s="734" t="s">
        <v>149</v>
      </c>
      <c r="B120" s="735"/>
      <c r="C120" s="851" t="s">
        <v>486</v>
      </c>
      <c r="D120" s="852"/>
      <c r="E120" s="852"/>
      <c r="F120" s="852"/>
      <c r="G120" s="852"/>
      <c r="H120" s="852"/>
      <c r="I120" s="852"/>
      <c r="J120" s="852"/>
      <c r="K120" s="852"/>
      <c r="L120" s="852"/>
      <c r="M120" s="852"/>
      <c r="N120" s="852"/>
      <c r="O120" s="852"/>
      <c r="P120" s="852"/>
      <c r="Q120" s="852"/>
      <c r="R120" s="852"/>
      <c r="S120" s="852"/>
      <c r="T120" s="852"/>
      <c r="U120" s="852"/>
      <c r="V120" s="852"/>
      <c r="W120" s="852"/>
      <c r="X120" s="852"/>
      <c r="Y120" s="852"/>
      <c r="Z120" s="852"/>
      <c r="AA120" s="852"/>
      <c r="AB120" s="852"/>
      <c r="AC120" s="852"/>
      <c r="AD120" s="852"/>
      <c r="AE120" s="852"/>
      <c r="AF120" s="852"/>
      <c r="AG120" s="852"/>
      <c r="AH120" s="852"/>
      <c r="AI120" s="852"/>
      <c r="AJ120" s="852"/>
      <c r="AK120" s="852"/>
      <c r="AL120" s="852"/>
      <c r="AM120" s="853"/>
    </row>
    <row r="121" spans="1:39" ht="23.4" x14ac:dyDescent="0.3">
      <c r="A121" s="734" t="s">
        <v>150</v>
      </c>
      <c r="B121" s="735"/>
      <c r="C121" s="854" t="s">
        <v>487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5"/>
      <c r="AA121" s="855"/>
      <c r="AB121" s="855"/>
      <c r="AC121" s="855"/>
      <c r="AD121" s="855"/>
      <c r="AE121" s="855"/>
      <c r="AF121" s="855"/>
      <c r="AG121" s="855"/>
      <c r="AH121" s="855"/>
      <c r="AI121" s="855"/>
      <c r="AJ121" s="855"/>
      <c r="AK121" s="855"/>
      <c r="AL121" s="855"/>
      <c r="AM121" s="856"/>
    </row>
    <row r="122" spans="1:39" ht="23.4" x14ac:dyDescent="0.3">
      <c r="A122" s="734" t="s">
        <v>151</v>
      </c>
      <c r="B122" s="735"/>
      <c r="C122" s="854" t="s">
        <v>488</v>
      </c>
      <c r="D122" s="855"/>
      <c r="E122" s="855"/>
      <c r="F122" s="855"/>
      <c r="G122" s="855"/>
      <c r="H122" s="855"/>
      <c r="I122" s="855"/>
      <c r="J122" s="855"/>
      <c r="K122" s="855"/>
      <c r="L122" s="855"/>
      <c r="M122" s="855"/>
      <c r="N122" s="855"/>
      <c r="O122" s="855"/>
      <c r="P122" s="855"/>
      <c r="Q122" s="855"/>
      <c r="R122" s="855"/>
      <c r="S122" s="855"/>
      <c r="T122" s="855"/>
      <c r="U122" s="855"/>
      <c r="V122" s="855"/>
      <c r="W122" s="855"/>
      <c r="X122" s="855"/>
      <c r="Y122" s="855"/>
      <c r="Z122" s="855"/>
      <c r="AA122" s="855"/>
      <c r="AB122" s="855"/>
      <c r="AC122" s="855"/>
      <c r="AD122" s="855"/>
      <c r="AE122" s="855"/>
      <c r="AF122" s="855"/>
      <c r="AG122" s="855"/>
      <c r="AH122" s="855"/>
      <c r="AI122" s="855"/>
      <c r="AJ122" s="855"/>
      <c r="AK122" s="855"/>
      <c r="AL122" s="855"/>
      <c r="AM122" s="856"/>
    </row>
    <row r="123" spans="1:39" x14ac:dyDescent="0.3">
      <c r="A123" s="737" t="s">
        <v>152</v>
      </c>
      <c r="B123" s="738"/>
      <c r="C123" s="739"/>
      <c r="D123" s="739"/>
      <c r="E123" s="739"/>
      <c r="F123" s="739"/>
      <c r="G123" s="739"/>
      <c r="H123" s="739"/>
      <c r="I123" s="739"/>
      <c r="J123" s="740"/>
      <c r="K123" s="724" t="s">
        <v>153</v>
      </c>
      <c r="L123" s="739"/>
      <c r="M123" s="739"/>
      <c r="N123" s="739"/>
      <c r="O123" s="739"/>
      <c r="P123" s="739"/>
      <c r="Q123" s="740"/>
      <c r="R123" s="724" t="s">
        <v>154</v>
      </c>
      <c r="S123" s="739"/>
      <c r="T123" s="739"/>
      <c r="U123" s="739"/>
      <c r="V123" s="739"/>
      <c r="W123" s="739"/>
      <c r="X123" s="739"/>
      <c r="Y123" s="739"/>
      <c r="Z123" s="740"/>
      <c r="AA123" s="724" t="s">
        <v>155</v>
      </c>
      <c r="AB123" s="739"/>
      <c r="AC123" s="739"/>
      <c r="AD123" s="739"/>
      <c r="AE123" s="739"/>
      <c r="AF123" s="739"/>
      <c r="AG123" s="740"/>
      <c r="AH123" s="724" t="s">
        <v>156</v>
      </c>
      <c r="AI123" s="739"/>
      <c r="AJ123" s="739"/>
      <c r="AK123" s="739"/>
      <c r="AL123" s="739"/>
      <c r="AM123" s="740"/>
    </row>
    <row r="124" spans="1:39" x14ac:dyDescent="0.3">
      <c r="A124" s="728" t="s">
        <v>157</v>
      </c>
      <c r="B124" s="730" t="s">
        <v>141</v>
      </c>
      <c r="C124" s="726" t="s">
        <v>158</v>
      </c>
      <c r="D124" s="726" t="s">
        <v>159</v>
      </c>
      <c r="E124" s="725" t="s">
        <v>160</v>
      </c>
      <c r="F124" s="732" t="s">
        <v>60</v>
      </c>
      <c r="G124" s="38"/>
      <c r="H124" s="38"/>
      <c r="I124" s="725" t="s">
        <v>161</v>
      </c>
      <c r="J124" s="726" t="s">
        <v>162</v>
      </c>
      <c r="K124" s="731" t="s">
        <v>163</v>
      </c>
      <c r="L124" s="723" t="s">
        <v>164</v>
      </c>
      <c r="M124" s="725" t="s">
        <v>165</v>
      </c>
      <c r="N124" s="725" t="s">
        <v>166</v>
      </c>
      <c r="O124" s="727" t="s">
        <v>167</v>
      </c>
      <c r="P124" s="723" t="s">
        <v>164</v>
      </c>
      <c r="Q124" s="726" t="s">
        <v>168</v>
      </c>
      <c r="R124" s="721" t="s">
        <v>169</v>
      </c>
      <c r="S124" s="699" t="s">
        <v>170</v>
      </c>
      <c r="T124" s="725" t="s">
        <v>171</v>
      </c>
      <c r="U124" s="699" t="s">
        <v>172</v>
      </c>
      <c r="V124" s="699"/>
      <c r="W124" s="699"/>
      <c r="X124" s="699"/>
      <c r="Y124" s="699"/>
      <c r="Z124" s="699"/>
      <c r="AA124" s="720" t="s">
        <v>173</v>
      </c>
      <c r="AB124" s="720" t="s">
        <v>174</v>
      </c>
      <c r="AC124" s="720" t="s">
        <v>164</v>
      </c>
      <c r="AD124" s="720" t="s">
        <v>175</v>
      </c>
      <c r="AE124" s="720" t="s">
        <v>164</v>
      </c>
      <c r="AF124" s="720" t="s">
        <v>176</v>
      </c>
      <c r="AG124" s="721" t="s">
        <v>177</v>
      </c>
      <c r="AH124" s="699" t="s">
        <v>156</v>
      </c>
      <c r="AI124" s="699" t="s">
        <v>142</v>
      </c>
      <c r="AJ124" s="699" t="s">
        <v>178</v>
      </c>
      <c r="AK124" s="699" t="s">
        <v>179</v>
      </c>
      <c r="AL124" s="699" t="s">
        <v>180</v>
      </c>
      <c r="AM124" s="699" t="s">
        <v>181</v>
      </c>
    </row>
    <row r="125" spans="1:39" ht="71.400000000000006" x14ac:dyDescent="0.3">
      <c r="A125" s="729"/>
      <c r="B125" s="730"/>
      <c r="C125" s="699"/>
      <c r="D125" s="699"/>
      <c r="E125" s="731"/>
      <c r="F125" s="733"/>
      <c r="G125" s="38" t="s">
        <v>201</v>
      </c>
      <c r="H125" s="38" t="s">
        <v>182</v>
      </c>
      <c r="I125" s="726"/>
      <c r="J125" s="699"/>
      <c r="K125" s="726"/>
      <c r="L125" s="724"/>
      <c r="M125" s="726"/>
      <c r="N125" s="726"/>
      <c r="O125" s="724"/>
      <c r="P125" s="724"/>
      <c r="Q125" s="699"/>
      <c r="R125" s="722"/>
      <c r="S125" s="699"/>
      <c r="T125" s="726"/>
      <c r="U125" s="39" t="s">
        <v>183</v>
      </c>
      <c r="V125" s="39" t="s">
        <v>184</v>
      </c>
      <c r="W125" s="39" t="s">
        <v>185</v>
      </c>
      <c r="X125" s="39" t="s">
        <v>186</v>
      </c>
      <c r="Y125" s="39" t="s">
        <v>187</v>
      </c>
      <c r="Z125" s="39" t="s">
        <v>188</v>
      </c>
      <c r="AA125" s="720"/>
      <c r="AB125" s="720"/>
      <c r="AC125" s="720"/>
      <c r="AD125" s="720"/>
      <c r="AE125" s="720"/>
      <c r="AF125" s="720"/>
      <c r="AG125" s="722"/>
      <c r="AH125" s="699"/>
      <c r="AI125" s="699"/>
      <c r="AJ125" s="699"/>
      <c r="AK125" s="699"/>
      <c r="AL125" s="699"/>
      <c r="AM125" s="699"/>
    </row>
    <row r="126" spans="1:39" ht="69" x14ac:dyDescent="0.3">
      <c r="A126" s="653">
        <v>1</v>
      </c>
      <c r="B126" s="757" t="s">
        <v>199</v>
      </c>
      <c r="C126" s="757" t="s">
        <v>489</v>
      </c>
      <c r="D126" s="759" t="s">
        <v>490</v>
      </c>
      <c r="E126" s="399" t="s">
        <v>491</v>
      </c>
      <c r="F126" s="761" t="s">
        <v>492</v>
      </c>
      <c r="G126" s="783" t="s">
        <v>202</v>
      </c>
      <c r="H126" s="761" t="s">
        <v>493</v>
      </c>
      <c r="I126" s="762" t="s">
        <v>190</v>
      </c>
      <c r="J126" s="764">
        <v>16</v>
      </c>
      <c r="K126" s="766" t="str">
        <f>IF(J126&lt;=0,"",IF(J126&lt;=2,"Muy Baja",IF(J126&lt;=24,"Baja",IF(J126&lt;=500,"Media",IF(J126&lt;=5000,"Alta","Muy Alta")))))</f>
        <v>Baja</v>
      </c>
      <c r="L126" s="768">
        <f>IF(K126="","",IF(K126="Muy Baja",0.2,IF(K126="Baja",0.4,IF(K126="Media",0.6,IF(K126="Alta",0.8,IF(K126="Muy Alta",1,))))))</f>
        <v>0.4</v>
      </c>
      <c r="M126" s="770" t="s">
        <v>214</v>
      </c>
      <c r="N126" s="768" t="str">
        <f>IF(NOT(ISERROR(MATCH(M126,'[9]Tabla Impacto'!$B$221:$B$223,0))),'[9]Tabla Impacto'!$F$223&amp;"Por favor no seleccionar los criterios de impacto(Afectación Económica o presupuestal y Pérdida Reputacional)",M126)</f>
        <v xml:space="preserve">     El riesgo afecta la imagen de de la entidad con efecto publicitario sostenido a nivel de sector administrativo, nivel departamental o municipal</v>
      </c>
      <c r="O126" s="766" t="str">
        <f>IF(OR(N126='[9]Tabla Impacto'!$C$11,N126='[9]Tabla Impacto'!$D$11),"Leve",IF(OR(N126='[9]Tabla Impacto'!$C$12,N126='[9]Tabla Impacto'!$D$12),"Menor",IF(OR(N126='[9]Tabla Impacto'!$C$13,N126='[9]Tabla Impacto'!$D$13),"Moderado",IF(OR(N126='[9]Tabla Impacto'!$C$14,N126='[9]Tabla Impacto'!$D$14),"Mayor",IF(OR(N126='[9]Tabla Impacto'!$C$15,N126='[9]Tabla Impacto'!$D$15),"Catastrófico","")))))</f>
        <v>Mayor</v>
      </c>
      <c r="P126" s="768">
        <f>IF(O126="","",IF(O126="Leve",0.2,IF(O126="Menor",0.4,IF(O126="Moderado",0.6,IF(O126="Mayor",0.8,IF(O126="Catastrófico",1,))))))</f>
        <v>0.8</v>
      </c>
      <c r="Q126" s="772" t="str">
        <f>IF(OR(AND(K126="Muy Baja",O126="Leve"),AND(K126="Muy Baja",O126="Menor"),AND(K126="Baja",O126="Leve")),"Bajo",IF(OR(AND(K126="Muy baja",O126="Moderado"),AND(K126="Baja",O126="Menor"),AND(K126="Baja",O126="Moderado"),AND(K126="Media",O126="Leve"),AND(K126="Media",O126="Menor"),AND(K126="Media",O126="Moderado"),AND(K126="Alta",O126="Leve"),AND(K126="Alta",O126="Menor")),"Moderado",IF(OR(AND(K126="Muy Baja",O126="Mayor"),AND(K126="Baja",O126="Mayor"),AND(K126="Media",O126="Mayor"),AND(K126="Alta",O126="Moderado"),AND(K126="Alta",O126="Mayor"),AND(K126="Muy Alta",O126="Leve"),AND(K126="Muy Alta",O126="Menor"),AND(K126="Muy Alta",O126="Moderado"),AND(K126="Muy Alta",O126="Mayor")),"Alto",IF(OR(AND(K126="Muy Baja",O126="Catastrófico"),AND(K126="Baja",O126="Catastrófico"),AND(K126="Media",O126="Catastrófico"),AND(K126="Alta",O126="Catastrófico"),AND(K126="Muy Alta",O126="Catastrófico")),"Extremo",""))))</f>
        <v>Alto</v>
      </c>
      <c r="R126" s="243">
        <v>1</v>
      </c>
      <c r="S126" s="90">
        <f>+[9]DOFA!E153</f>
        <v>0</v>
      </c>
      <c r="T126" s="91" t="str">
        <f>IF(OR(U126="Preventivo",U126="Detectivo"),"Probabilidad",IF(U126="Correctivo","Impacto",""))</f>
        <v>Probabilidad</v>
      </c>
      <c r="U126" s="83" t="s">
        <v>197</v>
      </c>
      <c r="V126" s="83" t="s">
        <v>191</v>
      </c>
      <c r="W126" s="84" t="str">
        <f>IF(AND(U126="Preventivo",V126="Automático"),"50%",IF(AND(U126="Preventivo",V126="Manual"),"40%",IF(AND(U126="Detectivo",V126="Automático"),"40%",IF(AND(U126="Detectivo",V126="Manual"),"30%",IF(AND(U126="Correctivo",V126="Automático"),"35%",IF(AND(U126="Correctivo",V126="Manual"),"25%",""))))))</f>
        <v>40%</v>
      </c>
      <c r="X126" s="83" t="s">
        <v>198</v>
      </c>
      <c r="Y126" s="83" t="s">
        <v>193</v>
      </c>
      <c r="Z126" s="83" t="s">
        <v>194</v>
      </c>
      <c r="AA126" s="92">
        <f>IFERROR(IF(T126="Probabilidad",(L126-(+L126*W126)),IF(T126="Impacto",L126,"")),"")</f>
        <v>0.24</v>
      </c>
      <c r="AB126" s="85" t="str">
        <f>IFERROR(IF(AA126="","",IF(AA126&lt;=0.2,"Muy Baja",IF(AA126&lt;=0.4,"Baja",IF(AA126&lt;=0.6,"Media",IF(AA126&lt;=0.8,"Alta","Muy Alta"))))),"")</f>
        <v>Baja</v>
      </c>
      <c r="AC126" s="86">
        <f>+AA126</f>
        <v>0.24</v>
      </c>
      <c r="AD126" s="85" t="str">
        <f>IFERROR(IF(AE126="","",IF(AE126&lt;=0.2,"Leve",IF(AE126&lt;=0.4,"Menor",IF(AE126&lt;=0.6,"Moderado",IF(AE126&lt;=0.8,"Mayor","Catastrófico"))))),"")</f>
        <v>Mayor</v>
      </c>
      <c r="AE126" s="86">
        <f>IFERROR(IF(T126="Impacto",(P126-(+P126*W126)),IF(T126="Probabilidad",P126,"")),"")</f>
        <v>0.8</v>
      </c>
      <c r="AF126" s="87" t="str">
        <f>IFERROR(IF(OR(AND(AB126="Muy Baja",AD126="Leve"),AND(AB126="Muy Baja",AD126="Menor"),AND(AB126="Baja",AD126="Leve")),"Bajo",IF(OR(AND(AB126="Muy baja",AD126="Moderado"),AND(AB126="Baja",AD126="Menor"),AND(AB126="Baja",AD126="Moderado"),AND(AB126="Media",AD126="Leve"),AND(AB126="Media",AD126="Menor"),AND(AB126="Media",AD126="Moderado"),AND(AB126="Alta",AD126="Leve"),AND(AB126="Alta",AD126="Menor")),"Moderado",IF(OR(AND(AB126="Muy Baja",AD126="Mayor"),AND(AB126="Baja",AD126="Mayor"),AND(AB126="Media",AD126="Mayor"),AND(AB126="Alta",AD126="Moderado"),AND(AB126="Alta",AD126="Mayor"),AND(AB126="Muy Alta",AD126="Leve"),AND(AB126="Muy Alta",AD126="Menor"),AND(AB126="Muy Alta",AD126="Moderado"),AND(AB126="Muy Alta",AD126="Mayor")),"Alto",IF(OR(AND(AB126="Muy Baja",AD126="Catastrófico"),AND(AB126="Baja",AD126="Catastrófico"),AND(AB126="Media",AD126="Catastrófico"),AND(AB126="Alta",AD126="Catastrófico"),AND(AB126="Muy Alta",AD126="Catastrófico")),"Extremo","")))),"")</f>
        <v>Alto</v>
      </c>
      <c r="AG126" s="643" t="s">
        <v>195</v>
      </c>
      <c r="AH126" s="842" t="s">
        <v>494</v>
      </c>
      <c r="AI126" s="842" t="s">
        <v>495</v>
      </c>
      <c r="AJ126" s="839">
        <v>45691</v>
      </c>
      <c r="AK126" s="839"/>
      <c r="AL126" s="842"/>
      <c r="AM126" s="845"/>
    </row>
    <row r="127" spans="1:39" ht="69" x14ac:dyDescent="0.3">
      <c r="A127" s="667"/>
      <c r="B127" s="758"/>
      <c r="C127" s="758"/>
      <c r="D127" s="760"/>
      <c r="E127" s="399" t="s">
        <v>496</v>
      </c>
      <c r="F127" s="761"/>
      <c r="G127" s="784"/>
      <c r="H127" s="761"/>
      <c r="I127" s="763"/>
      <c r="J127" s="765"/>
      <c r="K127" s="767"/>
      <c r="L127" s="769"/>
      <c r="M127" s="771"/>
      <c r="N127" s="769">
        <f>IF(NOT(ISERROR(MATCH(M127,_xlfn.ANCHORARRAY(F135),0))),L137&amp;"Por favor no seleccionar los criterios de impacto",M127)</f>
        <v>0</v>
      </c>
      <c r="O127" s="767"/>
      <c r="P127" s="769"/>
      <c r="Q127" s="773"/>
      <c r="R127" s="243">
        <v>2</v>
      </c>
      <c r="S127" s="90">
        <f>+[9]DOFA!E154</f>
        <v>0</v>
      </c>
      <c r="T127" s="91" t="str">
        <f>IF(OR(U127="Preventivo",U127="Detectivo"),"Probabilidad",IF(U127="Correctivo","Impacto",""))</f>
        <v>Probabilidad</v>
      </c>
      <c r="U127" s="83" t="s">
        <v>197</v>
      </c>
      <c r="V127" s="83" t="s">
        <v>191</v>
      </c>
      <c r="W127" s="84" t="str">
        <f t="shared" ref="W127:W128" si="76">IF(AND(U127="Preventivo",V127="Automático"),"50%",IF(AND(U127="Preventivo",V127="Manual"),"40%",IF(AND(U127="Detectivo",V127="Automático"),"40%",IF(AND(U127="Detectivo",V127="Manual"),"30%",IF(AND(U127="Correctivo",V127="Automático"),"35%",IF(AND(U127="Correctivo",V127="Manual"),"25%",""))))))</f>
        <v>40%</v>
      </c>
      <c r="X127" s="83" t="s">
        <v>198</v>
      </c>
      <c r="Y127" s="83" t="s">
        <v>193</v>
      </c>
      <c r="Z127" s="83" t="s">
        <v>194</v>
      </c>
      <c r="AA127" s="92">
        <f>IFERROR(IF(AND(T126="Probabilidad",T127="Probabilidad"),(AC126-(+AC126*W127)),IF(AND(T126="Impacto",T127="Probabilidad"),(L126-(+L126*W127)),IF(T127="Impacto",AC126,""))),"")</f>
        <v>0.14399999999999999</v>
      </c>
      <c r="AB127" s="85" t="str">
        <f t="shared" ref="AB127:AB128" si="77">IFERROR(IF(AA127="","",IF(AA127&lt;=0.2,"Muy Baja",IF(AA127&lt;=0.4,"Baja",IF(AA127&lt;=0.6,"Media",IF(AA127&lt;=0.8,"Alta","Muy Alta"))))),"")</f>
        <v>Muy Baja</v>
      </c>
      <c r="AC127" s="86">
        <f>+AA127</f>
        <v>0.14399999999999999</v>
      </c>
      <c r="AD127" s="85" t="str">
        <f t="shared" ref="AD127:AD128" si="78">IFERROR(IF(AE127="","",IF(AE127&lt;=0.2,"Leve",IF(AE127&lt;=0.4,"Menor",IF(AE127&lt;=0.6,"Moderado",IF(AE127&lt;=0.8,"Mayor","Catastrófico"))))),"")</f>
        <v>Mayor</v>
      </c>
      <c r="AE127" s="86">
        <f>IFERROR(IF(AND(T126="Impacto",T127="Impacto"),(AE126-(+AE126*W127)),IF(AND(T126="Probabilidad",T127="Impacto"),(P126-(+P126*W127)),IF(T127="Probabilidad",AE126,""))),"")</f>
        <v>0.8</v>
      </c>
      <c r="AF127" s="87" t="str">
        <f t="shared" ref="AF127:AF128" si="79">IFERROR(IF(OR(AND(AB127="Muy Baja",AD127="Leve"),AND(AB127="Muy Baja",AD127="Menor"),AND(AB127="Baja",AD127="Leve")),"Bajo",IF(OR(AND(AB127="Muy baja",AD127="Moderado"),AND(AB127="Baja",AD127="Menor"),AND(AB127="Baja",AD127="Moderado"),AND(AB127="Media",AD127="Leve"),AND(AB127="Media",AD127="Menor"),AND(AB127="Media",AD127="Moderado"),AND(AB127="Alta",AD127="Leve"),AND(AB127="Alta",AD127="Menor")),"Moderado",IF(OR(AND(AB127="Muy Baja",AD127="Mayor"),AND(AB127="Baja",AD127="Mayor"),AND(AB127="Media",AD127="Mayor"),AND(AB127="Alta",AD127="Moderado"),AND(AB127="Alta",AD127="Mayor"),AND(AB127="Muy Alta",AD127="Leve"),AND(AB127="Muy Alta",AD127="Menor"),AND(AB127="Muy Alta",AD127="Moderado"),AND(AB127="Muy Alta",AD127="Mayor")),"Alto",IF(OR(AND(AB127="Muy Baja",AD127="Catastrófico"),AND(AB127="Baja",AD127="Catastrófico"),AND(AB127="Media",AD127="Catastrófico"),AND(AB127="Alta",AD127="Catastrófico"),AND(AB127="Muy Alta",AD127="Catastrófico")),"Extremo","")))),"")</f>
        <v>Alto</v>
      </c>
      <c r="AG127" s="850"/>
      <c r="AH127" s="843"/>
      <c r="AI127" s="843"/>
      <c r="AJ127" s="840"/>
      <c r="AK127" s="840"/>
      <c r="AL127" s="843"/>
      <c r="AM127" s="846"/>
    </row>
    <row r="128" spans="1:39" ht="69" x14ac:dyDescent="0.3">
      <c r="A128" s="667"/>
      <c r="B128" s="758"/>
      <c r="C128" s="758"/>
      <c r="D128" s="760"/>
      <c r="E128" s="401" t="s">
        <v>497</v>
      </c>
      <c r="F128" s="761"/>
      <c r="G128" s="784"/>
      <c r="H128" s="761"/>
      <c r="I128" s="763"/>
      <c r="J128" s="765"/>
      <c r="K128" s="767"/>
      <c r="L128" s="769"/>
      <c r="M128" s="771"/>
      <c r="N128" s="769">
        <f>IF(NOT(ISERROR(MATCH(M128,_xlfn.ANCHORARRAY(F136),0))),L138&amp;"Por favor no seleccionar los criterios de impacto",M128)</f>
        <v>0</v>
      </c>
      <c r="O128" s="767"/>
      <c r="P128" s="769"/>
      <c r="Q128" s="773"/>
      <c r="R128" s="243">
        <v>3</v>
      </c>
      <c r="S128" s="247">
        <f>[9]DOFA!E155</f>
        <v>0</v>
      </c>
      <c r="T128" s="91" t="str">
        <f t="shared" ref="T128" si="80">IF(OR(U128="Preventivo",U128="Detectivo"),"Probabilidad",IF(U128="Correctivo","Impacto",""))</f>
        <v>Probabilidad</v>
      </c>
      <c r="U128" s="83" t="s">
        <v>197</v>
      </c>
      <c r="V128" s="83" t="s">
        <v>191</v>
      </c>
      <c r="W128" s="84" t="str">
        <f t="shared" si="76"/>
        <v>40%</v>
      </c>
      <c r="X128" s="83" t="s">
        <v>198</v>
      </c>
      <c r="Y128" s="83" t="s">
        <v>193</v>
      </c>
      <c r="Z128" s="83" t="s">
        <v>194</v>
      </c>
      <c r="AA128" s="92">
        <f>IFERROR(IF(AND(T127="Probabilidad",T128="Probabilidad"),(AC127-(+AC127*W128)),IF(AND(T127="Impacto",T128="Probabilidad"),(AC126-(+AC126*W128)),IF(T128="Impacto",AC127,""))),"")</f>
        <v>8.6399999999999991E-2</v>
      </c>
      <c r="AB128" s="85" t="str">
        <f t="shared" si="77"/>
        <v>Muy Baja</v>
      </c>
      <c r="AC128" s="86">
        <f t="shared" ref="AC128" si="81">+AA128</f>
        <v>8.6399999999999991E-2</v>
      </c>
      <c r="AD128" s="85" t="str">
        <f t="shared" si="78"/>
        <v>Mayor</v>
      </c>
      <c r="AE128" s="86">
        <f t="shared" ref="AE128" si="82">IFERROR(IF(AND(T127="Impacto",T128="Impacto"),(AE127-(+AE127*W128)),IF(AND(T127="Probabilidad",T128="Impacto"),(AE126-(+AE126*W128)),IF(T128="Probabilidad",AE127,""))),"")</f>
        <v>0.8</v>
      </c>
      <c r="AF128" s="87" t="str">
        <f t="shared" si="79"/>
        <v>Alto</v>
      </c>
      <c r="AG128" s="644"/>
      <c r="AH128" s="844"/>
      <c r="AI128" s="844"/>
      <c r="AJ128" s="841"/>
      <c r="AK128" s="841"/>
      <c r="AL128" s="844"/>
      <c r="AM128" s="847"/>
    </row>
    <row r="129" spans="1:38" x14ac:dyDescent="0.3">
      <c r="A129" s="848" t="s">
        <v>148</v>
      </c>
      <c r="B129" s="848"/>
      <c r="C129" s="848"/>
      <c r="D129" s="848"/>
      <c r="E129" s="848"/>
      <c r="F129" s="848"/>
      <c r="G129" s="848"/>
      <c r="H129" s="848"/>
      <c r="I129" s="848"/>
      <c r="J129" s="848"/>
      <c r="K129" s="848"/>
      <c r="L129" s="848"/>
      <c r="M129" s="848"/>
      <c r="N129" s="848"/>
      <c r="O129" s="848"/>
      <c r="P129" s="848"/>
      <c r="Q129" s="848"/>
      <c r="R129" s="848"/>
      <c r="S129" s="848"/>
      <c r="T129" s="848"/>
      <c r="U129" s="848"/>
      <c r="V129" s="848"/>
      <c r="W129" s="848"/>
      <c r="X129" s="848"/>
      <c r="Y129" s="848"/>
      <c r="Z129" s="848"/>
      <c r="AA129" s="848"/>
      <c r="AB129" s="848"/>
      <c r="AC129" s="848"/>
      <c r="AD129" s="848"/>
      <c r="AE129" s="848"/>
      <c r="AF129" s="848"/>
      <c r="AG129" s="848"/>
      <c r="AH129" s="848"/>
      <c r="AI129" s="848"/>
      <c r="AJ129" s="848"/>
      <c r="AK129" s="848"/>
      <c r="AL129" s="848"/>
    </row>
    <row r="130" spans="1:38" x14ac:dyDescent="0.3">
      <c r="A130" s="848"/>
      <c r="B130" s="848"/>
      <c r="C130" s="848"/>
      <c r="D130" s="848"/>
      <c r="E130" s="848"/>
      <c r="F130" s="848"/>
      <c r="G130" s="848"/>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row>
    <row r="131" spans="1:38" ht="14.4" x14ac:dyDescent="0.3">
      <c r="A131" s="402"/>
      <c r="B131" s="403"/>
      <c r="C131" s="402"/>
      <c r="D131" s="402"/>
      <c r="E131" s="402"/>
      <c r="F131" s="404"/>
      <c r="G131" s="404"/>
      <c r="H131" s="404"/>
      <c r="I131" s="405"/>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row>
    <row r="132" spans="1:38" ht="23.4" x14ac:dyDescent="0.3">
      <c r="A132" s="829" t="s">
        <v>149</v>
      </c>
      <c r="B132" s="829"/>
      <c r="C132" s="849" t="s">
        <v>498</v>
      </c>
      <c r="D132" s="849"/>
      <c r="E132" s="849"/>
      <c r="F132" s="849"/>
      <c r="G132" s="849"/>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row>
    <row r="133" spans="1:38" ht="23.4" x14ac:dyDescent="0.3">
      <c r="A133" s="829" t="s">
        <v>150</v>
      </c>
      <c r="B133" s="829"/>
      <c r="C133" s="830" t="s">
        <v>499</v>
      </c>
      <c r="D133" s="830"/>
      <c r="E133" s="830"/>
      <c r="F133" s="830"/>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row>
    <row r="134" spans="1:38" ht="23.4" x14ac:dyDescent="0.3">
      <c r="A134" s="829" t="s">
        <v>151</v>
      </c>
      <c r="B134" s="829"/>
      <c r="C134" s="830" t="s">
        <v>500</v>
      </c>
      <c r="D134" s="830"/>
      <c r="E134" s="830"/>
      <c r="F134" s="830"/>
      <c r="G134" s="830"/>
      <c r="H134" s="830"/>
      <c r="I134" s="830"/>
      <c r="J134" s="830"/>
      <c r="K134" s="830"/>
      <c r="L134" s="830"/>
      <c r="M134" s="830"/>
      <c r="N134" s="830"/>
      <c r="O134" s="830"/>
      <c r="P134" s="830"/>
      <c r="Q134" s="830"/>
      <c r="R134" s="830"/>
      <c r="S134" s="830"/>
      <c r="T134" s="830"/>
      <c r="U134" s="830"/>
      <c r="V134" s="830"/>
      <c r="W134" s="830"/>
      <c r="X134" s="830"/>
      <c r="Y134" s="830"/>
      <c r="Z134" s="830"/>
      <c r="AA134" s="830"/>
      <c r="AB134" s="830"/>
      <c r="AC134" s="830"/>
      <c r="AD134" s="830"/>
      <c r="AE134" s="830"/>
      <c r="AF134" s="830"/>
      <c r="AG134" s="830"/>
      <c r="AH134" s="830"/>
      <c r="AI134" s="830"/>
      <c r="AJ134" s="830"/>
      <c r="AK134" s="830"/>
      <c r="AL134" s="830"/>
    </row>
    <row r="135" spans="1:38" x14ac:dyDescent="0.3">
      <c r="A135" s="831" t="s">
        <v>152</v>
      </c>
      <c r="B135" s="831"/>
      <c r="C135" s="831"/>
      <c r="D135" s="831"/>
      <c r="E135" s="831"/>
      <c r="F135" s="831"/>
      <c r="G135" s="831"/>
      <c r="H135" s="831"/>
      <c r="I135" s="831"/>
      <c r="J135" s="831"/>
      <c r="K135" s="832" t="s">
        <v>153</v>
      </c>
      <c r="L135" s="832"/>
      <c r="M135" s="832"/>
      <c r="N135" s="832"/>
      <c r="O135" s="832"/>
      <c r="P135" s="832"/>
      <c r="Q135" s="832"/>
      <c r="R135" s="832" t="s">
        <v>154</v>
      </c>
      <c r="S135" s="832"/>
      <c r="T135" s="832"/>
      <c r="U135" s="832"/>
      <c r="V135" s="832"/>
      <c r="W135" s="832"/>
      <c r="X135" s="832"/>
      <c r="Y135" s="832"/>
      <c r="Z135" s="832"/>
      <c r="AA135" s="832" t="s">
        <v>155</v>
      </c>
      <c r="AB135" s="832"/>
      <c r="AC135" s="832"/>
      <c r="AD135" s="832"/>
      <c r="AE135" s="832"/>
      <c r="AF135" s="832"/>
      <c r="AG135" s="832"/>
      <c r="AH135" s="832" t="s">
        <v>156</v>
      </c>
      <c r="AI135" s="832"/>
      <c r="AJ135" s="832"/>
      <c r="AK135" s="832"/>
      <c r="AL135" s="832"/>
    </row>
    <row r="136" spans="1:38" x14ac:dyDescent="0.3">
      <c r="A136" s="833" t="s">
        <v>157</v>
      </c>
      <c r="B136" s="831" t="s">
        <v>141</v>
      </c>
      <c r="C136" s="834" t="s">
        <v>158</v>
      </c>
      <c r="D136" s="834" t="s">
        <v>159</v>
      </c>
      <c r="E136" s="835" t="s">
        <v>160</v>
      </c>
      <c r="F136" s="836" t="s">
        <v>60</v>
      </c>
      <c r="G136" s="836" t="s">
        <v>201</v>
      </c>
      <c r="H136" s="406"/>
      <c r="I136" s="808" t="s">
        <v>161</v>
      </c>
      <c r="J136" s="834" t="s">
        <v>162</v>
      </c>
      <c r="K136" s="834" t="s">
        <v>163</v>
      </c>
      <c r="L136" s="837" t="s">
        <v>164</v>
      </c>
      <c r="M136" s="808" t="s">
        <v>165</v>
      </c>
      <c r="N136" s="808" t="s">
        <v>166</v>
      </c>
      <c r="O136" s="838" t="s">
        <v>167</v>
      </c>
      <c r="P136" s="837" t="s">
        <v>164</v>
      </c>
      <c r="Q136" s="834" t="s">
        <v>168</v>
      </c>
      <c r="R136" s="809" t="s">
        <v>169</v>
      </c>
      <c r="S136" s="808" t="s">
        <v>170</v>
      </c>
      <c r="T136" s="808" t="s">
        <v>171</v>
      </c>
      <c r="U136" s="808" t="s">
        <v>172</v>
      </c>
      <c r="V136" s="808"/>
      <c r="W136" s="808"/>
      <c r="X136" s="808"/>
      <c r="Y136" s="808"/>
      <c r="Z136" s="808"/>
      <c r="AA136" s="809" t="s">
        <v>173</v>
      </c>
      <c r="AB136" s="809" t="s">
        <v>174</v>
      </c>
      <c r="AC136" s="809" t="s">
        <v>164</v>
      </c>
      <c r="AD136" s="809" t="s">
        <v>175</v>
      </c>
      <c r="AE136" s="809" t="s">
        <v>164</v>
      </c>
      <c r="AF136" s="809" t="s">
        <v>176</v>
      </c>
      <c r="AG136" s="809" t="s">
        <v>177</v>
      </c>
      <c r="AH136" s="808" t="s">
        <v>156</v>
      </c>
      <c r="AI136" s="808" t="s">
        <v>142</v>
      </c>
      <c r="AJ136" s="808" t="s">
        <v>179</v>
      </c>
      <c r="AK136" s="808" t="s">
        <v>180</v>
      </c>
      <c r="AL136" s="808" t="s">
        <v>178</v>
      </c>
    </row>
    <row r="137" spans="1:38" ht="71.400000000000006" x14ac:dyDescent="0.3">
      <c r="A137" s="833"/>
      <c r="B137" s="831"/>
      <c r="C137" s="834"/>
      <c r="D137" s="834"/>
      <c r="E137" s="835"/>
      <c r="F137" s="836"/>
      <c r="G137" s="836"/>
      <c r="H137" s="406" t="s">
        <v>182</v>
      </c>
      <c r="I137" s="808"/>
      <c r="J137" s="834"/>
      <c r="K137" s="834"/>
      <c r="L137" s="837"/>
      <c r="M137" s="808"/>
      <c r="N137" s="808"/>
      <c r="O137" s="838"/>
      <c r="P137" s="838"/>
      <c r="Q137" s="834"/>
      <c r="R137" s="809"/>
      <c r="S137" s="808"/>
      <c r="T137" s="808"/>
      <c r="U137" s="407" t="s">
        <v>183</v>
      </c>
      <c r="V137" s="407" t="s">
        <v>184</v>
      </c>
      <c r="W137" s="407" t="s">
        <v>185</v>
      </c>
      <c r="X137" s="407" t="s">
        <v>186</v>
      </c>
      <c r="Y137" s="407" t="s">
        <v>187</v>
      </c>
      <c r="Z137" s="407" t="s">
        <v>188</v>
      </c>
      <c r="AA137" s="809"/>
      <c r="AB137" s="809"/>
      <c r="AC137" s="809"/>
      <c r="AD137" s="809"/>
      <c r="AE137" s="809"/>
      <c r="AF137" s="809"/>
      <c r="AG137" s="809"/>
      <c r="AH137" s="808"/>
      <c r="AI137" s="808"/>
      <c r="AJ137" s="808"/>
      <c r="AK137" s="808"/>
      <c r="AL137" s="808"/>
    </row>
    <row r="138" spans="1:38" ht="151.80000000000001" x14ac:dyDescent="0.3">
      <c r="A138" s="800">
        <v>1</v>
      </c>
      <c r="B138" s="820" t="s">
        <v>189</v>
      </c>
      <c r="C138" s="820" t="s">
        <v>501</v>
      </c>
      <c r="D138" s="820" t="s">
        <v>502</v>
      </c>
      <c r="E138" s="408" t="s">
        <v>503</v>
      </c>
      <c r="F138" s="821" t="s">
        <v>504</v>
      </c>
      <c r="G138" s="815" t="s">
        <v>202</v>
      </c>
      <c r="H138" s="822" t="s">
        <v>505</v>
      </c>
      <c r="I138" s="806" t="s">
        <v>190</v>
      </c>
      <c r="J138" s="823">
        <v>240</v>
      </c>
      <c r="K138" s="792" t="str">
        <f>IF(J138&lt;=0,"",IF(J138&lt;=2,"Muy Baja",IF(J138&lt;=24,"Baja",IF(J138&lt;=500,"Media",IF(J138&lt;=5000,"Alta","Muy Alta")))))</f>
        <v>Media</v>
      </c>
      <c r="L138" s="793">
        <f>IF(K138="","",IF(K138="Muy Baja",0.2,IF(K138="Baja",0.4,IF(K138="Media",0.6,IF(K138="Alta",0.8,IF(K138="Muy Alta",1,))))))</f>
        <v>0.6</v>
      </c>
      <c r="M138" s="824" t="s">
        <v>200</v>
      </c>
      <c r="N138" s="825" t="str">
        <f>IF(NOT(ISERROR(MATCH(M138,'[10]Tabla Impacto'!$B$221:$B$223,0))),'[10]Tabla Impacto'!$F$223&amp;"Por favor no seleccionar los criterios de impacto(Afectación Económica o presupuestal y Pérdida Reputacional)",M138)</f>
        <v xml:space="preserve">     El riesgo afecta la imagen de la entidad con algunos usuarios de relevancia frente al logro de los objetivos</v>
      </c>
      <c r="O138" s="826" t="str">
        <f>IF(OR(N138='[10]Tabla Impacto'!$C$11,N138='[10]Tabla Impacto'!$D$11),"Leve",IF(OR(N138='[10]Tabla Impacto'!$C$12,N138='[10]Tabla Impacto'!$D$12),"Menor",IF(OR(N138='[10]Tabla Impacto'!$C$13,N138='[10]Tabla Impacto'!$D$13),"Moderado",IF(OR(N138='[10]Tabla Impacto'!$C$14,N138='[10]Tabla Impacto'!$D$14),"Mayor",IF(OR(N138='[10]Tabla Impacto'!$C$15,N138='[10]Tabla Impacto'!$D$15),"Catastrófico","")))))</f>
        <v>Moderado</v>
      </c>
      <c r="P138" s="827">
        <f>IF(O138="","",IF(O138="Leve",0.2,IF(O138="Menor",0.4,IF(O138="Moderado",0.6,IF(O138="Mayor",0.8,IF(O138="Catastrófico",1,))))))</f>
        <v>0.6</v>
      </c>
      <c r="Q138" s="828" t="str">
        <f>IF(OR(AND(K138="Muy Baja",O138="Leve"),AND(K138="Muy Baja",O138="Menor"),AND(K138="Baja",O138="Leve")),"Bajo",IF(OR(AND(K138="Muy baja",O138="Moderado"),AND(K138="Baja",O138="Menor"),AND(K138="Baja",O138="Moderado"),AND(K138="Media",O138="Leve"),AND(K138="Media",O138="Menor"),AND(K138="Media",O138="Moderado"),AND(K138="Alta",O138="Leve"),AND(K138="Alta",O138="Menor")),"Moderado",IF(OR(AND(K138="Muy Baja",O138="Mayor"),AND(K138="Baja",O138="Mayor"),AND(K138="Media",O138="Mayor"),AND(K138="Alta",O138="Moderado"),AND(K138="Alta",O138="Mayor"),AND(K138="Muy Alta",O138="Leve"),AND(K138="Muy Alta",O138="Menor"),AND(K138="Muy Alta",O138="Moderado"),AND(K138="Muy Alta",O138="Mayor")),"Alto",IF(OR(AND(K138="Muy Baja",O138="Catastrófico"),AND(K138="Baja",O138="Catastrófico"),AND(K138="Media",O138="Catastrófico"),AND(K138="Alta",O138="Catastrófico"),AND(K138="Muy Alta",O138="Catastrófico")),"Extremo",""))))</f>
        <v>Moderado</v>
      </c>
      <c r="R138" s="409">
        <v>1</v>
      </c>
      <c r="S138" s="410" t="s">
        <v>506</v>
      </c>
      <c r="T138" s="411" t="str">
        <f t="shared" ref="T138:T142" si="83">IF(OR(U138="Preventivo",U138="Detectivo"),"Probabilidad",IF(U138="Correctivo","Impacto",""))</f>
        <v>Probabilidad</v>
      </c>
      <c r="U138" s="412" t="s">
        <v>197</v>
      </c>
      <c r="V138" s="412" t="s">
        <v>191</v>
      </c>
      <c r="W138" s="413" t="str">
        <f t="shared" ref="W138:W144" si="84">IF(AND(U138="Preventivo",V138="Automático"),"50%",IF(AND(U138="Preventivo",V138="Manual"),"40%",IF(AND(U138="Detectivo",V138="Automático"),"40%",IF(AND(U138="Detectivo",V138="Manual"),"30%",IF(AND(U138="Correctivo",V138="Automático"),"35%",IF(AND(U138="Correctivo",V138="Manual"),"25%",""))))))</f>
        <v>40%</v>
      </c>
      <c r="X138" s="412" t="s">
        <v>192</v>
      </c>
      <c r="Y138" s="412" t="s">
        <v>193</v>
      </c>
      <c r="Z138" s="412" t="s">
        <v>485</v>
      </c>
      <c r="AA138" s="414">
        <f>IFERROR(IF(T138="Probabilidad",(L138-(+L138*W138)),IF(T138="Impacto",L138,"")),"")</f>
        <v>0.36</v>
      </c>
      <c r="AB138" s="415" t="str">
        <f t="shared" ref="AB138:AB144" si="85">IFERROR(IF(AA138="","",IF(AA138&lt;=0.2,"Muy Baja",IF(AA138&lt;=0.4,"Baja",IF(AA138&lt;=0.6,"Media",IF(AA138&lt;=0.8,"Alta","Muy Alta"))))),"")</f>
        <v>Baja</v>
      </c>
      <c r="AC138" s="416">
        <f t="shared" ref="AC138:AC144" si="86">+AA138</f>
        <v>0.36</v>
      </c>
      <c r="AD138" s="415" t="str">
        <f t="shared" ref="AD138:AD142" si="87">IFERROR(IF(AE138="","",IF(AE138&lt;=0.2,"Leve",IF(AE138&lt;=0.4,"Menor",IF(AE138&lt;=0.6,"Moderado",IF(AE138&lt;=0.8,"Mayor","Catastrófico"))))),"")</f>
        <v>Moderado</v>
      </c>
      <c r="AE138" s="416">
        <f>IFERROR(IF(T138="Impacto",(P138-(+P138*W138)),IF(T138="Probabilidad",P138,"")),"")</f>
        <v>0.6</v>
      </c>
      <c r="AF138" s="417" t="str">
        <f t="shared" ref="AF138:AF144" si="88">IFERROR(IF(OR(AND(AB138="Muy Baja",AD138="Leve"),AND(AB138="Muy Baja",AD138="Menor"),AND(AB138="Baja",AD138="Leve")),"Bajo",IF(OR(AND(AB138="Muy baja",AD138="Moderado"),AND(AB138="Baja",AD138="Menor"),AND(AB138="Baja",AD138="Moderado"),AND(AB138="Media",AD138="Leve"),AND(AB138="Media",AD138="Menor"),AND(AB138="Media",AD138="Moderado"),AND(AB138="Alta",AD138="Leve"),AND(AB138="Alta",AD138="Menor")),"Moderado",IF(OR(AND(AB138="Muy Baja",AD138="Mayor"),AND(AB138="Baja",AD138="Mayor"),AND(AB138="Media",AD138="Mayor"),AND(AB138="Alta",AD138="Moderado"),AND(AB138="Alta",AD138="Mayor"),AND(AB138="Muy Alta",AD138="Leve"),AND(AB138="Muy Alta",AD138="Menor"),AND(AB138="Muy Alta",AD138="Moderado"),AND(AB138="Muy Alta",AD138="Mayor")),"Alto",IF(OR(AND(AB138="Muy Baja",AD138="Catastrófico"),AND(AB138="Baja",AD138="Catastrófico"),AND(AB138="Media",AD138="Catastrófico"),AND(AB138="Alta",AD138="Catastrófico"),AND(AB138="Muy Alta",AD138="Catastrófico")),"Extremo","")))),"")</f>
        <v>Moderado</v>
      </c>
      <c r="AG138" s="816" t="s">
        <v>507</v>
      </c>
      <c r="AH138" s="418" t="s">
        <v>508</v>
      </c>
      <c r="AI138" s="786" t="s">
        <v>509</v>
      </c>
      <c r="AJ138" s="810" t="s">
        <v>510</v>
      </c>
      <c r="AK138" s="420" t="s">
        <v>511</v>
      </c>
      <c r="AL138" s="812">
        <v>45342</v>
      </c>
    </row>
    <row r="139" spans="1:38" ht="202.8" x14ac:dyDescent="0.3">
      <c r="A139" s="800"/>
      <c r="B139" s="820"/>
      <c r="C139" s="820"/>
      <c r="D139" s="820"/>
      <c r="E139" s="408" t="s">
        <v>512</v>
      </c>
      <c r="F139" s="821"/>
      <c r="G139" s="804"/>
      <c r="H139" s="822"/>
      <c r="I139" s="806"/>
      <c r="J139" s="823"/>
      <c r="K139" s="792"/>
      <c r="L139" s="793"/>
      <c r="M139" s="824"/>
      <c r="N139" s="825">
        <f>IF(NOT(ISERROR(MATCH(M139,_xlfn.ANCHORARRAY(F143),0))),#REF!&amp;"Por favor no seleccionar los criterios de impacto",M139)</f>
        <v>0</v>
      </c>
      <c r="O139" s="826"/>
      <c r="P139" s="827"/>
      <c r="Q139" s="828"/>
      <c r="R139" s="409">
        <v>2</v>
      </c>
      <c r="S139" s="421" t="s">
        <v>513</v>
      </c>
      <c r="T139" s="411" t="str">
        <f t="shared" si="83"/>
        <v>Probabilidad</v>
      </c>
      <c r="U139" s="412" t="s">
        <v>197</v>
      </c>
      <c r="V139" s="412" t="s">
        <v>191</v>
      </c>
      <c r="W139" s="413" t="str">
        <f t="shared" si="84"/>
        <v>40%</v>
      </c>
      <c r="X139" s="412" t="s">
        <v>192</v>
      </c>
      <c r="Y139" s="412" t="s">
        <v>193</v>
      </c>
      <c r="Z139" s="412" t="s">
        <v>485</v>
      </c>
      <c r="AA139" s="414">
        <f>IFERROR(IF(AND(T138="Probabilidad",T139="Probabilidad"),(AC138-(+AC138*W139)),IF(AND(T138="Impacto",T139="Probabilidad"),(L138-(+L138*W139)),IF(T139="Impacto",AC138,""))),"")</f>
        <v>0.216</v>
      </c>
      <c r="AB139" s="415" t="str">
        <f t="shared" si="85"/>
        <v>Baja</v>
      </c>
      <c r="AC139" s="416">
        <f t="shared" si="86"/>
        <v>0.216</v>
      </c>
      <c r="AD139" s="415" t="str">
        <f t="shared" si="87"/>
        <v>Moderado</v>
      </c>
      <c r="AE139" s="416">
        <f>IFERROR(IF(AND(T138="Impacto",T139="Impacto"),(AE138-(+AE138*W139)),IF(AND(T138="Probabilidad",T139="Impacto"),(P138-(+P138*W139)),IF(T139="Probabilidad",AE138,""))),"")</f>
        <v>0.6</v>
      </c>
      <c r="AF139" s="417" t="str">
        <f t="shared" si="88"/>
        <v>Moderado</v>
      </c>
      <c r="AG139" s="816"/>
      <c r="AH139" s="422" t="s">
        <v>514</v>
      </c>
      <c r="AI139" s="786"/>
      <c r="AJ139" s="811"/>
      <c r="AK139" s="423" t="s">
        <v>515</v>
      </c>
      <c r="AL139" s="813"/>
    </row>
    <row r="140" spans="1:38" ht="193.2" x14ac:dyDescent="0.3">
      <c r="A140" s="800"/>
      <c r="B140" s="820"/>
      <c r="C140" s="820"/>
      <c r="D140" s="820"/>
      <c r="E140" s="424" t="s">
        <v>516</v>
      </c>
      <c r="F140" s="821"/>
      <c r="G140" s="804"/>
      <c r="H140" s="822"/>
      <c r="I140" s="806"/>
      <c r="J140" s="823"/>
      <c r="K140" s="792"/>
      <c r="L140" s="793"/>
      <c r="M140" s="824"/>
      <c r="N140" s="825">
        <f>IF(NOT(ISERROR(MATCH(M140,_xlfn.ANCHORARRAY(F144),0))),#REF!&amp;"Por favor no seleccionar los criterios de impacto",M140)</f>
        <v>0</v>
      </c>
      <c r="O140" s="826"/>
      <c r="P140" s="827"/>
      <c r="Q140" s="828"/>
      <c r="R140" s="409">
        <v>3</v>
      </c>
      <c r="S140" s="421" t="s">
        <v>517</v>
      </c>
      <c r="T140" s="425" t="str">
        <f t="shared" si="83"/>
        <v>Probabilidad</v>
      </c>
      <c r="U140" s="412" t="s">
        <v>197</v>
      </c>
      <c r="V140" s="412" t="s">
        <v>191</v>
      </c>
      <c r="W140" s="426" t="str">
        <f t="shared" si="84"/>
        <v>40%</v>
      </c>
      <c r="X140" s="412" t="s">
        <v>192</v>
      </c>
      <c r="Y140" s="412" t="s">
        <v>193</v>
      </c>
      <c r="Z140" s="412" t="s">
        <v>485</v>
      </c>
      <c r="AA140" s="414">
        <f>IFERROR(IF(AND(T139="Probabilidad",T140="Probabilidad"),(AC139-(+AC139*W140)),IF(AND(T139="Impacto",T140="Probabilidad"),(AC138-(+AC138*W140)),IF(T140="Impacto",AC139,""))),"")</f>
        <v>0.12959999999999999</v>
      </c>
      <c r="AB140" s="415" t="str">
        <f t="shared" si="85"/>
        <v>Muy Baja</v>
      </c>
      <c r="AC140" s="416">
        <f t="shared" si="86"/>
        <v>0.12959999999999999</v>
      </c>
      <c r="AD140" s="415" t="str">
        <f t="shared" si="87"/>
        <v>Moderado</v>
      </c>
      <c r="AE140" s="416">
        <f>IFERROR(IF(AND(T139="Impacto",T140="Impacto"),(AE139-(+AE139*W140)),IF(AND(T139="Probabilidad",T140="Impacto"),(AE138-(+AE138*W140)),IF(T140="Probabilidad",AE139,""))),"")</f>
        <v>0.6</v>
      </c>
      <c r="AF140" s="417" t="str">
        <f t="shared" si="88"/>
        <v>Moderado</v>
      </c>
      <c r="AG140" s="427"/>
      <c r="AH140" s="428" t="s">
        <v>518</v>
      </c>
      <c r="AI140" s="429" t="s">
        <v>519</v>
      </c>
      <c r="AJ140" s="430" t="s">
        <v>520</v>
      </c>
      <c r="AK140" s="431" t="s">
        <v>521</v>
      </c>
      <c r="AL140" s="430">
        <v>45350</v>
      </c>
    </row>
    <row r="141" spans="1:38" ht="179.4" x14ac:dyDescent="0.3">
      <c r="A141" s="800">
        <v>2</v>
      </c>
      <c r="B141" s="786" t="s">
        <v>189</v>
      </c>
      <c r="C141" s="814" t="s">
        <v>522</v>
      </c>
      <c r="D141" s="786" t="s">
        <v>523</v>
      </c>
      <c r="E141" s="419" t="s">
        <v>524</v>
      </c>
      <c r="F141" s="785" t="s">
        <v>525</v>
      </c>
      <c r="G141" s="815" t="s">
        <v>202</v>
      </c>
      <c r="H141" s="805" t="s">
        <v>526</v>
      </c>
      <c r="I141" s="806" t="s">
        <v>190</v>
      </c>
      <c r="J141" s="807">
        <v>12</v>
      </c>
      <c r="K141" s="792" t="str">
        <f>IF(J141&lt;=0,"",IF(J141&lt;=2,"Muy Baja",IF(J141&lt;=24,"Baja",IF(J141&lt;=500,"Media",IF(J141&lt;=5000,"Alta","Muy Alta")))))</f>
        <v>Baja</v>
      </c>
      <c r="L141" s="793">
        <f>IF(K141="","",IF(K141="Muy Baja",0.2,IF(K141="Baja",0.4,IF(K141="Media",0.6,IF(K141="Alta",0.8,IF(K141="Muy Alta",1,))))))</f>
        <v>0.4</v>
      </c>
      <c r="M141" s="794" t="s">
        <v>412</v>
      </c>
      <c r="N141" s="793" t="str">
        <f>IF(NOT(ISERROR(MATCH(M141,'[10]Tabla Impacto'!$B$221:$B$223,0))),'[10]Tabla Impacto'!$F$223&amp;"Por favor no seleccionar los criterios de impacto(Afectación Económica o presupuestal y Pérdida Reputacional)",M141)</f>
        <v xml:space="preserve">     El riesgo afecta la imagen de la entidad internamente, de conocimiento general, nivel interno, de junta dircetiva y accionistas y/o de provedores</v>
      </c>
      <c r="O141" s="792" t="str">
        <f>IF(OR(N141='[10]Tabla Impacto'!$C$11,N141='[10]Tabla Impacto'!$D$11),"Leve",IF(OR(N141='[10]Tabla Impacto'!$C$12,N141='[10]Tabla Impacto'!$D$12),"Menor",IF(OR(N141='[10]Tabla Impacto'!$C$13,N141='[10]Tabla Impacto'!$D$13),"Moderado",IF(OR(N141='[10]Tabla Impacto'!$C$14,N141='[10]Tabla Impacto'!$D$14),"Mayor",IF(OR(N141='[10]Tabla Impacto'!$C$15,N141='[10]Tabla Impacto'!$D$15),"Catastrófico","")))))</f>
        <v>Menor</v>
      </c>
      <c r="P141" s="793">
        <f>IF(O141="","",IF(O141="Leve",0.2,IF(O141="Menor",0.4,IF(O141="Moderado",0.6,IF(O141="Mayor",0.8,IF(O141="Catastrófico",1,))))))</f>
        <v>0.4</v>
      </c>
      <c r="Q141" s="796" t="str">
        <f>IF(OR(AND(K141="Muy Baja",O141="Leve"),AND(K141="Muy Baja",O141="Menor"),AND(K141="Baja",O141="Leve")),"Bajo",IF(OR(AND(K141="Muy baja",O141="Moderado"),AND(K141="Baja",O141="Menor"),AND(K141="Baja",O141="Moderado"),AND(K141="Media",O141="Leve"),AND(K141="Media",O141="Menor"),AND(K141="Media",O141="Moderado"),AND(K141="Alta",O141="Leve"),AND(K141="Alta",O141="Menor")),"Moderado",IF(OR(AND(K141="Muy Baja",O141="Mayor"),AND(K141="Baja",O141="Mayor"),AND(K141="Media",O141="Mayor"),AND(K141="Alta",O141="Moderado"),AND(K141="Alta",O141="Mayor"),AND(K141="Muy Alta",O141="Leve"),AND(K141="Muy Alta",O141="Menor"),AND(K141="Muy Alta",O141="Moderado"),AND(K141="Muy Alta",O141="Mayor")),"Alto",IF(OR(AND(K141="Muy Baja",O141="Catastrófico"),AND(K141="Baja",O141="Catastrófico"),AND(K141="Media",O141="Catastrófico"),AND(K141="Alta",O141="Catastrófico"),AND(K141="Muy Alta",O141="Catastrófico")),"Extremo",""))))</f>
        <v>Moderado</v>
      </c>
      <c r="R141" s="409">
        <v>1</v>
      </c>
      <c r="S141" s="432" t="s">
        <v>527</v>
      </c>
      <c r="T141" s="411" t="str">
        <f t="shared" si="83"/>
        <v>Probabilidad</v>
      </c>
      <c r="U141" s="412" t="s">
        <v>197</v>
      </c>
      <c r="V141" s="412" t="s">
        <v>191</v>
      </c>
      <c r="W141" s="413" t="str">
        <f t="shared" si="84"/>
        <v>40%</v>
      </c>
      <c r="X141" s="412" t="s">
        <v>192</v>
      </c>
      <c r="Y141" s="412" t="s">
        <v>193</v>
      </c>
      <c r="Z141" s="412" t="s">
        <v>194</v>
      </c>
      <c r="AA141" s="433">
        <f>IFERROR(IF(T141="Probabilidad",(L141-(+L141*W141)),IF(T141="Impacto",L141,"")),"")</f>
        <v>0.24</v>
      </c>
      <c r="AB141" s="434" t="str">
        <f t="shared" si="85"/>
        <v>Baja</v>
      </c>
      <c r="AC141" s="435">
        <f t="shared" si="86"/>
        <v>0.24</v>
      </c>
      <c r="AD141" s="434" t="str">
        <f t="shared" si="87"/>
        <v>Menor</v>
      </c>
      <c r="AE141" s="435">
        <f>IFERROR(IF(T141="Impacto",(P141-(+P141*W141)),IF(T141="Probabilidad",P141,"")),"")</f>
        <v>0.4</v>
      </c>
      <c r="AF141" s="436" t="str">
        <f t="shared" si="88"/>
        <v>Moderado</v>
      </c>
      <c r="AG141" s="816" t="s">
        <v>195</v>
      </c>
      <c r="AH141" s="418" t="s">
        <v>528</v>
      </c>
      <c r="AI141" s="786" t="s">
        <v>509</v>
      </c>
      <c r="AJ141" s="788" t="s">
        <v>510</v>
      </c>
      <c r="AK141" s="420" t="s">
        <v>529</v>
      </c>
      <c r="AL141" s="818">
        <v>45351</v>
      </c>
    </row>
    <row r="142" spans="1:38" ht="138" x14ac:dyDescent="0.3">
      <c r="A142" s="800"/>
      <c r="B142" s="786"/>
      <c r="C142" s="814"/>
      <c r="D142" s="786"/>
      <c r="E142" s="419" t="s">
        <v>530</v>
      </c>
      <c r="F142" s="785"/>
      <c r="G142" s="804"/>
      <c r="H142" s="805"/>
      <c r="I142" s="806"/>
      <c r="J142" s="807"/>
      <c r="K142" s="792"/>
      <c r="L142" s="793"/>
      <c r="M142" s="794"/>
      <c r="N142" s="793">
        <f>IF(NOT(ISERROR(MATCH(M142,_xlfn.ANCHORARRAY(F145),0))),L147&amp;"Por favor no seleccionar los criterios de impacto",M142)</f>
        <v>0</v>
      </c>
      <c r="O142" s="792"/>
      <c r="P142" s="793"/>
      <c r="Q142" s="796"/>
      <c r="R142" s="409">
        <v>2</v>
      </c>
      <c r="S142" s="437" t="s">
        <v>531</v>
      </c>
      <c r="T142" s="411" t="str">
        <f t="shared" si="83"/>
        <v>Probabilidad</v>
      </c>
      <c r="U142" s="412" t="s">
        <v>243</v>
      </c>
      <c r="V142" s="412" t="s">
        <v>191</v>
      </c>
      <c r="W142" s="413" t="str">
        <f t="shared" si="84"/>
        <v>30%</v>
      </c>
      <c r="X142" s="412" t="s">
        <v>192</v>
      </c>
      <c r="Y142" s="412" t="s">
        <v>193</v>
      </c>
      <c r="Z142" s="412" t="s">
        <v>194</v>
      </c>
      <c r="AA142" s="433">
        <f>IFERROR(IF(AND(T141="Probabilidad",T142="Probabilidad"),(AC141-(+AC141*W142)),IF(AND(T141="Impacto",T142="Probabilidad"),(L141-(+L141*W142)),IF(T142="Impacto",AC141,""))),"")</f>
        <v>0.16799999999999998</v>
      </c>
      <c r="AB142" s="434" t="str">
        <f t="shared" si="85"/>
        <v>Muy Baja</v>
      </c>
      <c r="AC142" s="435">
        <f t="shared" si="86"/>
        <v>0.16799999999999998</v>
      </c>
      <c r="AD142" s="434" t="str">
        <f t="shared" si="87"/>
        <v>Menor</v>
      </c>
      <c r="AE142" s="435">
        <f>IFERROR(IF(AND(T141="Impacto",T142="Impacto"),(AE141-(+AE141*W142)),IF(AND(T141="Probabilidad",T142="Impacto"),(P141-(+P141*W142)),IF(T142="Probabilidad",AE141,""))),"")</f>
        <v>0.4</v>
      </c>
      <c r="AF142" s="436" t="str">
        <f t="shared" si="88"/>
        <v>Bajo</v>
      </c>
      <c r="AG142" s="816"/>
      <c r="AH142" s="418" t="s">
        <v>532</v>
      </c>
      <c r="AI142" s="786"/>
      <c r="AJ142" s="817"/>
      <c r="AK142" s="418" t="s">
        <v>533</v>
      </c>
      <c r="AL142" s="819"/>
    </row>
    <row r="143" spans="1:38" ht="69" x14ac:dyDescent="0.3">
      <c r="A143" s="800">
        <v>3</v>
      </c>
      <c r="B143" s="786" t="s">
        <v>189</v>
      </c>
      <c r="C143" s="786" t="s">
        <v>534</v>
      </c>
      <c r="D143" s="801" t="s">
        <v>535</v>
      </c>
      <c r="E143" s="439" t="s">
        <v>536</v>
      </c>
      <c r="F143" s="785" t="s">
        <v>537</v>
      </c>
      <c r="G143" s="803" t="s">
        <v>202</v>
      </c>
      <c r="H143" s="805" t="s">
        <v>538</v>
      </c>
      <c r="I143" s="806" t="s">
        <v>190</v>
      </c>
      <c r="J143" s="807">
        <v>12</v>
      </c>
      <c r="K143" s="792" t="str">
        <f>IF(J143&lt;=0,"",IF(J143&lt;=2,"Muy Baja",IF(J143&lt;=24,"Baja",IF(J143&lt;=500,"Media",IF(J143&lt;=5000,"Alta","Muy Alta")))))</f>
        <v>Baja</v>
      </c>
      <c r="L143" s="793">
        <f>IF(K143="","",IF(K143="Muy Baja",0.2,IF(K143="Baja",0.4,IF(K143="Media",0.6,IF(K143="Alta",0.8,IF(K143="Muy Alta",1,))))))</f>
        <v>0.4</v>
      </c>
      <c r="M143" s="794" t="s">
        <v>539</v>
      </c>
      <c r="N143" s="795" t="str">
        <f>IF(NOT(ISERROR(MATCH(M143,'[10]Tabla Impacto'!$B$221:$B$223,0))),'[10]Tabla Impacto'!$F$223&amp;"Por favor no seleccionar los criterios de impacto(Afectación Económica o presupuestal y Pérdida Reputacional)",M143)</f>
        <v>❌Por favor no seleccionar los criterios de impacto(Afectación Económica o presupuestal y Pérdida Reputacional)</v>
      </c>
      <c r="O143" s="792" t="s">
        <v>62</v>
      </c>
      <c r="P143" s="793">
        <f>IF(O143="","",IF(O143="Leve",0.2,IF(O143="Menor",0.4,IF(O143="Moderado",0.6,IF(O143="Mayor",0.8,IF(O143="Catastrófico",1,))))))</f>
        <v>0.4</v>
      </c>
      <c r="Q143" s="796" t="str">
        <f>IF(OR(AND(K143="Muy Baja",O143="Leve"),AND(K143="Muy Baja",O143="Menor"),AND(K143="Baja",O143="Leve")),"Bajo",IF(OR(AND(K143="Muy baja",O143="Moderado"),AND(K143="Baja",O143="Menor"),AND(K143="Baja",O143="Moderado"),AND(K143="Media",O143="Leve"),AND(K143="Media",O143="Menor"),AND(K143="Media",O143="Moderado"),AND(K143="Alta",O143="Leve"),AND(K143="Alta",O143="Menor")),"Moderado",IF(OR(AND(K143="Muy Baja",O143="Mayor"),AND(K143="Baja",O143="Mayor"),AND(K143="Media",O143="Mayor"),AND(K143="Alta",O143="Moderado"),AND(K143="Alta",O143="Mayor"),AND(K143="Muy Alta",O143="Leve"),AND(K143="Muy Alta",O143="Menor"),AND(K143="Muy Alta",O143="Moderado"),AND(K143="Muy Alta",O143="Mayor")),"Alto",IF(OR(AND(K143="Muy Baja",O143="Catastrófico"),AND(K143="Baja",O143="Catastrófico"),AND(K143="Media",O143="Catastrófico"),AND(K143="Alta",O143="Catastrófico"),AND(K143="Muy Alta",O143="Catastrófico")),"Extremo",""))))</f>
        <v>Moderado</v>
      </c>
      <c r="R143" s="797">
        <v>1</v>
      </c>
      <c r="S143" s="440" t="s">
        <v>540</v>
      </c>
      <c r="T143" s="425" t="s">
        <v>484</v>
      </c>
      <c r="U143" s="438" t="s">
        <v>379</v>
      </c>
      <c r="V143" s="438" t="s">
        <v>191</v>
      </c>
      <c r="W143" s="426" t="str">
        <f t="shared" si="84"/>
        <v>25%</v>
      </c>
      <c r="X143" s="438" t="s">
        <v>198</v>
      </c>
      <c r="Y143" s="438" t="s">
        <v>193</v>
      </c>
      <c r="Z143" s="438" t="s">
        <v>194</v>
      </c>
      <c r="AA143" s="414">
        <f>IFERROR(IF(T143="Probabilidad",(L143-(+L143*W143)),IF(T143="Impacto",L143,"")),"")</f>
        <v>0.30000000000000004</v>
      </c>
      <c r="AB143" s="415" t="str">
        <f t="shared" si="85"/>
        <v>Baja</v>
      </c>
      <c r="AC143" s="416">
        <f t="shared" si="86"/>
        <v>0.30000000000000004</v>
      </c>
      <c r="AD143" s="434" t="s">
        <v>62</v>
      </c>
      <c r="AE143" s="416">
        <f>IFERROR(IF(T143="Impacto",(P143-(+P143*W143)),IF(T143="Probabilidad",P143,"")),"")</f>
        <v>0.4</v>
      </c>
      <c r="AF143" s="417" t="str">
        <f t="shared" si="88"/>
        <v>Moderado</v>
      </c>
      <c r="AG143" s="799" t="s">
        <v>195</v>
      </c>
      <c r="AH143" s="785" t="s">
        <v>541</v>
      </c>
      <c r="AI143" s="787" t="s">
        <v>509</v>
      </c>
      <c r="AJ143" s="788" t="s">
        <v>510</v>
      </c>
      <c r="AK143" s="790" t="s">
        <v>542</v>
      </c>
      <c r="AL143" s="788">
        <v>45351</v>
      </c>
    </row>
    <row r="144" spans="1:38" ht="69" x14ac:dyDescent="0.3">
      <c r="A144" s="800"/>
      <c r="B144" s="786"/>
      <c r="C144" s="786"/>
      <c r="D144" s="802"/>
      <c r="E144" s="439" t="s">
        <v>543</v>
      </c>
      <c r="F144" s="785"/>
      <c r="G144" s="804"/>
      <c r="H144" s="805"/>
      <c r="I144" s="806"/>
      <c r="J144" s="807"/>
      <c r="K144" s="792"/>
      <c r="L144" s="793"/>
      <c r="M144" s="794"/>
      <c r="N144" s="795">
        <f>IF(NOT(ISERROR(MATCH(M144,_xlfn.ANCHORARRAY(F258),0))),L260&amp;"Por favor no seleccionar los criterios de impacto",M144)</f>
        <v>0</v>
      </c>
      <c r="O144" s="792"/>
      <c r="P144" s="793"/>
      <c r="Q144" s="796"/>
      <c r="R144" s="798"/>
      <c r="S144" s="441" t="s">
        <v>544</v>
      </c>
      <c r="T144" s="425" t="s">
        <v>484</v>
      </c>
      <c r="U144" s="438" t="s">
        <v>379</v>
      </c>
      <c r="V144" s="438" t="s">
        <v>191</v>
      </c>
      <c r="W144" s="426" t="str">
        <f t="shared" si="84"/>
        <v>25%</v>
      </c>
      <c r="X144" s="438" t="s">
        <v>198</v>
      </c>
      <c r="Y144" s="438" t="s">
        <v>193</v>
      </c>
      <c r="Z144" s="438" t="s">
        <v>194</v>
      </c>
      <c r="AA144" s="414">
        <f>IFERROR(IF(AND(T143="Probabilidad",T144="Probabilidad"),(AC143-(+AC143*W144)),IF(AND(T143="Impacto",T144="Probabilidad"),(L143-(+L143*W144)),IF(T144="Impacto",AC143,""))),"")</f>
        <v>0.22500000000000003</v>
      </c>
      <c r="AB144" s="415" t="str">
        <f t="shared" si="85"/>
        <v>Baja</v>
      </c>
      <c r="AC144" s="416">
        <f t="shared" si="86"/>
        <v>0.22500000000000003</v>
      </c>
      <c r="AD144" s="434" t="s">
        <v>62</v>
      </c>
      <c r="AE144" s="416">
        <f>IFERROR(IF(AND(T143="Impacto",T144="Impacto"),(AE143-(+AE143*W144)),IF(AND(T143="Probabilidad",T144="Impacto"),(P143-(+P143*W144)),IF(T144="Probabilidad",AE143,""))),"")</f>
        <v>0.4</v>
      </c>
      <c r="AF144" s="417" t="str">
        <f t="shared" si="88"/>
        <v>Moderado</v>
      </c>
      <c r="AG144" s="799"/>
      <c r="AH144" s="786"/>
      <c r="AI144" s="787"/>
      <c r="AJ144" s="789"/>
      <c r="AK144" s="790"/>
      <c r="AL144" s="791"/>
    </row>
    <row r="145" spans="1:39" x14ac:dyDescent="0.3">
      <c r="A145" s="741" t="s">
        <v>148</v>
      </c>
      <c r="B145" s="742"/>
      <c r="C145" s="742"/>
      <c r="D145" s="742"/>
      <c r="E145" s="742"/>
      <c r="F145" s="742"/>
      <c r="G145" s="742"/>
      <c r="H145" s="742"/>
      <c r="I145" s="742"/>
      <c r="J145" s="742"/>
      <c r="K145" s="742"/>
      <c r="L145" s="742"/>
      <c r="M145" s="742"/>
      <c r="N145" s="742"/>
      <c r="O145" s="742"/>
      <c r="P145" s="742"/>
      <c r="Q145" s="742"/>
      <c r="R145" s="742"/>
      <c r="S145" s="742"/>
      <c r="T145" s="742"/>
      <c r="U145" s="742"/>
      <c r="V145" s="742"/>
      <c r="W145" s="742"/>
      <c r="X145" s="742"/>
      <c r="Y145" s="742"/>
      <c r="Z145" s="742"/>
      <c r="AA145" s="742"/>
      <c r="AB145" s="742"/>
      <c r="AC145" s="742"/>
      <c r="AD145" s="742"/>
      <c r="AE145" s="742"/>
      <c r="AF145" s="742"/>
      <c r="AG145" s="742"/>
      <c r="AH145" s="742"/>
      <c r="AI145" s="742"/>
      <c r="AJ145" s="742"/>
      <c r="AK145" s="742"/>
      <c r="AL145" s="742"/>
      <c r="AM145" s="743"/>
    </row>
    <row r="146" spans="1:39" x14ac:dyDescent="0.3">
      <c r="A146" s="744"/>
      <c r="B146" s="745"/>
      <c r="C146" s="745"/>
      <c r="D146" s="745"/>
      <c r="E146" s="745"/>
      <c r="F146" s="745"/>
      <c r="G146" s="745"/>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6"/>
    </row>
    <row r="147" spans="1:39" ht="14.4" x14ac:dyDescent="0.3">
      <c r="A147" s="42"/>
      <c r="B147" s="43"/>
      <c r="C147" s="42"/>
      <c r="D147" s="42"/>
      <c r="E147" s="42"/>
      <c r="F147" s="41"/>
      <c r="G147" s="41"/>
      <c r="H147" s="41"/>
      <c r="I147" s="44"/>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row>
    <row r="148" spans="1:39" ht="23.4" x14ac:dyDescent="0.3">
      <c r="A148" s="734" t="s">
        <v>149</v>
      </c>
      <c r="B148" s="735"/>
      <c r="C148" s="747" t="s">
        <v>545</v>
      </c>
      <c r="D148" s="747"/>
      <c r="E148" s="747"/>
      <c r="F148" s="747"/>
      <c r="G148" s="747"/>
      <c r="H148" s="747"/>
      <c r="I148" s="747"/>
      <c r="J148" s="747"/>
      <c r="K148" s="747"/>
      <c r="L148" s="747"/>
      <c r="M148" s="747"/>
      <c r="N148" s="747"/>
      <c r="O148" s="747"/>
      <c r="P148" s="747"/>
      <c r="Q148" s="747"/>
      <c r="R148" s="747"/>
      <c r="S148" s="747"/>
      <c r="T148" s="747"/>
      <c r="U148" s="747"/>
      <c r="V148" s="747"/>
      <c r="W148" s="747"/>
      <c r="X148" s="747"/>
      <c r="Y148" s="747"/>
      <c r="Z148" s="747"/>
      <c r="AA148" s="747"/>
      <c r="AB148" s="747"/>
      <c r="AC148" s="747"/>
      <c r="AD148" s="747"/>
      <c r="AE148" s="747"/>
      <c r="AF148" s="747"/>
      <c r="AG148" s="747"/>
      <c r="AH148" s="747"/>
      <c r="AI148" s="747"/>
      <c r="AJ148" s="747"/>
      <c r="AK148" s="747"/>
      <c r="AL148" s="747"/>
      <c r="AM148" s="747"/>
    </row>
    <row r="149" spans="1:39" ht="23.4" x14ac:dyDescent="0.3">
      <c r="A149" s="734" t="s">
        <v>150</v>
      </c>
      <c r="B149" s="735"/>
      <c r="C149" s="736" t="s">
        <v>546</v>
      </c>
      <c r="D149" s="736"/>
      <c r="E149" s="736"/>
      <c r="F149" s="736"/>
      <c r="G149" s="736"/>
      <c r="H149" s="736"/>
      <c r="I149" s="736"/>
      <c r="J149" s="736"/>
      <c r="K149" s="736"/>
      <c r="L149" s="736"/>
      <c r="M149" s="736"/>
      <c r="N149" s="736"/>
      <c r="O149" s="736"/>
      <c r="P149" s="736"/>
      <c r="Q149" s="736"/>
      <c r="R149" s="736"/>
      <c r="S149" s="736"/>
      <c r="T149" s="736"/>
      <c r="U149" s="736"/>
      <c r="V149" s="736"/>
      <c r="W149" s="736"/>
      <c r="X149" s="736"/>
      <c r="Y149" s="736"/>
      <c r="Z149" s="736"/>
      <c r="AA149" s="736"/>
      <c r="AB149" s="736"/>
      <c r="AC149" s="736"/>
      <c r="AD149" s="736"/>
      <c r="AE149" s="736"/>
      <c r="AF149" s="736"/>
      <c r="AG149" s="736"/>
      <c r="AH149" s="736"/>
      <c r="AI149" s="736"/>
      <c r="AJ149" s="736"/>
      <c r="AK149" s="736"/>
      <c r="AL149" s="736"/>
      <c r="AM149" s="736"/>
    </row>
    <row r="150" spans="1:39" ht="23.4" x14ac:dyDescent="0.3">
      <c r="A150" s="734" t="s">
        <v>151</v>
      </c>
      <c r="B150" s="735"/>
      <c r="C150" s="736" t="s">
        <v>547</v>
      </c>
      <c r="D150" s="736"/>
      <c r="E150" s="736"/>
      <c r="F150" s="736"/>
      <c r="G150" s="736"/>
      <c r="H150" s="736"/>
      <c r="I150" s="736"/>
      <c r="J150" s="736"/>
      <c r="K150" s="736"/>
      <c r="L150" s="736"/>
      <c r="M150" s="736"/>
      <c r="N150" s="736"/>
      <c r="O150" s="736"/>
      <c r="P150" s="736"/>
      <c r="Q150" s="736"/>
      <c r="R150" s="736"/>
      <c r="S150" s="736"/>
      <c r="T150" s="736"/>
      <c r="U150" s="736"/>
      <c r="V150" s="736"/>
      <c r="W150" s="736"/>
      <c r="X150" s="736"/>
      <c r="Y150" s="736"/>
      <c r="Z150" s="736"/>
      <c r="AA150" s="736"/>
      <c r="AB150" s="736"/>
      <c r="AC150" s="736"/>
      <c r="AD150" s="736"/>
      <c r="AE150" s="736"/>
      <c r="AF150" s="736"/>
      <c r="AG150" s="736"/>
      <c r="AH150" s="736"/>
      <c r="AI150" s="736"/>
      <c r="AJ150" s="736"/>
      <c r="AK150" s="736"/>
      <c r="AL150" s="736"/>
      <c r="AM150" s="736"/>
    </row>
    <row r="151" spans="1:39" x14ac:dyDescent="0.3">
      <c r="A151" s="737" t="s">
        <v>152</v>
      </c>
      <c r="B151" s="738"/>
      <c r="C151" s="739"/>
      <c r="D151" s="739"/>
      <c r="E151" s="739"/>
      <c r="F151" s="739"/>
      <c r="G151" s="739"/>
      <c r="H151" s="739"/>
      <c r="I151" s="739"/>
      <c r="J151" s="740"/>
      <c r="K151" s="724" t="s">
        <v>153</v>
      </c>
      <c r="L151" s="739"/>
      <c r="M151" s="739"/>
      <c r="N151" s="739"/>
      <c r="O151" s="739"/>
      <c r="P151" s="739"/>
      <c r="Q151" s="740"/>
      <c r="R151" s="724" t="s">
        <v>154</v>
      </c>
      <c r="S151" s="739"/>
      <c r="T151" s="739"/>
      <c r="U151" s="739"/>
      <c r="V151" s="739"/>
      <c r="W151" s="739"/>
      <c r="X151" s="739"/>
      <c r="Y151" s="739"/>
      <c r="Z151" s="740"/>
      <c r="AA151" s="724" t="s">
        <v>155</v>
      </c>
      <c r="AB151" s="739"/>
      <c r="AC151" s="739"/>
      <c r="AD151" s="739"/>
      <c r="AE151" s="739"/>
      <c r="AF151" s="739"/>
      <c r="AG151" s="740"/>
      <c r="AH151" s="724" t="s">
        <v>156</v>
      </c>
      <c r="AI151" s="739"/>
      <c r="AJ151" s="739"/>
      <c r="AK151" s="739"/>
      <c r="AL151" s="739"/>
      <c r="AM151" s="740"/>
    </row>
    <row r="152" spans="1:39" x14ac:dyDescent="0.3">
      <c r="A152" s="728" t="s">
        <v>157</v>
      </c>
      <c r="B152" s="730" t="s">
        <v>141</v>
      </c>
      <c r="C152" s="726" t="s">
        <v>158</v>
      </c>
      <c r="D152" s="726" t="s">
        <v>159</v>
      </c>
      <c r="E152" s="725" t="s">
        <v>160</v>
      </c>
      <c r="F152" s="732" t="s">
        <v>60</v>
      </c>
      <c r="G152" s="38"/>
      <c r="H152" s="38"/>
      <c r="I152" s="725" t="s">
        <v>161</v>
      </c>
      <c r="J152" s="726" t="s">
        <v>162</v>
      </c>
      <c r="K152" s="731" t="s">
        <v>163</v>
      </c>
      <c r="L152" s="723" t="s">
        <v>164</v>
      </c>
      <c r="M152" s="725" t="s">
        <v>165</v>
      </c>
      <c r="N152" s="725" t="s">
        <v>166</v>
      </c>
      <c r="O152" s="727" t="s">
        <v>167</v>
      </c>
      <c r="P152" s="723" t="s">
        <v>164</v>
      </c>
      <c r="Q152" s="726" t="s">
        <v>168</v>
      </c>
      <c r="R152" s="721" t="s">
        <v>169</v>
      </c>
      <c r="S152" s="699" t="s">
        <v>170</v>
      </c>
      <c r="T152" s="725" t="s">
        <v>171</v>
      </c>
      <c r="U152" s="699" t="s">
        <v>172</v>
      </c>
      <c r="V152" s="699"/>
      <c r="W152" s="699"/>
      <c r="X152" s="699"/>
      <c r="Y152" s="699"/>
      <c r="Z152" s="699"/>
      <c r="AA152" s="720" t="s">
        <v>173</v>
      </c>
      <c r="AB152" s="720" t="s">
        <v>174</v>
      </c>
      <c r="AC152" s="720" t="s">
        <v>164</v>
      </c>
      <c r="AD152" s="720" t="s">
        <v>175</v>
      </c>
      <c r="AE152" s="720" t="s">
        <v>164</v>
      </c>
      <c r="AF152" s="720" t="s">
        <v>176</v>
      </c>
      <c r="AG152" s="721" t="s">
        <v>177</v>
      </c>
      <c r="AH152" s="699" t="s">
        <v>156</v>
      </c>
      <c r="AI152" s="699" t="s">
        <v>142</v>
      </c>
      <c r="AJ152" s="699" t="s">
        <v>178</v>
      </c>
      <c r="AK152" s="699" t="s">
        <v>179</v>
      </c>
      <c r="AL152" s="699" t="s">
        <v>180</v>
      </c>
      <c r="AM152" s="699" t="s">
        <v>181</v>
      </c>
    </row>
    <row r="153" spans="1:39" ht="71.400000000000006" x14ac:dyDescent="0.3">
      <c r="A153" s="729"/>
      <c r="B153" s="730"/>
      <c r="C153" s="699"/>
      <c r="D153" s="699"/>
      <c r="E153" s="731"/>
      <c r="F153" s="733"/>
      <c r="G153" s="38" t="s">
        <v>201</v>
      </c>
      <c r="H153" s="38" t="s">
        <v>182</v>
      </c>
      <c r="I153" s="726"/>
      <c r="J153" s="699"/>
      <c r="K153" s="726"/>
      <c r="L153" s="724"/>
      <c r="M153" s="726"/>
      <c r="N153" s="726"/>
      <c r="O153" s="724"/>
      <c r="P153" s="724"/>
      <c r="Q153" s="699"/>
      <c r="R153" s="722"/>
      <c r="S153" s="699"/>
      <c r="T153" s="726"/>
      <c r="U153" s="39" t="s">
        <v>183</v>
      </c>
      <c r="V153" s="39" t="s">
        <v>184</v>
      </c>
      <c r="W153" s="39" t="s">
        <v>185</v>
      </c>
      <c r="X153" s="39" t="s">
        <v>186</v>
      </c>
      <c r="Y153" s="39" t="s">
        <v>187</v>
      </c>
      <c r="Z153" s="39" t="s">
        <v>188</v>
      </c>
      <c r="AA153" s="720"/>
      <c r="AB153" s="720"/>
      <c r="AC153" s="720"/>
      <c r="AD153" s="720"/>
      <c r="AE153" s="720"/>
      <c r="AF153" s="720"/>
      <c r="AG153" s="722"/>
      <c r="AH153" s="699"/>
      <c r="AI153" s="699"/>
      <c r="AJ153" s="699"/>
      <c r="AK153" s="699"/>
      <c r="AL153" s="699"/>
      <c r="AM153" s="699"/>
    </row>
    <row r="154" spans="1:39" ht="124.2" x14ac:dyDescent="0.3">
      <c r="A154" s="653">
        <v>1</v>
      </c>
      <c r="B154" s="757" t="s">
        <v>199</v>
      </c>
      <c r="C154" s="757" t="s">
        <v>548</v>
      </c>
      <c r="D154" s="759" t="s">
        <v>549</v>
      </c>
      <c r="E154" s="442" t="s">
        <v>550</v>
      </c>
      <c r="F154" s="782" t="s">
        <v>551</v>
      </c>
      <c r="G154" s="783" t="s">
        <v>202</v>
      </c>
      <c r="H154" s="761" t="s">
        <v>552</v>
      </c>
      <c r="I154" s="762" t="s">
        <v>190</v>
      </c>
      <c r="J154" s="764">
        <v>36</v>
      </c>
      <c r="K154" s="766" t="str">
        <f>IF(J154&lt;=0,"",IF(J154&lt;=2,"Muy Baja",IF(J154&lt;=24,"Baja",IF(J154&lt;=500,"Media",IF(J154&lt;=5000,"Alta","Muy Alta")))))</f>
        <v>Media</v>
      </c>
      <c r="L154" s="768">
        <f>IF(K154="","",IF(K154="Muy Baja",0.2,IF(K154="Baja",0.4,IF(K154="Media",0.6,IF(K154="Alta",0.8,IF(K154="Muy Alta",1,))))))</f>
        <v>0.6</v>
      </c>
      <c r="M154" s="770" t="s">
        <v>214</v>
      </c>
      <c r="N154" s="768" t="str">
        <f>IF(NOT(ISERROR(MATCH(M154,'[11]Tabla Impacto'!$B$221:$B$223,0))),'[11]Tabla Impacto'!$F$223&amp;"Por favor no seleccionar los criterios de impacto(Afectación Económica o presupuestal y Pérdida Reputacional)",M154)</f>
        <v xml:space="preserve">     El riesgo afecta la imagen de de la entidad con efecto publicitario sostenido a nivel de sector administrativo, nivel departamental o municipal</v>
      </c>
      <c r="O154" s="766" t="str">
        <f>IF(OR(N154='[11]Tabla Impacto'!$C$11,N154='[11]Tabla Impacto'!$D$11),"Leve",IF(OR(N154='[11]Tabla Impacto'!$C$12,N154='[11]Tabla Impacto'!$D$12),"Menor",IF(OR(N154='[11]Tabla Impacto'!$C$13,N154='[11]Tabla Impacto'!$D$13),"Moderado",IF(OR(N154='[11]Tabla Impacto'!$C$14,N154='[11]Tabla Impacto'!$D$14),"Mayor",IF(OR(N154='[11]Tabla Impacto'!$C$15,N154='[11]Tabla Impacto'!$D$15),"Catastrófico","")))))</f>
        <v>Mayor</v>
      </c>
      <c r="P154" s="768">
        <f>IF(O154="","",IF(O154="Leve",0.2,IF(O154="Menor",0.4,IF(O154="Moderado",0.6,IF(O154="Mayor",0.8,IF(O154="Catastrófico",1,))))))</f>
        <v>0.8</v>
      </c>
      <c r="Q154" s="772" t="str">
        <f>IF(OR(AND(K154="Muy Baja",O154="Leve"),AND(K154="Muy Baja",O154="Menor"),AND(K154="Baja",O154="Leve")),"Bajo",IF(OR(AND(K154="Muy baja",O154="Moderado"),AND(K154="Baja",O154="Menor"),AND(K154="Baja",O154="Moderado"),AND(K154="Media",O154="Leve"),AND(K154="Media",O154="Menor"),AND(K154="Media",O154="Moderado"),AND(K154="Alta",O154="Leve"),AND(K154="Alta",O154="Menor")),"Moderado",IF(OR(AND(K154="Muy Baja",O154="Mayor"),AND(K154="Baja",O154="Mayor"),AND(K154="Media",O154="Mayor"),AND(K154="Alta",O154="Moderado"),AND(K154="Alta",O154="Mayor"),AND(K154="Muy Alta",O154="Leve"),AND(K154="Muy Alta",O154="Menor"),AND(K154="Muy Alta",O154="Moderado"),AND(K154="Muy Alta",O154="Mayor")),"Alto",IF(OR(AND(K154="Muy Baja",O154="Catastrófico"),AND(K154="Baja",O154="Catastrófico"),AND(K154="Media",O154="Catastrófico"),AND(K154="Alta",O154="Catastrófico"),AND(K154="Muy Alta",O154="Catastrófico")),"Extremo",""))))</f>
        <v>Alto</v>
      </c>
      <c r="R154" s="243">
        <v>1</v>
      </c>
      <c r="S154" s="443" t="s">
        <v>553</v>
      </c>
      <c r="T154" s="91" t="str">
        <f>IF(OR(U154="Preventivo",U154="Detectivo"),"Probabilidad",IF(U154="Correctivo","Impacto",""))</f>
        <v>Impacto</v>
      </c>
      <c r="U154" s="83" t="s">
        <v>379</v>
      </c>
      <c r="V154" s="83" t="s">
        <v>191</v>
      </c>
      <c r="W154" s="84" t="str">
        <f>IF(AND(U154="Preventivo",V154="Automático"),"50%",IF(AND(U154="Preventivo",V154="Manual"),"40%",IF(AND(U154="Detectivo",V154="Automático"),"40%",IF(AND(U154="Detectivo",V154="Manual"),"30%",IF(AND(U154="Correctivo",V154="Automático"),"35%",IF(AND(U154="Correctivo",V154="Manual"),"25%",""))))))</f>
        <v>25%</v>
      </c>
      <c r="X154" s="83" t="s">
        <v>198</v>
      </c>
      <c r="Y154" s="83" t="s">
        <v>193</v>
      </c>
      <c r="Z154" s="83" t="s">
        <v>194</v>
      </c>
      <c r="AA154" s="92">
        <f>IFERROR(IF(T154="Probabilidad",(L154-(+L154*W154)),IF(T154="Impacto",L154,"")),"")</f>
        <v>0.6</v>
      </c>
      <c r="AB154" s="85" t="str">
        <f>IFERROR(IF(AA154="","",IF(AA154&lt;=0.2,"Muy Baja",IF(AA154&lt;=0.4,"Baja",IF(AA154&lt;=0.6,"Media",IF(AA154&lt;=0.8,"Alta","Muy Alta"))))),"")</f>
        <v>Media</v>
      </c>
      <c r="AC154" s="86">
        <f>+AA154</f>
        <v>0.6</v>
      </c>
      <c r="AD154" s="85" t="str">
        <f>IFERROR(IF(AE154="","",IF(AE154&lt;=0.2,"Leve",IF(AE154&lt;=0.4,"Menor",IF(AE154&lt;=0.6,"Moderado",IF(AE154&lt;=0.8,"Mayor","Catastrófico"))))),"")</f>
        <v>Moderado</v>
      </c>
      <c r="AE154" s="86">
        <f>IFERROR(IF(T154="Impacto",(P154-(+P154*W154)),IF(T154="Probabilidad",P154,"")),"")</f>
        <v>0.60000000000000009</v>
      </c>
      <c r="AF154" s="87" t="str">
        <f>IFERROR(IF(OR(AND(AB154="Muy Baja",AD154="Leve"),AND(AB154="Muy Baja",AD154="Menor"),AND(AB154="Baja",AD154="Leve")),"Bajo",IF(OR(AND(AB154="Muy baja",AD154="Moderado"),AND(AB154="Baja",AD154="Menor"),AND(AB154="Baja",AD154="Moderado"),AND(AB154="Media",AD154="Leve"),AND(AB154="Media",AD154="Menor"),AND(AB154="Media",AD154="Moderado"),AND(AB154="Alta",AD154="Leve"),AND(AB154="Alta",AD154="Menor")),"Moderado",IF(OR(AND(AB154="Muy Baja",AD154="Mayor"),AND(AB154="Baja",AD154="Mayor"),AND(AB154="Media",AD154="Mayor"),AND(AB154="Alta",AD154="Moderado"),AND(AB154="Alta",AD154="Mayor"),AND(AB154="Muy Alta",AD154="Leve"),AND(AB154="Muy Alta",AD154="Menor"),AND(AB154="Muy Alta",AD154="Moderado"),AND(AB154="Muy Alta",AD154="Mayor")),"Alto",IF(OR(AND(AB154="Muy Baja",AD154="Catastrófico"),AND(AB154="Baja",AD154="Catastrófico"),AND(AB154="Media",AD154="Catastrófico"),AND(AB154="Alta",AD154="Catastrófico"),AND(AB154="Muy Alta",AD154="Catastrófico")),"Extremo","")))),"")</f>
        <v>Moderado</v>
      </c>
      <c r="AG154" s="88"/>
      <c r="AH154" s="444" t="s">
        <v>554</v>
      </c>
      <c r="AI154" s="444" t="s">
        <v>555</v>
      </c>
      <c r="AJ154" s="444" t="s">
        <v>556</v>
      </c>
      <c r="AK154" s="445">
        <v>45777</v>
      </c>
      <c r="AL154" s="444" t="s">
        <v>557</v>
      </c>
      <c r="AM154" s="446" t="s">
        <v>196</v>
      </c>
    </row>
    <row r="155" spans="1:39" ht="124.2" x14ac:dyDescent="0.3">
      <c r="A155" s="667"/>
      <c r="B155" s="758"/>
      <c r="C155" s="758"/>
      <c r="D155" s="760"/>
      <c r="E155" s="442" t="s">
        <v>558</v>
      </c>
      <c r="F155" s="782"/>
      <c r="G155" s="784"/>
      <c r="H155" s="761"/>
      <c r="I155" s="763"/>
      <c r="J155" s="765"/>
      <c r="K155" s="767"/>
      <c r="L155" s="769"/>
      <c r="M155" s="771"/>
      <c r="N155" s="769">
        <f>IF(NOT(ISERROR(MATCH(M155,_xlfn.ANCHORARRAY(F163),0))),L165&amp;"Por favor no seleccionar los criterios de impacto",M155)</f>
        <v>0</v>
      </c>
      <c r="O155" s="767"/>
      <c r="P155" s="769"/>
      <c r="Q155" s="773"/>
      <c r="R155" s="243">
        <v>2</v>
      </c>
      <c r="S155" s="443" t="s">
        <v>559</v>
      </c>
      <c r="T155" s="91" t="str">
        <f>IF(OR(U155="Preventivo",U155="Detectivo"),"Probabilidad",IF(U155="Correctivo","Impacto",""))</f>
        <v>Impacto</v>
      </c>
      <c r="U155" s="83" t="s">
        <v>379</v>
      </c>
      <c r="V155" s="83" t="s">
        <v>191</v>
      </c>
      <c r="W155" s="84" t="str">
        <f t="shared" ref="W155:W156" si="89">IF(AND(U155="Preventivo",V155="Automático"),"50%",IF(AND(U155="Preventivo",V155="Manual"),"40%",IF(AND(U155="Detectivo",V155="Automático"),"40%",IF(AND(U155="Detectivo",V155="Manual"),"30%",IF(AND(U155="Correctivo",V155="Automático"),"35%",IF(AND(U155="Correctivo",V155="Manual"),"25%",""))))))</f>
        <v>25%</v>
      </c>
      <c r="X155" s="83" t="s">
        <v>198</v>
      </c>
      <c r="Y155" s="83" t="s">
        <v>193</v>
      </c>
      <c r="Z155" s="83" t="s">
        <v>194</v>
      </c>
      <c r="AA155" s="92">
        <f>IFERROR(IF(AND(T154="Probabilidad",T155="Probabilidad"),(AC154-(+AC154*W155)),IF(AND(T154="Impacto",T155="Probabilidad"),(L154-(+L154*W155)),IF(T155="Impacto",AC154,""))),"")</f>
        <v>0.6</v>
      </c>
      <c r="AB155" s="85" t="str">
        <f t="shared" ref="AB155:AB156" si="90">IFERROR(IF(AA155="","",IF(AA155&lt;=0.2,"Muy Baja",IF(AA155&lt;=0.4,"Baja",IF(AA155&lt;=0.6,"Media",IF(AA155&lt;=0.8,"Alta","Muy Alta"))))),"")</f>
        <v>Media</v>
      </c>
      <c r="AC155" s="86">
        <f>+AA155</f>
        <v>0.6</v>
      </c>
      <c r="AD155" s="85" t="str">
        <f t="shared" ref="AD155:AD156" si="91">IFERROR(IF(AE155="","",IF(AE155&lt;=0.2,"Leve",IF(AE155&lt;=0.4,"Menor",IF(AE155&lt;=0.6,"Moderado",IF(AE155&lt;=0.8,"Mayor","Catastrófico"))))),"")</f>
        <v>Moderado</v>
      </c>
      <c r="AE155" s="86">
        <f>IFERROR(IF(AND(T154="Impacto",T155="Impacto"),(AE154-(+AE154*W155)),IF(AND(T154="Probabilidad",T155="Impacto"),(P154-(+P154*W155)),IF(T155="Probabilidad",AE154,""))),"")</f>
        <v>0.45000000000000007</v>
      </c>
      <c r="AF155" s="87" t="str">
        <f t="shared" ref="AF155:AF156" si="92">IFERROR(IF(OR(AND(AB155="Muy Baja",AD155="Leve"),AND(AB155="Muy Baja",AD155="Menor"),AND(AB155="Baja",AD155="Leve")),"Bajo",IF(OR(AND(AB155="Muy baja",AD155="Moderado"),AND(AB155="Baja",AD155="Menor"),AND(AB155="Baja",AD155="Moderado"),AND(AB155="Media",AD155="Leve"),AND(AB155="Media",AD155="Menor"),AND(AB155="Media",AD155="Moderado"),AND(AB155="Alta",AD155="Leve"),AND(AB155="Alta",AD155="Menor")),"Moderado",IF(OR(AND(AB155="Muy Baja",AD155="Mayor"),AND(AB155="Baja",AD155="Mayor"),AND(AB155="Media",AD155="Mayor"),AND(AB155="Alta",AD155="Moderado"),AND(AB155="Alta",AD155="Mayor"),AND(AB155="Muy Alta",AD155="Leve"),AND(AB155="Muy Alta",AD155="Menor"),AND(AB155="Muy Alta",AD155="Moderado"),AND(AB155="Muy Alta",AD155="Mayor")),"Alto",IF(OR(AND(AB155="Muy Baja",AD155="Catastrófico"),AND(AB155="Baja",AD155="Catastrófico"),AND(AB155="Media",AD155="Catastrófico"),AND(AB155="Alta",AD155="Catastrófico"),AND(AB155="Muy Alta",AD155="Catastrófico")),"Extremo","")))),"")</f>
        <v>Moderado</v>
      </c>
      <c r="AG155" s="88"/>
      <c r="AH155" s="447" t="s">
        <v>560</v>
      </c>
      <c r="AI155" s="444" t="s">
        <v>561</v>
      </c>
      <c r="AJ155" s="444" t="s">
        <v>556</v>
      </c>
      <c r="AK155" s="445">
        <v>56369</v>
      </c>
      <c r="AL155" s="444" t="s">
        <v>562</v>
      </c>
      <c r="AM155" s="446" t="s">
        <v>196</v>
      </c>
    </row>
    <row r="156" spans="1:39" ht="151.80000000000001" x14ac:dyDescent="0.3">
      <c r="A156" s="667"/>
      <c r="B156" s="758"/>
      <c r="C156" s="758"/>
      <c r="D156" s="760"/>
      <c r="E156" s="442" t="s">
        <v>563</v>
      </c>
      <c r="F156" s="782"/>
      <c r="G156" s="784"/>
      <c r="H156" s="761"/>
      <c r="I156" s="763"/>
      <c r="J156" s="765"/>
      <c r="K156" s="767"/>
      <c r="L156" s="769"/>
      <c r="M156" s="771"/>
      <c r="N156" s="769">
        <f>IF(NOT(ISERROR(MATCH(M156,_xlfn.ANCHORARRAY(F164),0))),L166&amp;"Por favor no seleccionar los criterios de impacto",M156)</f>
        <v>0</v>
      </c>
      <c r="O156" s="767"/>
      <c r="P156" s="769"/>
      <c r="Q156" s="773"/>
      <c r="R156" s="243">
        <v>3</v>
      </c>
      <c r="S156" s="448" t="s">
        <v>564</v>
      </c>
      <c r="T156" s="91" t="s">
        <v>141</v>
      </c>
      <c r="U156" s="83" t="s">
        <v>379</v>
      </c>
      <c r="V156" s="83" t="s">
        <v>191</v>
      </c>
      <c r="W156" s="84" t="str">
        <f t="shared" si="89"/>
        <v>25%</v>
      </c>
      <c r="X156" s="83" t="s">
        <v>192</v>
      </c>
      <c r="Y156" s="83" t="s">
        <v>471</v>
      </c>
      <c r="Z156" s="83" t="s">
        <v>485</v>
      </c>
      <c r="AA156" s="92">
        <f>IFERROR(IF(AND(T155="Probabilidad",T156="Probabilidad"),(AC155-(+AC155*W156)),IF(AND(T155="Impacto",T156="Probabilidad"),(AC154-(+AC154*W156)),IF(T156="Impacto",AC155,""))),"")</f>
        <v>0.6</v>
      </c>
      <c r="AB156" s="85" t="str">
        <f t="shared" si="90"/>
        <v>Media</v>
      </c>
      <c r="AC156" s="86">
        <f t="shared" ref="AC156" si="93">+AA156</f>
        <v>0.6</v>
      </c>
      <c r="AD156" s="85" t="str">
        <f t="shared" si="91"/>
        <v>Menor</v>
      </c>
      <c r="AE156" s="86">
        <f t="shared" ref="AE156" si="94">IFERROR(IF(AND(T155="Impacto",T156="Impacto"),(AE155-(+AE155*W156)),IF(AND(T155="Probabilidad",T156="Impacto"),(AE154-(+AE154*W156)),IF(T156="Probabilidad",AE155,""))),"")</f>
        <v>0.33750000000000002</v>
      </c>
      <c r="AF156" s="87" t="str">
        <f t="shared" si="92"/>
        <v>Moderado</v>
      </c>
      <c r="AG156" s="88"/>
      <c r="AH156" s="449" t="s">
        <v>565</v>
      </c>
      <c r="AI156" s="447" t="s">
        <v>561</v>
      </c>
      <c r="AJ156" s="444" t="s">
        <v>556</v>
      </c>
      <c r="AK156" s="445">
        <v>56369</v>
      </c>
      <c r="AL156" s="447" t="s">
        <v>566</v>
      </c>
      <c r="AM156" s="446" t="s">
        <v>196</v>
      </c>
    </row>
    <row r="157" spans="1:39" x14ac:dyDescent="0.3">
      <c r="A157" s="741" t="s">
        <v>148</v>
      </c>
      <c r="B157" s="742"/>
      <c r="C157" s="742"/>
      <c r="D157" s="742"/>
      <c r="E157" s="742"/>
      <c r="F157" s="742"/>
      <c r="G157" s="742"/>
      <c r="H157" s="742"/>
      <c r="I157" s="742"/>
      <c r="J157" s="742"/>
      <c r="K157" s="742"/>
      <c r="L157" s="742"/>
      <c r="M157" s="742"/>
      <c r="N157" s="742"/>
      <c r="O157" s="742"/>
      <c r="P157" s="742"/>
      <c r="Q157" s="742"/>
      <c r="R157" s="742"/>
      <c r="S157" s="742"/>
      <c r="T157" s="742"/>
      <c r="U157" s="742"/>
      <c r="V157" s="742"/>
      <c r="W157" s="742"/>
      <c r="X157" s="742"/>
      <c r="Y157" s="742"/>
      <c r="Z157" s="742"/>
      <c r="AA157" s="742"/>
      <c r="AB157" s="742"/>
      <c r="AC157" s="742"/>
      <c r="AD157" s="742"/>
      <c r="AE157" s="742"/>
      <c r="AF157" s="742"/>
      <c r="AG157" s="742"/>
      <c r="AH157" s="742"/>
      <c r="AI157" s="742"/>
      <c r="AJ157" s="742"/>
      <c r="AK157" s="742"/>
      <c r="AL157" s="743"/>
    </row>
    <row r="158" spans="1:39" x14ac:dyDescent="0.3">
      <c r="A158" s="744"/>
      <c r="B158" s="745"/>
      <c r="C158" s="745"/>
      <c r="D158" s="745"/>
      <c r="E158" s="745"/>
      <c r="F158" s="745"/>
      <c r="G158" s="745"/>
      <c r="H158" s="745"/>
      <c r="I158" s="745"/>
      <c r="J158" s="745"/>
      <c r="K158" s="745"/>
      <c r="L158" s="745"/>
      <c r="M158" s="745"/>
      <c r="N158" s="745"/>
      <c r="O158" s="745"/>
      <c r="P158" s="745"/>
      <c r="Q158" s="745"/>
      <c r="R158" s="745"/>
      <c r="S158" s="745"/>
      <c r="T158" s="745"/>
      <c r="U158" s="745"/>
      <c r="V158" s="745"/>
      <c r="W158" s="745"/>
      <c r="X158" s="745"/>
      <c r="Y158" s="745"/>
      <c r="Z158" s="745"/>
      <c r="AA158" s="745"/>
      <c r="AB158" s="745"/>
      <c r="AC158" s="745"/>
      <c r="AD158" s="745"/>
      <c r="AE158" s="745"/>
      <c r="AF158" s="745"/>
      <c r="AG158" s="745"/>
      <c r="AH158" s="745"/>
      <c r="AI158" s="745"/>
      <c r="AJ158" s="745"/>
      <c r="AK158" s="745"/>
      <c r="AL158" s="746"/>
    </row>
    <row r="159" spans="1:39" ht="14.4" x14ac:dyDescent="0.3">
      <c r="A159" s="42"/>
      <c r="B159" s="43"/>
      <c r="C159" s="42"/>
      <c r="D159" s="42"/>
      <c r="E159" s="42"/>
      <c r="F159" s="41"/>
      <c r="G159" s="41"/>
      <c r="H159" s="41"/>
      <c r="I159" s="44"/>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row>
    <row r="160" spans="1:39" ht="23.4" x14ac:dyDescent="0.3">
      <c r="A160" s="734" t="s">
        <v>149</v>
      </c>
      <c r="B160" s="735"/>
      <c r="C160" s="747" t="s">
        <v>567</v>
      </c>
      <c r="D160" s="747"/>
      <c r="E160" s="747"/>
      <c r="F160" s="747"/>
      <c r="G160" s="747"/>
      <c r="H160" s="747"/>
      <c r="I160" s="747"/>
      <c r="J160" s="747"/>
      <c r="K160" s="747"/>
      <c r="L160" s="747"/>
      <c r="M160" s="747"/>
      <c r="N160" s="747"/>
      <c r="O160" s="747"/>
      <c r="P160" s="747"/>
      <c r="Q160" s="747"/>
      <c r="R160" s="747"/>
      <c r="S160" s="747"/>
      <c r="T160" s="747"/>
      <c r="U160" s="747"/>
      <c r="V160" s="747"/>
      <c r="W160" s="747"/>
      <c r="X160" s="747"/>
      <c r="Y160" s="747"/>
      <c r="Z160" s="747"/>
      <c r="AA160" s="747"/>
      <c r="AB160" s="747"/>
      <c r="AC160" s="747"/>
      <c r="AD160" s="747"/>
      <c r="AE160" s="747"/>
      <c r="AF160" s="747"/>
      <c r="AG160" s="747"/>
      <c r="AH160" s="747"/>
      <c r="AI160" s="747"/>
      <c r="AJ160" s="747"/>
      <c r="AK160" s="747"/>
      <c r="AL160" s="747"/>
    </row>
    <row r="161" spans="1:39" ht="23.4" x14ac:dyDescent="0.3">
      <c r="A161" s="734" t="s">
        <v>150</v>
      </c>
      <c r="B161" s="735"/>
      <c r="C161" s="736" t="s">
        <v>568</v>
      </c>
      <c r="D161" s="736"/>
      <c r="E161" s="736"/>
      <c r="F161" s="736"/>
      <c r="G161" s="736"/>
      <c r="H161" s="736"/>
      <c r="I161" s="736"/>
      <c r="J161" s="736"/>
      <c r="K161" s="736"/>
      <c r="L161" s="736"/>
      <c r="M161" s="736"/>
      <c r="N161" s="736"/>
      <c r="O161" s="736"/>
      <c r="P161" s="736"/>
      <c r="Q161" s="736"/>
      <c r="R161" s="736"/>
      <c r="S161" s="736"/>
      <c r="T161" s="736"/>
      <c r="U161" s="736"/>
      <c r="V161" s="736"/>
      <c r="W161" s="736"/>
      <c r="X161" s="736"/>
      <c r="Y161" s="736"/>
      <c r="Z161" s="736"/>
      <c r="AA161" s="736"/>
      <c r="AB161" s="736"/>
      <c r="AC161" s="736"/>
      <c r="AD161" s="736"/>
      <c r="AE161" s="736"/>
      <c r="AF161" s="736"/>
      <c r="AG161" s="736"/>
      <c r="AH161" s="736"/>
      <c r="AI161" s="736"/>
      <c r="AJ161" s="736"/>
      <c r="AK161" s="736"/>
      <c r="AL161" s="736"/>
    </row>
    <row r="162" spans="1:39" ht="23.4" x14ac:dyDescent="0.3">
      <c r="A162" s="734" t="s">
        <v>151</v>
      </c>
      <c r="B162" s="735"/>
      <c r="C162" s="736" t="s">
        <v>569</v>
      </c>
      <c r="D162" s="736"/>
      <c r="E162" s="736"/>
      <c r="F162" s="736"/>
      <c r="G162" s="736"/>
      <c r="H162" s="736"/>
      <c r="I162" s="736"/>
      <c r="J162" s="736"/>
      <c r="K162" s="736"/>
      <c r="L162" s="736"/>
      <c r="M162" s="736"/>
      <c r="N162" s="736"/>
      <c r="O162" s="736"/>
      <c r="P162" s="736"/>
      <c r="Q162" s="736"/>
      <c r="R162" s="736"/>
      <c r="S162" s="736"/>
      <c r="T162" s="736"/>
      <c r="U162" s="736"/>
      <c r="V162" s="736"/>
      <c r="W162" s="736"/>
      <c r="X162" s="736"/>
      <c r="Y162" s="736"/>
      <c r="Z162" s="736"/>
      <c r="AA162" s="736"/>
      <c r="AB162" s="736"/>
      <c r="AC162" s="736"/>
      <c r="AD162" s="736"/>
      <c r="AE162" s="736"/>
      <c r="AF162" s="736"/>
      <c r="AG162" s="736"/>
      <c r="AH162" s="736"/>
      <c r="AI162" s="736"/>
      <c r="AJ162" s="736"/>
      <c r="AK162" s="736"/>
      <c r="AL162" s="736"/>
    </row>
    <row r="163" spans="1:39" x14ac:dyDescent="0.3">
      <c r="A163" s="737" t="s">
        <v>152</v>
      </c>
      <c r="B163" s="738"/>
      <c r="C163" s="739"/>
      <c r="D163" s="739"/>
      <c r="E163" s="739"/>
      <c r="F163" s="739"/>
      <c r="G163" s="739"/>
      <c r="H163" s="739"/>
      <c r="I163" s="739"/>
      <c r="J163" s="740"/>
      <c r="K163" s="724" t="s">
        <v>153</v>
      </c>
      <c r="L163" s="739"/>
      <c r="M163" s="739"/>
      <c r="N163" s="739"/>
      <c r="O163" s="739"/>
      <c r="P163" s="739"/>
      <c r="Q163" s="740"/>
      <c r="R163" s="724" t="s">
        <v>154</v>
      </c>
      <c r="S163" s="739"/>
      <c r="T163" s="739"/>
      <c r="U163" s="739"/>
      <c r="V163" s="739"/>
      <c r="W163" s="739"/>
      <c r="X163" s="739"/>
      <c r="Y163" s="739"/>
      <c r="Z163" s="740"/>
      <c r="AA163" s="724" t="s">
        <v>155</v>
      </c>
      <c r="AB163" s="739"/>
      <c r="AC163" s="739"/>
      <c r="AD163" s="739"/>
      <c r="AE163" s="739"/>
      <c r="AF163" s="739"/>
      <c r="AG163" s="740"/>
      <c r="AH163" s="724" t="s">
        <v>156</v>
      </c>
      <c r="AI163" s="739"/>
      <c r="AJ163" s="739"/>
      <c r="AK163" s="739"/>
      <c r="AL163" s="740"/>
    </row>
    <row r="164" spans="1:39" x14ac:dyDescent="0.3">
      <c r="A164" s="728" t="s">
        <v>157</v>
      </c>
      <c r="B164" s="730" t="s">
        <v>141</v>
      </c>
      <c r="C164" s="726" t="s">
        <v>158</v>
      </c>
      <c r="D164" s="726" t="s">
        <v>159</v>
      </c>
      <c r="E164" s="725" t="s">
        <v>160</v>
      </c>
      <c r="F164" s="732" t="s">
        <v>60</v>
      </c>
      <c r="G164" s="38"/>
      <c r="H164" s="38"/>
      <c r="I164" s="725" t="s">
        <v>161</v>
      </c>
      <c r="J164" s="726" t="s">
        <v>162</v>
      </c>
      <c r="K164" s="731" t="s">
        <v>163</v>
      </c>
      <c r="L164" s="723" t="s">
        <v>164</v>
      </c>
      <c r="M164" s="725" t="s">
        <v>165</v>
      </c>
      <c r="N164" s="725" t="s">
        <v>166</v>
      </c>
      <c r="O164" s="727" t="s">
        <v>167</v>
      </c>
      <c r="P164" s="723" t="s">
        <v>164</v>
      </c>
      <c r="Q164" s="726" t="s">
        <v>168</v>
      </c>
      <c r="R164" s="721" t="s">
        <v>169</v>
      </c>
      <c r="S164" s="699" t="s">
        <v>170</v>
      </c>
      <c r="T164" s="725" t="s">
        <v>171</v>
      </c>
      <c r="U164" s="699" t="s">
        <v>172</v>
      </c>
      <c r="V164" s="699"/>
      <c r="W164" s="699"/>
      <c r="X164" s="699"/>
      <c r="Y164" s="699"/>
      <c r="Z164" s="699"/>
      <c r="AA164" s="720" t="s">
        <v>173</v>
      </c>
      <c r="AB164" s="720" t="s">
        <v>174</v>
      </c>
      <c r="AC164" s="720" t="s">
        <v>164</v>
      </c>
      <c r="AD164" s="720" t="s">
        <v>175</v>
      </c>
      <c r="AE164" s="720" t="s">
        <v>164</v>
      </c>
      <c r="AF164" s="720" t="s">
        <v>176</v>
      </c>
      <c r="AG164" s="721" t="s">
        <v>177</v>
      </c>
      <c r="AH164" s="699" t="s">
        <v>156</v>
      </c>
      <c r="AI164" s="699" t="s">
        <v>142</v>
      </c>
      <c r="AJ164" s="699" t="s">
        <v>178</v>
      </c>
      <c r="AK164" s="699" t="s">
        <v>179</v>
      </c>
      <c r="AL164" s="699" t="s">
        <v>181</v>
      </c>
    </row>
    <row r="165" spans="1:39" ht="71.400000000000006" x14ac:dyDescent="0.3">
      <c r="A165" s="729"/>
      <c r="B165" s="730"/>
      <c r="C165" s="699"/>
      <c r="D165" s="699"/>
      <c r="E165" s="731"/>
      <c r="F165" s="733"/>
      <c r="G165" s="38" t="s">
        <v>371</v>
      </c>
      <c r="H165" s="38" t="s">
        <v>182</v>
      </c>
      <c r="I165" s="726"/>
      <c r="J165" s="699"/>
      <c r="K165" s="726"/>
      <c r="L165" s="724"/>
      <c r="M165" s="726"/>
      <c r="N165" s="726"/>
      <c r="O165" s="724"/>
      <c r="P165" s="724"/>
      <c r="Q165" s="699"/>
      <c r="R165" s="722"/>
      <c r="S165" s="699"/>
      <c r="T165" s="726"/>
      <c r="U165" s="39" t="s">
        <v>183</v>
      </c>
      <c r="V165" s="39" t="s">
        <v>184</v>
      </c>
      <c r="W165" s="39" t="s">
        <v>185</v>
      </c>
      <c r="X165" s="39" t="s">
        <v>186</v>
      </c>
      <c r="Y165" s="39" t="s">
        <v>187</v>
      </c>
      <c r="Z165" s="39" t="s">
        <v>188</v>
      </c>
      <c r="AA165" s="720"/>
      <c r="AB165" s="720"/>
      <c r="AC165" s="720"/>
      <c r="AD165" s="720"/>
      <c r="AE165" s="720"/>
      <c r="AF165" s="720"/>
      <c r="AG165" s="722"/>
      <c r="AH165" s="699"/>
      <c r="AI165" s="699"/>
      <c r="AJ165" s="699"/>
      <c r="AK165" s="699"/>
      <c r="AL165" s="699"/>
    </row>
    <row r="166" spans="1:39" ht="69" x14ac:dyDescent="0.3">
      <c r="A166" s="653">
        <v>1</v>
      </c>
      <c r="B166" s="757" t="s">
        <v>199</v>
      </c>
      <c r="C166" s="757" t="s">
        <v>570</v>
      </c>
      <c r="D166" s="759" t="s">
        <v>571</v>
      </c>
      <c r="E166" s="450" t="s">
        <v>572</v>
      </c>
      <c r="F166" s="761" t="s">
        <v>573</v>
      </c>
      <c r="G166" s="287" t="s">
        <v>574</v>
      </c>
      <c r="H166" s="761" t="s">
        <v>575</v>
      </c>
      <c r="I166" s="762" t="s">
        <v>190</v>
      </c>
      <c r="J166" s="764">
        <f>300*246</f>
        <v>73800</v>
      </c>
      <c r="K166" s="766" t="str">
        <f>IF(J166&lt;=0,"",IF(J166&lt;=2,"Muy Baja",IF(J166&lt;=24,"Baja",IF(J166&lt;=500,"Media",IF(J166&lt;=5000,"Alta","Muy Alta")))))</f>
        <v>Muy Alta</v>
      </c>
      <c r="L166" s="768">
        <f>IF(K166="","",IF(K166="Muy Baja",0.2,IF(K166="Baja",0.4,IF(K166="Media",0.6,IF(K166="Alta",0.8,IF(K166="Muy Alta",1,))))))</f>
        <v>1</v>
      </c>
      <c r="M166" s="770" t="s">
        <v>200</v>
      </c>
      <c r="N166" s="768" t="str">
        <f>IF(NOT(ISERROR(MATCH(M166,'[12]Tabla Impacto'!$B$221:$B$223,0))),'[12]Tabla Impacto'!$F$223&amp;"Por favor no seleccionar los criterios de impacto(Afectación Económica o presupuestal y Pérdida Reputacional)",M166)</f>
        <v xml:space="preserve">     El riesgo afecta la imagen de la entidad con algunos usuarios de relevancia frente al logro de los objetivos</v>
      </c>
      <c r="O166" s="766" t="str">
        <f>IF(OR(N166='[12]Tabla Impacto'!$C$11,N166='[12]Tabla Impacto'!$D$11),"Leve",IF(OR(N166='[12]Tabla Impacto'!$C$12,N166='[12]Tabla Impacto'!$D$12),"Menor",IF(OR(N166='[12]Tabla Impacto'!$C$13,N166='[12]Tabla Impacto'!$D$13),"Moderado",IF(OR(N166='[12]Tabla Impacto'!$C$14,N166='[12]Tabla Impacto'!$D$14),"Mayor",IF(OR(N166='[12]Tabla Impacto'!$C$15,N166='[12]Tabla Impacto'!$D$15),"Catastrófico","")))))</f>
        <v>Moderado</v>
      </c>
      <c r="P166" s="768">
        <f>IF(O166="","",IF(O166="Leve",0.2,IF(O166="Menor",0.4,IF(O166="Moderado",0.6,IF(O166="Mayor",0.8,IF(O166="Catastrófico",1,))))))</f>
        <v>0.6</v>
      </c>
      <c r="Q166" s="772" t="str">
        <f>IF(OR(AND(K166="Muy Baja",O166="Leve"),AND(K166="Muy Baja",O166="Menor"),AND(K166="Baja",O166="Leve")),"Bajo",IF(OR(AND(K166="Muy baja",O166="Moderado"),AND(K166="Baja",O166="Menor"),AND(K166="Baja",O166="Moderado"),AND(K166="Media",O166="Leve"),AND(K166="Media",O166="Menor"),AND(K166="Media",O166="Moderado"),AND(K166="Alta",O166="Leve"),AND(K166="Alta",O166="Menor")),"Moderado",IF(OR(AND(K166="Muy Baja",O166="Mayor"),AND(K166="Baja",O166="Mayor"),AND(K166="Media",O166="Mayor"),AND(K166="Alta",O166="Moderado"),AND(K166="Alta",O166="Mayor"),AND(K166="Muy Alta",O166="Leve"),AND(K166="Muy Alta",O166="Menor"),AND(K166="Muy Alta",O166="Moderado"),AND(K166="Muy Alta",O166="Mayor")),"Alto",IF(OR(AND(K166="Muy Baja",O166="Catastrófico"),AND(K166="Baja",O166="Catastrófico"),AND(K166="Media",O166="Catastrófico"),AND(K166="Alta",O166="Catastrófico"),AND(K166="Muy Alta",O166="Catastrófico")),"Extremo",""))))</f>
        <v>Alto</v>
      </c>
      <c r="R166" s="243">
        <v>1</v>
      </c>
      <c r="S166" s="90" t="s">
        <v>576</v>
      </c>
      <c r="T166" s="91" t="str">
        <f>IF(OR(U166="Preventivo",U166="Detectivo"),"Probabilidad",IF(U166="Correctivo","Impacto",""))</f>
        <v>Probabilidad</v>
      </c>
      <c r="U166" s="83" t="s">
        <v>197</v>
      </c>
      <c r="V166" s="83" t="s">
        <v>191</v>
      </c>
      <c r="W166" s="84" t="str">
        <f>IF(AND(U166="Preventivo",V166="Automático"),"50%",IF(AND(U166="Preventivo",V166="Manual"),"40%",IF(AND(U166="Detectivo",V166="Automático"),"40%",IF(AND(U166="Detectivo",V166="Manual"),"30%",IF(AND(U166="Correctivo",V166="Automático"),"35%",IF(AND(U166="Correctivo",V166="Manual"),"25%",""))))))</f>
        <v>40%</v>
      </c>
      <c r="X166" s="83" t="s">
        <v>198</v>
      </c>
      <c r="Y166" s="83" t="s">
        <v>193</v>
      </c>
      <c r="Z166" s="83" t="s">
        <v>194</v>
      </c>
      <c r="AA166" s="92">
        <f>IFERROR(IF(T166="Probabilidad",(L166-(+L166*W166)),IF(T166="Impacto",L166,"")),"")</f>
        <v>0.6</v>
      </c>
      <c r="AB166" s="85" t="str">
        <f>IFERROR(IF(AA166="","",IF(AA166&lt;=0.2,"Muy Baja",IF(AA166&lt;=0.4,"Baja",IF(AA166&lt;=0.6,"Media",IF(AA166&lt;=0.8,"Alta","Muy Alta"))))),"")</f>
        <v>Media</v>
      </c>
      <c r="AC166" s="86">
        <f>+AA166</f>
        <v>0.6</v>
      </c>
      <c r="AD166" s="85" t="str">
        <f>IFERROR(IF(AE166="","",IF(AE166&lt;=0.2,"Leve",IF(AE166&lt;=0.4,"Menor",IF(AE166&lt;=0.6,"Moderado",IF(AE166&lt;=0.8,"Mayor","Catastrófico"))))),"")</f>
        <v>Moderado</v>
      </c>
      <c r="AE166" s="86">
        <f>IFERROR(IF(T166="Impacto",(P166-(+P166*W166)),IF(T166="Probabilidad",P166,"")),"")</f>
        <v>0.6</v>
      </c>
      <c r="AF166" s="87" t="str">
        <f>IFERROR(IF(OR(AND(AB166="Muy Baja",AD166="Leve"),AND(AB166="Muy Baja",AD166="Menor"),AND(AB166="Baja",AD166="Leve")),"Bajo",IF(OR(AND(AB166="Muy baja",AD166="Moderado"),AND(AB166="Baja",AD166="Menor"),AND(AB166="Baja",AD166="Moderado"),AND(AB166="Media",AD166="Leve"),AND(AB166="Media",AD166="Menor"),AND(AB166="Media",AD166="Moderado"),AND(AB166="Alta",AD166="Leve"),AND(AB166="Alta",AD166="Menor")),"Moderado",IF(OR(AND(AB166="Muy Baja",AD166="Mayor"),AND(AB166="Baja",AD166="Mayor"),AND(AB166="Media",AD166="Mayor"),AND(AB166="Alta",AD166="Moderado"),AND(AB166="Alta",AD166="Mayor"),AND(AB166="Muy Alta",AD166="Leve"),AND(AB166="Muy Alta",AD166="Menor"),AND(AB166="Muy Alta",AD166="Moderado"),AND(AB166="Muy Alta",AD166="Mayor")),"Alto",IF(OR(AND(AB166="Muy Baja",AD166="Catastrófico"),AND(AB166="Baja",AD166="Catastrófico"),AND(AB166="Media",AD166="Catastrófico"),AND(AB166="Alta",AD166="Catastrófico"),AND(AB166="Muy Alta",AD166="Catastrófico")),"Extremo","")))),"")</f>
        <v>Moderado</v>
      </c>
      <c r="AG166" s="774" t="s">
        <v>195</v>
      </c>
      <c r="AH166" s="757" t="s">
        <v>577</v>
      </c>
      <c r="AI166" s="764" t="s">
        <v>578</v>
      </c>
      <c r="AJ166" s="778" t="s">
        <v>579</v>
      </c>
      <c r="AK166" s="780">
        <v>45754</v>
      </c>
      <c r="AL166" s="451" t="s">
        <v>196</v>
      </c>
    </row>
    <row r="167" spans="1:39" ht="78" x14ac:dyDescent="0.3">
      <c r="A167" s="667"/>
      <c r="B167" s="758"/>
      <c r="C167" s="758"/>
      <c r="D167" s="760"/>
      <c r="E167" s="364" t="s">
        <v>580</v>
      </c>
      <c r="F167" s="761"/>
      <c r="G167" s="287" t="s">
        <v>574</v>
      </c>
      <c r="H167" s="761"/>
      <c r="I167" s="763"/>
      <c r="J167" s="765"/>
      <c r="K167" s="767"/>
      <c r="L167" s="769"/>
      <c r="M167" s="771"/>
      <c r="N167" s="769">
        <f>IF(NOT(ISERROR(MATCH(M167,_xlfn.ANCHORARRAY(F170),0))),L172&amp;"Por favor no seleccionar los criterios de impacto",M167)</f>
        <v>0</v>
      </c>
      <c r="O167" s="767"/>
      <c r="P167" s="769"/>
      <c r="Q167" s="773"/>
      <c r="R167" s="243">
        <v>2</v>
      </c>
      <c r="S167" s="247" t="s">
        <v>581</v>
      </c>
      <c r="T167" s="91" t="str">
        <f t="shared" ref="T167" si="95">IF(OR(U167="Preventivo",U167="Detectivo"),"Probabilidad",IF(U167="Correctivo","Impacto",""))</f>
        <v>Probabilidad</v>
      </c>
      <c r="U167" s="83" t="s">
        <v>197</v>
      </c>
      <c r="V167" s="83" t="s">
        <v>191</v>
      </c>
      <c r="W167" s="84" t="str">
        <f t="shared" ref="W167" si="96">IF(AND(U167="Preventivo",V167="Automático"),"50%",IF(AND(U167="Preventivo",V167="Manual"),"40%",IF(AND(U167="Detectivo",V167="Automático"),"40%",IF(AND(U167="Detectivo",V167="Manual"),"30%",IF(AND(U167="Correctivo",V167="Automático"),"35%",IF(AND(U167="Correctivo",V167="Manual"),"25%",""))))))</f>
        <v>40%</v>
      </c>
      <c r="X167" s="83" t="s">
        <v>192</v>
      </c>
      <c r="Y167" s="83" t="s">
        <v>193</v>
      </c>
      <c r="Z167" s="83" t="s">
        <v>194</v>
      </c>
      <c r="AA167" s="92">
        <f>IFERROR(IF(AND(T166="Probabilidad",T167="Probabilidad"),(AC166-(+AC166*W167)),IF(AND(T166="Impacto",T167="Probabilidad"),(L166-(+L166*W167)),IF(T167="Impacto",AC166,""))),"")</f>
        <v>0.36</v>
      </c>
      <c r="AB167" s="85" t="str">
        <f t="shared" ref="AB167" si="97">IFERROR(IF(AA167="","",IF(AA167&lt;=0.2,"Muy Baja",IF(AA167&lt;=0.4,"Baja",IF(AA167&lt;=0.6,"Media",IF(AA167&lt;=0.8,"Alta","Muy Alta"))))),"")</f>
        <v>Baja</v>
      </c>
      <c r="AC167" s="86">
        <f>+AA167</f>
        <v>0.36</v>
      </c>
      <c r="AD167" s="85" t="str">
        <f t="shared" ref="AD167" si="98">IFERROR(IF(AE167="","",IF(AE167&lt;=0.2,"Leve",IF(AE167&lt;=0.4,"Menor",IF(AE167&lt;=0.6,"Moderado",IF(AE167&lt;=0.8,"Mayor","Catastrófico"))))),"")</f>
        <v>Moderado</v>
      </c>
      <c r="AE167" s="86">
        <f>IFERROR(IF(AND(T166="Impacto",T167="Impacto"),(AE166-(+AE166*W167)),IF(AND(T166="Probabilidad",T167="Impacto"),(P166-(+P166*W167)),IF(T167="Probabilidad",AE166,""))),"")</f>
        <v>0.6</v>
      </c>
      <c r="AF167" s="87" t="str">
        <f t="shared" ref="AF167" si="99">IFERROR(IF(OR(AND(AB167="Muy Baja",AD167="Leve"),AND(AB167="Muy Baja",AD167="Menor"),AND(AB167="Baja",AD167="Leve")),"Bajo",IF(OR(AND(AB167="Muy baja",AD167="Moderado"),AND(AB167="Baja",AD167="Menor"),AND(AB167="Baja",AD167="Moderado"),AND(AB167="Media",AD167="Leve"),AND(AB167="Media",AD167="Menor"),AND(AB167="Media",AD167="Moderado"),AND(AB167="Alta",AD167="Leve"),AND(AB167="Alta",AD167="Menor")),"Moderado",IF(OR(AND(AB167="Muy Baja",AD167="Mayor"),AND(AB167="Baja",AD167="Mayor"),AND(AB167="Media",AD167="Mayor"),AND(AB167="Alta",AD167="Moderado"),AND(AB167="Alta",AD167="Mayor"),AND(AB167="Muy Alta",AD167="Leve"),AND(AB167="Muy Alta",AD167="Menor"),AND(AB167="Muy Alta",AD167="Moderado"),AND(AB167="Muy Alta",AD167="Mayor")),"Alto",IF(OR(AND(AB167="Muy Baja",AD167="Catastrófico"),AND(AB167="Baja",AD167="Catastrófico"),AND(AB167="Media",AD167="Catastrófico"),AND(AB167="Alta",AD167="Catastrófico"),AND(AB167="Muy Alta",AD167="Catastrófico")),"Extremo","")))),"")</f>
        <v>Moderado</v>
      </c>
      <c r="AG167" s="775"/>
      <c r="AH167" s="776"/>
      <c r="AI167" s="777"/>
      <c r="AJ167" s="779"/>
      <c r="AK167" s="781"/>
      <c r="AL167" s="452"/>
    </row>
    <row r="168" spans="1:39" ht="69" x14ac:dyDescent="0.3">
      <c r="A168" s="653">
        <v>2</v>
      </c>
      <c r="B168" s="748" t="s">
        <v>199</v>
      </c>
      <c r="C168" s="748" t="s">
        <v>582</v>
      </c>
      <c r="D168" s="750" t="s">
        <v>583</v>
      </c>
      <c r="E168" s="308" t="s">
        <v>584</v>
      </c>
      <c r="F168" s="752" t="s">
        <v>585</v>
      </c>
      <c r="G168" s="454" t="s">
        <v>574</v>
      </c>
      <c r="H168" s="753" t="s">
        <v>586</v>
      </c>
      <c r="I168" s="755" t="s">
        <v>190</v>
      </c>
      <c r="J168" s="682">
        <v>28</v>
      </c>
      <c r="K168" s="659" t="str">
        <f>IF(J168&lt;=0,"",IF(J168&lt;=2,"Muy Baja",IF(J168&lt;=24,"Baja",IF(J168&lt;=500,"Media",IF(J168&lt;=5000,"Alta","Muy Alta")))))</f>
        <v>Media</v>
      </c>
      <c r="L168" s="661">
        <f>IF(K168="","",IF(K168="Muy Baja",0.2,IF(K168="Baja",0.4,IF(K168="Media",0.6,IF(K168="Alta",0.8,IF(K168="Muy Alta",1,))))))</f>
        <v>0.6</v>
      </c>
      <c r="M168" s="663" t="s">
        <v>200</v>
      </c>
      <c r="N168" s="661" t="str">
        <f>IF(NOT(ISERROR(MATCH(M168,'[12]Tabla Impacto'!$B$221:$B$223,0))),'[12]Tabla Impacto'!$F$223&amp;"Por favor no seleccionar los criterios de impacto(Afectación Económica o presupuestal y Pérdida Reputacional)",M168)</f>
        <v xml:space="preserve">     El riesgo afecta la imagen de la entidad con algunos usuarios de relevancia frente al logro de los objetivos</v>
      </c>
      <c r="O168" s="659" t="str">
        <f>IF(OR(N168='[12]Tabla Impacto'!$C$11,N168='[12]Tabla Impacto'!$D$11),"Leve",IF(OR(N168='[12]Tabla Impacto'!$C$12,N168='[12]Tabla Impacto'!$D$12),"Menor",IF(OR(N168='[12]Tabla Impacto'!$C$13,N168='[12]Tabla Impacto'!$D$13),"Moderado",IF(OR(N168='[12]Tabla Impacto'!$C$14,N168='[12]Tabla Impacto'!$D$14),"Mayor",IF(OR(N168='[12]Tabla Impacto'!$C$15,N168='[12]Tabla Impacto'!$D$15),"Catastrófico","")))))</f>
        <v>Moderado</v>
      </c>
      <c r="P168" s="661">
        <f>IF(O168="","",IF(O168="Leve",0.2,IF(O168="Menor",0.4,IF(O168="Moderado",0.6,IF(O168="Mayor",0.8,IF(O168="Catastrófico",1,))))))</f>
        <v>0.6</v>
      </c>
      <c r="Q168" s="665" t="str">
        <f>IF(OR(AND(K168="Muy Baja",O168="Leve"),AND(K168="Muy Baja",O168="Menor"),AND(K168="Baja",O168="Leve")),"Bajo",IF(OR(AND(K168="Muy baja",O168="Moderado"),AND(K168="Baja",O168="Menor"),AND(K168="Baja",O168="Moderado"),AND(K168="Media",O168="Leve"),AND(K168="Media",O168="Menor"),AND(K168="Media",O168="Moderado"),AND(K168="Alta",O168="Leve"),AND(K168="Alta",O168="Menor")),"Moderado",IF(OR(AND(K168="Muy Baja",O168="Mayor"),AND(K168="Baja",O168="Mayor"),AND(K168="Media",O168="Mayor"),AND(K168="Alta",O168="Moderado"),AND(K168="Alta",O168="Mayor"),AND(K168="Muy Alta",O168="Leve"),AND(K168="Muy Alta",O168="Menor"),AND(K168="Muy Alta",O168="Moderado"),AND(K168="Muy Alta",O168="Mayor")),"Alto",IF(OR(AND(K168="Muy Baja",O168="Catastrófico"),AND(K168="Baja",O168="Catastrófico"),AND(K168="Media",O168="Catastrófico"),AND(K168="Alta",O168="Catastrófico"),AND(K168="Muy Alta",O168="Catastrófico")),"Extremo",""))))</f>
        <v>Moderado</v>
      </c>
      <c r="R168" s="243">
        <v>1</v>
      </c>
      <c r="S168" s="455" t="s">
        <v>587</v>
      </c>
      <c r="T168" s="91" t="str">
        <f>IF(OR(U168="Preventivo",U168="Detectivo"),"Probabilidad",IF(U168="Correctivo","Impacto",""))</f>
        <v>Probabilidad</v>
      </c>
      <c r="U168" s="83" t="s">
        <v>197</v>
      </c>
      <c r="V168" s="83" t="s">
        <v>588</v>
      </c>
      <c r="W168" s="84" t="str">
        <f>IF(AND(U168="Preventivo",V168="Automático"),"50%",IF(AND(U168="Preventivo",V168="Manual"),"40%",IF(AND(U168="Detectivo",V168="Automático"),"40%",IF(AND(U168="Detectivo",V168="Manual"),"30%",IF(AND(U168="Correctivo",V168="Automático"),"35%",IF(AND(U168="Correctivo",V168="Manual"),"25%",""))))))</f>
        <v>50%</v>
      </c>
      <c r="X168" s="83" t="s">
        <v>198</v>
      </c>
      <c r="Y168" s="83" t="s">
        <v>193</v>
      </c>
      <c r="Z168" s="83" t="s">
        <v>194</v>
      </c>
      <c r="AA168" s="92">
        <f>IFERROR(IF(T168="Probabilidad",(L168-(+L168*W168)),IF(T168="Impacto",L168,"")),"")</f>
        <v>0.3</v>
      </c>
      <c r="AB168" s="85" t="str">
        <f>IFERROR(IF(AA168="","",IF(AA168&lt;=0.2,"Muy Baja",IF(AA168&lt;=0.4,"Baja",IF(AA168&lt;=0.6,"Media",IF(AA168&lt;=0.8,"Alta","Muy Alta"))))),"")</f>
        <v>Baja</v>
      </c>
      <c r="AC168" s="86">
        <f>+AA168</f>
        <v>0.3</v>
      </c>
      <c r="AD168" s="85" t="str">
        <f>IFERROR(IF(AE168="","",IF(AE168&lt;=0.2,"Leve",IF(AE168&lt;=0.4,"Menor",IF(AE168&lt;=0.6,"Moderado",IF(AE168&lt;=0.8,"Mayor","Catastrófico"))))),"")</f>
        <v>Moderado</v>
      </c>
      <c r="AE168" s="86">
        <f>IFERROR(IF(T168="Impacto",(P168-(+P168*W168)),IF(T168="Probabilidad",P168,"")),"")</f>
        <v>0.6</v>
      </c>
      <c r="AF168" s="87" t="str">
        <f>IFERROR(IF(OR(AND(AB168="Muy Baja",AD168="Leve"),AND(AB168="Muy Baja",AD168="Menor"),AND(AB168="Baja",AD168="Leve")),"Bajo",IF(OR(AND(AB168="Muy baja",AD168="Moderado"),AND(AB168="Baja",AD168="Menor"),AND(AB168="Baja",AD168="Moderado"),AND(AB168="Media",AD168="Leve"),AND(AB168="Media",AD168="Menor"),AND(AB168="Media",AD168="Moderado"),AND(AB168="Alta",AD168="Leve"),AND(AB168="Alta",AD168="Menor")),"Moderado",IF(OR(AND(AB168="Muy Baja",AD168="Mayor"),AND(AB168="Baja",AD168="Mayor"),AND(AB168="Media",AD168="Mayor"),AND(AB168="Alta",AD168="Moderado"),AND(AB168="Alta",AD168="Mayor"),AND(AB168="Muy Alta",AD168="Leve"),AND(AB168="Muy Alta",AD168="Menor"),AND(AB168="Muy Alta",AD168="Moderado"),AND(AB168="Muy Alta",AD168="Mayor")),"Alto",IF(OR(AND(AB168="Muy Baja",AD168="Catastrófico"),AND(AB168="Baja",AD168="Catastrófico"),AND(AB168="Media",AD168="Catastrófico"),AND(AB168="Alta",AD168="Catastrófico"),AND(AB168="Muy Alta",AD168="Catastrófico")),"Extremo","")))),"")</f>
        <v>Moderado</v>
      </c>
      <c r="AG168" s="88"/>
      <c r="AH168" s="244" t="s">
        <v>589</v>
      </c>
      <c r="AI168" s="245" t="s">
        <v>590</v>
      </c>
      <c r="AJ168" s="246" t="s">
        <v>579</v>
      </c>
      <c r="AK168" s="453">
        <v>45754</v>
      </c>
      <c r="AL168" s="451" t="s">
        <v>196</v>
      </c>
    </row>
    <row r="169" spans="1:39" ht="69" x14ac:dyDescent="0.3">
      <c r="A169" s="667"/>
      <c r="B169" s="749"/>
      <c r="C169" s="749"/>
      <c r="D169" s="751"/>
      <c r="E169" s="308" t="s">
        <v>591</v>
      </c>
      <c r="F169" s="752"/>
      <c r="G169" s="456" t="s">
        <v>574</v>
      </c>
      <c r="H169" s="754"/>
      <c r="I169" s="756"/>
      <c r="J169" s="683"/>
      <c r="K169" s="660"/>
      <c r="L169" s="662"/>
      <c r="M169" s="664"/>
      <c r="N169" s="662">
        <f>IF(NOT(ISERROR(MATCH(M169,_xlfn.ANCHORARRAY(F176),0))),L178&amp;"Por favor no seleccionar los criterios de impacto",M169)</f>
        <v>0</v>
      </c>
      <c r="O169" s="660"/>
      <c r="P169" s="662"/>
      <c r="Q169" s="666"/>
      <c r="R169" s="243">
        <v>2</v>
      </c>
      <c r="S169" s="455" t="s">
        <v>592</v>
      </c>
      <c r="T169" s="91" t="str">
        <f>IF(OR(U169="Preventivo",U169="Detectivo"),"Probabilidad",IF(U169="Correctivo","Impacto",""))</f>
        <v>Probabilidad</v>
      </c>
      <c r="U169" s="83" t="s">
        <v>197</v>
      </c>
      <c r="V169" s="83" t="s">
        <v>191</v>
      </c>
      <c r="W169" s="84" t="str">
        <f t="shared" ref="W169" si="100">IF(AND(U169="Preventivo",V169="Automático"),"50%",IF(AND(U169="Preventivo",V169="Manual"),"40%",IF(AND(U169="Detectivo",V169="Automático"),"40%",IF(AND(U169="Detectivo",V169="Manual"),"30%",IF(AND(U169="Correctivo",V169="Automático"),"35%",IF(AND(U169="Correctivo",V169="Manual"),"25%",""))))))</f>
        <v>40%</v>
      </c>
      <c r="X169" s="83" t="s">
        <v>198</v>
      </c>
      <c r="Y169" s="83" t="s">
        <v>193</v>
      </c>
      <c r="Z169" s="83" t="s">
        <v>194</v>
      </c>
      <c r="AA169" s="92">
        <f>IFERROR(IF(AND(T168="Probabilidad",T169="Probabilidad"),(AC168-(+AC168*W169)),IF(AND(T168="Impacto",T169="Probabilidad"),(L168-(+L168*W169)),IF(T169="Impacto",AC168,""))),"")</f>
        <v>0.18</v>
      </c>
      <c r="AB169" s="85" t="str">
        <f t="shared" ref="AB169" si="101">IFERROR(IF(AA169="","",IF(AA169&lt;=0.2,"Muy Baja",IF(AA169&lt;=0.4,"Baja",IF(AA169&lt;=0.6,"Media",IF(AA169&lt;=0.8,"Alta","Muy Alta"))))),"")</f>
        <v>Muy Baja</v>
      </c>
      <c r="AC169" s="86">
        <f>+AA169</f>
        <v>0.18</v>
      </c>
      <c r="AD169" s="85" t="str">
        <f t="shared" ref="AD169" si="102">IFERROR(IF(AE169="","",IF(AE169&lt;=0.2,"Leve",IF(AE169&lt;=0.4,"Menor",IF(AE169&lt;=0.6,"Moderado",IF(AE169&lt;=0.8,"Mayor","Catastrófico"))))),"")</f>
        <v>Moderado</v>
      </c>
      <c r="AE169" s="86">
        <f>IFERROR(IF(AND(T168="Impacto",T169="Impacto"),(AE168-(+AE168*W169)),IF(AND(T168="Probabilidad",T169="Impacto"),(P168-(+P168*W169)),IF(T169="Probabilidad",AE168,""))),"")</f>
        <v>0.6</v>
      </c>
      <c r="AF169" s="87" t="str">
        <f t="shared" ref="AF169" si="103">IFERROR(IF(OR(AND(AB169="Muy Baja",AD169="Leve"),AND(AB169="Muy Baja",AD169="Menor"),AND(AB169="Baja",AD169="Leve")),"Bajo",IF(OR(AND(AB169="Muy baja",AD169="Moderado"),AND(AB169="Baja",AD169="Menor"),AND(AB169="Baja",AD169="Moderado"),AND(AB169="Media",AD169="Leve"),AND(AB169="Media",AD169="Menor"),AND(AB169="Media",AD169="Moderado"),AND(AB169="Alta",AD169="Leve"),AND(AB169="Alta",AD169="Menor")),"Moderado",IF(OR(AND(AB169="Muy Baja",AD169="Mayor"),AND(AB169="Baja",AD169="Mayor"),AND(AB169="Media",AD169="Mayor"),AND(AB169="Alta",AD169="Moderado"),AND(AB169="Alta",AD169="Mayor"),AND(AB169="Muy Alta",AD169="Leve"),AND(AB169="Muy Alta",AD169="Menor"),AND(AB169="Muy Alta",AD169="Moderado"),AND(AB169="Muy Alta",AD169="Mayor")),"Alto",IF(OR(AND(AB169="Muy Baja",AD169="Catastrófico"),AND(AB169="Baja",AD169="Catastrófico"),AND(AB169="Media",AD169="Catastrófico"),AND(AB169="Alta",AD169="Catastrófico"),AND(AB169="Muy Alta",AD169="Catastrófico")),"Extremo","")))),"")</f>
        <v>Moderado</v>
      </c>
      <c r="AG169" s="88"/>
      <c r="AH169" s="244" t="s">
        <v>593</v>
      </c>
      <c r="AI169" s="245" t="s">
        <v>590</v>
      </c>
      <c r="AJ169" s="246" t="s">
        <v>579</v>
      </c>
      <c r="AK169" s="453">
        <v>45754</v>
      </c>
      <c r="AL169" s="451" t="s">
        <v>196</v>
      </c>
    </row>
    <row r="170" spans="1:39" x14ac:dyDescent="0.3">
      <c r="A170" s="741" t="s">
        <v>594</v>
      </c>
      <c r="B170" s="742"/>
      <c r="C170" s="742"/>
      <c r="D170" s="742"/>
      <c r="E170" s="742"/>
      <c r="F170" s="742"/>
      <c r="G170" s="742"/>
      <c r="H170" s="742"/>
      <c r="I170" s="742"/>
      <c r="J170" s="742"/>
      <c r="K170" s="742"/>
      <c r="L170" s="742"/>
      <c r="M170" s="742"/>
      <c r="N170" s="742"/>
      <c r="O170" s="742"/>
      <c r="P170" s="742"/>
      <c r="Q170" s="742"/>
      <c r="R170" s="742"/>
      <c r="S170" s="742"/>
      <c r="T170" s="742"/>
      <c r="U170" s="742"/>
      <c r="V170" s="742"/>
      <c r="W170" s="742"/>
      <c r="X170" s="742"/>
      <c r="Y170" s="742"/>
      <c r="Z170" s="742"/>
      <c r="AA170" s="742"/>
      <c r="AB170" s="742"/>
      <c r="AC170" s="742"/>
      <c r="AD170" s="742"/>
      <c r="AE170" s="742"/>
      <c r="AF170" s="742"/>
      <c r="AG170" s="742"/>
      <c r="AH170" s="742"/>
      <c r="AI170" s="742"/>
      <c r="AJ170" s="742"/>
      <c r="AK170" s="742"/>
      <c r="AL170" s="742"/>
      <c r="AM170" s="743"/>
    </row>
    <row r="171" spans="1:39" x14ac:dyDescent="0.3">
      <c r="A171" s="744"/>
      <c r="B171" s="745"/>
      <c r="C171" s="745"/>
      <c r="D171" s="745"/>
      <c r="E171" s="745"/>
      <c r="F171" s="745"/>
      <c r="G171" s="745"/>
      <c r="H171" s="745"/>
      <c r="I171" s="745"/>
      <c r="J171" s="745"/>
      <c r="K171" s="745"/>
      <c r="L171" s="745"/>
      <c r="M171" s="745"/>
      <c r="N171" s="745"/>
      <c r="O171" s="745"/>
      <c r="P171" s="745"/>
      <c r="Q171" s="745"/>
      <c r="R171" s="745"/>
      <c r="S171" s="745"/>
      <c r="T171" s="745"/>
      <c r="U171" s="745"/>
      <c r="V171" s="745"/>
      <c r="W171" s="745"/>
      <c r="X171" s="745"/>
      <c r="Y171" s="745"/>
      <c r="Z171" s="745"/>
      <c r="AA171" s="745"/>
      <c r="AB171" s="745"/>
      <c r="AC171" s="745"/>
      <c r="AD171" s="745"/>
      <c r="AE171" s="745"/>
      <c r="AF171" s="745"/>
      <c r="AG171" s="745"/>
      <c r="AH171" s="745"/>
      <c r="AI171" s="745"/>
      <c r="AJ171" s="745"/>
      <c r="AK171" s="745"/>
      <c r="AL171" s="745"/>
      <c r="AM171" s="746"/>
    </row>
    <row r="172" spans="1:39" ht="14.4" x14ac:dyDescent="0.3">
      <c r="A172" s="42"/>
      <c r="B172" s="43"/>
      <c r="C172" s="42"/>
      <c r="D172" s="42"/>
      <c r="E172" s="42"/>
      <c r="F172" s="41"/>
      <c r="G172" s="41"/>
      <c r="H172" s="41"/>
      <c r="I172" s="44"/>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row>
    <row r="173" spans="1:39" ht="23.4" x14ac:dyDescent="0.3">
      <c r="A173" s="734" t="s">
        <v>149</v>
      </c>
      <c r="B173" s="735"/>
      <c r="C173" s="747" t="s">
        <v>595</v>
      </c>
      <c r="D173" s="747"/>
      <c r="E173" s="747"/>
      <c r="F173" s="747"/>
      <c r="G173" s="747"/>
      <c r="H173" s="747"/>
      <c r="I173" s="747"/>
      <c r="J173" s="747"/>
      <c r="K173" s="747"/>
      <c r="L173" s="747"/>
      <c r="M173" s="747"/>
      <c r="N173" s="747"/>
      <c r="O173" s="747"/>
      <c r="P173" s="747"/>
      <c r="Q173" s="747"/>
      <c r="R173" s="747"/>
      <c r="S173" s="747"/>
      <c r="T173" s="747"/>
      <c r="U173" s="747"/>
      <c r="V173" s="747"/>
      <c r="W173" s="747"/>
      <c r="X173" s="747"/>
      <c r="Y173" s="747"/>
      <c r="Z173" s="747"/>
      <c r="AA173" s="747"/>
      <c r="AB173" s="747"/>
      <c r="AC173" s="747"/>
      <c r="AD173" s="747"/>
      <c r="AE173" s="747"/>
      <c r="AF173" s="747"/>
      <c r="AG173" s="747"/>
      <c r="AH173" s="747"/>
      <c r="AI173" s="747"/>
      <c r="AJ173" s="747"/>
      <c r="AK173" s="747"/>
      <c r="AL173" s="747"/>
      <c r="AM173" s="747"/>
    </row>
    <row r="174" spans="1:39" ht="23.4" x14ac:dyDescent="0.3">
      <c r="A174" s="734" t="s">
        <v>150</v>
      </c>
      <c r="B174" s="735"/>
      <c r="C174" s="736" t="s">
        <v>596</v>
      </c>
      <c r="D174" s="736"/>
      <c r="E174" s="736"/>
      <c r="F174" s="736"/>
      <c r="G174" s="736"/>
      <c r="H174" s="736"/>
      <c r="I174" s="736"/>
      <c r="J174" s="736"/>
      <c r="K174" s="736"/>
      <c r="L174" s="736"/>
      <c r="M174" s="736"/>
      <c r="N174" s="736"/>
      <c r="O174" s="736"/>
      <c r="P174" s="736"/>
      <c r="Q174" s="736"/>
      <c r="R174" s="736"/>
      <c r="S174" s="736"/>
      <c r="T174" s="736"/>
      <c r="U174" s="736"/>
      <c r="V174" s="736"/>
      <c r="W174" s="736"/>
      <c r="X174" s="736"/>
      <c r="Y174" s="736"/>
      <c r="Z174" s="736"/>
      <c r="AA174" s="736"/>
      <c r="AB174" s="736"/>
      <c r="AC174" s="736"/>
      <c r="AD174" s="736"/>
      <c r="AE174" s="736"/>
      <c r="AF174" s="736"/>
      <c r="AG174" s="736"/>
      <c r="AH174" s="736"/>
      <c r="AI174" s="736"/>
      <c r="AJ174" s="736"/>
      <c r="AK174" s="736"/>
      <c r="AL174" s="736"/>
      <c r="AM174" s="736"/>
    </row>
    <row r="175" spans="1:39" ht="23.4" x14ac:dyDescent="0.3">
      <c r="A175" s="734" t="s">
        <v>151</v>
      </c>
      <c r="B175" s="735"/>
      <c r="C175" s="736" t="s">
        <v>597</v>
      </c>
      <c r="D175" s="736"/>
      <c r="E175" s="736"/>
      <c r="F175" s="736"/>
      <c r="G175" s="736"/>
      <c r="H175" s="736"/>
      <c r="I175" s="736"/>
      <c r="J175" s="736"/>
      <c r="K175" s="736"/>
      <c r="L175" s="736"/>
      <c r="M175" s="736"/>
      <c r="N175" s="736"/>
      <c r="O175" s="736"/>
      <c r="P175" s="736"/>
      <c r="Q175" s="736"/>
      <c r="R175" s="736"/>
      <c r="S175" s="736"/>
      <c r="T175" s="736"/>
      <c r="U175" s="736"/>
      <c r="V175" s="736"/>
      <c r="W175" s="736"/>
      <c r="X175" s="736"/>
      <c r="Y175" s="736"/>
      <c r="Z175" s="736"/>
      <c r="AA175" s="736"/>
      <c r="AB175" s="736"/>
      <c r="AC175" s="736"/>
      <c r="AD175" s="736"/>
      <c r="AE175" s="736"/>
      <c r="AF175" s="736"/>
      <c r="AG175" s="736"/>
      <c r="AH175" s="736"/>
      <c r="AI175" s="736"/>
      <c r="AJ175" s="736"/>
      <c r="AK175" s="736"/>
      <c r="AL175" s="736"/>
      <c r="AM175" s="736"/>
    </row>
    <row r="176" spans="1:39" x14ac:dyDescent="0.3">
      <c r="A176" s="737" t="s">
        <v>152</v>
      </c>
      <c r="B176" s="738"/>
      <c r="C176" s="739"/>
      <c r="D176" s="739"/>
      <c r="E176" s="739"/>
      <c r="F176" s="739"/>
      <c r="G176" s="739"/>
      <c r="H176" s="739"/>
      <c r="I176" s="739"/>
      <c r="J176" s="740"/>
      <c r="K176" s="724" t="s">
        <v>153</v>
      </c>
      <c r="L176" s="739"/>
      <c r="M176" s="739"/>
      <c r="N176" s="739"/>
      <c r="O176" s="739"/>
      <c r="P176" s="739"/>
      <c r="Q176" s="740"/>
      <c r="R176" s="724" t="s">
        <v>154</v>
      </c>
      <c r="S176" s="739"/>
      <c r="T176" s="739"/>
      <c r="U176" s="739"/>
      <c r="V176" s="739"/>
      <c r="W176" s="739"/>
      <c r="X176" s="739"/>
      <c r="Y176" s="739"/>
      <c r="Z176" s="740"/>
      <c r="AA176" s="724" t="s">
        <v>155</v>
      </c>
      <c r="AB176" s="739"/>
      <c r="AC176" s="739"/>
      <c r="AD176" s="739"/>
      <c r="AE176" s="739"/>
      <c r="AF176" s="739"/>
      <c r="AG176" s="740"/>
      <c r="AH176" s="724" t="s">
        <v>156</v>
      </c>
      <c r="AI176" s="739"/>
      <c r="AJ176" s="739"/>
      <c r="AK176" s="739"/>
      <c r="AL176" s="739"/>
      <c r="AM176" s="740"/>
    </row>
    <row r="177" spans="1:45" x14ac:dyDescent="0.3">
      <c r="A177" s="728" t="s">
        <v>157</v>
      </c>
      <c r="B177" s="730" t="s">
        <v>141</v>
      </c>
      <c r="C177" s="726" t="s">
        <v>158</v>
      </c>
      <c r="D177" s="726" t="s">
        <v>159</v>
      </c>
      <c r="E177" s="725" t="s">
        <v>160</v>
      </c>
      <c r="F177" s="732" t="s">
        <v>60</v>
      </c>
      <c r="G177" s="38"/>
      <c r="H177" s="38"/>
      <c r="I177" s="725" t="s">
        <v>161</v>
      </c>
      <c r="J177" s="726" t="s">
        <v>162</v>
      </c>
      <c r="K177" s="731" t="s">
        <v>163</v>
      </c>
      <c r="L177" s="723" t="s">
        <v>164</v>
      </c>
      <c r="M177" s="725" t="s">
        <v>165</v>
      </c>
      <c r="N177" s="725" t="s">
        <v>166</v>
      </c>
      <c r="O177" s="727" t="s">
        <v>167</v>
      </c>
      <c r="P177" s="723" t="s">
        <v>164</v>
      </c>
      <c r="Q177" s="726" t="s">
        <v>168</v>
      </c>
      <c r="R177" s="721" t="s">
        <v>169</v>
      </c>
      <c r="S177" s="699" t="s">
        <v>170</v>
      </c>
      <c r="T177" s="725" t="s">
        <v>171</v>
      </c>
      <c r="U177" s="699" t="s">
        <v>172</v>
      </c>
      <c r="V177" s="699"/>
      <c r="W177" s="699"/>
      <c r="X177" s="699"/>
      <c r="Y177" s="699"/>
      <c r="Z177" s="699"/>
      <c r="AA177" s="720" t="s">
        <v>173</v>
      </c>
      <c r="AB177" s="720" t="s">
        <v>174</v>
      </c>
      <c r="AC177" s="720" t="s">
        <v>164</v>
      </c>
      <c r="AD177" s="720" t="s">
        <v>175</v>
      </c>
      <c r="AE177" s="720" t="s">
        <v>164</v>
      </c>
      <c r="AF177" s="720" t="s">
        <v>176</v>
      </c>
      <c r="AG177" s="721" t="s">
        <v>177</v>
      </c>
      <c r="AH177" s="699" t="s">
        <v>156</v>
      </c>
      <c r="AI177" s="699" t="s">
        <v>142</v>
      </c>
      <c r="AJ177" s="699" t="s">
        <v>178</v>
      </c>
      <c r="AK177" s="699" t="s">
        <v>179</v>
      </c>
      <c r="AL177" s="699" t="s">
        <v>598</v>
      </c>
      <c r="AM177" s="699" t="s">
        <v>181</v>
      </c>
    </row>
    <row r="178" spans="1:45" ht="71.400000000000006" x14ac:dyDescent="0.3">
      <c r="A178" s="729"/>
      <c r="B178" s="730"/>
      <c r="C178" s="699"/>
      <c r="D178" s="699"/>
      <c r="E178" s="731"/>
      <c r="F178" s="733"/>
      <c r="G178" s="38" t="s">
        <v>201</v>
      </c>
      <c r="H178" s="38" t="s">
        <v>182</v>
      </c>
      <c r="I178" s="726"/>
      <c r="J178" s="699"/>
      <c r="K178" s="726"/>
      <c r="L178" s="724"/>
      <c r="M178" s="726"/>
      <c r="N178" s="726"/>
      <c r="O178" s="724"/>
      <c r="P178" s="724"/>
      <c r="Q178" s="699"/>
      <c r="R178" s="722"/>
      <c r="S178" s="699"/>
      <c r="T178" s="726"/>
      <c r="U178" s="39" t="s">
        <v>183</v>
      </c>
      <c r="V178" s="39" t="s">
        <v>184</v>
      </c>
      <c r="W178" s="39" t="s">
        <v>185</v>
      </c>
      <c r="X178" s="39" t="s">
        <v>186</v>
      </c>
      <c r="Y178" s="39" t="s">
        <v>187</v>
      </c>
      <c r="Z178" s="39" t="s">
        <v>188</v>
      </c>
      <c r="AA178" s="720"/>
      <c r="AB178" s="720"/>
      <c r="AC178" s="720"/>
      <c r="AD178" s="720"/>
      <c r="AE178" s="720"/>
      <c r="AF178" s="720"/>
      <c r="AG178" s="722"/>
      <c r="AH178" s="699"/>
      <c r="AI178" s="699"/>
      <c r="AJ178" s="699"/>
      <c r="AK178" s="699"/>
      <c r="AL178" s="699"/>
      <c r="AM178" s="699"/>
    </row>
    <row r="179" spans="1:45" ht="102.6" customHeight="1" x14ac:dyDescent="0.3">
      <c r="A179" s="653">
        <v>1</v>
      </c>
      <c r="B179" s="700" t="s">
        <v>199</v>
      </c>
      <c r="C179" s="702" t="s">
        <v>599</v>
      </c>
      <c r="D179" s="704" t="s">
        <v>600</v>
      </c>
      <c r="E179" s="457" t="s">
        <v>624</v>
      </c>
      <c r="F179" s="675" t="s">
        <v>601</v>
      </c>
      <c r="G179" s="675" t="s">
        <v>202</v>
      </c>
      <c r="H179" s="706" t="s">
        <v>602</v>
      </c>
      <c r="I179" s="707" t="s">
        <v>190</v>
      </c>
      <c r="J179" s="709">
        <v>360</v>
      </c>
      <c r="K179" s="711" t="str">
        <f>IF(J179&lt;=0,"",IF(J179&lt;=2,"Muy Baja",IF(J179&lt;=24,"Baja",IF(J179&lt;=500,"Media",IF(J179&lt;=5000,"Alta","Muy Alta")))))</f>
        <v>Media</v>
      </c>
      <c r="L179" s="713">
        <f>IF(K179="","",IF(K179="Muy Baja",0.2,IF(K179="Baja",0.4,IF(K179="Media",0.6,IF(K179="Alta",0.8,IF(K179="Muy Alta",1,))))))</f>
        <v>0.6</v>
      </c>
      <c r="M179" s="715" t="s">
        <v>200</v>
      </c>
      <c r="N179" s="713" t="str">
        <f>IF(NOT(ISERROR(MATCH(M179,'[13]Tabla Impacto'!$B$221:$B$223,0))),'[13]Tabla Impacto'!$F$223&amp;"Por favor no seleccionar los criterios de impacto(Afectación Económica o presupuestal y Pérdida Reputacional)",M179)</f>
        <v xml:space="preserve">     El riesgo afecta la imagen de la entidad con algunos usuarios de relevancia frente al logro de los objetivos</v>
      </c>
      <c r="O179" s="711" t="str">
        <f>IF(OR(N179='[13]Tabla Impacto'!$C$11,N179='[13]Tabla Impacto'!$D$11),"Leve",IF(OR(N179='[13]Tabla Impacto'!$C$12,N179='[13]Tabla Impacto'!$D$12),"Menor",IF(OR(N179='[13]Tabla Impacto'!$C$13,N179='[13]Tabla Impacto'!$D$13),"Moderado",IF(OR(N179='[13]Tabla Impacto'!$C$14,N179='[13]Tabla Impacto'!$D$14),"Mayor",IF(OR(N179='[13]Tabla Impacto'!$C$15,N179='[13]Tabla Impacto'!$D$15),"Catastrófico","")))))</f>
        <v>Moderado</v>
      </c>
      <c r="P179" s="713">
        <f>IF(O179="","",IF(O179="Leve",0.2,IF(O179="Menor",0.4,IF(O179="Moderado",0.6,IF(O179="Mayor",0.8,IF(O179="Catastrófico",1,))))))</f>
        <v>0.6</v>
      </c>
      <c r="Q179" s="717" t="str">
        <f>IF(OR(AND(K179="Muy Baja",O179="Leve"),AND(K179="Muy Baja",O179="Menor"),AND(K179="Baja",O179="Leve")),"Bajo",IF(OR(AND(K179="Muy baja",O179="Moderado"),AND(K179="Baja",O179="Menor"),AND(K179="Baja",O179="Moderado"),AND(K179="Media",O179="Leve"),AND(K179="Media",O179="Menor"),AND(K179="Media",O179="Moderado"),AND(K179="Alta",O179="Leve"),AND(K179="Alta",O179="Menor")),"Moderado",IF(OR(AND(K179="Muy Baja",O179="Mayor"),AND(K179="Baja",O179="Mayor"),AND(K179="Media",O179="Mayor"),AND(K179="Alta",O179="Moderado"),AND(K179="Alta",O179="Mayor"),AND(K179="Muy Alta",O179="Leve"),AND(K179="Muy Alta",O179="Menor"),AND(K179="Muy Alta",O179="Moderado"),AND(K179="Muy Alta",O179="Mayor")),"Alto",IF(OR(AND(K179="Muy Baja",O179="Catastrófico"),AND(K179="Baja",O179="Catastrófico"),AND(K179="Media",O179="Catastrófico"),AND(K179="Alta",O179="Catastrófico"),AND(K179="Muy Alta",O179="Catastrófico")),"Extremo",""))))</f>
        <v>Moderado</v>
      </c>
      <c r="R179" s="458">
        <v>1</v>
      </c>
      <c r="S179" s="459" t="s">
        <v>603</v>
      </c>
      <c r="T179" s="460" t="str">
        <f>IF(OR(U180="preventivo",U180="detectivo"),"probabilidad",IF(U180="Correctivo","impacto",""))</f>
        <v>probabilidad</v>
      </c>
      <c r="U179" s="461" t="s">
        <v>197</v>
      </c>
      <c r="V179" s="461" t="s">
        <v>191</v>
      </c>
      <c r="W179" s="462" t="str">
        <f>IF(AND(U179="Preventivo",V179="Automático"),"50%",IF(AND(U179="Preventivo",V179="Manual"),"40%",IF(AND(U179="Detectivo",V179="Automático"),"40%",IF(AND(U179="Detectivo",V179="Manual"),"30%",IF(AND(U179="Correctivo",V179="Automático"),"35%",IF(AND(U179="Correctivo",V179="Manual"),"25%",""))))))</f>
        <v>40%</v>
      </c>
      <c r="X179" s="461" t="s">
        <v>198</v>
      </c>
      <c r="Y179" s="461" t="s">
        <v>193</v>
      </c>
      <c r="Z179" s="461" t="s">
        <v>194</v>
      </c>
      <c r="AA179" s="463">
        <f>IFERROR(IF(T179="Probabilidad",(L179-(+L179*W179)),IF(T179="Impacto",L179,"")),"")</f>
        <v>0.36</v>
      </c>
      <c r="AB179" s="464" t="str">
        <f>IFERROR(IF(AA179="","",IF(AA179&lt;=0.2,"Muy Baja",IF(AA179&lt;=0.4,"Baja",IF(AA179&lt;=0.6,"Media",IF(AA179&lt;=0.8,"Alta","Muy Alta"))))),"")</f>
        <v>Baja</v>
      </c>
      <c r="AC179" s="465">
        <f>+AA179</f>
        <v>0.36</v>
      </c>
      <c r="AD179" s="464" t="str">
        <f>IFERROR(IF(AE179="","",IF(AE179&lt;=0.2,"Leve",IF(AE179&lt;=0.4,"Menor",IF(AE179&lt;=0.6,"Moderado",IF(AE179&lt;=0.8,"Mayor","Catastrófico"))))),"")</f>
        <v>Moderado</v>
      </c>
      <c r="AE179" s="465">
        <f>IFERROR(IF(T179="Impacto",(P179-(+P179*W179)),IF(T179="Probabilidad",P179,"")),"")</f>
        <v>0.6</v>
      </c>
      <c r="AF179" s="466" t="str">
        <f>IFERROR(IF(OR(AND(AB179="Muy Baja",AD179="Leve"),AND(AB179="Muy Baja",AD179="Menor"),AND(AB179="Baja",AD179="Leve")),"Bajo",IF(OR(AND(AB179="Muy baja",AD179="Moderado"),AND(AB179="Baja",AD179="Menor"),AND(AB179="Baja",AD179="Moderado"),AND(AB179="Media",AD179="Leve"),AND(AB179="Media",AD179="Menor"),AND(AB179="Media",AD179="Moderado"),AND(AB179="Alta",AD179="Leve"),AND(AB179="Alta",AD179="Menor")),"Moderado",IF(OR(AND(AB179="Muy Baja",AD179="Mayor"),AND(AB179="Baja",AD179="Mayor"),AND(AB179="Media",AD179="Mayor"),AND(AB179="Alta",AD179="Moderado"),AND(AB179="Alta",AD179="Mayor"),AND(AB179="Muy Alta",AD179="Leve"),AND(AB179="Muy Alta",AD179="Menor"),AND(AB179="Muy Alta",AD179="Moderado"),AND(AB179="Muy Alta",AD179="Mayor")),"Alto",IF(OR(AND(AB179="Muy Baja",AD179="Catastrófico"),AND(AB179="Baja",AD179="Catastrófico"),AND(AB179="Media",AD179="Catastrófico"),AND(AB179="Alta",AD179="Catastrófico"),AND(AB179="Muy Alta",AD179="Catastrófico")),"Extremo","")))),"")</f>
        <v>Moderado</v>
      </c>
      <c r="AG179" s="400" t="s">
        <v>195</v>
      </c>
      <c r="AH179" s="344">
        <f>[13]DOFA!G208</f>
        <v>0</v>
      </c>
      <c r="AI179" s="344" t="s">
        <v>604</v>
      </c>
      <c r="AJ179" s="345">
        <v>45659</v>
      </c>
      <c r="AK179" s="345">
        <v>46021</v>
      </c>
      <c r="AL179" s="645" t="s">
        <v>605</v>
      </c>
      <c r="AM179" s="395" t="s">
        <v>196</v>
      </c>
    </row>
    <row r="180" spans="1:45" ht="157.19999999999999" customHeight="1" x14ac:dyDescent="0.3">
      <c r="A180" s="667"/>
      <c r="B180" s="701"/>
      <c r="C180" s="703"/>
      <c r="D180" s="705"/>
      <c r="E180" s="457" t="s">
        <v>625</v>
      </c>
      <c r="F180" s="676"/>
      <c r="G180" s="676"/>
      <c r="H180" s="706"/>
      <c r="I180" s="708"/>
      <c r="J180" s="710"/>
      <c r="K180" s="712"/>
      <c r="L180" s="714"/>
      <c r="M180" s="716"/>
      <c r="N180" s="714">
        <f>IF(NOT(ISERROR(MATCH(M180,_xlfn.ANCHORARRAY(F184),0))),L186&amp;"Por favor no seleccionar los criterios de impacto",M180)</f>
        <v>0</v>
      </c>
      <c r="O180" s="712"/>
      <c r="P180" s="714"/>
      <c r="Q180" s="718"/>
      <c r="R180" s="458">
        <v>2</v>
      </c>
      <c r="S180" s="459" t="s">
        <v>606</v>
      </c>
      <c r="T180" s="460" t="str">
        <f>IF(OR(U180="Preventivo",U180="Detectivo"),"Probabilidad",IF(U180="Correctivo","Impacto",""))</f>
        <v>Probabilidad</v>
      </c>
      <c r="U180" s="461" t="s">
        <v>197</v>
      </c>
      <c r="V180" s="461" t="s">
        <v>191</v>
      </c>
      <c r="W180" s="462" t="str">
        <f t="shared" ref="W180" si="104">IF(AND(U180="Preventivo",V180="Automático"),"50%",IF(AND(U180="Preventivo",V180="Manual"),"40%",IF(AND(U180="Detectivo",V180="Automático"),"40%",IF(AND(U180="Detectivo",V180="Manual"),"30%",IF(AND(U180="Correctivo",V180="Automático"),"35%",IF(AND(U180="Correctivo",V180="Manual"),"25%",""))))))</f>
        <v>40%</v>
      </c>
      <c r="X180" s="461" t="s">
        <v>198</v>
      </c>
      <c r="Y180" s="461" t="s">
        <v>193</v>
      </c>
      <c r="Z180" s="461" t="s">
        <v>194</v>
      </c>
      <c r="AA180" s="463">
        <f>IFERROR(IF(AND(T179="Probabilidad",T180="Probabilidad"),(AC179-(+AC179*W180)),IF(AND(T179="Impacto",T180="Probabilidad"),(L179-(+L179*W180)),IF(T180="Impacto",AC179,""))),"")</f>
        <v>0.216</v>
      </c>
      <c r="AB180" s="464" t="str">
        <f t="shared" ref="AB180" si="105">IFERROR(IF(AA180="","",IF(AA180&lt;=0.2,"Muy Baja",IF(AA180&lt;=0.4,"Baja",IF(AA180&lt;=0.6,"Media",IF(AA180&lt;=0.8,"Alta","Muy Alta"))))),"")</f>
        <v>Baja</v>
      </c>
      <c r="AC180" s="465">
        <f>+AA180</f>
        <v>0.216</v>
      </c>
      <c r="AD180" s="464" t="str">
        <f t="shared" ref="AD180" si="106">IFERROR(IF(AE180="","",IF(AE180&lt;=0.2,"Leve",IF(AE180&lt;=0.4,"Menor",IF(AE180&lt;=0.6,"Moderado",IF(AE180&lt;=0.8,"Mayor","Catastrófico"))))),"")</f>
        <v>Moderado</v>
      </c>
      <c r="AE180" s="465">
        <f>IFERROR(IF(AND(T179="Impacto",T180="Impacto"),(AE179-(+AE179*W180)),IF(AND(T179="Probabilidad",T180="Impacto"),(P179-(+P179*W180)),IF(T180="Probabilidad",AE179,""))),"")</f>
        <v>0.6</v>
      </c>
      <c r="AF180" s="466" t="str">
        <f t="shared" ref="AF180" si="107">IFERROR(IF(OR(AND(AB180="Muy Baja",AD180="Leve"),AND(AB180="Muy Baja",AD180="Menor"),AND(AB180="Baja",AD180="Leve")),"Bajo",IF(OR(AND(AB180="Muy baja",AD180="Moderado"),AND(AB180="Baja",AD180="Menor"),AND(AB180="Baja",AD180="Moderado"),AND(AB180="Media",AD180="Leve"),AND(AB180="Media",AD180="Menor"),AND(AB180="Media",AD180="Moderado"),AND(AB180="Alta",AD180="Leve"),AND(AB180="Alta",AD180="Menor")),"Moderado",IF(OR(AND(AB180="Muy Baja",AD180="Mayor"),AND(AB180="Baja",AD180="Mayor"),AND(AB180="Media",AD180="Mayor"),AND(AB180="Alta",AD180="Moderado"),AND(AB180="Alta",AD180="Mayor"),AND(AB180="Muy Alta",AD180="Leve"),AND(AB180="Muy Alta",AD180="Menor"),AND(AB180="Muy Alta",AD180="Moderado"),AND(AB180="Muy Alta",AD180="Mayor")),"Alto",IF(OR(AND(AB180="Muy Baja",AD180="Catastrófico"),AND(AB180="Baja",AD180="Catastrófico"),AND(AB180="Media",AD180="Catastrófico"),AND(AB180="Alta",AD180="Catastrófico"),AND(AB180="Muy Alta",AD180="Catastrófico")),"Extremo","")))),"")</f>
        <v>Moderado</v>
      </c>
      <c r="AG180" s="400" t="s">
        <v>195</v>
      </c>
      <c r="AH180" s="467">
        <f>[13]DOFA!G210</f>
        <v>0</v>
      </c>
      <c r="AI180" s="344" t="s">
        <v>604</v>
      </c>
      <c r="AJ180" s="345">
        <v>45659</v>
      </c>
      <c r="AK180" s="345">
        <v>46021</v>
      </c>
      <c r="AL180" s="719"/>
      <c r="AM180" s="245" t="s">
        <v>196</v>
      </c>
    </row>
    <row r="181" spans="1:45" ht="276" x14ac:dyDescent="0.3">
      <c r="A181" s="653">
        <v>2</v>
      </c>
      <c r="B181" s="692" t="s">
        <v>354</v>
      </c>
      <c r="C181" s="670" t="s">
        <v>607</v>
      </c>
      <c r="D181" s="694" t="s">
        <v>608</v>
      </c>
      <c r="E181" s="308" t="s">
        <v>626</v>
      </c>
      <c r="F181" s="674" t="s">
        <v>609</v>
      </c>
      <c r="G181" s="675" t="s">
        <v>203</v>
      </c>
      <c r="H181" s="696" t="s">
        <v>610</v>
      </c>
      <c r="I181" s="680" t="s">
        <v>190</v>
      </c>
      <c r="J181" s="682">
        <v>360</v>
      </c>
      <c r="K181" s="659" t="str">
        <f>IF(J181&lt;=0,"",IF(J181&lt;=2,"Muy Baja",IF(J181&lt;=24,"Baja",IF(J181&lt;=500,"Media",IF(J181&lt;=5000,"Alta","Muy Alta")))))</f>
        <v>Media</v>
      </c>
      <c r="L181" s="661">
        <f>IF(K181="","",IF(K181="Muy Baja",0.2,IF(K181="Baja",0.4,IF(K181="Media",0.6,IF(K181="Alta",0.8,IF(K181="Muy Alta",1,))))))</f>
        <v>0.6</v>
      </c>
      <c r="M181" s="663" t="s">
        <v>321</v>
      </c>
      <c r="N181" s="661" t="str">
        <f>IF(NOT(ISERROR(MATCH(M181,'[13]Tabla Impacto'!$B$221:$B$223,0))),'[13]Tabla Impacto'!$F$223&amp;"Por favor no seleccionar los criterios de impacto(Afectación Económica o presupuestal y Pérdida Reputacional)",M181)</f>
        <v xml:space="preserve">     Entre 200 y 1000 SMLMV</v>
      </c>
      <c r="O181" s="659" t="str">
        <f>IF(OR(N181='[13]Tabla Impacto'!$C$11,N181='[13]Tabla Impacto'!$D$11),"Leve",IF(OR(N181='[13]Tabla Impacto'!$C$12,N181='[13]Tabla Impacto'!$D$12),"Menor",IF(OR(N181='[13]Tabla Impacto'!$C$13,N181='[13]Tabla Impacto'!$D$13),"Moderado",IF(OR(N181='[13]Tabla Impacto'!$C$14,N181='[13]Tabla Impacto'!$D$14),"Mayor",IF(OR(N181='[13]Tabla Impacto'!$C$15,N181='[13]Tabla Impacto'!$D$15),"Catastrófico","")))))</f>
        <v>Menor</v>
      </c>
      <c r="P181" s="661">
        <f>IF(O181="","",IF(O181="Leve",0.2,IF(O181="Menor",0.4,IF(O181="Moderado",0.6,IF(O181="Mayor",0.8,IF(O181="Catastrófico",1,))))))</f>
        <v>0.4</v>
      </c>
      <c r="Q181" s="665" t="str">
        <f>IF(OR(AND(K181="Muy Baja",O181="Leve"),AND(K181="Muy Baja",O181="Menor"),AND(K181="Baja",O181="Leve")),"Bajo",IF(OR(AND(K181="Muy baja",O181="Moderado"),AND(K181="Baja",O181="Menor"),AND(K181="Baja",O181="Moderado"),AND(K181="Media",O181="Leve"),AND(K181="Media",O181="Menor"),AND(K181="Media",O181="Moderado"),AND(K181="Alta",O181="Leve"),AND(K181="Alta",O181="Menor")),"Moderado",IF(OR(AND(K181="Muy Baja",O181="Mayor"),AND(K181="Baja",O181="Mayor"),AND(K181="Media",O181="Mayor"),AND(K181="Alta",O181="Moderado"),AND(K181="Alta",O181="Mayor"),AND(K181="Muy Alta",O181="Leve"),AND(K181="Muy Alta",O181="Menor"),AND(K181="Muy Alta",O181="Moderado"),AND(K181="Muy Alta",O181="Mayor")),"Alto",IF(OR(AND(K181="Muy Baja",O181="Catastrófico"),AND(K181="Baja",O181="Catastrófico"),AND(K181="Media",O181="Catastrófico"),AND(K181="Alta",O181="Catastrófico"),AND(K181="Muy Alta",O181="Catastrófico")),"Extremo",""))))</f>
        <v>Moderado</v>
      </c>
      <c r="R181" s="243">
        <v>1</v>
      </c>
      <c r="S181" s="449" t="s">
        <v>611</v>
      </c>
      <c r="T181" s="91" t="str">
        <f>IF(OR(U181="Preventivo",U181="Detectivo"),"Probabilidad",IF(U181="Correctivo","Impacto",""))</f>
        <v>Probabilidad</v>
      </c>
      <c r="U181" s="83" t="s">
        <v>197</v>
      </c>
      <c r="V181" s="83" t="s">
        <v>191</v>
      </c>
      <c r="W181" s="84" t="str">
        <f>IF(AND(U181="Preventivo",V181="Automático"),"50%",IF(AND(U181="Preventivo",V181="Manual"),"40%",IF(AND(U181="Detectivo",V181="Automático"),"40%",IF(AND(U181="Detectivo",V181="Manual"),"30%",IF(AND(U181="Correctivo",V181="Automático"),"35%",IF(AND(U181="Correctivo",V181="Manual"),"25%",""))))))</f>
        <v>40%</v>
      </c>
      <c r="X181" s="83" t="s">
        <v>198</v>
      </c>
      <c r="Y181" s="83" t="s">
        <v>193</v>
      </c>
      <c r="Z181" s="83" t="s">
        <v>194</v>
      </c>
      <c r="AA181" s="92">
        <f>IFERROR(IF(T181="Probabilidad",(L181-(+L181*W181)),IF(T181="Impacto",L181,"")),"")</f>
        <v>0.36</v>
      </c>
      <c r="AB181" s="85" t="str">
        <f>IFERROR(IF(AA181="","",IF(AA181&lt;=0.2,"Muy Baja",IF(AA181&lt;=0.4,"Baja",IF(AA181&lt;=0.6,"Media",IF(AA181&lt;=0.8,"Alta","Muy Alta"))))),"")</f>
        <v>Baja</v>
      </c>
      <c r="AC181" s="86">
        <f>+AA181</f>
        <v>0.36</v>
      </c>
      <c r="AD181" s="85" t="str">
        <f>IFERROR(IF(AE181="","",IF(AE181&lt;=0.2,"Leve",IF(AE181&lt;=0.4,"Menor",IF(AE181&lt;=0.6,"Moderado",IF(AE181&lt;=0.8,"Mayor","Catastrófico"))))),"")</f>
        <v>Menor</v>
      </c>
      <c r="AE181" s="86">
        <f>IFERROR(IF(T181="Impacto",(P181-(+P181*W181)),IF(T181="Probabilidad",P181,"")),"")</f>
        <v>0.4</v>
      </c>
      <c r="AF181" s="87" t="str">
        <f>IFERROR(IF(OR(AND(AB181="Muy Baja",AD181="Leve"),AND(AB181="Muy Baja",AD181="Menor"),AND(AB181="Baja",AD181="Leve")),"Bajo",IF(OR(AND(AB181="Muy baja",AD181="Moderado"),AND(AB181="Baja",AD181="Menor"),AND(AB181="Baja",AD181="Moderado"),AND(AB181="Media",AD181="Leve"),AND(AB181="Media",AD181="Menor"),AND(AB181="Media",AD181="Moderado"),AND(AB181="Alta",AD181="Leve"),AND(AB181="Alta",AD181="Menor")),"Moderado",IF(OR(AND(AB181="Muy Baja",AD181="Mayor"),AND(AB181="Baja",AD181="Mayor"),AND(AB181="Media",AD181="Mayor"),AND(AB181="Alta",AD181="Moderado"),AND(AB181="Alta",AD181="Mayor"),AND(AB181="Muy Alta",AD181="Leve"),AND(AB181="Muy Alta",AD181="Menor"),AND(AB181="Muy Alta",AD181="Moderado"),AND(AB181="Muy Alta",AD181="Mayor")),"Alto",IF(OR(AND(AB181="Muy Baja",AD181="Catastrófico"),AND(AB181="Baja",AD181="Catastrófico"),AND(AB181="Media",AD181="Catastrófico"),AND(AB181="Alta",AD181="Catastrófico"),AND(AB181="Muy Alta",AD181="Catastrófico")),"Extremo","")))),"")</f>
        <v>Moderado</v>
      </c>
      <c r="AG181" s="88" t="s">
        <v>195</v>
      </c>
      <c r="AH181" s="449">
        <f>[13]DOFA!E202</f>
        <v>0</v>
      </c>
      <c r="AI181" s="344" t="s">
        <v>612</v>
      </c>
      <c r="AJ181" s="345">
        <v>45659</v>
      </c>
      <c r="AK181" s="345">
        <v>46021</v>
      </c>
      <c r="AL181" s="470" t="s">
        <v>613</v>
      </c>
      <c r="AM181" s="245" t="s">
        <v>196</v>
      </c>
    </row>
    <row r="182" spans="1:45" ht="78.599999999999994" x14ac:dyDescent="0.3">
      <c r="A182" s="667"/>
      <c r="B182" s="693"/>
      <c r="C182" s="671"/>
      <c r="D182" s="695"/>
      <c r="E182" s="308" t="s">
        <v>627</v>
      </c>
      <c r="F182" s="674"/>
      <c r="G182" s="676"/>
      <c r="H182" s="697"/>
      <c r="I182" s="681"/>
      <c r="J182" s="683"/>
      <c r="K182" s="660"/>
      <c r="L182" s="662"/>
      <c r="M182" s="664"/>
      <c r="N182" s="662">
        <f>IF(NOT(ISERROR(MATCH(M182,_xlfn.ANCHORARRAY(F187),0))),L189&amp;"Por favor no seleccionar los criterios de impacto",M182)</f>
        <v>0</v>
      </c>
      <c r="O182" s="660"/>
      <c r="P182" s="662"/>
      <c r="Q182" s="666"/>
      <c r="R182" s="243">
        <v>2</v>
      </c>
      <c r="S182" s="471" t="s">
        <v>614</v>
      </c>
      <c r="T182" s="91" t="str">
        <f>IF(OR(U182="Preventivo",U182="Detectivo"),"Probabilidad",IF(U182="Correctivo","Impacto",""))</f>
        <v>Probabilidad</v>
      </c>
      <c r="U182" s="83" t="s">
        <v>197</v>
      </c>
      <c r="V182" s="83" t="s">
        <v>191</v>
      </c>
      <c r="W182" s="84" t="str">
        <f t="shared" ref="W182:W183" si="108">IF(AND(U182="Preventivo",V182="Automático"),"50%",IF(AND(U182="Preventivo",V182="Manual"),"40%",IF(AND(U182="Detectivo",V182="Automático"),"40%",IF(AND(U182="Detectivo",V182="Manual"),"30%",IF(AND(U182="Correctivo",V182="Automático"),"35%",IF(AND(U182="Correctivo",V182="Manual"),"25%",""))))))</f>
        <v>40%</v>
      </c>
      <c r="X182" s="83" t="s">
        <v>198</v>
      </c>
      <c r="Y182" s="83" t="s">
        <v>193</v>
      </c>
      <c r="Z182" s="83" t="s">
        <v>194</v>
      </c>
      <c r="AA182" s="92">
        <f>IFERROR(IF(AND(T181="Probabilidad",T182="Probabilidad"),(AC181-(+AC181*W182)),IF(AND(T181="Impacto",T182="Probabilidad"),(L181-(+L181*W182)),IF(T182="Impacto",AC181,""))),"")</f>
        <v>0.216</v>
      </c>
      <c r="AB182" s="85" t="str">
        <f t="shared" ref="AB182:AB184" si="109">IFERROR(IF(AA182="","",IF(AA182&lt;=0.2,"Muy Baja",IF(AA182&lt;=0.4,"Baja",IF(AA182&lt;=0.6,"Media",IF(AA182&lt;=0.8,"Alta","Muy Alta"))))),"")</f>
        <v>Baja</v>
      </c>
      <c r="AC182" s="86">
        <f>+AA182</f>
        <v>0.216</v>
      </c>
      <c r="AD182" s="85" t="str">
        <f t="shared" ref="AD182:AD184" si="110">IFERROR(IF(AE182="","",IF(AE182&lt;=0.2,"Leve",IF(AE182&lt;=0.4,"Menor",IF(AE182&lt;=0.6,"Moderado",IF(AE182&lt;=0.8,"Mayor","Catastrófico"))))),"")</f>
        <v>Menor</v>
      </c>
      <c r="AE182" s="86">
        <f>IFERROR(IF(AND(T181="Impacto",T182="Impacto"),(AE181-(+AE181*W182)),IF(AND(T181="Probabilidad",T182="Impacto"),(P181-(+P181*W182)),IF(T182="Probabilidad",AE181,""))),"")</f>
        <v>0.4</v>
      </c>
      <c r="AF182" s="87" t="str">
        <f t="shared" ref="AF182:AF184" si="111">IFERROR(IF(OR(AND(AB182="Muy Baja",AD182="Leve"),AND(AB182="Muy Baja",AD182="Menor"),AND(AB182="Baja",AD182="Leve")),"Bajo",IF(OR(AND(AB182="Muy baja",AD182="Moderado"),AND(AB182="Baja",AD182="Menor"),AND(AB182="Baja",AD182="Moderado"),AND(AB182="Media",AD182="Leve"),AND(AB182="Media",AD182="Menor"),AND(AB182="Media",AD182="Moderado"),AND(AB182="Alta",AD182="Leve"),AND(AB182="Alta",AD182="Menor")),"Moderado",IF(OR(AND(AB182="Muy Baja",AD182="Mayor"),AND(AB182="Baja",AD182="Mayor"),AND(AB182="Media",AD182="Mayor"),AND(AB182="Alta",AD182="Moderado"),AND(AB182="Alta",AD182="Mayor"),AND(AB182="Muy Alta",AD182="Leve"),AND(AB182="Muy Alta",AD182="Menor"),AND(AB182="Muy Alta",AD182="Moderado"),AND(AB182="Muy Alta",AD182="Mayor")),"Alto",IF(OR(AND(AB182="Muy Baja",AD182="Catastrófico"),AND(AB182="Baja",AD182="Catastrófico"),AND(AB182="Media",AD182="Catastrófico"),AND(AB182="Alta",AD182="Catastrófico"),AND(AB182="Muy Alta",AD182="Catastrófico")),"Extremo","")))),"")</f>
        <v>Moderado</v>
      </c>
      <c r="AG182" s="88" t="s">
        <v>195</v>
      </c>
      <c r="AH182" s="472">
        <f>[13]DOFA!G211</f>
        <v>0</v>
      </c>
      <c r="AI182" s="344" t="s">
        <v>612</v>
      </c>
      <c r="AJ182" s="345">
        <v>45659</v>
      </c>
      <c r="AK182" s="345">
        <v>46021</v>
      </c>
      <c r="AL182" s="473"/>
      <c r="AM182" s="245" t="s">
        <v>196</v>
      </c>
    </row>
    <row r="183" spans="1:45" ht="409.6" x14ac:dyDescent="0.3">
      <c r="A183" s="667"/>
      <c r="B183" s="693"/>
      <c r="C183" s="671"/>
      <c r="D183" s="695"/>
      <c r="E183" s="308" t="s">
        <v>628</v>
      </c>
      <c r="F183" s="674"/>
      <c r="G183" s="676"/>
      <c r="H183" s="698"/>
      <c r="I183" s="681"/>
      <c r="J183" s="683"/>
      <c r="K183" s="660"/>
      <c r="L183" s="662"/>
      <c r="M183" s="664"/>
      <c r="N183" s="662">
        <f>IF(NOT(ISERROR(MATCH(M183,_xlfn.ANCHORARRAY(F188),0))),L190&amp;"Por favor no seleccionar los criterios de impacto",M183)</f>
        <v>0</v>
      </c>
      <c r="O183" s="660"/>
      <c r="P183" s="662"/>
      <c r="Q183" s="666"/>
      <c r="R183" s="243">
        <v>3</v>
      </c>
      <c r="S183" s="247" t="s">
        <v>615</v>
      </c>
      <c r="T183" s="91" t="str">
        <f t="shared" ref="T183" si="112">IF(OR(U183="Preventivo",U183="Detectivo"),"Probabilidad",IF(U183="Correctivo","Impacto",""))</f>
        <v>Probabilidad</v>
      </c>
      <c r="U183" s="83" t="s">
        <v>197</v>
      </c>
      <c r="V183" s="83" t="s">
        <v>191</v>
      </c>
      <c r="W183" s="84" t="str">
        <f t="shared" si="108"/>
        <v>40%</v>
      </c>
      <c r="X183" s="83" t="s">
        <v>198</v>
      </c>
      <c r="Y183" s="83" t="s">
        <v>193</v>
      </c>
      <c r="Z183" s="92" t="str">
        <f>IFERROR(IF(AND(S182="Probabilidad",S183="Probabilidad"),(AB182-(+AB182*V183)),IF(AND(S182="Impacto",S183="Probabilidad"),(AB181-(+AB181*V183)),IF(S183="Impacto",AB182,""))),"")</f>
        <v/>
      </c>
      <c r="AA183" s="92">
        <f>IFERROR(IF(AND(T182="Probabilidad",T183="Probabilidad"),(AC182-(+AC182*W183)),IF(AND(T182="Impacto",T183="Probabilidad"),(L182-(+L182*W183)),IF(T183="Impacto",AC182,""))),"")</f>
        <v>0.12959999999999999</v>
      </c>
      <c r="AB183" s="85" t="str">
        <f t="shared" si="109"/>
        <v>Muy Baja</v>
      </c>
      <c r="AC183" s="86">
        <f>+AA183</f>
        <v>0.12959999999999999</v>
      </c>
      <c r="AD183" s="85" t="str">
        <f t="shared" si="110"/>
        <v>Menor</v>
      </c>
      <c r="AE183" s="86">
        <f>IFERROR(IF(AND(T182="Impacto",T183="Impacto"),(AE182-(+AE182*W183)),IF(AND(T182="Probabilidad",T183="Impacto"),(P182-(+P182*W183)),IF(T183="Probabilidad",AE182,""))),"")</f>
        <v>0.4</v>
      </c>
      <c r="AF183" s="87" t="str">
        <f t="shared" si="111"/>
        <v>Bajo</v>
      </c>
      <c r="AG183" s="88" t="s">
        <v>195</v>
      </c>
      <c r="AH183" s="467">
        <f>[13]DOFA!E198</f>
        <v>0</v>
      </c>
      <c r="AI183" s="468" t="s">
        <v>612</v>
      </c>
      <c r="AJ183" s="345">
        <v>45659</v>
      </c>
      <c r="AK183" s="345">
        <v>46021</v>
      </c>
      <c r="AL183" s="474" t="s">
        <v>616</v>
      </c>
      <c r="AM183" s="245" t="s">
        <v>196</v>
      </c>
    </row>
    <row r="184" spans="1:45" ht="60" customHeight="1" x14ac:dyDescent="0.3">
      <c r="A184" s="653">
        <v>3</v>
      </c>
      <c r="B184" s="668" t="s">
        <v>354</v>
      </c>
      <c r="C184" s="670" t="s">
        <v>607</v>
      </c>
      <c r="D184" s="672" t="s">
        <v>617</v>
      </c>
      <c r="E184" s="475" t="s">
        <v>629</v>
      </c>
      <c r="F184" s="674" t="s">
        <v>618</v>
      </c>
      <c r="G184" s="675" t="s">
        <v>203</v>
      </c>
      <c r="H184" s="677" t="s">
        <v>619</v>
      </c>
      <c r="I184" s="680" t="s">
        <v>190</v>
      </c>
      <c r="J184" s="682">
        <v>360</v>
      </c>
      <c r="K184" s="684" t="str">
        <f t="shared" ref="K184" si="113">IF(J184&lt;=0,"",IF(J184&lt;=2,"Muy Baja",IF(J184&lt;=24,"Baja",IF(J184&lt;=500,"Media",IF(J184&lt;=5000,"Alta","Muy Alta")))))</f>
        <v>Media</v>
      </c>
      <c r="L184" s="686">
        <f t="shared" ref="L184" si="114">IF(K184="","",IF(K184="Muy Baja",0.2,IF(K184="Baja",0.4,IF(K184="Media",0.6,IF(K184="Alta",0.8,IF(K184="Muy Alta",1,))))))</f>
        <v>0.6</v>
      </c>
      <c r="M184" s="688" t="s">
        <v>321</v>
      </c>
      <c r="N184" s="686" t="str">
        <f>IF(NOT(ISERROR(MATCH(M184,'[13]Tabla Impacto'!$B$221:$B$223,0))),'[13]Tabla Impacto'!$F$223&amp;"Por favor no seleccionar los criterios de impacto(Afectación Económica o presupuestal y Pérdida Reputacional)",M184)</f>
        <v xml:space="preserve">     Entre 200 y 1000 SMLMV</v>
      </c>
      <c r="O184" s="684" t="str">
        <f>IF(OR(N184='[13]Tabla Impacto'!$C$11,N184='[13]Tabla Impacto'!$D$11),"Leve",IF(OR(N184='[13]Tabla Impacto'!$C$12,N184='[13]Tabla Impacto'!$D$12),"Menor",IF(OR(N184='[13]Tabla Impacto'!$C$13,N184='[13]Tabla Impacto'!$D$13),"Moderado",IF(OR(N184='[13]Tabla Impacto'!$C$14,N184='[13]Tabla Impacto'!$D$14),"Mayor",IF(OR(N184='[13]Tabla Impacto'!$C$15,N184='[13]Tabla Impacto'!$D$15),"Catastrófico","")))))</f>
        <v>Menor</v>
      </c>
      <c r="P184" s="686">
        <f t="shared" ref="P184" si="115">IF(O184="","",IF(O184="Leve",0.2,IF(O184="Menor",0.4,IF(O184="Moderado",0.6,IF(O184="Mayor",0.8,IF(O184="Catastrófico",1,))))))</f>
        <v>0.4</v>
      </c>
      <c r="Q184" s="690" t="str">
        <f t="shared" ref="Q184" si="116">IF(OR(AND(K184="Muy Baja",O184="Leve"),AND(K184="Muy Baja",O184="Menor"),AND(K184="Baja",O184="Leve")),"Bajo",IF(OR(AND(K184="Muy baja",O184="Moderado"),AND(K184="Baja",O184="Menor"),AND(K184="Baja",O184="Moderado"),AND(K184="Media",O184="Leve"),AND(K184="Media",O184="Menor"),AND(K184="Media",O184="Moderado"),AND(K184="Alta",O184="Leve"),AND(K184="Alta",O184="Menor")),"Moderado",IF(OR(AND(K184="Muy Baja",O184="Mayor"),AND(K184="Baja",O184="Mayor"),AND(K184="Media",O184="Mayor"),AND(K184="Alta",O184="Moderado"),AND(K184="Alta",O184="Mayor"),AND(K184="Muy Alta",O184="Leve"),AND(K184="Muy Alta",O184="Menor"),AND(K184="Muy Alta",O184="Moderado"),AND(K184="Muy Alta",O184="Mayor")),"Alto",IF(OR(AND(K184="Muy Baja",O184="Catastrófico"),AND(K184="Baja",O184="Catastrófico"),AND(K184="Media",O184="Catastrófico"),AND(K184="Alta",O184="Catastrófico"),AND(K184="Muy Alta",O184="Catastrófico")),"Extremo",""))))</f>
        <v>Moderado</v>
      </c>
      <c r="R184" s="653">
        <v>1</v>
      </c>
      <c r="S184" s="655" t="s">
        <v>620</v>
      </c>
      <c r="T184" s="657" t="s">
        <v>484</v>
      </c>
      <c r="U184" s="643" t="s">
        <v>197</v>
      </c>
      <c r="V184" s="643" t="s">
        <v>191</v>
      </c>
      <c r="W184" s="639" t="str">
        <f>IF(AND(U184="Preventivo",V184="Automático"),"50%",IF(AND(U184="Preventivo",V184="Manual"),"40%",IF(AND(U184="Detectivo",V184="Automático"),"40%",IF(AND(U184="Detectivo",V184="Manual"),"30%",IF(AND(U184="Correctivo",V184="Automático"),"35%",IF(AND(U184="Correctivo",V184="Manual"),"25%",""))))))</f>
        <v>40%</v>
      </c>
      <c r="X184" s="643" t="s">
        <v>198</v>
      </c>
      <c r="Y184" s="643" t="s">
        <v>193</v>
      </c>
      <c r="Z184" s="643" t="s">
        <v>194</v>
      </c>
      <c r="AA184" s="635">
        <f t="shared" ref="AA184" si="117">IFERROR(IF(AND(T183="Probabilidad",T184="Probabilidad"),(AC183-(+AC183*W184)),IF(AND(T183="Impacto",T184="Probabilidad"),(L183-(+L183*W184)),IF(T184="Impacto",AC183,""))),"")</f>
        <v>7.7759999999999996E-2</v>
      </c>
      <c r="AB184" s="637" t="str">
        <f t="shared" si="109"/>
        <v>Muy Baja</v>
      </c>
      <c r="AC184" s="639">
        <f t="shared" ref="AC184" si="118">+AA184</f>
        <v>7.7759999999999996E-2</v>
      </c>
      <c r="AD184" s="637" t="str">
        <f t="shared" si="110"/>
        <v>Menor</v>
      </c>
      <c r="AE184" s="639">
        <f t="shared" ref="AE184" si="119">IFERROR(IF(AND(T183="Impacto",T184="Impacto"),(AE183-(+AE183*W184)),IF(AND(T183="Probabilidad",T184="Impacto"),(P183-(+P183*W184)),IF(T184="Probabilidad",AE183,""))),"")</f>
        <v>0.4</v>
      </c>
      <c r="AF184" s="641" t="str">
        <f t="shared" si="111"/>
        <v>Bajo</v>
      </c>
      <c r="AG184" s="643" t="s">
        <v>195</v>
      </c>
      <c r="AH184" s="470">
        <f>[13]DOFA!G212</f>
        <v>0</v>
      </c>
      <c r="AI184" s="467" t="s">
        <v>604</v>
      </c>
      <c r="AJ184" s="345">
        <v>45293</v>
      </c>
      <c r="AK184" s="345">
        <v>45656</v>
      </c>
      <c r="AL184" s="645" t="s">
        <v>621</v>
      </c>
      <c r="AM184" s="245" t="s">
        <v>196</v>
      </c>
    </row>
    <row r="185" spans="1:45" ht="79.2" customHeight="1" x14ac:dyDescent="0.3">
      <c r="A185" s="667"/>
      <c r="B185" s="669"/>
      <c r="C185" s="671"/>
      <c r="D185" s="673"/>
      <c r="E185" s="475" t="s">
        <v>630</v>
      </c>
      <c r="F185" s="674"/>
      <c r="G185" s="676"/>
      <c r="H185" s="678"/>
      <c r="I185" s="681"/>
      <c r="J185" s="683"/>
      <c r="K185" s="685"/>
      <c r="L185" s="687"/>
      <c r="M185" s="689"/>
      <c r="N185" s="687">
        <f>IF(NOT(ISERROR(MATCH(M185,_xlfn.ANCHORARRAY(F193),0))),L195&amp;"Por favor no seleccionar los criterios de impacto",M185)</f>
        <v>0</v>
      </c>
      <c r="O185" s="685"/>
      <c r="P185" s="687"/>
      <c r="Q185" s="691"/>
      <c r="R185" s="654"/>
      <c r="S185" s="656"/>
      <c r="T185" s="658"/>
      <c r="U185" s="644"/>
      <c r="V185" s="644"/>
      <c r="W185" s="640"/>
      <c r="X185" s="644"/>
      <c r="Y185" s="644"/>
      <c r="Z185" s="644"/>
      <c r="AA185" s="636"/>
      <c r="AB185" s="638"/>
      <c r="AC185" s="640"/>
      <c r="AD185" s="638"/>
      <c r="AE185" s="640"/>
      <c r="AF185" s="642"/>
      <c r="AG185" s="644"/>
      <c r="AH185" s="476">
        <f>[13]DOFA!G213</f>
        <v>0</v>
      </c>
      <c r="AI185" s="467" t="s">
        <v>604</v>
      </c>
      <c r="AJ185" s="345">
        <v>45659</v>
      </c>
      <c r="AK185" s="345">
        <v>46021</v>
      </c>
      <c r="AL185" s="646"/>
      <c r="AM185" s="245" t="s">
        <v>196</v>
      </c>
    </row>
    <row r="186" spans="1:45" ht="409.6" x14ac:dyDescent="0.3">
      <c r="A186" s="667"/>
      <c r="B186" s="669"/>
      <c r="C186" s="671"/>
      <c r="D186" s="673"/>
      <c r="E186" s="308" t="s">
        <v>631</v>
      </c>
      <c r="F186" s="674"/>
      <c r="G186" s="676"/>
      <c r="H186" s="679"/>
      <c r="I186" s="681"/>
      <c r="J186" s="683"/>
      <c r="K186" s="685"/>
      <c r="L186" s="687"/>
      <c r="M186" s="689"/>
      <c r="N186" s="687">
        <f>IF(NOT(ISERROR(MATCH(M186,_xlfn.ANCHORARRAY(F194),0))),L196&amp;"Por favor no seleccionar los criterios de impacto",M186)</f>
        <v>0</v>
      </c>
      <c r="O186" s="685"/>
      <c r="P186" s="687"/>
      <c r="Q186" s="691"/>
      <c r="R186" s="243">
        <v>2</v>
      </c>
      <c r="S186" s="467" t="s">
        <v>622</v>
      </c>
      <c r="T186" s="91" t="str">
        <f>IF(OR(U186="Preventivo",U186="Detectivo"),"Probabilidad",IF(U186="Correctivo","Impacto",""))</f>
        <v>Probabilidad</v>
      </c>
      <c r="U186" s="83" t="s">
        <v>197</v>
      </c>
      <c r="V186" s="83" t="s">
        <v>191</v>
      </c>
      <c r="W186" s="84" t="str">
        <f t="shared" ref="W186" si="120">IF(AND(U186="Preventivo",V186="Automático"),"50%",IF(AND(U186="Preventivo",V186="Manual"),"40%",IF(AND(U186="Detectivo",V186="Automático"),"40%",IF(AND(U186="Detectivo",V186="Manual"),"30%",IF(AND(U186="Correctivo",V186="Automático"),"35%",IF(AND(U186="Correctivo",V186="Manual"),"25%",""))))))</f>
        <v>40%</v>
      </c>
      <c r="X186" s="83" t="s">
        <v>198</v>
      </c>
      <c r="Y186" s="83" t="s">
        <v>193</v>
      </c>
      <c r="Z186" s="83" t="s">
        <v>194</v>
      </c>
      <c r="AA186" s="92">
        <f>AA184</f>
        <v>7.7759999999999996E-2</v>
      </c>
      <c r="AB186" s="85" t="str">
        <f t="shared" ref="AB186" si="121">IFERROR(IF(AA186="","",IF(AA186&lt;=0.2,"Muy Baja",IF(AA186&lt;=0.4,"Baja",IF(AA186&lt;=0.6,"Media",IF(AA186&lt;=0.8,"Alta","Muy Alta"))))),"")</f>
        <v>Muy Baja</v>
      </c>
      <c r="AC186" s="86">
        <f t="shared" ref="AC186" si="122">+AA186</f>
        <v>7.7759999999999996E-2</v>
      </c>
      <c r="AD186" s="85" t="str">
        <f>IFERROR(IF(AE186="","",IF(AE186&lt;=0.2,"Leve",IF(AE186&lt;=0.4,"Menor",IF(AE186&lt;=0.6,"Moderado",IF(AE186&lt;=0.8,"Mayor","Catastrófico"))))),"")</f>
        <v>Leve</v>
      </c>
      <c r="AE186" s="86">
        <f t="shared" ref="AE186" si="123">IFERROR(IF(AND(T185="Impacto",T186="Impacto"),(AE185-(+AE185*W186)),IF(AND(T185="Probabilidad",T186="Impacto"),(P185-(+P185*W186)),IF(T186="Probabilidad",AE185,""))),"")</f>
        <v>0</v>
      </c>
      <c r="AF186" s="87" t="str">
        <f t="shared" ref="AF186" si="124">IFERROR(IF(OR(AND(AB186="Muy Baja",AD186="Leve"),AND(AB186="Muy Baja",AD186="Menor"),AND(AB186="Baja",AD186="Leve")),"Bajo",IF(OR(AND(AB186="Muy baja",AD186="Moderado"),AND(AB186="Baja",AD186="Menor"),AND(AB186="Baja",AD186="Moderado"),AND(AB186="Media",AD186="Leve"),AND(AB186="Media",AD186="Menor"),AND(AB186="Media",AD186="Moderado"),AND(AB186="Alta",AD186="Leve"),AND(AB186="Alta",AD186="Menor")),"Moderado",IF(OR(AND(AB186="Muy Baja",AD186="Mayor"),AND(AB186="Baja",AD186="Mayor"),AND(AB186="Media",AD186="Mayor"),AND(AB186="Alta",AD186="Moderado"),AND(AB186="Alta",AD186="Mayor"),AND(AB186="Muy Alta",AD186="Leve"),AND(AB186="Muy Alta",AD186="Menor"),AND(AB186="Muy Alta",AD186="Moderado"),AND(AB186="Muy Alta",AD186="Mayor")),"Alto",IF(OR(AND(AB186="Muy Baja",AD186="Catastrófico"),AND(AB186="Baja",AD186="Catastrófico"),AND(AB186="Media",AD186="Catastrófico"),AND(AB186="Alta",AD186="Catastrófico"),AND(AB186="Muy Alta",AD186="Catastrófico")),"Extremo","")))),"")</f>
        <v>Bajo</v>
      </c>
      <c r="AG186" s="88" t="s">
        <v>195</v>
      </c>
      <c r="AH186" s="477">
        <f>[13]DOFA!G214</f>
        <v>0</v>
      </c>
      <c r="AI186" s="467" t="s">
        <v>604</v>
      </c>
      <c r="AJ186" s="345">
        <v>45659</v>
      </c>
      <c r="AK186" s="345">
        <v>46021</v>
      </c>
      <c r="AL186" s="199" t="s">
        <v>623</v>
      </c>
      <c r="AM186" s="245" t="s">
        <v>196</v>
      </c>
    </row>
    <row r="187" spans="1:45" x14ac:dyDescent="0.3">
      <c r="A187" s="647" t="s">
        <v>148</v>
      </c>
      <c r="B187" s="648"/>
      <c r="C187" s="648"/>
      <c r="D187" s="648"/>
      <c r="E187" s="648"/>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9"/>
      <c r="AN187" s="478"/>
      <c r="AO187" s="478"/>
      <c r="AP187" s="478"/>
      <c r="AQ187" s="478"/>
      <c r="AR187" s="478"/>
      <c r="AS187" s="478"/>
    </row>
    <row r="188" spans="1:45" x14ac:dyDescent="0.3">
      <c r="A188" s="650"/>
      <c r="B188" s="651"/>
      <c r="C188" s="651"/>
      <c r="D188" s="651"/>
      <c r="E188" s="651"/>
      <c r="F188" s="651"/>
      <c r="G188" s="651"/>
      <c r="H188" s="651"/>
      <c r="I188" s="651"/>
      <c r="J188" s="651"/>
      <c r="K188" s="651"/>
      <c r="L188" s="651"/>
      <c r="M188" s="651"/>
      <c r="N188" s="651"/>
      <c r="O188" s="651"/>
      <c r="P188" s="651"/>
      <c r="Q188" s="651"/>
      <c r="R188" s="651"/>
      <c r="S188" s="651"/>
      <c r="T188" s="651"/>
      <c r="U188" s="651"/>
      <c r="V188" s="651"/>
      <c r="W188" s="651"/>
      <c r="X188" s="651"/>
      <c r="Y188" s="651"/>
      <c r="Z188" s="651"/>
      <c r="AA188" s="651"/>
      <c r="AB188" s="651"/>
      <c r="AC188" s="651"/>
      <c r="AD188" s="651"/>
      <c r="AE188" s="651"/>
      <c r="AF188" s="651"/>
      <c r="AG188" s="651"/>
      <c r="AH188" s="651"/>
      <c r="AI188" s="651"/>
      <c r="AJ188" s="651"/>
      <c r="AK188" s="651"/>
      <c r="AL188" s="651"/>
      <c r="AM188" s="652"/>
      <c r="AN188" s="478"/>
      <c r="AO188" s="478"/>
      <c r="AP188" s="478"/>
      <c r="AQ188" s="478"/>
      <c r="AR188" s="478"/>
      <c r="AS188" s="478"/>
    </row>
    <row r="189" spans="1:45" x14ac:dyDescent="0.3">
      <c r="A189" s="479"/>
      <c r="B189" s="480"/>
      <c r="C189" s="479"/>
      <c r="D189" s="479"/>
      <c r="E189" s="479"/>
      <c r="F189" s="478"/>
      <c r="G189" s="478"/>
      <c r="H189" s="478"/>
      <c r="I189" s="481"/>
      <c r="J189" s="478"/>
      <c r="K189" s="478"/>
      <c r="L189" s="478"/>
      <c r="M189" s="478"/>
      <c r="N189" s="478"/>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K189" s="478"/>
      <c r="AL189" s="478"/>
      <c r="AM189" s="478"/>
      <c r="AN189" s="478"/>
      <c r="AO189" s="478"/>
      <c r="AP189" s="478"/>
      <c r="AQ189" s="478"/>
      <c r="AR189" s="478"/>
      <c r="AS189" s="478"/>
    </row>
    <row r="190" spans="1:45" x14ac:dyDescent="0.3">
      <c r="A190" s="625" t="s">
        <v>149</v>
      </c>
      <c r="B190" s="626"/>
      <c r="C190" s="627" t="s">
        <v>632</v>
      </c>
      <c r="D190" s="627"/>
      <c r="E190" s="627"/>
      <c r="F190" s="627"/>
      <c r="G190" s="627"/>
      <c r="H190" s="627"/>
      <c r="I190" s="627"/>
      <c r="J190" s="627"/>
      <c r="K190" s="627"/>
      <c r="L190" s="627"/>
      <c r="M190" s="627"/>
      <c r="N190" s="627"/>
      <c r="O190" s="627"/>
      <c r="P190" s="627"/>
      <c r="Q190" s="627"/>
      <c r="R190" s="627"/>
      <c r="S190" s="627"/>
      <c r="T190" s="627"/>
      <c r="U190" s="627"/>
      <c r="V190" s="627"/>
      <c r="W190" s="627"/>
      <c r="X190" s="627"/>
      <c r="Y190" s="627"/>
      <c r="Z190" s="627"/>
      <c r="AA190" s="627"/>
      <c r="AB190" s="627"/>
      <c r="AC190" s="627"/>
      <c r="AD190" s="627"/>
      <c r="AE190" s="627"/>
      <c r="AF190" s="627"/>
      <c r="AG190" s="627"/>
      <c r="AH190" s="627"/>
      <c r="AI190" s="627"/>
      <c r="AJ190" s="627"/>
      <c r="AK190" s="627"/>
      <c r="AL190" s="627"/>
      <c r="AM190" s="627"/>
      <c r="AN190" s="478"/>
      <c r="AO190" s="478"/>
      <c r="AP190" s="478"/>
      <c r="AQ190" s="478"/>
      <c r="AR190" s="478"/>
      <c r="AS190" s="478"/>
    </row>
    <row r="191" spans="1:45" x14ac:dyDescent="0.3">
      <c r="A191" s="625" t="s">
        <v>150</v>
      </c>
      <c r="B191" s="626"/>
      <c r="C191" s="628" t="s">
        <v>633</v>
      </c>
      <c r="D191" s="628"/>
      <c r="E191" s="628"/>
      <c r="F191" s="628"/>
      <c r="G191" s="628"/>
      <c r="H191" s="628"/>
      <c r="I191" s="628"/>
      <c r="J191" s="628"/>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8"/>
      <c r="AK191" s="628"/>
      <c r="AL191" s="628"/>
      <c r="AM191" s="628"/>
      <c r="AN191" s="478"/>
      <c r="AO191" s="478"/>
      <c r="AP191" s="478"/>
      <c r="AQ191" s="478"/>
      <c r="AR191" s="478"/>
      <c r="AS191" s="478"/>
    </row>
    <row r="192" spans="1:45" x14ac:dyDescent="0.3">
      <c r="A192" s="625" t="s">
        <v>151</v>
      </c>
      <c r="B192" s="626"/>
      <c r="C192" s="628" t="s">
        <v>634</v>
      </c>
      <c r="D192" s="628"/>
      <c r="E192" s="628"/>
      <c r="F192" s="628"/>
      <c r="G192" s="628"/>
      <c r="H192" s="628"/>
      <c r="I192" s="628"/>
      <c r="J192" s="628"/>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9"/>
      <c r="AI192" s="629"/>
      <c r="AJ192" s="629"/>
      <c r="AK192" s="629"/>
      <c r="AL192" s="629"/>
      <c r="AM192" s="629"/>
      <c r="AN192" s="478"/>
      <c r="AO192" s="478"/>
      <c r="AP192" s="478"/>
      <c r="AQ192" s="478"/>
      <c r="AR192" s="478"/>
      <c r="AS192" s="478"/>
    </row>
    <row r="193" spans="1:45" x14ac:dyDescent="0.3">
      <c r="A193" s="630" t="s">
        <v>152</v>
      </c>
      <c r="B193" s="631"/>
      <c r="C193" s="632"/>
      <c r="D193" s="632"/>
      <c r="E193" s="632"/>
      <c r="F193" s="632"/>
      <c r="G193" s="632"/>
      <c r="H193" s="632"/>
      <c r="I193" s="632"/>
      <c r="J193" s="633"/>
      <c r="K193" s="563" t="s">
        <v>153</v>
      </c>
      <c r="L193" s="632"/>
      <c r="M193" s="632"/>
      <c r="N193" s="632"/>
      <c r="O193" s="632"/>
      <c r="P193" s="632"/>
      <c r="Q193" s="633"/>
      <c r="R193" s="563" t="s">
        <v>154</v>
      </c>
      <c r="S193" s="632"/>
      <c r="T193" s="632"/>
      <c r="U193" s="632"/>
      <c r="V193" s="632"/>
      <c r="W193" s="632"/>
      <c r="X193" s="632"/>
      <c r="Y193" s="632"/>
      <c r="Z193" s="633"/>
      <c r="AA193" s="563" t="s">
        <v>155</v>
      </c>
      <c r="AB193" s="632"/>
      <c r="AC193" s="632"/>
      <c r="AD193" s="632"/>
      <c r="AE193" s="632"/>
      <c r="AF193" s="632"/>
      <c r="AG193" s="632"/>
      <c r="AH193" s="634" t="s">
        <v>156</v>
      </c>
      <c r="AI193" s="634"/>
      <c r="AJ193" s="634"/>
      <c r="AK193" s="634"/>
      <c r="AL193" s="634"/>
      <c r="AM193" s="634"/>
      <c r="AN193" s="634"/>
      <c r="AO193" s="634"/>
      <c r="AP193" s="634"/>
      <c r="AQ193" s="634"/>
      <c r="AR193" s="634"/>
      <c r="AS193" s="634"/>
    </row>
    <row r="194" spans="1:45" x14ac:dyDescent="0.3">
      <c r="A194" s="619" t="s">
        <v>157</v>
      </c>
      <c r="B194" s="621" t="s">
        <v>141</v>
      </c>
      <c r="C194" s="561" t="s">
        <v>158</v>
      </c>
      <c r="D194" s="561" t="s">
        <v>635</v>
      </c>
      <c r="E194" s="564" t="s">
        <v>636</v>
      </c>
      <c r="F194" s="622" t="s">
        <v>60</v>
      </c>
      <c r="G194" s="623" t="s">
        <v>637</v>
      </c>
      <c r="H194" s="482"/>
      <c r="I194" s="564" t="s">
        <v>161</v>
      </c>
      <c r="J194" s="561" t="s">
        <v>162</v>
      </c>
      <c r="K194" s="560" t="s">
        <v>163</v>
      </c>
      <c r="L194" s="562" t="s">
        <v>164</v>
      </c>
      <c r="M194" s="564" t="s">
        <v>165</v>
      </c>
      <c r="N194" s="564" t="s">
        <v>166</v>
      </c>
      <c r="O194" s="565" t="s">
        <v>167</v>
      </c>
      <c r="P194" s="562" t="s">
        <v>164</v>
      </c>
      <c r="Q194" s="561" t="s">
        <v>168</v>
      </c>
      <c r="R194" s="617" t="s">
        <v>169</v>
      </c>
      <c r="S194" s="586" t="s">
        <v>170</v>
      </c>
      <c r="T194" s="564" t="s">
        <v>171</v>
      </c>
      <c r="U194" s="586" t="s">
        <v>172</v>
      </c>
      <c r="V194" s="586"/>
      <c r="W194" s="586"/>
      <c r="X194" s="586"/>
      <c r="Y194" s="586"/>
      <c r="Z194" s="586"/>
      <c r="AA194" s="613" t="s">
        <v>173</v>
      </c>
      <c r="AB194" s="613" t="s">
        <v>174</v>
      </c>
      <c r="AC194" s="613" t="s">
        <v>164</v>
      </c>
      <c r="AD194" s="613" t="s">
        <v>175</v>
      </c>
      <c r="AE194" s="613" t="s">
        <v>164</v>
      </c>
      <c r="AF194" s="613" t="s">
        <v>176</v>
      </c>
      <c r="AG194" s="617" t="s">
        <v>177</v>
      </c>
      <c r="AH194" s="561" t="s">
        <v>156</v>
      </c>
      <c r="AI194" s="561" t="s">
        <v>142</v>
      </c>
      <c r="AJ194" s="561" t="s">
        <v>178</v>
      </c>
      <c r="AK194" s="561" t="s">
        <v>179</v>
      </c>
      <c r="AL194" s="561" t="s">
        <v>180</v>
      </c>
      <c r="AM194" s="587" t="s">
        <v>181</v>
      </c>
      <c r="AN194" s="589" t="s">
        <v>638</v>
      </c>
      <c r="AO194" s="589" t="s">
        <v>639</v>
      </c>
      <c r="AP194" s="589" t="s">
        <v>640</v>
      </c>
      <c r="AQ194" s="589" t="s">
        <v>641</v>
      </c>
      <c r="AR194" s="589" t="s">
        <v>642</v>
      </c>
      <c r="AS194" s="589" t="s">
        <v>643</v>
      </c>
    </row>
    <row r="195" spans="1:45" ht="71.400000000000006" x14ac:dyDescent="0.3">
      <c r="A195" s="620"/>
      <c r="B195" s="621"/>
      <c r="C195" s="586"/>
      <c r="D195" s="586"/>
      <c r="E195" s="560"/>
      <c r="F195" s="623"/>
      <c r="G195" s="624"/>
      <c r="H195" s="482" t="s">
        <v>182</v>
      </c>
      <c r="I195" s="561"/>
      <c r="J195" s="586"/>
      <c r="K195" s="561"/>
      <c r="L195" s="563"/>
      <c r="M195" s="561"/>
      <c r="N195" s="561"/>
      <c r="O195" s="563"/>
      <c r="P195" s="563"/>
      <c r="Q195" s="586"/>
      <c r="R195" s="618"/>
      <c r="S195" s="586"/>
      <c r="T195" s="561"/>
      <c r="U195" s="483" t="s">
        <v>183</v>
      </c>
      <c r="V195" s="483" t="s">
        <v>184</v>
      </c>
      <c r="W195" s="483" t="s">
        <v>185</v>
      </c>
      <c r="X195" s="483" t="s">
        <v>186</v>
      </c>
      <c r="Y195" s="483" t="s">
        <v>187</v>
      </c>
      <c r="Z195" s="483" t="s">
        <v>188</v>
      </c>
      <c r="AA195" s="613"/>
      <c r="AB195" s="613"/>
      <c r="AC195" s="613"/>
      <c r="AD195" s="613"/>
      <c r="AE195" s="613"/>
      <c r="AF195" s="613"/>
      <c r="AG195" s="618"/>
      <c r="AH195" s="586"/>
      <c r="AI195" s="586"/>
      <c r="AJ195" s="586"/>
      <c r="AK195" s="586"/>
      <c r="AL195" s="586"/>
      <c r="AM195" s="588"/>
      <c r="AN195" s="590"/>
      <c r="AO195" s="590"/>
      <c r="AP195" s="590"/>
      <c r="AQ195" s="590"/>
      <c r="AR195" s="590"/>
      <c r="AS195" s="590"/>
    </row>
    <row r="196" spans="1:45" ht="67.2" x14ac:dyDescent="0.3">
      <c r="A196" s="591">
        <v>1</v>
      </c>
      <c r="B196" s="614" t="s">
        <v>189</v>
      </c>
      <c r="C196" s="593" t="s">
        <v>644</v>
      </c>
      <c r="D196" s="595" t="s">
        <v>645</v>
      </c>
      <c r="E196" s="484" t="s">
        <v>646</v>
      </c>
      <c r="F196" s="597" t="s">
        <v>647</v>
      </c>
      <c r="G196" s="598" t="s">
        <v>648</v>
      </c>
      <c r="H196" s="597" t="s">
        <v>649</v>
      </c>
      <c r="I196" s="601" t="s">
        <v>190</v>
      </c>
      <c r="J196" s="603">
        <v>360</v>
      </c>
      <c r="K196" s="605" t="str">
        <f>IF(J196&lt;=0,"",IF(J196&lt;=2,"Muy Baja",IF(J196&lt;=24,"Baja",IF(J196&lt;=500,"Media",IF(J196&lt;=5000,"Alta","Muy Alta")))))</f>
        <v>Media</v>
      </c>
      <c r="L196" s="607">
        <f>IF(K196="","",IF(K196="Muy Baja",0.2,IF(K196="Baja",0.4,IF(K196="Media",0.6,IF(K196="Alta",0.8,IF(K196="Muy Alta",1,))))))</f>
        <v>0.6</v>
      </c>
      <c r="M196" s="609" t="s">
        <v>214</v>
      </c>
      <c r="N196" s="607" t="str">
        <f>IF(NOT(ISERROR(MATCH(M196,'[14]Tabla Impacto'!$B$221:$B$223,0))),'[14]Tabla Impacto'!$F$223&amp;"Por favor no seleccionar los criterios de impacto(Afectación Económica o presupuestal y Pérdida Reputacional)",M196)</f>
        <v xml:space="preserve">     El riesgo afecta la imagen de de la entidad con efecto publicitario sostenido a nivel de sector administrativo, nivel departamental o municipal</v>
      </c>
      <c r="O196" s="605" t="str">
        <f>IF(OR(N196='[14]Tabla Impacto'!$C$11,N196='[14]Tabla Impacto'!$D$11),"Leve",IF(OR(N196='[14]Tabla Impacto'!$C$12,N196='[14]Tabla Impacto'!$D$12),"Menor",IF(OR(N196='[14]Tabla Impacto'!$C$13,N196='[14]Tabla Impacto'!$D$13),"Moderado",IF(OR(N196='[14]Tabla Impacto'!$C$14,N196='[14]Tabla Impacto'!$D$14),"Mayor",IF(OR(N196='[14]Tabla Impacto'!$C$15,N196='[14]Tabla Impacto'!$D$15),"Catastrófico","")))))</f>
        <v>Mayor</v>
      </c>
      <c r="P196" s="607">
        <f>IF(O196="","",IF(O196="Leve",0.2,IF(O196="Menor",0.4,IF(O196="Moderado",0.6,IF(O196="Mayor",0.8,IF(O196="Catastrófico",1,))))))</f>
        <v>0.8</v>
      </c>
      <c r="Q196" s="611" t="str">
        <f>IF(OR(AND(K196="Muy Baja",O196="Leve"),AND(K196="Muy Baja",O196="Menor"),AND(K196="Baja",O196="Leve")),"Bajo",IF(OR(AND(K196="Muy baja",O196="Moderado"),AND(K196="Baja",O196="Menor"),AND(K196="Baja",O196="Moderado"),AND(K196="Media",O196="Leve"),AND(K196="Media",O196="Menor"),AND(K196="Media",O196="Moderado"),AND(K196="Alta",O196="Leve"),AND(K196="Alta",O196="Menor")),"Moderado",IF(OR(AND(K196="Muy Baja",O196="Mayor"),AND(K196="Baja",O196="Mayor"),AND(K196="Media",O196="Mayor"),AND(K196="Alta",O196="Moderado"),AND(K196="Alta",O196="Mayor"),AND(K196="Muy Alta",O196="Leve"),AND(K196="Muy Alta",O196="Menor"),AND(K196="Muy Alta",O196="Moderado"),AND(K196="Muy Alta",O196="Mayor")),"Alto",IF(OR(AND(K196="Muy Baja",O196="Catastrófico"),AND(K196="Baja",O196="Catastrófico"),AND(K196="Media",O196="Catastrófico"),AND(K196="Alta",O196="Catastrófico"),AND(K196="Muy Alta",O196="Catastrófico")),"Extremo",""))))</f>
        <v>Alto</v>
      </c>
      <c r="R196" s="486">
        <v>1</v>
      </c>
      <c r="S196" s="469" t="s">
        <v>650</v>
      </c>
      <c r="T196" s="487" t="str">
        <f>IF(OR(U196="Preventivo",U196="Detectivo"),"Probabilidad",IF(U196="Correctivo","Impacto",""))</f>
        <v>Probabilidad</v>
      </c>
      <c r="U196" s="488" t="s">
        <v>243</v>
      </c>
      <c r="V196" s="488" t="s">
        <v>191</v>
      </c>
      <c r="W196" s="489" t="str">
        <f>IF(AND(U196="Preventivo",V196="Automático"),"50%",IF(AND(U196="Preventivo",V196="Manual"),"40%",IF(AND(U196="Detectivo",V196="Automático"),"40%",IF(AND(U196="Detectivo",V196="Manual"),"30%",IF(AND(U196="Correctivo",V196="Automático"),"35%",IF(AND(U196="Correctivo",V196="Manual"),"25%",""))))))</f>
        <v>30%</v>
      </c>
      <c r="X196" s="488" t="s">
        <v>192</v>
      </c>
      <c r="Y196" s="488" t="s">
        <v>193</v>
      </c>
      <c r="Z196" s="488" t="s">
        <v>194</v>
      </c>
      <c r="AA196" s="490">
        <f>IFERROR(IF(T196="Probabilidad",(L196-(+L196*W196)),IF(T196="Impacto",L196,"")),"")</f>
        <v>0.42</v>
      </c>
      <c r="AB196" s="491" t="str">
        <f>IFERROR(IF(AA196="","",IF(AA196&lt;=0.2,"Muy Baja",IF(AA196&lt;=0.4,"Baja",IF(AA196&lt;=0.6,"Media",IF(AA196&lt;=0.8,"Alta","Muy Alta"))))),"")</f>
        <v>Media</v>
      </c>
      <c r="AC196" s="492">
        <f>+AA196</f>
        <v>0.42</v>
      </c>
      <c r="AD196" s="491" t="str">
        <f>IFERROR(IF(AE196="","",IF(AE196&lt;=0.2,"Leve",IF(AE196&lt;=0.4,"Menor",IF(AE196&lt;=0.6,"Moderado",IF(AE196&lt;=0.8,"Mayor","Catastrófico"))))),"")</f>
        <v>Mayor</v>
      </c>
      <c r="AE196" s="492">
        <f>IFERROR(IF(T196="Impacto",(P196-(+P196*W196)),IF(T196="Probabilidad",P196,"")),"")</f>
        <v>0.8</v>
      </c>
      <c r="AF196" s="493" t="str">
        <f>IFERROR(IF(OR(AND(AB196="Muy Baja",AD196="Leve"),AND(AB196="Muy Baja",AD196="Menor"),AND(AB196="Baja",AD196="Leve")),"Bajo",IF(OR(AND(AB196="Muy baja",AD196="Moderado"),AND(AB196="Baja",AD196="Menor"),AND(AB196="Baja",AD196="Moderado"),AND(AB196="Media",AD196="Leve"),AND(AB196="Media",AD196="Menor"),AND(AB196="Media",AD196="Moderado"),AND(AB196="Alta",AD196="Leve"),AND(AB196="Alta",AD196="Menor")),"Moderado",IF(OR(AND(AB196="Muy Baja",AD196="Mayor"),AND(AB196="Baja",AD196="Mayor"),AND(AB196="Media",AD196="Mayor"),AND(AB196="Alta",AD196="Moderado"),AND(AB196="Alta",AD196="Mayor"),AND(AB196="Muy Alta",AD196="Leve"),AND(AB196="Muy Alta",AD196="Menor"),AND(AB196="Muy Alta",AD196="Moderado"),AND(AB196="Muy Alta",AD196="Mayor")),"Alto",IF(OR(AND(AB196="Muy Baja",AD196="Catastrófico"),AND(AB196="Baja",AD196="Catastrófico"),AND(AB196="Media",AD196="Catastrófico"),AND(AB196="Alta",AD196="Catastrófico"),AND(AB196="Muy Alta",AD196="Catastrófico")),"Extremo","")))),"")</f>
        <v>Alto</v>
      </c>
      <c r="AG196" s="572" t="s">
        <v>195</v>
      </c>
      <c r="AH196" s="574" t="s">
        <v>651</v>
      </c>
      <c r="AI196" s="574" t="s">
        <v>652</v>
      </c>
      <c r="AJ196" s="576" t="s">
        <v>653</v>
      </c>
      <c r="AK196" s="579" t="s">
        <v>654</v>
      </c>
      <c r="AL196" s="574" t="s">
        <v>655</v>
      </c>
      <c r="AM196" s="583" t="s">
        <v>656</v>
      </c>
      <c r="AN196" s="574" t="s">
        <v>657</v>
      </c>
      <c r="AO196" s="574"/>
      <c r="AP196" s="574"/>
      <c r="AQ196" s="574"/>
      <c r="AR196" s="574"/>
      <c r="AS196" s="574"/>
    </row>
    <row r="197" spans="1:45" ht="82.8" x14ac:dyDescent="0.3">
      <c r="A197" s="592"/>
      <c r="B197" s="615"/>
      <c r="C197" s="594"/>
      <c r="D197" s="596"/>
      <c r="E197" s="484" t="s">
        <v>658</v>
      </c>
      <c r="F197" s="597"/>
      <c r="G197" s="599"/>
      <c r="H197" s="597"/>
      <c r="I197" s="602"/>
      <c r="J197" s="604"/>
      <c r="K197" s="606"/>
      <c r="L197" s="608"/>
      <c r="M197" s="610"/>
      <c r="N197" s="608">
        <f>IF(NOT(ISERROR(MATCH(M197,_xlfn.ANCHORARRAY(#REF!),0))),#REF!&amp;"Por favor no seleccionar los criterios de impacto",M197)</f>
        <v>0</v>
      </c>
      <c r="O197" s="606"/>
      <c r="P197" s="608"/>
      <c r="Q197" s="612"/>
      <c r="R197" s="486">
        <v>2</v>
      </c>
      <c r="S197" s="494" t="s">
        <v>659</v>
      </c>
      <c r="T197" s="487" t="str">
        <f>IF(OR(U197="Preventivo",U197="Detectivo"),"Probabilidad",IF(U197="Correctivo","Impacto",""))</f>
        <v>Probabilidad</v>
      </c>
      <c r="U197" s="488" t="s">
        <v>197</v>
      </c>
      <c r="V197" s="488" t="s">
        <v>191</v>
      </c>
      <c r="W197" s="489" t="str">
        <f t="shared" ref="W197:W200" si="125">IF(AND(U197="Preventivo",V197="Automático"),"50%",IF(AND(U197="Preventivo",V197="Manual"),"40%",IF(AND(U197="Detectivo",V197="Automático"),"40%",IF(AND(U197="Detectivo",V197="Manual"),"30%",IF(AND(U197="Correctivo",V197="Automático"),"35%",IF(AND(U197="Correctivo",V197="Manual"),"25%",""))))))</f>
        <v>40%</v>
      </c>
      <c r="X197" s="488" t="s">
        <v>198</v>
      </c>
      <c r="Y197" s="488" t="s">
        <v>193</v>
      </c>
      <c r="Z197" s="488" t="s">
        <v>194</v>
      </c>
      <c r="AA197" s="490">
        <f>IFERROR(IF(AND(T196="Probabilidad",T197="Probabilidad"),(AC196-(+AC196*W197)),IF(AND(T196="Impacto",T197="Probabilidad"),(L196-(+L196*W197)),IF(T197="Impacto",AC196,""))),"")</f>
        <v>0.252</v>
      </c>
      <c r="AB197" s="491" t="str">
        <f t="shared" ref="AB197:AB200" si="126">IFERROR(IF(AA197="","",IF(AA197&lt;=0.2,"Muy Baja",IF(AA197&lt;=0.4,"Baja",IF(AA197&lt;=0.6,"Media",IF(AA197&lt;=0.8,"Alta","Muy Alta"))))),"")</f>
        <v>Baja</v>
      </c>
      <c r="AC197" s="492">
        <f>+AA197</f>
        <v>0.252</v>
      </c>
      <c r="AD197" s="491" t="str">
        <f t="shared" ref="AD197:AD200" si="127">IFERROR(IF(AE197="","",IF(AE197&lt;=0.2,"Leve",IF(AE197&lt;=0.4,"Menor",IF(AE197&lt;=0.6,"Moderado",IF(AE197&lt;=0.8,"Mayor","Catastrófico"))))),"")</f>
        <v>Mayor</v>
      </c>
      <c r="AE197" s="492">
        <f>IFERROR(IF(AND(T196="Impacto",T197="Impacto"),(AE196-(+AE196*W197)),IF(AND(T196="Probabilidad",T197="Impacto"),(P196-(+P196*W197)),IF(T197="Probabilidad",AE196,""))),"")</f>
        <v>0.8</v>
      </c>
      <c r="AF197" s="493" t="str">
        <f t="shared" ref="AF197:AF200" si="128">IFERROR(IF(OR(AND(AB197="Muy Baja",AD197="Leve"),AND(AB197="Muy Baja",AD197="Menor"),AND(AB197="Baja",AD197="Leve")),"Bajo",IF(OR(AND(AB197="Muy baja",AD197="Moderado"),AND(AB197="Baja",AD197="Menor"),AND(AB197="Baja",AD197="Moderado"),AND(AB197="Media",AD197="Leve"),AND(AB197="Media",AD197="Menor"),AND(AB197="Media",AD197="Moderado"),AND(AB197="Alta",AD197="Leve"),AND(AB197="Alta",AD197="Menor")),"Moderado",IF(OR(AND(AB197="Muy Baja",AD197="Mayor"),AND(AB197="Baja",AD197="Mayor"),AND(AB197="Media",AD197="Mayor"),AND(AB197="Alta",AD197="Moderado"),AND(AB197="Alta",AD197="Mayor"),AND(AB197="Muy Alta",AD197="Leve"),AND(AB197="Muy Alta",AD197="Menor"),AND(AB197="Muy Alta",AD197="Moderado"),AND(AB197="Muy Alta",AD197="Mayor")),"Alto",IF(OR(AND(AB197="Muy Baja",AD197="Catastrófico"),AND(AB197="Baja",AD197="Catastrófico"),AND(AB197="Media",AD197="Catastrófico"),AND(AB197="Alta",AD197="Catastrófico"),AND(AB197="Muy Alta",AD197="Catastrófico")),"Extremo","")))),"")</f>
        <v>Alto</v>
      </c>
      <c r="AG197" s="573"/>
      <c r="AH197" s="575"/>
      <c r="AI197" s="575"/>
      <c r="AJ197" s="577"/>
      <c r="AK197" s="580"/>
      <c r="AL197" s="575"/>
      <c r="AM197" s="584"/>
      <c r="AN197" s="575"/>
      <c r="AO197" s="575"/>
      <c r="AP197" s="575"/>
      <c r="AQ197" s="575"/>
      <c r="AR197" s="575"/>
      <c r="AS197" s="575"/>
    </row>
    <row r="198" spans="1:45" ht="96.6" x14ac:dyDescent="0.3">
      <c r="A198" s="592"/>
      <c r="B198" s="615"/>
      <c r="C198" s="594"/>
      <c r="D198" s="596"/>
      <c r="E198" s="484" t="s">
        <v>660</v>
      </c>
      <c r="F198" s="597"/>
      <c r="G198" s="599"/>
      <c r="H198" s="597"/>
      <c r="I198" s="602"/>
      <c r="J198" s="604"/>
      <c r="K198" s="606"/>
      <c r="L198" s="608"/>
      <c r="M198" s="610"/>
      <c r="N198" s="608">
        <f>IF(NOT(ISERROR(MATCH(M198,_xlfn.ANCHORARRAY(#REF!),0))),#REF!&amp;"Por favor no seleccionar los criterios de impacto",M198)</f>
        <v>0</v>
      </c>
      <c r="O198" s="606"/>
      <c r="P198" s="608"/>
      <c r="Q198" s="612"/>
      <c r="R198" s="486">
        <v>3</v>
      </c>
      <c r="S198" s="495" t="s">
        <v>661</v>
      </c>
      <c r="T198" s="487" t="str">
        <f t="shared" ref="T198:T200" si="129">IF(OR(U198="Preventivo",U198="Detectivo"),"Probabilidad",IF(U198="Correctivo","Impacto",""))</f>
        <v>Probabilidad</v>
      </c>
      <c r="U198" s="488" t="s">
        <v>197</v>
      </c>
      <c r="V198" s="488" t="s">
        <v>191</v>
      </c>
      <c r="W198" s="489" t="str">
        <f t="shared" si="125"/>
        <v>40%</v>
      </c>
      <c r="X198" s="488" t="s">
        <v>198</v>
      </c>
      <c r="Y198" s="488" t="s">
        <v>193</v>
      </c>
      <c r="Z198" s="488" t="s">
        <v>194</v>
      </c>
      <c r="AA198" s="490">
        <f>IFERROR(IF(AND(T197="Probabilidad",T198="Probabilidad"),(AC197-(+AC197*W198)),IF(AND(T197="Impacto",T198="Probabilidad"),(AC196-(+AC196*W198)),IF(T198="Impacto",AC197,""))),"")</f>
        <v>0.1512</v>
      </c>
      <c r="AB198" s="491" t="str">
        <f t="shared" si="126"/>
        <v>Muy Baja</v>
      </c>
      <c r="AC198" s="492">
        <f t="shared" ref="AC198:AC204" si="130">+AA198</f>
        <v>0.1512</v>
      </c>
      <c r="AD198" s="491" t="str">
        <f t="shared" si="127"/>
        <v>Mayor</v>
      </c>
      <c r="AE198" s="492">
        <f t="shared" ref="AE198" si="131">IFERROR(IF(AND(T197="Impacto",T198="Impacto"),(AE197-(+AE197*W198)),IF(AND(T197="Probabilidad",T198="Impacto"),(AE196-(+AE196*W198)),IF(T198="Probabilidad",AE197,""))),"")</f>
        <v>0.8</v>
      </c>
      <c r="AF198" s="493" t="str">
        <f t="shared" si="128"/>
        <v>Alto</v>
      </c>
      <c r="AG198" s="573"/>
      <c r="AH198" s="575"/>
      <c r="AI198" s="575"/>
      <c r="AJ198" s="577"/>
      <c r="AK198" s="580"/>
      <c r="AL198" s="575"/>
      <c r="AM198" s="584"/>
      <c r="AN198" s="575"/>
      <c r="AO198" s="575"/>
      <c r="AP198" s="575"/>
      <c r="AQ198" s="575"/>
      <c r="AR198" s="575"/>
      <c r="AS198" s="575"/>
    </row>
    <row r="199" spans="1:45" ht="58.8" x14ac:dyDescent="0.3">
      <c r="A199" s="592"/>
      <c r="B199" s="615"/>
      <c r="C199" s="594"/>
      <c r="D199" s="596"/>
      <c r="E199" s="485" t="s">
        <v>662</v>
      </c>
      <c r="F199" s="597"/>
      <c r="G199" s="599"/>
      <c r="H199" s="597"/>
      <c r="I199" s="602"/>
      <c r="J199" s="604"/>
      <c r="K199" s="606"/>
      <c r="L199" s="608"/>
      <c r="M199" s="610"/>
      <c r="N199" s="608">
        <f>IF(NOT(ISERROR(MATCH(M199,_xlfn.ANCHORARRAY(#REF!),0))),#REF!&amp;"Por favor no seleccionar los criterios de impacto",M199)</f>
        <v>0</v>
      </c>
      <c r="O199" s="606"/>
      <c r="P199" s="608"/>
      <c r="Q199" s="612"/>
      <c r="R199" s="486">
        <v>4</v>
      </c>
      <c r="S199" s="469" t="s">
        <v>663</v>
      </c>
      <c r="T199" s="487" t="str">
        <f t="shared" si="129"/>
        <v>Probabilidad</v>
      </c>
      <c r="U199" s="488" t="s">
        <v>197</v>
      </c>
      <c r="V199" s="488" t="s">
        <v>191</v>
      </c>
      <c r="W199" s="489" t="str">
        <f t="shared" si="125"/>
        <v>40%</v>
      </c>
      <c r="X199" s="488" t="s">
        <v>198</v>
      </c>
      <c r="Y199" s="488" t="s">
        <v>193</v>
      </c>
      <c r="Z199" s="488" t="s">
        <v>194</v>
      </c>
      <c r="AA199" s="490">
        <f>IFERROR(IF(AND(T198="Probabilidad",T199="Probabilidad"),(AC198-(+AC198*W199)),IF(AND(T198="Impacto",T199="Probabilidad"),(AC197-(+AC197*W199)),IF(T199="Impacto",AC198,""))),"")</f>
        <v>9.0719999999999995E-2</v>
      </c>
      <c r="AB199" s="491" t="str">
        <f t="shared" si="126"/>
        <v>Muy Baja</v>
      </c>
      <c r="AC199" s="492">
        <f t="shared" si="130"/>
        <v>9.0719999999999995E-2</v>
      </c>
      <c r="AD199" s="491" t="str">
        <f t="shared" si="127"/>
        <v>Mayor</v>
      </c>
      <c r="AE199" s="492">
        <f>IFERROR(IF(AND(T198="Impacto",T199="Impacto"),(AE198-(+AE198*W199)),IF(AND(T198="Probabilidad",T199="Impacto"),(AE197-(+AE197*W199)),IF(T199="Probabilidad",AE198,""))),"")</f>
        <v>0.8</v>
      </c>
      <c r="AF199" s="493" t="str">
        <f t="shared" si="128"/>
        <v>Alto</v>
      </c>
      <c r="AG199" s="573"/>
      <c r="AH199" s="575"/>
      <c r="AI199" s="575"/>
      <c r="AJ199" s="577"/>
      <c r="AK199" s="580"/>
      <c r="AL199" s="575"/>
      <c r="AM199" s="584"/>
      <c r="AN199" s="575"/>
      <c r="AO199" s="575"/>
      <c r="AP199" s="575"/>
      <c r="AQ199" s="575"/>
      <c r="AR199" s="575"/>
      <c r="AS199" s="575"/>
    </row>
    <row r="200" spans="1:45" ht="58.8" x14ac:dyDescent="0.3">
      <c r="A200" s="592"/>
      <c r="B200" s="615"/>
      <c r="C200" s="594"/>
      <c r="D200" s="596"/>
      <c r="E200" s="484" t="s">
        <v>664</v>
      </c>
      <c r="F200" s="597"/>
      <c r="G200" s="600"/>
      <c r="H200" s="597"/>
      <c r="I200" s="602"/>
      <c r="J200" s="604"/>
      <c r="K200" s="606"/>
      <c r="L200" s="608"/>
      <c r="M200" s="610"/>
      <c r="N200" s="608">
        <f>IF(NOT(ISERROR(MATCH(M200,_xlfn.ANCHORARRAY(#REF!),0))),#REF!&amp;"Por favor no seleccionar los criterios de impacto",M200)</f>
        <v>0</v>
      </c>
      <c r="O200" s="606"/>
      <c r="P200" s="608"/>
      <c r="Q200" s="612"/>
      <c r="R200" s="486">
        <v>5</v>
      </c>
      <c r="S200" s="469" t="s">
        <v>665</v>
      </c>
      <c r="T200" s="487" t="str">
        <f t="shared" si="129"/>
        <v>Probabilidad</v>
      </c>
      <c r="U200" s="488" t="s">
        <v>243</v>
      </c>
      <c r="V200" s="488" t="s">
        <v>191</v>
      </c>
      <c r="W200" s="489" t="str">
        <f t="shared" si="125"/>
        <v>30%</v>
      </c>
      <c r="X200" s="488" t="s">
        <v>198</v>
      </c>
      <c r="Y200" s="488" t="s">
        <v>193</v>
      </c>
      <c r="Z200" s="488" t="s">
        <v>194</v>
      </c>
      <c r="AA200" s="490">
        <f>IFERROR(IF(AND(T199="Probabilidad",T200="Probabilidad"),(AC199-(+AC199*W200)),IF(AND(T199="Impacto",T200="Probabilidad"),(AC198-(+AC198*W200)),IF(T200="Impacto",AC199,""))),"")</f>
        <v>6.3504000000000005E-2</v>
      </c>
      <c r="AB200" s="491" t="str">
        <f t="shared" si="126"/>
        <v>Muy Baja</v>
      </c>
      <c r="AC200" s="492">
        <f t="shared" si="130"/>
        <v>6.3504000000000005E-2</v>
      </c>
      <c r="AD200" s="491" t="str">
        <f t="shared" si="127"/>
        <v>Mayor</v>
      </c>
      <c r="AE200" s="492">
        <f>IFERROR(IF(AND(T199="Impacto",T200="Impacto"),(AE199-(+AE199*W200)),IF(AND(T199="Probabilidad",T200="Impacto"),(AE198-(+AE198*W200)),IF(T200="Probabilidad",AE199,""))),"")</f>
        <v>0.8</v>
      </c>
      <c r="AF200" s="493" t="str">
        <f t="shared" si="128"/>
        <v>Alto</v>
      </c>
      <c r="AG200" s="616"/>
      <c r="AH200" s="582"/>
      <c r="AI200" s="582"/>
      <c r="AJ200" s="578"/>
      <c r="AK200" s="581"/>
      <c r="AL200" s="582"/>
      <c r="AM200" s="585"/>
      <c r="AN200" s="582"/>
      <c r="AO200" s="582"/>
      <c r="AP200" s="582"/>
      <c r="AQ200" s="582"/>
      <c r="AR200" s="582"/>
      <c r="AS200" s="582"/>
    </row>
    <row r="201" spans="1:45" ht="82.8" x14ac:dyDescent="0.3">
      <c r="A201" s="591">
        <v>2</v>
      </c>
      <c r="B201" s="574" t="s">
        <v>199</v>
      </c>
      <c r="C201" s="593" t="s">
        <v>666</v>
      </c>
      <c r="D201" s="595" t="s">
        <v>667</v>
      </c>
      <c r="E201" s="484" t="s">
        <v>668</v>
      </c>
      <c r="F201" s="597" t="s">
        <v>669</v>
      </c>
      <c r="G201" s="598" t="s">
        <v>648</v>
      </c>
      <c r="H201" s="598" t="s">
        <v>670</v>
      </c>
      <c r="I201" s="601" t="s">
        <v>190</v>
      </c>
      <c r="J201" s="603">
        <v>360</v>
      </c>
      <c r="K201" s="605" t="str">
        <f>IF(J201&lt;=0,"",IF(J201&lt;=2,"Muy Baja",IF(J201&lt;=24,"Baja",IF(J201&lt;=500,"Media",IF(J201&lt;=5000,"Alta","Muy Alta")))))</f>
        <v>Media</v>
      </c>
      <c r="L201" s="607">
        <f>IF(K201="","",IF(K201="Muy Baja",0.2,IF(K201="Baja",0.4,IF(K201="Media",0.6,IF(K201="Alta",0.8,IF(K201="Muy Alta",1,))))))</f>
        <v>0.6</v>
      </c>
      <c r="M201" s="609" t="s">
        <v>214</v>
      </c>
      <c r="N201" s="607" t="str">
        <f>IF(NOT(ISERROR(MATCH(M201,'[14]Tabla Impacto'!$B$221:$B$223,0))),'[14]Tabla Impacto'!$F$223&amp;"Por favor no seleccionar los criterios de impacto(Afectación Económica o presupuestal y Pérdida Reputacional)",M201)</f>
        <v xml:space="preserve">     El riesgo afecta la imagen de de la entidad con efecto publicitario sostenido a nivel de sector administrativo, nivel departamental o municipal</v>
      </c>
      <c r="O201" s="605" t="str">
        <f>IF(OR(N201='[14]Tabla Impacto'!$C$11,N201='[14]Tabla Impacto'!$D$11),"Leve",IF(OR(N201='[14]Tabla Impacto'!$C$12,N201='[14]Tabla Impacto'!$D$12),"Menor",IF(OR(N201='[14]Tabla Impacto'!$C$13,N201='[14]Tabla Impacto'!$D$13),"Moderado",IF(OR(N201='[14]Tabla Impacto'!$C$14,N201='[14]Tabla Impacto'!$D$14),"Mayor",IF(OR(N201='[14]Tabla Impacto'!$C$15,N201='[14]Tabla Impacto'!$D$15),"Catastrófico","")))))</f>
        <v>Mayor</v>
      </c>
      <c r="P201" s="607">
        <f>IF(O201="","",IF(O201="Leve",0.2,IF(O201="Menor",0.4,IF(O201="Moderado",0.6,IF(O201="Mayor",0.8,IF(O201="Catastrófico",1,))))))</f>
        <v>0.8</v>
      </c>
      <c r="Q201" s="611" t="str">
        <f>IF(OR(AND(K201="Muy Baja",O201="Leve"),AND(K201="Muy Baja",O201="Menor"),AND(K201="Baja",O201="Leve")),"Bajo",IF(OR(AND(K201="Muy baja",O201="Moderado"),AND(K201="Baja",O201="Menor"),AND(K201="Baja",O201="Moderado"),AND(K201="Media",O201="Leve"),AND(K201="Media",O201="Menor"),AND(K201="Media",O201="Moderado"),AND(K201="Alta",O201="Leve"),AND(K201="Alta",O201="Menor")),"Moderado",IF(OR(AND(K201="Muy Baja",O201="Mayor"),AND(K201="Baja",O201="Mayor"),AND(K201="Media",O201="Mayor"),AND(K201="Alta",O201="Moderado"),AND(K201="Alta",O201="Mayor"),AND(K201="Muy Alta",O201="Leve"),AND(K201="Muy Alta",O201="Menor"),AND(K201="Muy Alta",O201="Moderado"),AND(K201="Muy Alta",O201="Mayor")),"Alto",IF(OR(AND(K201="Muy Baja",O201="Catastrófico"),AND(K201="Baja",O201="Catastrófico"),AND(K201="Media",O201="Catastrófico"),AND(K201="Alta",O201="Catastrófico"),AND(K201="Muy Alta",O201="Catastrófico")),"Extremo",""))))</f>
        <v>Alto</v>
      </c>
      <c r="R201" s="496">
        <v>1</v>
      </c>
      <c r="S201" s="497" t="s">
        <v>671</v>
      </c>
      <c r="T201" s="487" t="str">
        <f>IF(OR(U201="Preventivo",U201="Detectivo"),"Probabilidad",IF(U201="Correctivo","Impacto",""))</f>
        <v>Probabilidad</v>
      </c>
      <c r="U201" s="488" t="s">
        <v>197</v>
      </c>
      <c r="V201" s="488" t="s">
        <v>191</v>
      </c>
      <c r="W201" s="489" t="str">
        <f>IF(AND(U201="Preventivo",V201="Automático"),"50%",IF(AND(U201="Preventivo",V201="Manual"),"40%",IF(AND(U201="Detectivo",V201="Automático"),"40%",IF(AND(U201="Detectivo",V201="Manual"),"30%",IF(AND(U201="Correctivo",V201="Automático"),"35%",IF(AND(U201="Correctivo",V201="Manual"),"25%",""))))))</f>
        <v>40%</v>
      </c>
      <c r="X201" s="488" t="s">
        <v>192</v>
      </c>
      <c r="Y201" s="488" t="s">
        <v>193</v>
      </c>
      <c r="Z201" s="488" t="s">
        <v>194</v>
      </c>
      <c r="AA201" s="498">
        <f>IFERROR(IF(T201="Probabilidad",(L201-(+L201*W201)),IF(T201="Impacto",L201,"")),"")</f>
        <v>0.36</v>
      </c>
      <c r="AB201" s="499" t="str">
        <f>IFERROR(IF(AA201="","",IF(AA201&lt;=0.2,"Muy Baja",IF(AA201&lt;=0.4,"Baja",IF(AA201&lt;=0.6,"Media",IF(AA201&lt;=0.8,"Alta","Muy Alta"))))),"")</f>
        <v>Baja</v>
      </c>
      <c r="AC201" s="500">
        <f t="shared" si="130"/>
        <v>0.36</v>
      </c>
      <c r="AD201" s="499" t="str">
        <f>IFERROR(IF(AE201="","",IF(AE201&lt;=0.2,"Leve",IF(AE201&lt;=0.4,"Menor",IF(AE201&lt;=0.6,"Moderado",IF(AE201&lt;=0.8,"Mayor","Catastrófico"))))),"")</f>
        <v>Mayor</v>
      </c>
      <c r="AE201" s="500">
        <f>IFERROR(IF(T201="Impacto",(P201-(+P201*W201)),IF(T201="Probabilidad",P201,"")),"")</f>
        <v>0.8</v>
      </c>
      <c r="AF201" s="501" t="str">
        <f>IFERROR(IF(OR(AND(AB201="Muy Baja",AD201="Leve"),AND(AB201="Muy Baja",AD201="Menor"),AND(AB201="Baja",AD201="Leve")),"Bajo",IF(OR(AND(AB201="Muy baja",AD201="Moderado"),AND(AB201="Baja",AD201="Menor"),AND(AB201="Baja",AD201="Moderado"),AND(AB201="Media",AD201="Leve"),AND(AB201="Media",AD201="Menor"),AND(AB201="Media",AD201="Moderado"),AND(AB201="Alta",AD201="Leve"),AND(AB201="Alta",AD201="Menor")),"Moderado",IF(OR(AND(AB201="Muy Baja",AD201="Mayor"),AND(AB201="Baja",AD201="Mayor"),AND(AB201="Media",AD201="Mayor"),AND(AB201="Alta",AD201="Moderado"),AND(AB201="Alta",AD201="Mayor"),AND(AB201="Muy Alta",AD201="Leve"),AND(AB201="Muy Alta",AD201="Menor"),AND(AB201="Muy Alta",AD201="Moderado"),AND(AB201="Muy Alta",AD201="Mayor")),"Alto",IF(OR(AND(AB201="Muy Baja",AD201="Catastrófico"),AND(AB201="Baja",AD201="Catastrófico"),AND(AB201="Media",AD201="Catastrófico"),AND(AB201="Alta",AD201="Catastrófico"),AND(AB201="Muy Alta",AD201="Catastrófico")),"Extremo","")))),"")</f>
        <v>Alto</v>
      </c>
      <c r="AG201" s="572" t="s">
        <v>195</v>
      </c>
      <c r="AH201" s="574" t="s">
        <v>672</v>
      </c>
      <c r="AI201" s="574" t="s">
        <v>673</v>
      </c>
      <c r="AJ201" s="576" t="s">
        <v>674</v>
      </c>
      <c r="AK201" s="579" t="s">
        <v>675</v>
      </c>
      <c r="AL201" s="574" t="s">
        <v>676</v>
      </c>
      <c r="AM201" s="583" t="s">
        <v>656</v>
      </c>
      <c r="AN201" s="566" t="s">
        <v>677</v>
      </c>
      <c r="AO201" s="566"/>
      <c r="AP201" s="566"/>
      <c r="AQ201" s="569"/>
      <c r="AR201" s="569"/>
      <c r="AS201" s="569"/>
    </row>
    <row r="202" spans="1:45" ht="82.8" x14ac:dyDescent="0.3">
      <c r="A202" s="592"/>
      <c r="B202" s="575"/>
      <c r="C202" s="594"/>
      <c r="D202" s="596"/>
      <c r="E202" s="484" t="s">
        <v>678</v>
      </c>
      <c r="F202" s="597"/>
      <c r="G202" s="599"/>
      <c r="H202" s="599"/>
      <c r="I202" s="602"/>
      <c r="J202" s="604"/>
      <c r="K202" s="606"/>
      <c r="L202" s="608"/>
      <c r="M202" s="610"/>
      <c r="N202" s="608">
        <f>IF(NOT(ISERROR(MATCH(M202,_xlfn.ANCHORARRAY(F201),0))),#REF!&amp;"Por favor no seleccionar los criterios de impacto",M202)</f>
        <v>0</v>
      </c>
      <c r="O202" s="606"/>
      <c r="P202" s="608"/>
      <c r="Q202" s="612"/>
      <c r="R202" s="496">
        <v>2</v>
      </c>
      <c r="S202" s="497" t="s">
        <v>679</v>
      </c>
      <c r="T202" s="487" t="str">
        <f>IF(OR(U202="Preventivo",U202="Detectivo"),"Probabilidad",IF(U202="Correctivo","Impacto",""))</f>
        <v>Probabilidad</v>
      </c>
      <c r="U202" s="488" t="s">
        <v>197</v>
      </c>
      <c r="V202" s="488" t="s">
        <v>191</v>
      </c>
      <c r="W202" s="489" t="str">
        <f t="shared" ref="W202:W204" si="132">IF(AND(U202="Preventivo",V202="Automático"),"50%",IF(AND(U202="Preventivo",V202="Manual"),"40%",IF(AND(U202="Detectivo",V202="Automático"),"40%",IF(AND(U202="Detectivo",V202="Manual"),"30%",IF(AND(U202="Correctivo",V202="Automático"),"35%",IF(AND(U202="Correctivo",V202="Manual"),"25%",""))))))</f>
        <v>40%</v>
      </c>
      <c r="X202" s="488" t="s">
        <v>192</v>
      </c>
      <c r="Y202" s="488" t="s">
        <v>471</v>
      </c>
      <c r="Z202" s="488" t="s">
        <v>194</v>
      </c>
      <c r="AA202" s="498">
        <f>IFERROR(IF(AND(T201="Probabilidad",T202="Probabilidad"),(AC201-(+AC201*W202)),IF(AND(T201="Impacto",T202="Probabilidad"),(L201-(+L201*W202)),IF(T202="Impacto",AC201,""))),"")</f>
        <v>0.216</v>
      </c>
      <c r="AB202" s="499" t="str">
        <f t="shared" ref="AB202:AB204" si="133">IFERROR(IF(AA202="","",IF(AA202&lt;=0.2,"Muy Baja",IF(AA202&lt;=0.4,"Baja",IF(AA202&lt;=0.6,"Media",IF(AA202&lt;=0.8,"Alta","Muy Alta"))))),"")</f>
        <v>Baja</v>
      </c>
      <c r="AC202" s="500">
        <f t="shared" si="130"/>
        <v>0.216</v>
      </c>
      <c r="AD202" s="499" t="str">
        <f t="shared" ref="AD202:AD204" si="134">IFERROR(IF(AE202="","",IF(AE202&lt;=0.2,"Leve",IF(AE202&lt;=0.4,"Menor",IF(AE202&lt;=0.6,"Moderado",IF(AE202&lt;=0.8,"Mayor","Catastrófico"))))),"")</f>
        <v>Mayor</v>
      </c>
      <c r="AE202" s="500">
        <f>IFERROR(IF(AND(T201="Impacto",T202="Impacto"),(AE201-(+AE201*W202)),IF(AND(T201="Probabilidad",T202="Impacto"),(P201-(+P201*W202)),IF(T202="Probabilidad",AE201,""))),"")</f>
        <v>0.8</v>
      </c>
      <c r="AF202" s="501" t="str">
        <f t="shared" ref="AF202:AF204" si="135">IFERROR(IF(OR(AND(AB202="Muy Baja",AD202="Leve"),AND(AB202="Muy Baja",AD202="Menor"),AND(AB202="Baja",AD202="Leve")),"Bajo",IF(OR(AND(AB202="Muy baja",AD202="Moderado"),AND(AB202="Baja",AD202="Menor"),AND(AB202="Baja",AD202="Moderado"),AND(AB202="Media",AD202="Leve"),AND(AB202="Media",AD202="Menor"),AND(AB202="Media",AD202="Moderado"),AND(AB202="Alta",AD202="Leve"),AND(AB202="Alta",AD202="Menor")),"Moderado",IF(OR(AND(AB202="Muy Baja",AD202="Mayor"),AND(AB202="Baja",AD202="Mayor"),AND(AB202="Media",AD202="Mayor"),AND(AB202="Alta",AD202="Moderado"),AND(AB202="Alta",AD202="Mayor"),AND(AB202="Muy Alta",AD202="Leve"),AND(AB202="Muy Alta",AD202="Menor"),AND(AB202="Muy Alta",AD202="Moderado"),AND(AB202="Muy Alta",AD202="Mayor")),"Alto",IF(OR(AND(AB202="Muy Baja",AD202="Catastrófico"),AND(AB202="Baja",AD202="Catastrófico"),AND(AB202="Media",AD202="Catastrófico"),AND(AB202="Alta",AD202="Catastrófico"),AND(AB202="Muy Alta",AD202="Catastrófico")),"Extremo","")))),"")</f>
        <v>Alto</v>
      </c>
      <c r="AG202" s="573"/>
      <c r="AH202" s="575"/>
      <c r="AI202" s="575"/>
      <c r="AJ202" s="577"/>
      <c r="AK202" s="580"/>
      <c r="AL202" s="575"/>
      <c r="AM202" s="584"/>
      <c r="AN202" s="567"/>
      <c r="AO202" s="567"/>
      <c r="AP202" s="567"/>
      <c r="AQ202" s="570"/>
      <c r="AR202" s="570"/>
      <c r="AS202" s="570"/>
    </row>
    <row r="203" spans="1:45" ht="110.4" x14ac:dyDescent="0.3">
      <c r="A203" s="592"/>
      <c r="B203" s="575"/>
      <c r="C203" s="594"/>
      <c r="D203" s="596"/>
      <c r="E203" s="484" t="s">
        <v>680</v>
      </c>
      <c r="F203" s="597"/>
      <c r="G203" s="599"/>
      <c r="H203" s="599"/>
      <c r="I203" s="602"/>
      <c r="J203" s="604"/>
      <c r="K203" s="606"/>
      <c r="L203" s="608"/>
      <c r="M203" s="610"/>
      <c r="N203" s="608"/>
      <c r="O203" s="606"/>
      <c r="P203" s="608"/>
      <c r="Q203" s="612"/>
      <c r="R203" s="496">
        <v>3</v>
      </c>
      <c r="S203" s="502" t="s">
        <v>681</v>
      </c>
      <c r="T203" s="487" t="str">
        <f t="shared" ref="T203:T204" si="136">IF(OR(U203="Preventivo",U203="Detectivo"),"Probabilidad",IF(U203="Correctivo","Impacto",""))</f>
        <v>Probabilidad</v>
      </c>
      <c r="U203" s="488" t="s">
        <v>243</v>
      </c>
      <c r="V203" s="488" t="s">
        <v>588</v>
      </c>
      <c r="W203" s="489" t="str">
        <f t="shared" si="132"/>
        <v>40%</v>
      </c>
      <c r="X203" s="488" t="s">
        <v>198</v>
      </c>
      <c r="Y203" s="488" t="s">
        <v>193</v>
      </c>
      <c r="Z203" s="488" t="s">
        <v>194</v>
      </c>
      <c r="AA203" s="498">
        <f>IFERROR(IF(AND(T202="Probabilidad",T203="Probabilidad"),(AC202-(+AC202*W203)),IF(AND(T202="Impacto",T203="Probabilidad"),(L202-(+L202*W203)),IF(T203="Impacto",AC202,""))),"")</f>
        <v>0.12959999999999999</v>
      </c>
      <c r="AB203" s="499" t="str">
        <f t="shared" si="133"/>
        <v>Muy Baja</v>
      </c>
      <c r="AC203" s="500">
        <f t="shared" si="130"/>
        <v>0.12959999999999999</v>
      </c>
      <c r="AD203" s="499" t="str">
        <f t="shared" si="134"/>
        <v>Mayor</v>
      </c>
      <c r="AE203" s="500">
        <f>IFERROR(IF(AND(T202="Impacto",T203="Impacto"),(AE202-(+AE202*W203)),IF(AND(T202="Probabilidad",T203="Impacto"),(P202-(+P202*W203)),IF(T203="Probabilidad",AE202,""))),"")</f>
        <v>0.8</v>
      </c>
      <c r="AF203" s="501" t="str">
        <f t="shared" si="135"/>
        <v>Alto</v>
      </c>
      <c r="AG203" s="573"/>
      <c r="AH203" s="575"/>
      <c r="AI203" s="575"/>
      <c r="AJ203" s="577"/>
      <c r="AK203" s="580"/>
      <c r="AL203" s="575"/>
      <c r="AM203" s="584"/>
      <c r="AN203" s="567"/>
      <c r="AO203" s="567"/>
      <c r="AP203" s="567"/>
      <c r="AQ203" s="570"/>
      <c r="AR203" s="570"/>
      <c r="AS203" s="570"/>
    </row>
    <row r="204" spans="1:45" ht="69" x14ac:dyDescent="0.3">
      <c r="A204" s="592"/>
      <c r="B204" s="575"/>
      <c r="C204" s="594"/>
      <c r="D204" s="596"/>
      <c r="E204" s="484" t="s">
        <v>682</v>
      </c>
      <c r="F204" s="597"/>
      <c r="G204" s="600"/>
      <c r="H204" s="599"/>
      <c r="I204" s="602"/>
      <c r="J204" s="604"/>
      <c r="K204" s="606"/>
      <c r="L204" s="608"/>
      <c r="M204" s="610"/>
      <c r="N204" s="608"/>
      <c r="O204" s="606"/>
      <c r="P204" s="608"/>
      <c r="Q204" s="612"/>
      <c r="R204" s="496">
        <v>4</v>
      </c>
      <c r="S204" s="502" t="s">
        <v>683</v>
      </c>
      <c r="T204" s="487" t="str">
        <f t="shared" si="136"/>
        <v>Probabilidad</v>
      </c>
      <c r="U204" s="488" t="s">
        <v>197</v>
      </c>
      <c r="V204" s="488" t="s">
        <v>191</v>
      </c>
      <c r="W204" s="489" t="str">
        <f t="shared" si="132"/>
        <v>40%</v>
      </c>
      <c r="X204" s="488" t="s">
        <v>192</v>
      </c>
      <c r="Y204" s="488" t="s">
        <v>471</v>
      </c>
      <c r="Z204" s="488" t="s">
        <v>194</v>
      </c>
      <c r="AA204" s="498">
        <f>IFERROR(IF(AND(T203="Probabilidad",T204="Probabilidad"),(AC203-(+AC203*W204)),IF(AND(T203="Impacto",T204="Probabilidad"),(L203-(+L203*W204)),IF(T204="Impacto",AC203,""))),"")</f>
        <v>7.7759999999999996E-2</v>
      </c>
      <c r="AB204" s="499" t="str">
        <f t="shared" si="133"/>
        <v>Muy Baja</v>
      </c>
      <c r="AC204" s="500">
        <f t="shared" si="130"/>
        <v>7.7759999999999996E-2</v>
      </c>
      <c r="AD204" s="499" t="str">
        <f t="shared" si="134"/>
        <v>Mayor</v>
      </c>
      <c r="AE204" s="500">
        <f>IFERROR(IF(AND(T203="Impacto",T204="Impacto"),(AE203-(+AE203*W204)),IF(AND(T203="Probabilidad",T204="Impacto"),(P203-(+P203*W204)),IF(T204="Probabilidad",AE203,""))),"")</f>
        <v>0.8</v>
      </c>
      <c r="AF204" s="501" t="str">
        <f t="shared" si="135"/>
        <v>Alto</v>
      </c>
      <c r="AG204" s="573"/>
      <c r="AH204" s="575"/>
      <c r="AI204" s="575"/>
      <c r="AJ204" s="578"/>
      <c r="AK204" s="581"/>
      <c r="AL204" s="582"/>
      <c r="AM204" s="585"/>
      <c r="AN204" s="568"/>
      <c r="AO204" s="568"/>
      <c r="AP204" s="568"/>
      <c r="AQ204" s="571"/>
      <c r="AR204" s="571"/>
      <c r="AS204" s="571"/>
    </row>
    <row r="281" spans="1:39" s="40" customFormat="1" x14ac:dyDescent="0.25">
      <c r="A281" s="42"/>
      <c r="B281" s="43"/>
      <c r="C281" s="42"/>
      <c r="D281" s="42"/>
      <c r="E281" s="42"/>
      <c r="F281" s="41"/>
      <c r="G281" s="41"/>
      <c r="H281" s="41"/>
      <c r="I281" s="44"/>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row>
  </sheetData>
  <mergeCells count="1133">
    <mergeCell ref="P8:P9"/>
    <mergeCell ref="Q8:Q9"/>
    <mergeCell ref="R8:R9"/>
    <mergeCell ref="S8:S9"/>
    <mergeCell ref="T8:T9"/>
    <mergeCell ref="A8:A9"/>
    <mergeCell ref="B8:B9"/>
    <mergeCell ref="C8:C9"/>
    <mergeCell ref="D8:D9"/>
    <mergeCell ref="E8:E9"/>
    <mergeCell ref="F8:F9"/>
    <mergeCell ref="I8:I9"/>
    <mergeCell ref="J8:J9"/>
    <mergeCell ref="K8:K9"/>
    <mergeCell ref="A1:AM2"/>
    <mergeCell ref="A4:B4"/>
    <mergeCell ref="C4:AM4"/>
    <mergeCell ref="A5:B5"/>
    <mergeCell ref="C5:AM5"/>
    <mergeCell ref="A6:B6"/>
    <mergeCell ref="C6:AM6"/>
    <mergeCell ref="A7:J7"/>
    <mergeCell ref="K7:Q7"/>
    <mergeCell ref="R7:Z7"/>
    <mergeCell ref="AA7:AG7"/>
    <mergeCell ref="AH7:AM7"/>
    <mergeCell ref="A17:AM18"/>
    <mergeCell ref="A20:B20"/>
    <mergeCell ref="C20:AM20"/>
    <mergeCell ref="A21:B21"/>
    <mergeCell ref="C21:AM21"/>
    <mergeCell ref="A22:B22"/>
    <mergeCell ref="C22:AM22"/>
    <mergeCell ref="B14:B15"/>
    <mergeCell ref="C14:C15"/>
    <mergeCell ref="D14:D15"/>
    <mergeCell ref="F14:F15"/>
    <mergeCell ref="G14:G15"/>
    <mergeCell ref="I14:I15"/>
    <mergeCell ref="N14:N15"/>
    <mergeCell ref="AI8:AI9"/>
    <mergeCell ref="AJ8:AJ9"/>
    <mergeCell ref="AK8:AK9"/>
    <mergeCell ref="AL8:AL9"/>
    <mergeCell ref="AM8:AM9"/>
    <mergeCell ref="U8:Z8"/>
    <mergeCell ref="AA8:AA9"/>
    <mergeCell ref="AB8:AB9"/>
    <mergeCell ref="AC8:AC9"/>
    <mergeCell ref="AD8:AD9"/>
    <mergeCell ref="AE8:AE9"/>
    <mergeCell ref="AF8:AF9"/>
    <mergeCell ref="AG8:AG9"/>
    <mergeCell ref="AH8:AH9"/>
    <mergeCell ref="L8:L9"/>
    <mergeCell ref="M8:M9"/>
    <mergeCell ref="N8:N9"/>
    <mergeCell ref="O8:O9"/>
    <mergeCell ref="AI24:AI25"/>
    <mergeCell ref="A23:J23"/>
    <mergeCell ref="K23:Q23"/>
    <mergeCell ref="R23:Z23"/>
    <mergeCell ref="AA23:AG23"/>
    <mergeCell ref="AH23:AM23"/>
    <mergeCell ref="A24:A25"/>
    <mergeCell ref="B24:B25"/>
    <mergeCell ref="C24:C25"/>
    <mergeCell ref="D24:D25"/>
    <mergeCell ref="E24:E25"/>
    <mergeCell ref="F24:F25"/>
    <mergeCell ref="I24:I25"/>
    <mergeCell ref="J24:J25"/>
    <mergeCell ref="K24:K25"/>
    <mergeCell ref="L24:L25"/>
    <mergeCell ref="M24:M25"/>
    <mergeCell ref="N24:N25"/>
    <mergeCell ref="O24:O25"/>
    <mergeCell ref="P24:P25"/>
    <mergeCell ref="Q24:Q25"/>
    <mergeCell ref="R24:R25"/>
    <mergeCell ref="S24:S25"/>
    <mergeCell ref="T24:T25"/>
    <mergeCell ref="U24:Z24"/>
    <mergeCell ref="AJ24:AJ25"/>
    <mergeCell ref="AK24:AK25"/>
    <mergeCell ref="AL24:AL25"/>
    <mergeCell ref="AM24:AM25"/>
    <mergeCell ref="A26:A27"/>
    <mergeCell ref="B26:B27"/>
    <mergeCell ref="C26:C27"/>
    <mergeCell ref="D26:D27"/>
    <mergeCell ref="F26:F27"/>
    <mergeCell ref="G26:G27"/>
    <mergeCell ref="J26:J27"/>
    <mergeCell ref="K26:K27"/>
    <mergeCell ref="L26:L27"/>
    <mergeCell ref="M26:M27"/>
    <mergeCell ref="N26:N31"/>
    <mergeCell ref="O26:O27"/>
    <mergeCell ref="P26:P27"/>
    <mergeCell ref="Q26:Q31"/>
    <mergeCell ref="S26:S27"/>
    <mergeCell ref="T26:T27"/>
    <mergeCell ref="U26:U27"/>
    <mergeCell ref="F28:F29"/>
    <mergeCell ref="G28:G29"/>
    <mergeCell ref="H28:H29"/>
    <mergeCell ref="I28:I29"/>
    <mergeCell ref="J28:J29"/>
    <mergeCell ref="K28:K29"/>
    <mergeCell ref="L28:L29"/>
    <mergeCell ref="M28:M29"/>
    <mergeCell ref="O28:O29"/>
    <mergeCell ref="T28:T29"/>
    <mergeCell ref="V26:V27"/>
    <mergeCell ref="W26:W27"/>
    <mergeCell ref="X26:X27"/>
    <mergeCell ref="AA24:AA25"/>
    <mergeCell ref="AB24:AB25"/>
    <mergeCell ref="AC24:AC25"/>
    <mergeCell ref="AD24:AD25"/>
    <mergeCell ref="AE24:AE25"/>
    <mergeCell ref="AF24:AF25"/>
    <mergeCell ref="AG24:AG25"/>
    <mergeCell ref="AH24:AH25"/>
    <mergeCell ref="U28:U29"/>
    <mergeCell ref="V28:V29"/>
    <mergeCell ref="W28:W29"/>
    <mergeCell ref="X28:X29"/>
    <mergeCell ref="Y28:Y29"/>
    <mergeCell ref="Z28:Z29"/>
    <mergeCell ref="AH28:AH29"/>
    <mergeCell ref="AI28:AI29"/>
    <mergeCell ref="Y26:Y27"/>
    <mergeCell ref="Z26:Z27"/>
    <mergeCell ref="AA26:AA27"/>
    <mergeCell ref="AB26:AB27"/>
    <mergeCell ref="AC26:AC27"/>
    <mergeCell ref="AD26:AD27"/>
    <mergeCell ref="AE26:AE27"/>
    <mergeCell ref="AF26:AF27"/>
    <mergeCell ref="AG26:AG27"/>
    <mergeCell ref="AJ28:AJ29"/>
    <mergeCell ref="AK28:AK29"/>
    <mergeCell ref="AL28:AL29"/>
    <mergeCell ref="AM28:AM29"/>
    <mergeCell ref="B30:B32"/>
    <mergeCell ref="C30:C32"/>
    <mergeCell ref="D30:D32"/>
    <mergeCell ref="F30:F32"/>
    <mergeCell ref="G30:G32"/>
    <mergeCell ref="H30:H32"/>
    <mergeCell ref="I30:I32"/>
    <mergeCell ref="J30:J32"/>
    <mergeCell ref="K30:K32"/>
    <mergeCell ref="L30:L32"/>
    <mergeCell ref="M30:M32"/>
    <mergeCell ref="O30:O32"/>
    <mergeCell ref="AH26:AH27"/>
    <mergeCell ref="AI26:AI27"/>
    <mergeCell ref="AJ26:AJ27"/>
    <mergeCell ref="AK26:AK27"/>
    <mergeCell ref="AL26:AL27"/>
    <mergeCell ref="AM26:AM27"/>
    <mergeCell ref="T40:T41"/>
    <mergeCell ref="U40:Z40"/>
    <mergeCell ref="AA40:AA41"/>
    <mergeCell ref="AB40:AB41"/>
    <mergeCell ref="AC40:AC41"/>
    <mergeCell ref="AD40:AD41"/>
    <mergeCell ref="A33:AM34"/>
    <mergeCell ref="A36:B36"/>
    <mergeCell ref="C36:AM36"/>
    <mergeCell ref="A37:B37"/>
    <mergeCell ref="C37:AM37"/>
    <mergeCell ref="A38:B38"/>
    <mergeCell ref="C38:AM38"/>
    <mergeCell ref="A39:J39"/>
    <mergeCell ref="K39:Q39"/>
    <mergeCell ref="R39:Z39"/>
    <mergeCell ref="AA39:AG39"/>
    <mergeCell ref="AH39:AM39"/>
    <mergeCell ref="F42:F45"/>
    <mergeCell ref="G42:G45"/>
    <mergeCell ref="H42:H45"/>
    <mergeCell ref="I42:I45"/>
    <mergeCell ref="J42:J45"/>
    <mergeCell ref="AE40:AE41"/>
    <mergeCell ref="AF40:AF41"/>
    <mergeCell ref="AG40:AG41"/>
    <mergeCell ref="AH40:AH41"/>
    <mergeCell ref="AI40:AI41"/>
    <mergeCell ref="AJ40:AJ41"/>
    <mergeCell ref="AK40:AK41"/>
    <mergeCell ref="AL40:AL41"/>
    <mergeCell ref="AM40:AM41"/>
    <mergeCell ref="AN39:AN41"/>
    <mergeCell ref="A40:A41"/>
    <mergeCell ref="B40:B41"/>
    <mergeCell ref="C40:C41"/>
    <mergeCell ref="D40:D41"/>
    <mergeCell ref="E40:E41"/>
    <mergeCell ref="F40:F41"/>
    <mergeCell ref="I40:I41"/>
    <mergeCell ref="J40:J41"/>
    <mergeCell ref="K40:K41"/>
    <mergeCell ref="L40:L41"/>
    <mergeCell ref="M40:M41"/>
    <mergeCell ref="N40:N41"/>
    <mergeCell ref="O40:O41"/>
    <mergeCell ref="P40:P41"/>
    <mergeCell ref="Q40:Q41"/>
    <mergeCell ref="R40:R41"/>
    <mergeCell ref="S40:S41"/>
    <mergeCell ref="A50:AL51"/>
    <mergeCell ref="A53:B53"/>
    <mergeCell ref="C53:AL53"/>
    <mergeCell ref="AH46:AH47"/>
    <mergeCell ref="AI46:AI47"/>
    <mergeCell ref="K42:K45"/>
    <mergeCell ref="L42:L45"/>
    <mergeCell ref="M42:M45"/>
    <mergeCell ref="N42:N45"/>
    <mergeCell ref="O42:O45"/>
    <mergeCell ref="P42:P45"/>
    <mergeCell ref="Q42:Q45"/>
    <mergeCell ref="E44:E45"/>
    <mergeCell ref="A46:A47"/>
    <mergeCell ref="B46:B47"/>
    <mergeCell ref="C46:C47"/>
    <mergeCell ref="D46:D47"/>
    <mergeCell ref="F46:F47"/>
    <mergeCell ref="G46:G47"/>
    <mergeCell ref="I46:I47"/>
    <mergeCell ref="J46:J47"/>
    <mergeCell ref="K46:K47"/>
    <mergeCell ref="L46:L47"/>
    <mergeCell ref="M46:M47"/>
    <mergeCell ref="N46:N47"/>
    <mergeCell ref="O46:O47"/>
    <mergeCell ref="P46:P47"/>
    <mergeCell ref="Q46:Q47"/>
    <mergeCell ref="A42:A45"/>
    <mergeCell ref="B42:B45"/>
    <mergeCell ref="C42:C45"/>
    <mergeCell ref="D42:D45"/>
    <mergeCell ref="AJ57:AJ58"/>
    <mergeCell ref="A54:B54"/>
    <mergeCell ref="C54:AL54"/>
    <mergeCell ref="A55:B55"/>
    <mergeCell ref="C55:AL55"/>
    <mergeCell ref="A57:A58"/>
    <mergeCell ref="B57:B58"/>
    <mergeCell ref="C57:C58"/>
    <mergeCell ref="D57:D58"/>
    <mergeCell ref="E57:E58"/>
    <mergeCell ref="F57:F58"/>
    <mergeCell ref="I57:I58"/>
    <mergeCell ref="J57:J58"/>
    <mergeCell ref="K57:K58"/>
    <mergeCell ref="L57:L58"/>
    <mergeCell ref="M57:M58"/>
    <mergeCell ref="N57:N58"/>
    <mergeCell ref="O57:O58"/>
    <mergeCell ref="P57:P58"/>
    <mergeCell ref="Q57:Q58"/>
    <mergeCell ref="R57:R58"/>
    <mergeCell ref="S57:S58"/>
    <mergeCell ref="T57:T58"/>
    <mergeCell ref="U57:Z57"/>
    <mergeCell ref="AA57:AA58"/>
    <mergeCell ref="AK57:AK58"/>
    <mergeCell ref="AL57:AL58"/>
    <mergeCell ref="A59:A62"/>
    <mergeCell ref="B59:B62"/>
    <mergeCell ref="C59:C62"/>
    <mergeCell ref="D59:D62"/>
    <mergeCell ref="F59:F62"/>
    <mergeCell ref="G59:G64"/>
    <mergeCell ref="H59:H62"/>
    <mergeCell ref="I59:I62"/>
    <mergeCell ref="J59:J62"/>
    <mergeCell ref="K59:K62"/>
    <mergeCell ref="L59:L62"/>
    <mergeCell ref="M59:M62"/>
    <mergeCell ref="N59:N62"/>
    <mergeCell ref="O59:O62"/>
    <mergeCell ref="P59:P62"/>
    <mergeCell ref="Q59:Q62"/>
    <mergeCell ref="E60:E61"/>
    <mergeCell ref="D63:D64"/>
    <mergeCell ref="F63:F64"/>
    <mergeCell ref="H63:H64"/>
    <mergeCell ref="I63:I64"/>
    <mergeCell ref="J63:J64"/>
    <mergeCell ref="K63:K64"/>
    <mergeCell ref="L63:L64"/>
    <mergeCell ref="M63:M64"/>
    <mergeCell ref="N63:N64"/>
    <mergeCell ref="R60:R61"/>
    <mergeCell ref="S60:S61"/>
    <mergeCell ref="A63:A64"/>
    <mergeCell ref="B63:B64"/>
    <mergeCell ref="C63:C64"/>
    <mergeCell ref="AB57:AB58"/>
    <mergeCell ref="AC57:AC58"/>
    <mergeCell ref="AD57:AD58"/>
    <mergeCell ref="AE57:AE58"/>
    <mergeCell ref="AF57:AF58"/>
    <mergeCell ref="AG57:AG58"/>
    <mergeCell ref="AH57:AH58"/>
    <mergeCell ref="AI57:AI58"/>
    <mergeCell ref="O63:O64"/>
    <mergeCell ref="P63:P64"/>
    <mergeCell ref="Q63:Q64"/>
    <mergeCell ref="A65:A67"/>
    <mergeCell ref="B65:B67"/>
    <mergeCell ref="C65:C67"/>
    <mergeCell ref="D65:D67"/>
    <mergeCell ref="F65:F67"/>
    <mergeCell ref="G65:G68"/>
    <mergeCell ref="H65:H67"/>
    <mergeCell ref="I65:I67"/>
    <mergeCell ref="J65:J67"/>
    <mergeCell ref="K65:K67"/>
    <mergeCell ref="L65:L67"/>
    <mergeCell ref="M65:M67"/>
    <mergeCell ref="N65:N67"/>
    <mergeCell ref="O65:O67"/>
    <mergeCell ref="P65:P67"/>
    <mergeCell ref="Q65:Q67"/>
    <mergeCell ref="A76:A77"/>
    <mergeCell ref="B76:B77"/>
    <mergeCell ref="C76:C77"/>
    <mergeCell ref="D76:D77"/>
    <mergeCell ref="E76:E77"/>
    <mergeCell ref="F76:F77"/>
    <mergeCell ref="I76:I77"/>
    <mergeCell ref="J76:J77"/>
    <mergeCell ref="K76:K77"/>
    <mergeCell ref="A69:AL70"/>
    <mergeCell ref="A72:B72"/>
    <mergeCell ref="C72:AL72"/>
    <mergeCell ref="A73:B73"/>
    <mergeCell ref="C73:AL73"/>
    <mergeCell ref="A74:B74"/>
    <mergeCell ref="C74:AL74"/>
    <mergeCell ref="A75:J75"/>
    <mergeCell ref="K75:Q75"/>
    <mergeCell ref="R75:Z75"/>
    <mergeCell ref="AA75:AG75"/>
    <mergeCell ref="AH75:AL75"/>
    <mergeCell ref="U76:Z76"/>
    <mergeCell ref="AA76:AA77"/>
    <mergeCell ref="AB76:AB77"/>
    <mergeCell ref="AC76:AC77"/>
    <mergeCell ref="AD76:AD77"/>
    <mergeCell ref="AE76:AE77"/>
    <mergeCell ref="AF76:AF77"/>
    <mergeCell ref="AG76:AG77"/>
    <mergeCell ref="AH76:AH77"/>
    <mergeCell ref="L76:L77"/>
    <mergeCell ref="M76:M77"/>
    <mergeCell ref="N76:N77"/>
    <mergeCell ref="O76:O77"/>
    <mergeCell ref="P76:P77"/>
    <mergeCell ref="Q76:Q77"/>
    <mergeCell ref="R76:R77"/>
    <mergeCell ref="S76:S77"/>
    <mergeCell ref="T76:T77"/>
    <mergeCell ref="AK79:AK81"/>
    <mergeCell ref="AL79:AL81"/>
    <mergeCell ref="U79:U81"/>
    <mergeCell ref="V79:V81"/>
    <mergeCell ref="W79:W81"/>
    <mergeCell ref="X79:X81"/>
    <mergeCell ref="Y79:Y81"/>
    <mergeCell ref="Z79:Z81"/>
    <mergeCell ref="AA79:AA81"/>
    <mergeCell ref="AB79:AB81"/>
    <mergeCell ref="AC79:AC81"/>
    <mergeCell ref="AI76:AI77"/>
    <mergeCell ref="AJ76:AJ77"/>
    <mergeCell ref="AK76:AK77"/>
    <mergeCell ref="AL76:AL77"/>
    <mergeCell ref="A78:A81"/>
    <mergeCell ref="B78:B81"/>
    <mergeCell ref="C78:C81"/>
    <mergeCell ref="D78:D81"/>
    <mergeCell ref="E78:E79"/>
    <mergeCell ref="F78:F81"/>
    <mergeCell ref="G78:G81"/>
    <mergeCell ref="H78:H81"/>
    <mergeCell ref="I78:I81"/>
    <mergeCell ref="J78:J81"/>
    <mergeCell ref="K78:K81"/>
    <mergeCell ref="L78:L81"/>
    <mergeCell ref="M78:M81"/>
    <mergeCell ref="N78:N81"/>
    <mergeCell ref="O78:O81"/>
    <mergeCell ref="P78:P81"/>
    <mergeCell ref="Q78:Q81"/>
    <mergeCell ref="E83:E85"/>
    <mergeCell ref="E80:E81"/>
    <mergeCell ref="B82:B85"/>
    <mergeCell ref="C82:C85"/>
    <mergeCell ref="D82:D85"/>
    <mergeCell ref="F82:F85"/>
    <mergeCell ref="G82:G85"/>
    <mergeCell ref="H82:H85"/>
    <mergeCell ref="I82:I85"/>
    <mergeCell ref="J82:J85"/>
    <mergeCell ref="AD79:AD81"/>
    <mergeCell ref="AE79:AE81"/>
    <mergeCell ref="AF79:AF81"/>
    <mergeCell ref="AG79:AG81"/>
    <mergeCell ref="AH79:AH81"/>
    <mergeCell ref="AI79:AI81"/>
    <mergeCell ref="AJ79:AJ81"/>
    <mergeCell ref="R79:R81"/>
    <mergeCell ref="S79:S81"/>
    <mergeCell ref="T79:T81"/>
    <mergeCell ref="AI83:AI85"/>
    <mergeCell ref="AJ83:AJ85"/>
    <mergeCell ref="AK83:AK85"/>
    <mergeCell ref="T83:T85"/>
    <mergeCell ref="U83:U85"/>
    <mergeCell ref="V83:V85"/>
    <mergeCell ref="W83:W85"/>
    <mergeCell ref="X83:X85"/>
    <mergeCell ref="Y83:Y85"/>
    <mergeCell ref="Z83:Z85"/>
    <mergeCell ref="AA83:AA85"/>
    <mergeCell ref="AB83:AB85"/>
    <mergeCell ref="K82:K85"/>
    <mergeCell ref="L82:L85"/>
    <mergeCell ref="M82:M85"/>
    <mergeCell ref="N82:N83"/>
    <mergeCell ref="O82:O85"/>
    <mergeCell ref="P82:P85"/>
    <mergeCell ref="Q82:Q85"/>
    <mergeCell ref="R82:R83"/>
    <mergeCell ref="N86:N89"/>
    <mergeCell ref="O86:O89"/>
    <mergeCell ref="P86:P89"/>
    <mergeCell ref="Q86:Q89"/>
    <mergeCell ref="S86:S89"/>
    <mergeCell ref="T86:T89"/>
    <mergeCell ref="U86:U89"/>
    <mergeCell ref="V86:V89"/>
    <mergeCell ref="W86:W89"/>
    <mergeCell ref="X86:X89"/>
    <mergeCell ref="AC83:AC85"/>
    <mergeCell ref="AD83:AD85"/>
    <mergeCell ref="AE83:AE85"/>
    <mergeCell ref="AF83:AF85"/>
    <mergeCell ref="AG83:AG85"/>
    <mergeCell ref="AH83:AH85"/>
    <mergeCell ref="AH86:AH89"/>
    <mergeCell ref="AI86:AI89"/>
    <mergeCell ref="AJ86:AJ89"/>
    <mergeCell ref="AK86:AK89"/>
    <mergeCell ref="AL86:AL89"/>
    <mergeCell ref="A82:A85"/>
    <mergeCell ref="A86:A89"/>
    <mergeCell ref="A90:AM91"/>
    <mergeCell ref="A93:B93"/>
    <mergeCell ref="C93:AM93"/>
    <mergeCell ref="Y86:Y89"/>
    <mergeCell ref="Z86:Z89"/>
    <mergeCell ref="AA86:AA89"/>
    <mergeCell ref="AB86:AB89"/>
    <mergeCell ref="AC86:AC89"/>
    <mergeCell ref="AD86:AD89"/>
    <mergeCell ref="AE86:AE89"/>
    <mergeCell ref="AF86:AF89"/>
    <mergeCell ref="AG86:AG89"/>
    <mergeCell ref="AL83:AL85"/>
    <mergeCell ref="R84:R85"/>
    <mergeCell ref="B86:B89"/>
    <mergeCell ref="C86:C89"/>
    <mergeCell ref="D86:D89"/>
    <mergeCell ref="E86:E89"/>
    <mergeCell ref="F86:F89"/>
    <mergeCell ref="G86:G89"/>
    <mergeCell ref="H86:H89"/>
    <mergeCell ref="I86:I89"/>
    <mergeCell ref="J86:J89"/>
    <mergeCell ref="K86:K89"/>
    <mergeCell ref="L86:L89"/>
    <mergeCell ref="M86:M89"/>
    <mergeCell ref="K97:K98"/>
    <mergeCell ref="A94:B94"/>
    <mergeCell ref="C94:AM94"/>
    <mergeCell ref="A95:B95"/>
    <mergeCell ref="C95:AM95"/>
    <mergeCell ref="A96:J96"/>
    <mergeCell ref="K96:Q96"/>
    <mergeCell ref="R96:Z96"/>
    <mergeCell ref="AA96:AG96"/>
    <mergeCell ref="AH96:AM96"/>
    <mergeCell ref="AI97:AI98"/>
    <mergeCell ref="AJ97:AJ98"/>
    <mergeCell ref="AK97:AK98"/>
    <mergeCell ref="AL97:AL98"/>
    <mergeCell ref="AM97:AM98"/>
    <mergeCell ref="AA97:AA98"/>
    <mergeCell ref="AB97:AB98"/>
    <mergeCell ref="A99:A101"/>
    <mergeCell ref="B99:B101"/>
    <mergeCell ref="C99:C101"/>
    <mergeCell ref="D99:D101"/>
    <mergeCell ref="F99:F101"/>
    <mergeCell ref="G99:G102"/>
    <mergeCell ref="H99:H102"/>
    <mergeCell ref="I99:I101"/>
    <mergeCell ref="J99:J102"/>
    <mergeCell ref="K99:K102"/>
    <mergeCell ref="L99:L102"/>
    <mergeCell ref="M99:M102"/>
    <mergeCell ref="N99:N101"/>
    <mergeCell ref="O99:O102"/>
    <mergeCell ref="P99:P101"/>
    <mergeCell ref="Q99:Q102"/>
    <mergeCell ref="U97:Z97"/>
    <mergeCell ref="N97:N98"/>
    <mergeCell ref="O97:O98"/>
    <mergeCell ref="P97:P98"/>
    <mergeCell ref="Q97:Q98"/>
    <mergeCell ref="R97:R98"/>
    <mergeCell ref="S97:S98"/>
    <mergeCell ref="T97:T98"/>
    <mergeCell ref="A97:A98"/>
    <mergeCell ref="B97:B98"/>
    <mergeCell ref="C97:C98"/>
    <mergeCell ref="D97:D98"/>
    <mergeCell ref="E97:E98"/>
    <mergeCell ref="F97:F98"/>
    <mergeCell ref="I97:I98"/>
    <mergeCell ref="J97:J98"/>
    <mergeCell ref="AC97:AC98"/>
    <mergeCell ref="AD97:AD98"/>
    <mergeCell ref="AE97:AE98"/>
    <mergeCell ref="AF97:AF98"/>
    <mergeCell ref="AG97:AG98"/>
    <mergeCell ref="AH97:AH98"/>
    <mergeCell ref="L97:L98"/>
    <mergeCell ref="M97:M98"/>
    <mergeCell ref="T110:T111"/>
    <mergeCell ref="A110:A111"/>
    <mergeCell ref="B110:B111"/>
    <mergeCell ref="C110:C111"/>
    <mergeCell ref="D110:D111"/>
    <mergeCell ref="E110:E111"/>
    <mergeCell ref="F110:F111"/>
    <mergeCell ref="I110:I111"/>
    <mergeCell ref="J110:J111"/>
    <mergeCell ref="K110:K111"/>
    <mergeCell ref="A103:AM104"/>
    <mergeCell ref="A106:B106"/>
    <mergeCell ref="C106:AM106"/>
    <mergeCell ref="A107:B107"/>
    <mergeCell ref="C107:AM107"/>
    <mergeCell ref="A108:B108"/>
    <mergeCell ref="C108:AM108"/>
    <mergeCell ref="A109:J109"/>
    <mergeCell ref="K109:Q109"/>
    <mergeCell ref="R109:Z109"/>
    <mergeCell ref="AA109:AG109"/>
    <mergeCell ref="AH109:AM109"/>
    <mergeCell ref="AI110:AI111"/>
    <mergeCell ref="AJ110:AJ111"/>
    <mergeCell ref="AK110:AK111"/>
    <mergeCell ref="AL110:AL111"/>
    <mergeCell ref="AM110:AM111"/>
    <mergeCell ref="A112:A115"/>
    <mergeCell ref="B112:B115"/>
    <mergeCell ref="C112:C115"/>
    <mergeCell ref="D112:D115"/>
    <mergeCell ref="F112:F115"/>
    <mergeCell ref="G112:G115"/>
    <mergeCell ref="H112:H115"/>
    <mergeCell ref="I112:I115"/>
    <mergeCell ref="AD112:AD115"/>
    <mergeCell ref="AF112:AF115"/>
    <mergeCell ref="U110:Z110"/>
    <mergeCell ref="AA110:AA111"/>
    <mergeCell ref="AB110:AB111"/>
    <mergeCell ref="AC110:AC111"/>
    <mergeCell ref="AD110:AD111"/>
    <mergeCell ref="AE110:AE111"/>
    <mergeCell ref="AF110:AF111"/>
    <mergeCell ref="AG110:AG111"/>
    <mergeCell ref="AH110:AH111"/>
    <mergeCell ref="L110:L111"/>
    <mergeCell ref="M110:M111"/>
    <mergeCell ref="N110:N111"/>
    <mergeCell ref="O110:O111"/>
    <mergeCell ref="P110:P111"/>
    <mergeCell ref="Q110:Q111"/>
    <mergeCell ref="R110:R111"/>
    <mergeCell ref="S110:S111"/>
    <mergeCell ref="A124:A125"/>
    <mergeCell ref="B124:B125"/>
    <mergeCell ref="C124:C125"/>
    <mergeCell ref="D124:D125"/>
    <mergeCell ref="E124:E125"/>
    <mergeCell ref="F124:F125"/>
    <mergeCell ref="I124:I125"/>
    <mergeCell ref="J124:J125"/>
    <mergeCell ref="K124:K125"/>
    <mergeCell ref="A117:AM118"/>
    <mergeCell ref="A120:B120"/>
    <mergeCell ref="C120:AM120"/>
    <mergeCell ref="A121:B121"/>
    <mergeCell ref="C121:AM121"/>
    <mergeCell ref="A122:B122"/>
    <mergeCell ref="C122:AM122"/>
    <mergeCell ref="A123:J123"/>
    <mergeCell ref="K123:Q123"/>
    <mergeCell ref="R123:Z123"/>
    <mergeCell ref="AA123:AG123"/>
    <mergeCell ref="AH123:AM123"/>
    <mergeCell ref="AI126:AI128"/>
    <mergeCell ref="U124:Z124"/>
    <mergeCell ref="AA124:AA125"/>
    <mergeCell ref="AB124:AB125"/>
    <mergeCell ref="AC124:AC125"/>
    <mergeCell ref="AD124:AD125"/>
    <mergeCell ref="AE124:AE125"/>
    <mergeCell ref="AF124:AF125"/>
    <mergeCell ref="AG124:AG125"/>
    <mergeCell ref="AH124:AH125"/>
    <mergeCell ref="L124:L125"/>
    <mergeCell ref="M124:M125"/>
    <mergeCell ref="N124:N125"/>
    <mergeCell ref="O124:O125"/>
    <mergeCell ref="P124:P125"/>
    <mergeCell ref="Q124:Q125"/>
    <mergeCell ref="R124:R125"/>
    <mergeCell ref="S124:S125"/>
    <mergeCell ref="T124:T125"/>
    <mergeCell ref="AJ126:AJ128"/>
    <mergeCell ref="AK126:AK128"/>
    <mergeCell ref="AL126:AL128"/>
    <mergeCell ref="AM126:AM128"/>
    <mergeCell ref="A129:AL130"/>
    <mergeCell ref="A132:B132"/>
    <mergeCell ref="C132:AL132"/>
    <mergeCell ref="A133:B133"/>
    <mergeCell ref="C133:AL133"/>
    <mergeCell ref="AI124:AI125"/>
    <mergeCell ref="AJ124:AJ125"/>
    <mergeCell ref="AK124:AK125"/>
    <mergeCell ref="AL124:AL125"/>
    <mergeCell ref="AM124:AM125"/>
    <mergeCell ref="A126:A128"/>
    <mergeCell ref="B126:B128"/>
    <mergeCell ref="C126:C128"/>
    <mergeCell ref="D126:D128"/>
    <mergeCell ref="F126:F128"/>
    <mergeCell ref="G126:G128"/>
    <mergeCell ref="H126:H128"/>
    <mergeCell ref="I126:I128"/>
    <mergeCell ref="J126:J128"/>
    <mergeCell ref="K126:K128"/>
    <mergeCell ref="L126:L128"/>
    <mergeCell ref="M126:M128"/>
    <mergeCell ref="N126:N128"/>
    <mergeCell ref="O126:O128"/>
    <mergeCell ref="P126:P128"/>
    <mergeCell ref="Q126:Q128"/>
    <mergeCell ref="AG126:AG128"/>
    <mergeCell ref="AH126:AH128"/>
    <mergeCell ref="A134:B134"/>
    <mergeCell ref="C134:AL134"/>
    <mergeCell ref="A135:J135"/>
    <mergeCell ref="K135:Q135"/>
    <mergeCell ref="R135:Z135"/>
    <mergeCell ref="AA135:AG135"/>
    <mergeCell ref="AH135:AL135"/>
    <mergeCell ref="A136:A137"/>
    <mergeCell ref="B136:B137"/>
    <mergeCell ref="C136:C137"/>
    <mergeCell ref="D136:D137"/>
    <mergeCell ref="E136:E137"/>
    <mergeCell ref="F136:F137"/>
    <mergeCell ref="G136:G137"/>
    <mergeCell ref="I136:I137"/>
    <mergeCell ref="J136:J137"/>
    <mergeCell ref="K136:K137"/>
    <mergeCell ref="L136:L137"/>
    <mergeCell ref="M136:M137"/>
    <mergeCell ref="N136:N137"/>
    <mergeCell ref="O136:O137"/>
    <mergeCell ref="P136:P137"/>
    <mergeCell ref="Q136:Q137"/>
    <mergeCell ref="R136:R137"/>
    <mergeCell ref="AG136:AG137"/>
    <mergeCell ref="AH136:AH137"/>
    <mergeCell ref="AI136:AI137"/>
    <mergeCell ref="AJ136:AJ137"/>
    <mergeCell ref="AK136:AK137"/>
    <mergeCell ref="AL136:AL137"/>
    <mergeCell ref="B138:B140"/>
    <mergeCell ref="C138:C140"/>
    <mergeCell ref="D138:D140"/>
    <mergeCell ref="F138:F140"/>
    <mergeCell ref="G138:G140"/>
    <mergeCell ref="H138:H140"/>
    <mergeCell ref="I138:I140"/>
    <mergeCell ref="J138:J140"/>
    <mergeCell ref="K138:K140"/>
    <mergeCell ref="L138:L140"/>
    <mergeCell ref="M138:M140"/>
    <mergeCell ref="N138:N140"/>
    <mergeCell ref="O138:O140"/>
    <mergeCell ref="P138:P140"/>
    <mergeCell ref="Q138:Q140"/>
    <mergeCell ref="AG138:AG139"/>
    <mergeCell ref="AF136:AF137"/>
    <mergeCell ref="AI138:AI139"/>
    <mergeCell ref="S136:S137"/>
    <mergeCell ref="T136:T137"/>
    <mergeCell ref="U136:Z136"/>
    <mergeCell ref="AA136:AA137"/>
    <mergeCell ref="AB136:AB137"/>
    <mergeCell ref="AC136:AC137"/>
    <mergeCell ref="AD136:AD137"/>
    <mergeCell ref="AE136:AE137"/>
    <mergeCell ref="AJ138:AJ139"/>
    <mergeCell ref="AL138:AL139"/>
    <mergeCell ref="A141:A142"/>
    <mergeCell ref="B141:B142"/>
    <mergeCell ref="C141:C142"/>
    <mergeCell ref="D141:D142"/>
    <mergeCell ref="F141:F142"/>
    <mergeCell ref="G141:G142"/>
    <mergeCell ref="H141:H142"/>
    <mergeCell ref="I141:I142"/>
    <mergeCell ref="J141:J142"/>
    <mergeCell ref="K141:K142"/>
    <mergeCell ref="L141:L142"/>
    <mergeCell ref="M141:M142"/>
    <mergeCell ref="N141:N142"/>
    <mergeCell ref="O141:O142"/>
    <mergeCell ref="P141:P142"/>
    <mergeCell ref="Q141:Q142"/>
    <mergeCell ref="AG141:AG142"/>
    <mergeCell ref="AI141:AI142"/>
    <mergeCell ref="AJ141:AJ142"/>
    <mergeCell ref="AL141:AL142"/>
    <mergeCell ref="A138:A140"/>
    <mergeCell ref="AD152:AD153"/>
    <mergeCell ref="AE152:AE153"/>
    <mergeCell ref="AF152:AF153"/>
    <mergeCell ref="AH143:AH144"/>
    <mergeCell ref="AI143:AI144"/>
    <mergeCell ref="AJ143:AJ144"/>
    <mergeCell ref="AK143:AK144"/>
    <mergeCell ref="AL143:AL144"/>
    <mergeCell ref="A145:AM146"/>
    <mergeCell ref="A148:B148"/>
    <mergeCell ref="C148:AM148"/>
    <mergeCell ref="A149:B149"/>
    <mergeCell ref="C149:AM149"/>
    <mergeCell ref="K143:K144"/>
    <mergeCell ref="L143:L144"/>
    <mergeCell ref="M143:M144"/>
    <mergeCell ref="N143:N144"/>
    <mergeCell ref="O143:O144"/>
    <mergeCell ref="P143:P144"/>
    <mergeCell ref="Q143:Q144"/>
    <mergeCell ref="R143:R144"/>
    <mergeCell ref="AG143:AG144"/>
    <mergeCell ref="A143:A144"/>
    <mergeCell ref="B143:B144"/>
    <mergeCell ref="C143:C144"/>
    <mergeCell ref="D143:D144"/>
    <mergeCell ref="F143:F144"/>
    <mergeCell ref="G143:G144"/>
    <mergeCell ref="H143:H144"/>
    <mergeCell ref="I143:I144"/>
    <mergeCell ref="J143:J144"/>
    <mergeCell ref="P154:P156"/>
    <mergeCell ref="Q154:Q156"/>
    <mergeCell ref="T152:T153"/>
    <mergeCell ref="A150:B150"/>
    <mergeCell ref="C150:AM150"/>
    <mergeCell ref="A151:J151"/>
    <mergeCell ref="K151:Q151"/>
    <mergeCell ref="R151:Z151"/>
    <mergeCell ref="AA151:AG151"/>
    <mergeCell ref="AH151:AM151"/>
    <mergeCell ref="A152:A153"/>
    <mergeCell ref="B152:B153"/>
    <mergeCell ref="C152:C153"/>
    <mergeCell ref="D152:D153"/>
    <mergeCell ref="E152:E153"/>
    <mergeCell ref="F152:F153"/>
    <mergeCell ref="I152:I153"/>
    <mergeCell ref="J152:J153"/>
    <mergeCell ref="K152:K153"/>
    <mergeCell ref="L152:L153"/>
    <mergeCell ref="M152:M153"/>
    <mergeCell ref="N152:N153"/>
    <mergeCell ref="O152:O153"/>
    <mergeCell ref="P152:P153"/>
    <mergeCell ref="Q152:Q153"/>
    <mergeCell ref="R152:R153"/>
    <mergeCell ref="S152:S153"/>
    <mergeCell ref="AM152:AM153"/>
    <mergeCell ref="U152:Z152"/>
    <mergeCell ref="AA152:AA153"/>
    <mergeCell ref="AB152:AB153"/>
    <mergeCell ref="AC152:AC153"/>
    <mergeCell ref="AG152:AG153"/>
    <mergeCell ref="A157:AL158"/>
    <mergeCell ref="A160:B160"/>
    <mergeCell ref="C160:AL160"/>
    <mergeCell ref="A161:B161"/>
    <mergeCell ref="C161:AL161"/>
    <mergeCell ref="A162:B162"/>
    <mergeCell ref="C162:AL162"/>
    <mergeCell ref="A163:J163"/>
    <mergeCell ref="K163:Q163"/>
    <mergeCell ref="R163:Z163"/>
    <mergeCell ref="AA163:AG163"/>
    <mergeCell ref="AH163:AL163"/>
    <mergeCell ref="AH152:AH153"/>
    <mergeCell ref="AI152:AI153"/>
    <mergeCell ref="AJ152:AJ153"/>
    <mergeCell ref="AK152:AK153"/>
    <mergeCell ref="AL152:AL153"/>
    <mergeCell ref="A154:A156"/>
    <mergeCell ref="B154:B156"/>
    <mergeCell ref="C154:C156"/>
    <mergeCell ref="D154:D156"/>
    <mergeCell ref="F154:F156"/>
    <mergeCell ref="G154:G156"/>
    <mergeCell ref="H154:H156"/>
    <mergeCell ref="I154:I156"/>
    <mergeCell ref="J154:J156"/>
    <mergeCell ref="K154:K156"/>
    <mergeCell ref="L154:L156"/>
    <mergeCell ref="M154:M156"/>
    <mergeCell ref="N154:N156"/>
    <mergeCell ref="O154:O156"/>
    <mergeCell ref="AH164:AH165"/>
    <mergeCell ref="L164:L165"/>
    <mergeCell ref="M164:M165"/>
    <mergeCell ref="N164:N165"/>
    <mergeCell ref="O164:O165"/>
    <mergeCell ref="P164:P165"/>
    <mergeCell ref="Q164:Q165"/>
    <mergeCell ref="R164:R165"/>
    <mergeCell ref="S164:S165"/>
    <mergeCell ref="T164:T165"/>
    <mergeCell ref="A164:A165"/>
    <mergeCell ref="B164:B165"/>
    <mergeCell ref="C164:C165"/>
    <mergeCell ref="D164:D165"/>
    <mergeCell ref="E164:E165"/>
    <mergeCell ref="F164:F165"/>
    <mergeCell ref="I164:I165"/>
    <mergeCell ref="J164:J165"/>
    <mergeCell ref="K164:K165"/>
    <mergeCell ref="AI164:AI165"/>
    <mergeCell ref="AJ164:AJ165"/>
    <mergeCell ref="AK164:AK165"/>
    <mergeCell ref="AL164:AL165"/>
    <mergeCell ref="A166:A167"/>
    <mergeCell ref="B166:B167"/>
    <mergeCell ref="C166:C167"/>
    <mergeCell ref="D166:D167"/>
    <mergeCell ref="F166:F167"/>
    <mergeCell ref="H166:H167"/>
    <mergeCell ref="I166:I167"/>
    <mergeCell ref="J166:J167"/>
    <mergeCell ref="K166:K167"/>
    <mergeCell ref="L166:L167"/>
    <mergeCell ref="M166:M167"/>
    <mergeCell ref="N166:N167"/>
    <mergeCell ref="O166:O167"/>
    <mergeCell ref="P166:P167"/>
    <mergeCell ref="Q166:Q167"/>
    <mergeCell ref="AG166:AG167"/>
    <mergeCell ref="AH166:AH167"/>
    <mergeCell ref="AI166:AI167"/>
    <mergeCell ref="AJ166:AJ167"/>
    <mergeCell ref="AK166:AK167"/>
    <mergeCell ref="U164:Z164"/>
    <mergeCell ref="AA164:AA165"/>
    <mergeCell ref="AB164:AB165"/>
    <mergeCell ref="AC164:AC165"/>
    <mergeCell ref="AD164:AD165"/>
    <mergeCell ref="AE164:AE165"/>
    <mergeCell ref="AF164:AF165"/>
    <mergeCell ref="AG164:AG165"/>
    <mergeCell ref="A174:B174"/>
    <mergeCell ref="C174:AM174"/>
    <mergeCell ref="A175:B175"/>
    <mergeCell ref="C175:AM175"/>
    <mergeCell ref="A176:J176"/>
    <mergeCell ref="K176:Q176"/>
    <mergeCell ref="R176:Z176"/>
    <mergeCell ref="AA176:AG176"/>
    <mergeCell ref="AH176:AM176"/>
    <mergeCell ref="L168:L169"/>
    <mergeCell ref="M168:M169"/>
    <mergeCell ref="N168:N169"/>
    <mergeCell ref="O168:O169"/>
    <mergeCell ref="P168:P169"/>
    <mergeCell ref="Q168:Q169"/>
    <mergeCell ref="A170:AM171"/>
    <mergeCell ref="A173:B173"/>
    <mergeCell ref="C173:AM173"/>
    <mergeCell ref="A168:A169"/>
    <mergeCell ref="B168:B169"/>
    <mergeCell ref="C168:C169"/>
    <mergeCell ref="D168:D169"/>
    <mergeCell ref="F168:F169"/>
    <mergeCell ref="H168:H169"/>
    <mergeCell ref="I168:I169"/>
    <mergeCell ref="J168:J169"/>
    <mergeCell ref="K168:K169"/>
    <mergeCell ref="M177:M178"/>
    <mergeCell ref="N177:N178"/>
    <mergeCell ref="O177:O178"/>
    <mergeCell ref="P177:P178"/>
    <mergeCell ref="Q177:Q178"/>
    <mergeCell ref="R177:R178"/>
    <mergeCell ref="S177:S178"/>
    <mergeCell ref="T177:T178"/>
    <mergeCell ref="A177:A178"/>
    <mergeCell ref="B177:B178"/>
    <mergeCell ref="C177:C178"/>
    <mergeCell ref="D177:D178"/>
    <mergeCell ref="E177:E178"/>
    <mergeCell ref="F177:F178"/>
    <mergeCell ref="I177:I178"/>
    <mergeCell ref="J177:J178"/>
    <mergeCell ref="K177:K178"/>
    <mergeCell ref="AI177:AI178"/>
    <mergeCell ref="AJ177:AJ178"/>
    <mergeCell ref="AK177:AK178"/>
    <mergeCell ref="AL177:AL178"/>
    <mergeCell ref="AM177:AM178"/>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O179:O180"/>
    <mergeCell ref="P179:P180"/>
    <mergeCell ref="Q179:Q180"/>
    <mergeCell ref="AL179:AL180"/>
    <mergeCell ref="U177:Z177"/>
    <mergeCell ref="AA177:AA178"/>
    <mergeCell ref="AB177:AB178"/>
    <mergeCell ref="AC177:AC178"/>
    <mergeCell ref="AD177:AD178"/>
    <mergeCell ref="AE177:AE178"/>
    <mergeCell ref="AF177:AF178"/>
    <mergeCell ref="AG177:AG178"/>
    <mergeCell ref="AH177:AH178"/>
    <mergeCell ref="L177:L178"/>
    <mergeCell ref="K181:K183"/>
    <mergeCell ref="L181:L183"/>
    <mergeCell ref="M181:M183"/>
    <mergeCell ref="N181:N183"/>
    <mergeCell ref="O181:O183"/>
    <mergeCell ref="P181:P183"/>
    <mergeCell ref="Q181:Q183"/>
    <mergeCell ref="A184:A186"/>
    <mergeCell ref="B184:B186"/>
    <mergeCell ref="C184:C186"/>
    <mergeCell ref="D184:D186"/>
    <mergeCell ref="F184:F186"/>
    <mergeCell ref="G184:G186"/>
    <mergeCell ref="H184:H186"/>
    <mergeCell ref="I184:I186"/>
    <mergeCell ref="J184:J186"/>
    <mergeCell ref="K184:K186"/>
    <mergeCell ref="L184:L186"/>
    <mergeCell ref="M184:M186"/>
    <mergeCell ref="N184:N186"/>
    <mergeCell ref="O184:O186"/>
    <mergeCell ref="P184:P186"/>
    <mergeCell ref="Q184:Q186"/>
    <mergeCell ref="A181:A183"/>
    <mergeCell ref="B181:B183"/>
    <mergeCell ref="C181:C183"/>
    <mergeCell ref="D181:D183"/>
    <mergeCell ref="F181:F183"/>
    <mergeCell ref="G181:G183"/>
    <mergeCell ref="H181:H183"/>
    <mergeCell ref="I181:I183"/>
    <mergeCell ref="J181:J183"/>
    <mergeCell ref="AA184:AA185"/>
    <mergeCell ref="AB184:AB185"/>
    <mergeCell ref="AC184:AC185"/>
    <mergeCell ref="AD184:AD185"/>
    <mergeCell ref="AE184:AE185"/>
    <mergeCell ref="AF184:AF185"/>
    <mergeCell ref="AG184:AG185"/>
    <mergeCell ref="AL184:AL185"/>
    <mergeCell ref="A187:AM188"/>
    <mergeCell ref="R184:R185"/>
    <mergeCell ref="S184:S185"/>
    <mergeCell ref="T184:T185"/>
    <mergeCell ref="U184:U185"/>
    <mergeCell ref="V184:V185"/>
    <mergeCell ref="W184:W185"/>
    <mergeCell ref="X184:X185"/>
    <mergeCell ref="Y184:Y185"/>
    <mergeCell ref="Z184:Z185"/>
    <mergeCell ref="A190:B190"/>
    <mergeCell ref="C190:AM190"/>
    <mergeCell ref="A191:B191"/>
    <mergeCell ref="C191:AM191"/>
    <mergeCell ref="A192:B192"/>
    <mergeCell ref="C192:AM192"/>
    <mergeCell ref="A193:J193"/>
    <mergeCell ref="K193:Q193"/>
    <mergeCell ref="R193:Z193"/>
    <mergeCell ref="AA193:AG193"/>
    <mergeCell ref="AH193:AS193"/>
    <mergeCell ref="AR194:AR195"/>
    <mergeCell ref="AS194:AS195"/>
    <mergeCell ref="AQ194:AQ195"/>
    <mergeCell ref="AB194:AB195"/>
    <mergeCell ref="AC194:AC195"/>
    <mergeCell ref="AD194:AD195"/>
    <mergeCell ref="AE194:AE195"/>
    <mergeCell ref="AF194:AF195"/>
    <mergeCell ref="AG194:AG195"/>
    <mergeCell ref="G196:G200"/>
    <mergeCell ref="H196:H200"/>
    <mergeCell ref="I196:I200"/>
    <mergeCell ref="J196:J200"/>
    <mergeCell ref="K196:K200"/>
    <mergeCell ref="L196:L200"/>
    <mergeCell ref="M196:M200"/>
    <mergeCell ref="N196:N200"/>
    <mergeCell ref="O196:O200"/>
    <mergeCell ref="P196:P200"/>
    <mergeCell ref="Q196:Q200"/>
    <mergeCell ref="AG196:AG200"/>
    <mergeCell ref="Q194:Q195"/>
    <mergeCell ref="R194:R195"/>
    <mergeCell ref="S194:S195"/>
    <mergeCell ref="A194:A195"/>
    <mergeCell ref="B194:B195"/>
    <mergeCell ref="C194:C195"/>
    <mergeCell ref="D194:D195"/>
    <mergeCell ref="E194:E195"/>
    <mergeCell ref="F194:F195"/>
    <mergeCell ref="G194:G195"/>
    <mergeCell ref="I194:I195"/>
    <mergeCell ref="J194:J195"/>
    <mergeCell ref="AI194:AI195"/>
    <mergeCell ref="AJ194:AJ195"/>
    <mergeCell ref="AK194:AK195"/>
    <mergeCell ref="AL194:AL195"/>
    <mergeCell ref="AM194:AM195"/>
    <mergeCell ref="AN194:AN195"/>
    <mergeCell ref="AO194:AO195"/>
    <mergeCell ref="AP194:AP195"/>
    <mergeCell ref="A201:A204"/>
    <mergeCell ref="B201:B204"/>
    <mergeCell ref="C201:C204"/>
    <mergeCell ref="D201:D204"/>
    <mergeCell ref="F201:F204"/>
    <mergeCell ref="G201:G204"/>
    <mergeCell ref="H201:H204"/>
    <mergeCell ref="I201:I204"/>
    <mergeCell ref="J201:J204"/>
    <mergeCell ref="K201:K204"/>
    <mergeCell ref="L201:L204"/>
    <mergeCell ref="M201:M204"/>
    <mergeCell ref="N201:N204"/>
    <mergeCell ref="O201:O204"/>
    <mergeCell ref="P201:P204"/>
    <mergeCell ref="Q201:Q204"/>
    <mergeCell ref="T194:T195"/>
    <mergeCell ref="U194:Z194"/>
    <mergeCell ref="AA194:AA195"/>
    <mergeCell ref="A196:A200"/>
    <mergeCell ref="B196:B200"/>
    <mergeCell ref="C196:C200"/>
    <mergeCell ref="D196:D200"/>
    <mergeCell ref="F196:F200"/>
    <mergeCell ref="K194:K195"/>
    <mergeCell ref="L194:L195"/>
    <mergeCell ref="M194:M195"/>
    <mergeCell ref="N194:N195"/>
    <mergeCell ref="O194:O195"/>
    <mergeCell ref="P194:P195"/>
    <mergeCell ref="AP201:AP204"/>
    <mergeCell ref="AQ201:AQ204"/>
    <mergeCell ref="AR201:AR204"/>
    <mergeCell ref="AS201:AS204"/>
    <mergeCell ref="AG201:AG204"/>
    <mergeCell ref="AH201:AH204"/>
    <mergeCell ref="AI201:AI204"/>
    <mergeCell ref="AJ201:AJ204"/>
    <mergeCell ref="AK201:AK204"/>
    <mergeCell ref="AL201:AL204"/>
    <mergeCell ref="AM201:AM204"/>
    <mergeCell ref="AN201:AN204"/>
    <mergeCell ref="AO201:AO204"/>
    <mergeCell ref="AL196:AL200"/>
    <mergeCell ref="AM196:AM200"/>
    <mergeCell ref="AN196:AN200"/>
    <mergeCell ref="AO196:AO200"/>
    <mergeCell ref="AP196:AP200"/>
    <mergeCell ref="AQ196:AQ200"/>
    <mergeCell ref="AR196:AR200"/>
    <mergeCell ref="AS196:AS200"/>
    <mergeCell ref="AH196:AH200"/>
    <mergeCell ref="AI196:AI200"/>
    <mergeCell ref="AJ196:AJ200"/>
    <mergeCell ref="AK196:AK200"/>
    <mergeCell ref="AH194:AH195"/>
  </mergeCells>
  <conditionalFormatting sqref="K10:K16">
    <cfRule type="cellIs" dxfId="1064" priority="390" operator="equal">
      <formula>"Muy Baja"</formula>
    </cfRule>
    <cfRule type="cellIs" dxfId="1063" priority="386" operator="equal">
      <formula>"Muy Alta"</formula>
    </cfRule>
    <cfRule type="cellIs" dxfId="1062" priority="387" operator="equal">
      <formula>"Alta"</formula>
    </cfRule>
    <cfRule type="cellIs" dxfId="1061" priority="388" operator="equal">
      <formula>"Media"</formula>
    </cfRule>
    <cfRule type="cellIs" dxfId="1060" priority="389" operator="equal">
      <formula>"Baja"</formula>
    </cfRule>
  </conditionalFormatting>
  <conditionalFormatting sqref="K26">
    <cfRule type="cellIs" dxfId="1059" priority="338" operator="equal">
      <formula>"Muy Baja"</formula>
    </cfRule>
    <cfRule type="cellIs" dxfId="1058" priority="337" operator="equal">
      <formula>"Baja"</formula>
    </cfRule>
    <cfRule type="cellIs" dxfId="1057" priority="335" operator="equal">
      <formula>"Alta"</formula>
    </cfRule>
    <cfRule type="cellIs" dxfId="1056" priority="334" operator="equal">
      <formula>"Muy Alta"</formula>
    </cfRule>
    <cfRule type="cellIs" dxfId="1055" priority="336" operator="equal">
      <formula>"Media"</formula>
    </cfRule>
  </conditionalFormatting>
  <conditionalFormatting sqref="K28">
    <cfRule type="cellIs" dxfId="1054" priority="368" operator="equal">
      <formula>"Alta"</formula>
    </cfRule>
    <cfRule type="cellIs" dxfId="1053" priority="370" operator="equal">
      <formula>"Baja"</formula>
    </cfRule>
    <cfRule type="cellIs" dxfId="1052" priority="371" operator="equal">
      <formula>"Muy Baja"</formula>
    </cfRule>
    <cfRule type="cellIs" dxfId="1051" priority="367" operator="equal">
      <formula>"Muy Alta"</formula>
    </cfRule>
    <cfRule type="cellIs" dxfId="1050" priority="369" operator="equal">
      <formula>"Media"</formula>
    </cfRule>
  </conditionalFormatting>
  <conditionalFormatting sqref="K30">
    <cfRule type="cellIs" dxfId="1049" priority="374" operator="equal">
      <formula>"Media"</formula>
    </cfRule>
    <cfRule type="cellIs" dxfId="1048" priority="376" operator="equal">
      <formula>"Muy Baja"</formula>
    </cfRule>
    <cfRule type="cellIs" dxfId="1047" priority="375" operator="equal">
      <formula>"Baja"</formula>
    </cfRule>
    <cfRule type="cellIs" dxfId="1046" priority="372" operator="equal">
      <formula>"Muy Alta"</formula>
    </cfRule>
    <cfRule type="cellIs" dxfId="1045" priority="373" operator="equal">
      <formula>"Alta"</formula>
    </cfRule>
  </conditionalFormatting>
  <conditionalFormatting sqref="K42 K46 K48:K49">
    <cfRule type="cellIs" dxfId="1044" priority="333" operator="equal">
      <formula>"Muy Baja"</formula>
    </cfRule>
    <cfRule type="cellIs" dxfId="1043" priority="332" operator="equal">
      <formula>"Baja"</formula>
    </cfRule>
    <cfRule type="cellIs" dxfId="1042" priority="331" operator="equal">
      <formula>"Media"</formula>
    </cfRule>
    <cfRule type="cellIs" dxfId="1041" priority="330" operator="equal">
      <formula>"Alta"</formula>
    </cfRule>
    <cfRule type="cellIs" dxfId="1040" priority="329" operator="equal">
      <formula>"Muy Alta"</formula>
    </cfRule>
  </conditionalFormatting>
  <conditionalFormatting sqref="K59:K60 K63 K65 K68">
    <cfRule type="cellIs" dxfId="1039" priority="312" operator="equal">
      <formula>"Media"</formula>
    </cfRule>
    <cfRule type="cellIs" dxfId="1038" priority="313" operator="equal">
      <formula>"Baja"</formula>
    </cfRule>
    <cfRule type="cellIs" dxfId="1037" priority="314" operator="equal">
      <formula>"Muy Baja"</formula>
    </cfRule>
    <cfRule type="cellIs" dxfId="1036" priority="310" operator="equal">
      <formula>"Muy Alta"</formula>
    </cfRule>
    <cfRule type="cellIs" dxfId="1035" priority="311" operator="equal">
      <formula>"Alta"</formula>
    </cfRule>
  </conditionalFormatting>
  <conditionalFormatting sqref="K78 K82">
    <cfRule type="cellIs" dxfId="1034" priority="279" operator="equal">
      <formula>"Media"</formula>
    </cfRule>
    <cfRule type="cellIs" dxfId="1033" priority="277" operator="equal">
      <formula>"Muy Alta"</formula>
    </cfRule>
    <cfRule type="cellIs" dxfId="1032" priority="278" operator="equal">
      <formula>"Alta"</formula>
    </cfRule>
    <cfRule type="cellIs" dxfId="1031" priority="280" operator="equal">
      <formula>"Baja"</formula>
    </cfRule>
    <cfRule type="cellIs" dxfId="1030" priority="281" operator="equal">
      <formula>"Muy Baja"</formula>
    </cfRule>
  </conditionalFormatting>
  <conditionalFormatting sqref="K86">
    <cfRule type="cellIs" dxfId="1029" priority="231" operator="equal">
      <formula>"Muy Alta"</formula>
    </cfRule>
    <cfRule type="cellIs" dxfId="1028" priority="232" operator="equal">
      <formula>"Alta"</formula>
    </cfRule>
    <cfRule type="cellIs" dxfId="1027" priority="233" operator="equal">
      <formula>"Media"</formula>
    </cfRule>
    <cfRule type="cellIs" dxfId="1026" priority="235" operator="equal">
      <formula>"Muy Baja"</formula>
    </cfRule>
    <cfRule type="cellIs" dxfId="1025" priority="234" operator="equal">
      <formula>"Baja"</formula>
    </cfRule>
  </conditionalFormatting>
  <conditionalFormatting sqref="K99">
    <cfRule type="cellIs" dxfId="1024" priority="206" operator="equal">
      <formula>"Muy Baja"</formula>
    </cfRule>
    <cfRule type="cellIs" dxfId="1023" priority="204" operator="equal">
      <formula>"Media"</formula>
    </cfRule>
    <cfRule type="cellIs" dxfId="1022" priority="205" operator="equal">
      <formula>"Baja"</formula>
    </cfRule>
    <cfRule type="cellIs" dxfId="1021" priority="202" operator="equal">
      <formula>"Muy Alta"</formula>
    </cfRule>
    <cfRule type="cellIs" dxfId="1020" priority="203" operator="equal">
      <formula>"Alta"</formula>
    </cfRule>
  </conditionalFormatting>
  <conditionalFormatting sqref="K112:K116">
    <cfRule type="cellIs" dxfId="1019" priority="163" operator="equal">
      <formula>"Muy Baja"</formula>
    </cfRule>
    <cfRule type="cellIs" dxfId="1018" priority="162" operator="equal">
      <formula>"Baja"</formula>
    </cfRule>
    <cfRule type="cellIs" dxfId="1017" priority="161" operator="equal">
      <formula>"Media"</formula>
    </cfRule>
    <cfRule type="cellIs" dxfId="1016" priority="160" operator="equal">
      <formula>"Alta"</formula>
    </cfRule>
    <cfRule type="cellIs" dxfId="1015" priority="159" operator="equal">
      <formula>"Muy Alta"</formula>
    </cfRule>
  </conditionalFormatting>
  <conditionalFormatting sqref="K126">
    <cfRule type="cellIs" dxfId="1014" priority="148" operator="equal">
      <formula>"Muy Baja"</formula>
    </cfRule>
    <cfRule type="cellIs" dxfId="1013" priority="147" operator="equal">
      <formula>"Baja"</formula>
    </cfRule>
    <cfRule type="cellIs" dxfId="1012" priority="146" operator="equal">
      <formula>"Media"</formula>
    </cfRule>
    <cfRule type="cellIs" dxfId="1011" priority="145" operator="equal">
      <formula>"Alta"</formula>
    </cfRule>
    <cfRule type="cellIs" dxfId="1010" priority="144" operator="equal">
      <formula>"Muy Alta"</formula>
    </cfRule>
  </conditionalFormatting>
  <conditionalFormatting sqref="K138 AB138:AB144 K141 K143">
    <cfRule type="cellIs" dxfId="1009" priority="105" operator="equal">
      <formula>"Muy Baja"</formula>
    </cfRule>
    <cfRule type="cellIs" dxfId="1008" priority="101" operator="equal">
      <formula>"Muy Alta"</formula>
    </cfRule>
    <cfRule type="cellIs" dxfId="1007" priority="102" operator="equal">
      <formula>"Alta"</formula>
    </cfRule>
    <cfRule type="cellIs" dxfId="1006" priority="103" operator="equal">
      <formula>"Media"</formula>
    </cfRule>
    <cfRule type="cellIs" dxfId="1005" priority="104" operator="equal">
      <formula>"Baja"</formula>
    </cfRule>
  </conditionalFormatting>
  <conditionalFormatting sqref="K154 AB154:AB156">
    <cfRule type="cellIs" dxfId="1004" priority="99" operator="equal">
      <formula>"Baja"</formula>
    </cfRule>
    <cfRule type="cellIs" dxfId="1003" priority="96" operator="equal">
      <formula>"Muy Alta"</formula>
    </cfRule>
    <cfRule type="cellIs" dxfId="1002" priority="98" operator="equal">
      <formula>"Media"</formula>
    </cfRule>
    <cfRule type="cellIs" dxfId="1001" priority="97" operator="equal">
      <formula>"Alta"</formula>
    </cfRule>
    <cfRule type="cellIs" dxfId="1000" priority="100" operator="equal">
      <formula>"Muy Baja"</formula>
    </cfRule>
  </conditionalFormatting>
  <conditionalFormatting sqref="K166 K168">
    <cfRule type="cellIs" dxfId="999" priority="82" operator="equal">
      <formula>"Alta"</formula>
    </cfRule>
    <cfRule type="cellIs" dxfId="998" priority="81" operator="equal">
      <formula>"Muy Alta"</formula>
    </cfRule>
    <cfRule type="cellIs" dxfId="997" priority="84" operator="equal">
      <formula>"Baja"</formula>
    </cfRule>
    <cfRule type="cellIs" dxfId="996" priority="85" operator="equal">
      <formula>"Muy Baja"</formula>
    </cfRule>
    <cfRule type="cellIs" dxfId="995" priority="83" operator="equal">
      <formula>"Media"</formula>
    </cfRule>
  </conditionalFormatting>
  <conditionalFormatting sqref="K179 K181 K184">
    <cfRule type="cellIs" dxfId="994" priority="64" operator="equal">
      <formula>"Media"</formula>
    </cfRule>
    <cfRule type="cellIs" dxfId="993" priority="65" operator="equal">
      <formula>"Baja"</formula>
    </cfRule>
    <cfRule type="cellIs" dxfId="992" priority="66" operator="equal">
      <formula>"Muy Baja"</formula>
    </cfRule>
    <cfRule type="cellIs" dxfId="991" priority="62" operator="equal">
      <formula>"Muy Alta"</formula>
    </cfRule>
    <cfRule type="cellIs" dxfId="990" priority="63" operator="equal">
      <formula>"Alta"</formula>
    </cfRule>
  </conditionalFormatting>
  <conditionalFormatting sqref="K196 AB196:AB204 K201">
    <cfRule type="cellIs" dxfId="989" priority="15" operator="equal">
      <formula>"Muy Alta"</formula>
    </cfRule>
    <cfRule type="cellIs" dxfId="988" priority="16" operator="equal">
      <formula>"Alta"</formula>
    </cfRule>
    <cfRule type="cellIs" dxfId="987" priority="17" operator="equal">
      <formula>"Media"</formula>
    </cfRule>
    <cfRule type="cellIs" dxfId="986" priority="18" operator="equal">
      <formula>"Baja"</formula>
    </cfRule>
    <cfRule type="cellIs" dxfId="985" priority="19" operator="equal">
      <formula>"Muy Baja"</formula>
    </cfRule>
  </conditionalFormatting>
  <conditionalFormatting sqref="N10:N16 N42:N49 N138:N144 N166:N169 N179:N186 M282:M389">
    <cfRule type="containsText" dxfId="984" priority="1399" operator="containsText" text="❌">
      <formula>NOT(ISERROR(SEARCH("❌",M10)))</formula>
    </cfRule>
  </conditionalFormatting>
  <conditionalFormatting sqref="N26:N32">
    <cfRule type="containsText" dxfId="983" priority="339" operator="containsText" text="❌">
      <formula>NOT(ISERROR(SEARCH(("❌"),(N26))))</formula>
    </cfRule>
  </conditionalFormatting>
  <conditionalFormatting sqref="N59:N68">
    <cfRule type="containsText" dxfId="982" priority="282" operator="containsText" text="❌">
      <formula>NOT(ISERROR(SEARCH("❌",N59)))</formula>
    </cfRule>
  </conditionalFormatting>
  <conditionalFormatting sqref="N78:N86">
    <cfRule type="containsText" dxfId="981" priority="207" operator="containsText" text="❌">
      <formula>NOT(ISERROR(SEARCH("❌",N78)))</formula>
    </cfRule>
  </conditionalFormatting>
  <conditionalFormatting sqref="N99:N102">
    <cfRule type="containsText" dxfId="980" priority="192" operator="containsText" text="❌">
      <formula>NOT(ISERROR(SEARCH("❌",N99)))</formula>
    </cfRule>
  </conditionalFormatting>
  <conditionalFormatting sqref="N112:N116">
    <cfRule type="containsText" dxfId="979" priority="149" operator="containsText" text="❌">
      <formula>NOT(ISERROR(SEARCH("❌",N112)))</formula>
    </cfRule>
  </conditionalFormatting>
  <conditionalFormatting sqref="N126:N128">
    <cfRule type="containsText" dxfId="978" priority="134" operator="containsText" text="❌">
      <formula>NOT(ISERROR(SEARCH("❌",N126)))</formula>
    </cfRule>
  </conditionalFormatting>
  <conditionalFormatting sqref="N154:N156">
    <cfRule type="containsText" dxfId="977" priority="86" operator="containsText" text="❌">
      <formula>NOT(ISERROR(SEARCH("❌",N154)))</formula>
    </cfRule>
  </conditionalFormatting>
  <conditionalFormatting sqref="N196:N204">
    <cfRule type="containsText" dxfId="976" priority="1" operator="containsText" text="❌">
      <formula>NOT(ISERROR(SEARCH("❌",N196)))</formula>
    </cfRule>
  </conditionalFormatting>
  <conditionalFormatting sqref="O10:O16">
    <cfRule type="cellIs" dxfId="975" priority="382" operator="equal">
      <formula>"Mayor"</formula>
    </cfRule>
    <cfRule type="cellIs" dxfId="974" priority="381" operator="equal">
      <formula>"Catastrófico"</formula>
    </cfRule>
    <cfRule type="cellIs" dxfId="973" priority="385" operator="equal">
      <formula>"Leve"</formula>
    </cfRule>
    <cfRule type="cellIs" dxfId="972" priority="384" operator="equal">
      <formula>"Menor"</formula>
    </cfRule>
    <cfRule type="cellIs" dxfId="971" priority="383" operator="equal">
      <formula>"Moderado"</formula>
    </cfRule>
  </conditionalFormatting>
  <conditionalFormatting sqref="O26 O30">
    <cfRule type="cellIs" dxfId="970" priority="341" operator="equal">
      <formula>"Mayor"</formula>
    </cfRule>
    <cfRule type="cellIs" dxfId="969" priority="343" operator="equal">
      <formula>"Menor"</formula>
    </cfRule>
    <cfRule type="cellIs" dxfId="968" priority="344" operator="equal">
      <formula>"Leve"</formula>
    </cfRule>
    <cfRule type="cellIs" dxfId="967" priority="340" operator="equal">
      <formula>"Catastrófico"</formula>
    </cfRule>
    <cfRule type="cellIs" dxfId="966" priority="342" operator="equal">
      <formula>"Moderado"</formula>
    </cfRule>
  </conditionalFormatting>
  <conditionalFormatting sqref="O42 O46 O48:O49">
    <cfRule type="cellIs" dxfId="965" priority="328" operator="equal">
      <formula>"Leve"</formula>
    </cfRule>
    <cfRule type="cellIs" dxfId="964" priority="327" operator="equal">
      <formula>"Menor"</formula>
    </cfRule>
    <cfRule type="cellIs" dxfId="963" priority="326" operator="equal">
      <formula>"Moderado"</formula>
    </cfRule>
    <cfRule type="cellIs" dxfId="962" priority="324" operator="equal">
      <formula>"Catastrófico"</formula>
    </cfRule>
    <cfRule type="cellIs" dxfId="961" priority="325" operator="equal">
      <formula>"Mayor"</formula>
    </cfRule>
  </conditionalFormatting>
  <conditionalFormatting sqref="O59:O60 O63 O65 O68">
    <cfRule type="cellIs" dxfId="960" priority="306" operator="equal">
      <formula>"Mayor"</formula>
    </cfRule>
    <cfRule type="cellIs" dxfId="959" priority="309" operator="equal">
      <formula>"Leve"</formula>
    </cfRule>
    <cfRule type="cellIs" dxfId="958" priority="305" operator="equal">
      <formula>"Catastrófico"</formula>
    </cfRule>
    <cfRule type="cellIs" dxfId="957" priority="307" operator="equal">
      <formula>"Moderado"</formula>
    </cfRule>
    <cfRule type="cellIs" dxfId="956" priority="308" operator="equal">
      <formula>"Menor"</formula>
    </cfRule>
  </conditionalFormatting>
  <conditionalFormatting sqref="O78 O82">
    <cfRule type="cellIs" dxfId="955" priority="272" operator="equal">
      <formula>"Catastrófico"</formula>
    </cfRule>
    <cfRule type="cellIs" dxfId="954" priority="273" operator="equal">
      <formula>"Mayor"</formula>
    </cfRule>
    <cfRule type="cellIs" dxfId="953" priority="274" operator="equal">
      <formula>"Moderado"</formula>
    </cfRule>
    <cfRule type="cellIs" dxfId="952" priority="275" operator="equal">
      <formula>"Menor"</formula>
    </cfRule>
    <cfRule type="cellIs" dxfId="951" priority="276" operator="equal">
      <formula>"Leve"</formula>
    </cfRule>
  </conditionalFormatting>
  <conditionalFormatting sqref="O86">
    <cfRule type="cellIs" dxfId="950" priority="230" operator="equal">
      <formula>"Leve"</formula>
    </cfRule>
    <cfRule type="cellIs" dxfId="949" priority="228" operator="equal">
      <formula>"Moderado"</formula>
    </cfRule>
    <cfRule type="cellIs" dxfId="948" priority="226" operator="equal">
      <formula>"Catastrófico"</formula>
    </cfRule>
    <cfRule type="cellIs" dxfId="947" priority="227" operator="equal">
      <formula>"Mayor"</formula>
    </cfRule>
    <cfRule type="cellIs" dxfId="946" priority="229" operator="equal">
      <formula>"Menor"</formula>
    </cfRule>
  </conditionalFormatting>
  <conditionalFormatting sqref="O99">
    <cfRule type="cellIs" dxfId="945" priority="197" operator="equal">
      <formula>"Catastrófico"</formula>
    </cfRule>
    <cfRule type="cellIs" dxfId="944" priority="201" operator="equal">
      <formula>"Leve"</formula>
    </cfRule>
    <cfRule type="cellIs" dxfId="943" priority="199" operator="equal">
      <formula>"Moderado"</formula>
    </cfRule>
    <cfRule type="cellIs" dxfId="942" priority="200" operator="equal">
      <formula>"Menor"</formula>
    </cfRule>
    <cfRule type="cellIs" dxfId="941" priority="198" operator="equal">
      <formula>"Mayor"</formula>
    </cfRule>
  </conditionalFormatting>
  <conditionalFormatting sqref="O112:O116">
    <cfRule type="cellIs" dxfId="940" priority="158" operator="equal">
      <formula>"Leve"</formula>
    </cfRule>
    <cfRule type="cellIs" dxfId="939" priority="155" operator="equal">
      <formula>"Mayor"</formula>
    </cfRule>
    <cfRule type="cellIs" dxfId="938" priority="154" operator="equal">
      <formula>"Catastrófico"</formula>
    </cfRule>
    <cfRule type="cellIs" dxfId="937" priority="156" operator="equal">
      <formula>"Moderado"</formula>
    </cfRule>
    <cfRule type="cellIs" dxfId="936" priority="157" operator="equal">
      <formula>"Menor"</formula>
    </cfRule>
  </conditionalFormatting>
  <conditionalFormatting sqref="O126">
    <cfRule type="cellIs" dxfId="935" priority="142" operator="equal">
      <formula>"Menor"</formula>
    </cfRule>
    <cfRule type="cellIs" dxfId="934" priority="140" operator="equal">
      <formula>"Mayor"</formula>
    </cfRule>
    <cfRule type="cellIs" dxfId="933" priority="139" operator="equal">
      <formula>"Catastrófico"</formula>
    </cfRule>
    <cfRule type="cellIs" dxfId="932" priority="143" operator="equal">
      <formula>"Leve"</formula>
    </cfRule>
    <cfRule type="cellIs" dxfId="931" priority="141" operator="equal">
      <formula>"Moderado"</formula>
    </cfRule>
  </conditionalFormatting>
  <conditionalFormatting sqref="O138 AD138:AD144 O141 O143">
    <cfRule type="cellIs" dxfId="930" priority="109" operator="equal">
      <formula>"Menor"</formula>
    </cfRule>
    <cfRule type="cellIs" dxfId="929" priority="110" operator="equal">
      <formula>"Leve"</formula>
    </cfRule>
    <cfRule type="cellIs" dxfId="928" priority="106" operator="equal">
      <formula>"Catastrófico"</formula>
    </cfRule>
    <cfRule type="cellIs" dxfId="927" priority="107" operator="equal">
      <formula>"Mayor"</formula>
    </cfRule>
    <cfRule type="cellIs" dxfId="926" priority="108" operator="equal">
      <formula>"Moderado"</formula>
    </cfRule>
  </conditionalFormatting>
  <conditionalFormatting sqref="O154 AD154:AD156">
    <cfRule type="cellIs" dxfId="925" priority="92" operator="equal">
      <formula>"Mayor"</formula>
    </cfRule>
    <cfRule type="cellIs" dxfId="924" priority="94" operator="equal">
      <formula>"Menor"</formula>
    </cfRule>
    <cfRule type="cellIs" dxfId="923" priority="91" operator="equal">
      <formula>"Catastrófico"</formula>
    </cfRule>
    <cfRule type="cellIs" dxfId="922" priority="93" operator="equal">
      <formula>"Moderado"</formula>
    </cfRule>
    <cfRule type="cellIs" dxfId="921" priority="95" operator="equal">
      <formula>"Leve"</formula>
    </cfRule>
  </conditionalFormatting>
  <conditionalFormatting sqref="O166 O168">
    <cfRule type="cellIs" dxfId="920" priority="76" operator="equal">
      <formula>"Catastrófico"</formula>
    </cfRule>
    <cfRule type="cellIs" dxfId="919" priority="77" operator="equal">
      <formula>"Mayor"</formula>
    </cfRule>
    <cfRule type="cellIs" dxfId="918" priority="78" operator="equal">
      <formula>"Moderado"</formula>
    </cfRule>
    <cfRule type="cellIs" dxfId="917" priority="79" operator="equal">
      <formula>"Menor"</formula>
    </cfRule>
    <cfRule type="cellIs" dxfId="916" priority="80" operator="equal">
      <formula>"Leve"</formula>
    </cfRule>
  </conditionalFormatting>
  <conditionalFormatting sqref="O179 O181 O184">
    <cfRule type="cellIs" dxfId="915" priority="61" operator="equal">
      <formula>"Leve"</formula>
    </cfRule>
    <cfRule type="cellIs" dxfId="914" priority="57" operator="equal">
      <formula>"Catastrófico"</formula>
    </cfRule>
    <cfRule type="cellIs" dxfId="913" priority="58" operator="equal">
      <formula>"Mayor"</formula>
    </cfRule>
    <cfRule type="cellIs" dxfId="912" priority="59" operator="equal">
      <formula>"Moderado"</formula>
    </cfRule>
    <cfRule type="cellIs" dxfId="911" priority="60" operator="equal">
      <formula>"Menor"</formula>
    </cfRule>
  </conditionalFormatting>
  <conditionalFormatting sqref="O196 AD196:AD204 O201">
    <cfRule type="cellIs" dxfId="910" priority="10" operator="equal">
      <formula>"Catastrófico"</formula>
    </cfRule>
    <cfRule type="cellIs" dxfId="909" priority="14" operator="equal">
      <formula>"Leve"</formula>
    </cfRule>
    <cfRule type="cellIs" dxfId="908" priority="13" operator="equal">
      <formula>"Menor"</formula>
    </cfRule>
    <cfRule type="cellIs" dxfId="907" priority="12" operator="equal">
      <formula>"Moderado"</formula>
    </cfRule>
    <cfRule type="cellIs" dxfId="906" priority="11" operator="equal">
      <formula>"Mayor"</formula>
    </cfRule>
  </conditionalFormatting>
  <conditionalFormatting sqref="Q10:Q16">
    <cfRule type="cellIs" dxfId="905" priority="379" operator="equal">
      <formula>"Moderado"</formula>
    </cfRule>
    <cfRule type="cellIs" dxfId="904" priority="380" operator="equal">
      <formula>"Bajo"</formula>
    </cfRule>
    <cfRule type="cellIs" dxfId="903" priority="378" operator="equal">
      <formula>"Alto"</formula>
    </cfRule>
    <cfRule type="cellIs" dxfId="902" priority="377" operator="equal">
      <formula>"Extremo"</formula>
    </cfRule>
  </conditionalFormatting>
  <conditionalFormatting sqref="Q26">
    <cfRule type="cellIs" dxfId="901" priority="348" operator="equal">
      <formula>"Bajo"</formula>
    </cfRule>
    <cfRule type="cellIs" dxfId="900" priority="347" operator="equal">
      <formula>"Moderado"</formula>
    </cfRule>
    <cfRule type="cellIs" dxfId="899" priority="346" operator="equal">
      <formula>"Alto"</formula>
    </cfRule>
    <cfRule type="cellIs" dxfId="898" priority="345" operator="equal">
      <formula>"Extremo"</formula>
    </cfRule>
  </conditionalFormatting>
  <conditionalFormatting sqref="Q32">
    <cfRule type="cellIs" dxfId="897" priority="350" operator="equal">
      <formula>"Alto"</formula>
    </cfRule>
    <cfRule type="cellIs" dxfId="896" priority="351" operator="equal">
      <formula>"Moderado"</formula>
    </cfRule>
    <cfRule type="cellIs" dxfId="895" priority="349" operator="equal">
      <formula>"Extremo"</formula>
    </cfRule>
    <cfRule type="cellIs" dxfId="894" priority="352" operator="equal">
      <formula>"Bajo"</formula>
    </cfRule>
  </conditionalFormatting>
  <conditionalFormatting sqref="Q42">
    <cfRule type="cellIs" dxfId="893" priority="321" operator="equal">
      <formula>"Alto"</formula>
    </cfRule>
    <cfRule type="cellIs" dxfId="892" priority="320" operator="equal">
      <formula>"Extremo"</formula>
    </cfRule>
    <cfRule type="cellIs" dxfId="891" priority="323" operator="equal">
      <formula>"Bajo"</formula>
    </cfRule>
    <cfRule type="cellIs" dxfId="890" priority="322" operator="equal">
      <formula>"Moderado"</formula>
    </cfRule>
  </conditionalFormatting>
  <conditionalFormatting sqref="Q46 Q48:Q49">
    <cfRule type="cellIs" dxfId="889" priority="318" operator="equal">
      <formula>"Moderado"</formula>
    </cfRule>
    <cfRule type="cellIs" dxfId="888" priority="319" operator="equal">
      <formula>"Bajo"</formula>
    </cfRule>
    <cfRule type="cellIs" dxfId="887" priority="316" operator="equal">
      <formula>"Extremo"</formula>
    </cfRule>
    <cfRule type="cellIs" dxfId="886" priority="317" operator="equal">
      <formula>"Alto"</formula>
    </cfRule>
  </conditionalFormatting>
  <conditionalFormatting sqref="Q59:Q60">
    <cfRule type="cellIs" dxfId="885" priority="301" operator="equal">
      <formula>"Extremo"</formula>
    </cfRule>
    <cfRule type="cellIs" dxfId="884" priority="303" operator="equal">
      <formula>"Moderado"</formula>
    </cfRule>
    <cfRule type="cellIs" dxfId="883" priority="302" operator="equal">
      <formula>"Alto"</formula>
    </cfRule>
    <cfRule type="cellIs" dxfId="882" priority="304" operator="equal">
      <formula>"Bajo"</formula>
    </cfRule>
  </conditionalFormatting>
  <conditionalFormatting sqref="Q63 Q65 Q68">
    <cfRule type="cellIs" dxfId="881" priority="284" operator="equal">
      <formula>"Alto"</formula>
    </cfRule>
    <cfRule type="cellIs" dxfId="880" priority="286" operator="equal">
      <formula>"Bajo"</formula>
    </cfRule>
    <cfRule type="cellIs" dxfId="879" priority="285" operator="equal">
      <formula>"Moderado"</formula>
    </cfRule>
    <cfRule type="cellIs" dxfId="878" priority="283" operator="equal">
      <formula>"Extremo"</formula>
    </cfRule>
  </conditionalFormatting>
  <conditionalFormatting sqref="Q78">
    <cfRule type="cellIs" dxfId="877" priority="268" operator="equal">
      <formula>"Extremo"</formula>
    </cfRule>
    <cfRule type="cellIs" dxfId="876" priority="269" operator="equal">
      <formula>"Alto"</formula>
    </cfRule>
    <cfRule type="cellIs" dxfId="875" priority="270" operator="equal">
      <formula>"Moderado"</formula>
    </cfRule>
    <cfRule type="cellIs" dxfId="874" priority="271" operator="equal">
      <formula>"Bajo"</formula>
    </cfRule>
  </conditionalFormatting>
  <conditionalFormatting sqref="Q82">
    <cfRule type="cellIs" dxfId="873" priority="260" operator="equal">
      <formula>"Alto"</formula>
    </cfRule>
    <cfRule type="cellIs" dxfId="872" priority="259" operator="equal">
      <formula>"Extremo"</formula>
    </cfRule>
    <cfRule type="cellIs" dxfId="871" priority="262" operator="equal">
      <formula>"Bajo"</formula>
    </cfRule>
    <cfRule type="cellIs" dxfId="870" priority="261" operator="equal">
      <formula>"Moderado"</formula>
    </cfRule>
  </conditionalFormatting>
  <conditionalFormatting sqref="Q86">
    <cfRule type="cellIs" dxfId="869" priority="223" operator="equal">
      <formula>"Alto"</formula>
    </cfRule>
    <cfRule type="cellIs" dxfId="868" priority="225" operator="equal">
      <formula>"Bajo"</formula>
    </cfRule>
    <cfRule type="cellIs" dxfId="867" priority="224" operator="equal">
      <formula>"Moderado"</formula>
    </cfRule>
    <cfRule type="cellIs" dxfId="866" priority="222" operator="equal">
      <formula>"Extremo"</formula>
    </cfRule>
  </conditionalFormatting>
  <conditionalFormatting sqref="Q99">
    <cfRule type="cellIs" dxfId="865" priority="196" operator="equal">
      <formula>"Bajo"</formula>
    </cfRule>
    <cfRule type="cellIs" dxfId="864" priority="195" operator="equal">
      <formula>"Moderado"</formula>
    </cfRule>
    <cfRule type="cellIs" dxfId="863" priority="194" operator="equal">
      <formula>"Alto"</formula>
    </cfRule>
    <cfRule type="cellIs" dxfId="862" priority="193" operator="equal">
      <formula>"Extremo"</formula>
    </cfRule>
  </conditionalFormatting>
  <conditionalFormatting sqref="Q112:Q116">
    <cfRule type="cellIs" dxfId="861" priority="150" operator="equal">
      <formula>"Extremo"</formula>
    </cfRule>
    <cfRule type="cellIs" dxfId="860" priority="151" operator="equal">
      <formula>"Alto"</formula>
    </cfRule>
    <cfRule type="cellIs" dxfId="859" priority="152" operator="equal">
      <formula>"Moderado"</formula>
    </cfRule>
    <cfRule type="cellIs" dxfId="858" priority="153" operator="equal">
      <formula>"Bajo"</formula>
    </cfRule>
  </conditionalFormatting>
  <conditionalFormatting sqref="Q126">
    <cfRule type="cellIs" dxfId="857" priority="138" operator="equal">
      <formula>"Bajo"</formula>
    </cfRule>
    <cfRule type="cellIs" dxfId="856" priority="136" operator="equal">
      <formula>"Alto"</formula>
    </cfRule>
    <cfRule type="cellIs" dxfId="855" priority="135" operator="equal">
      <formula>"Extremo"</formula>
    </cfRule>
    <cfRule type="cellIs" dxfId="854" priority="137" operator="equal">
      <formula>"Moderado"</formula>
    </cfRule>
  </conditionalFormatting>
  <conditionalFormatting sqref="Q138 AF138:AF144">
    <cfRule type="cellIs" dxfId="853" priority="111" operator="equal">
      <formula>"Extremo"</formula>
    </cfRule>
    <cfRule type="cellIs" dxfId="852" priority="114" operator="equal">
      <formula>"Bajo"</formula>
    </cfRule>
    <cfRule type="cellIs" dxfId="851" priority="113" operator="equal">
      <formula>"Moderado"</formula>
    </cfRule>
    <cfRule type="cellIs" dxfId="850" priority="112" operator="equal">
      <formula>"Alto"</formula>
    </cfRule>
  </conditionalFormatting>
  <conditionalFormatting sqref="Q141 Q143">
    <cfRule type="cellIs" dxfId="849" priority="117" operator="equal">
      <formula>"Moderado"</formula>
    </cfRule>
    <cfRule type="cellIs" dxfId="848" priority="116" operator="equal">
      <formula>"Alto"</formula>
    </cfRule>
    <cfRule type="cellIs" dxfId="847" priority="115" operator="equal">
      <formula>"Extremo"</formula>
    </cfRule>
    <cfRule type="cellIs" dxfId="846" priority="118" operator="equal">
      <formula>"Bajo"</formula>
    </cfRule>
  </conditionalFormatting>
  <conditionalFormatting sqref="Q154 AF154:AF156">
    <cfRule type="cellIs" dxfId="845" priority="89" operator="equal">
      <formula>"Moderado"</formula>
    </cfRule>
    <cfRule type="cellIs" dxfId="844" priority="88" operator="equal">
      <formula>"Alto"</formula>
    </cfRule>
    <cfRule type="cellIs" dxfId="843" priority="90" operator="equal">
      <formula>"Bajo"</formula>
    </cfRule>
    <cfRule type="cellIs" dxfId="842" priority="87" operator="equal">
      <formula>"Extremo"</formula>
    </cfRule>
  </conditionalFormatting>
  <conditionalFormatting sqref="Q166">
    <cfRule type="cellIs" dxfId="841" priority="73" operator="equal">
      <formula>"Alto"</formula>
    </cfRule>
    <cfRule type="cellIs" dxfId="840" priority="74" operator="equal">
      <formula>"Moderado"</formula>
    </cfRule>
    <cfRule type="cellIs" dxfId="839" priority="75" operator="equal">
      <formula>"Bajo"</formula>
    </cfRule>
    <cfRule type="cellIs" dxfId="838" priority="72" operator="equal">
      <formula>"Extremo"</formula>
    </cfRule>
  </conditionalFormatting>
  <conditionalFormatting sqref="Q168">
    <cfRule type="cellIs" dxfId="837" priority="70" operator="equal">
      <formula>"Moderado"</formula>
    </cfRule>
    <cfRule type="cellIs" dxfId="836" priority="71" operator="equal">
      <formula>"Bajo"</formula>
    </cfRule>
    <cfRule type="cellIs" dxfId="835" priority="68" operator="equal">
      <formula>"Extremo"</formula>
    </cfRule>
    <cfRule type="cellIs" dxfId="834" priority="69" operator="equal">
      <formula>"Alto"</formula>
    </cfRule>
  </conditionalFormatting>
  <conditionalFormatting sqref="Q179">
    <cfRule type="cellIs" dxfId="833" priority="56" operator="equal">
      <formula>"Bajo"</formula>
    </cfRule>
    <cfRule type="cellIs" dxfId="832" priority="55" operator="equal">
      <formula>"Moderado"</formula>
    </cfRule>
    <cfRule type="cellIs" dxfId="831" priority="53" operator="equal">
      <formula>"Extremo"</formula>
    </cfRule>
    <cfRule type="cellIs" dxfId="830" priority="54" operator="equal">
      <formula>"Alto"</formula>
    </cfRule>
  </conditionalFormatting>
  <conditionalFormatting sqref="Q181 Q184">
    <cfRule type="cellIs" dxfId="829" priority="52" operator="equal">
      <formula>"Bajo"</formula>
    </cfRule>
    <cfRule type="cellIs" dxfId="828" priority="51" operator="equal">
      <formula>"Moderado"</formula>
    </cfRule>
    <cfRule type="cellIs" dxfId="827" priority="50" operator="equal">
      <formula>"Alto"</formula>
    </cfRule>
    <cfRule type="cellIs" dxfId="826" priority="49" operator="equal">
      <formula>"Extremo"</formula>
    </cfRule>
  </conditionalFormatting>
  <conditionalFormatting sqref="Q196 AF196:AF204">
    <cfRule type="cellIs" dxfId="825" priority="8" operator="equal">
      <formula>"Moderado"</formula>
    </cfRule>
    <cfRule type="cellIs" dxfId="824" priority="7" operator="equal">
      <formula>"Alto"</formula>
    </cfRule>
    <cfRule type="cellIs" dxfId="823" priority="6" operator="equal">
      <formula>"Extremo"</formula>
    </cfRule>
    <cfRule type="cellIs" dxfId="822" priority="9" operator="equal">
      <formula>"Bajo"</formula>
    </cfRule>
  </conditionalFormatting>
  <conditionalFormatting sqref="Q201">
    <cfRule type="cellIs" dxfId="821" priority="3" operator="equal">
      <formula>"Alto"</formula>
    </cfRule>
    <cfRule type="cellIs" dxfId="820" priority="5" operator="equal">
      <formula>"Bajo"</formula>
    </cfRule>
    <cfRule type="cellIs" dxfId="819" priority="4" operator="equal">
      <formula>"Moderado"</formula>
    </cfRule>
    <cfRule type="cellIs" dxfId="818" priority="2" operator="equal">
      <formula>"Extremo"</formula>
    </cfRule>
  </conditionalFormatting>
  <conditionalFormatting sqref="AA282:AA389">
    <cfRule type="cellIs" dxfId="817" priority="2100" operator="equal">
      <formula>"Muy Baja"</formula>
    </cfRule>
    <cfRule type="cellIs" dxfId="816" priority="2101" operator="equal">
      <formula>"Baja"</formula>
    </cfRule>
    <cfRule type="cellIs" dxfId="815" priority="2102" operator="equal">
      <formula>"Media"</formula>
    </cfRule>
    <cfRule type="cellIs" dxfId="814" priority="2098" operator="equal">
      <formula>"Alta"</formula>
    </cfRule>
    <cfRule type="cellIs" dxfId="813" priority="2099" operator="equal">
      <formula>"Muy Alta"</formula>
    </cfRule>
  </conditionalFormatting>
  <conditionalFormatting sqref="AB10:AB16 AB42:AB49 AB166:AB169 AB179:AB184">
    <cfRule type="cellIs" dxfId="812" priority="409" operator="equal">
      <formula>"Muy Baja"</formula>
    </cfRule>
    <cfRule type="cellIs" dxfId="811" priority="408" operator="equal">
      <formula>"Baja"</formula>
    </cfRule>
    <cfRule type="cellIs" dxfId="810" priority="407" operator="equal">
      <formula>"Media"</formula>
    </cfRule>
    <cfRule type="cellIs" dxfId="809" priority="406" operator="equal">
      <formula>"Alta"</formula>
    </cfRule>
    <cfRule type="cellIs" dxfId="808" priority="405" operator="equal">
      <formula>"Muy Alta"</formula>
    </cfRule>
  </conditionalFormatting>
  <conditionalFormatting sqref="AB26 AB28:AB32">
    <cfRule type="cellIs" dxfId="807" priority="356" operator="equal">
      <formula>"Baja"</formula>
    </cfRule>
    <cfRule type="cellIs" dxfId="806" priority="355" operator="equal">
      <formula>"Media"</formula>
    </cfRule>
    <cfRule type="cellIs" dxfId="805" priority="354" operator="equal">
      <formula>"Alta"</formula>
    </cfRule>
    <cfRule type="cellIs" dxfId="804" priority="353" operator="equal">
      <formula>"Muy Alta"</formula>
    </cfRule>
    <cfRule type="cellIs" dxfId="803" priority="357" operator="equal">
      <formula>"Muy Baja"</formula>
    </cfRule>
  </conditionalFormatting>
  <conditionalFormatting sqref="AB59:AB68">
    <cfRule type="cellIs" dxfId="802" priority="296" operator="equal">
      <formula>"Muy Alta"</formula>
    </cfRule>
    <cfRule type="cellIs" dxfId="801" priority="297" operator="equal">
      <formula>"Alta"</formula>
    </cfRule>
    <cfRule type="cellIs" dxfId="800" priority="298" operator="equal">
      <formula>"Media"</formula>
    </cfRule>
    <cfRule type="cellIs" dxfId="799" priority="299" operator="equal">
      <formula>"Baja"</formula>
    </cfRule>
    <cfRule type="cellIs" dxfId="798" priority="300" operator="equal">
      <formula>"Muy Baja"</formula>
    </cfRule>
  </conditionalFormatting>
  <conditionalFormatting sqref="AB78:AB79">
    <cfRule type="cellIs" dxfId="797" priority="267" operator="equal">
      <formula>"Muy Baja"</formula>
    </cfRule>
    <cfRule type="cellIs" dxfId="796" priority="266" operator="equal">
      <formula>"Baja"</formula>
    </cfRule>
    <cfRule type="cellIs" dxfId="795" priority="265" operator="equal">
      <formula>"Media"</formula>
    </cfRule>
    <cfRule type="cellIs" dxfId="794" priority="264" operator="equal">
      <formula>"Alta"</formula>
    </cfRule>
    <cfRule type="cellIs" dxfId="793" priority="263" operator="equal">
      <formula>"Muy Alta"</formula>
    </cfRule>
  </conditionalFormatting>
  <conditionalFormatting sqref="AB82:AB83">
    <cfRule type="cellIs" dxfId="792" priority="257" operator="equal">
      <formula>"Baja"</formula>
    </cfRule>
    <cfRule type="cellIs" dxfId="791" priority="256" operator="equal">
      <formula>"Media"</formula>
    </cfRule>
    <cfRule type="cellIs" dxfId="790" priority="258" operator="equal">
      <formula>"Muy Baja"</formula>
    </cfRule>
    <cfRule type="cellIs" dxfId="789" priority="255" operator="equal">
      <formula>"Alta"</formula>
    </cfRule>
    <cfRule type="cellIs" dxfId="788" priority="254" operator="equal">
      <formula>"Muy Alta"</formula>
    </cfRule>
  </conditionalFormatting>
  <conditionalFormatting sqref="AB86">
    <cfRule type="cellIs" dxfId="787" priority="218" operator="equal">
      <formula>"Alta"</formula>
    </cfRule>
    <cfRule type="cellIs" dxfId="786" priority="219" operator="equal">
      <formula>"Media"</formula>
    </cfRule>
    <cfRule type="cellIs" dxfId="785" priority="217" operator="equal">
      <formula>"Muy Alta"</formula>
    </cfRule>
    <cfRule type="cellIs" dxfId="784" priority="221" operator="equal">
      <formula>"Muy Baja"</formula>
    </cfRule>
    <cfRule type="cellIs" dxfId="783" priority="220" operator="equal">
      <formula>"Baja"</formula>
    </cfRule>
  </conditionalFormatting>
  <conditionalFormatting sqref="AB99:AB102">
    <cfRule type="cellIs" dxfId="782" priority="190" operator="equal">
      <formula>"Baja"</formula>
    </cfRule>
    <cfRule type="cellIs" dxfId="781" priority="187" operator="equal">
      <formula>"Muy Alta"</formula>
    </cfRule>
    <cfRule type="cellIs" dxfId="780" priority="188" operator="equal">
      <formula>"Alta"</formula>
    </cfRule>
    <cfRule type="cellIs" dxfId="779" priority="189" operator="equal">
      <formula>"Media"</formula>
    </cfRule>
    <cfRule type="cellIs" dxfId="778" priority="191" operator="equal">
      <formula>"Muy Baja"</formula>
    </cfRule>
  </conditionalFormatting>
  <conditionalFormatting sqref="AB112:AB116">
    <cfRule type="cellIs" dxfId="777" priority="168" operator="equal">
      <formula>"Muy Baja"</formula>
    </cfRule>
    <cfRule type="cellIs" dxfId="776" priority="167" operator="equal">
      <formula>"Baja"</formula>
    </cfRule>
    <cfRule type="cellIs" dxfId="775" priority="166" operator="equal">
      <formula>"Media"</formula>
    </cfRule>
    <cfRule type="cellIs" dxfId="774" priority="165" operator="equal">
      <formula>"Alta"</formula>
    </cfRule>
    <cfRule type="cellIs" dxfId="773" priority="164" operator="equal">
      <formula>"Muy Alta"</formula>
    </cfRule>
  </conditionalFormatting>
  <conditionalFormatting sqref="AB126:AB128">
    <cfRule type="cellIs" dxfId="772" priority="130" operator="equal">
      <formula>"Alta"</formula>
    </cfRule>
    <cfRule type="cellIs" dxfId="771" priority="131" operator="equal">
      <formula>"Media"</formula>
    </cfRule>
    <cfRule type="cellIs" dxfId="770" priority="132" operator="equal">
      <formula>"Baja"</formula>
    </cfRule>
    <cfRule type="cellIs" dxfId="769" priority="133" operator="equal">
      <formula>"Muy Baja"</formula>
    </cfRule>
    <cfRule type="cellIs" dxfId="768" priority="129" operator="equal">
      <formula>"Muy Alta"</formula>
    </cfRule>
  </conditionalFormatting>
  <conditionalFormatting sqref="AB186">
    <cfRule type="cellIs" dxfId="767" priority="29" operator="equal">
      <formula>"Muy Alta"</formula>
    </cfRule>
    <cfRule type="cellIs" dxfId="766" priority="30" operator="equal">
      <formula>"Alta"</formula>
    </cfRule>
    <cfRule type="cellIs" dxfId="765" priority="32" operator="equal">
      <formula>"Baja"</formula>
    </cfRule>
    <cfRule type="cellIs" dxfId="764" priority="33" operator="equal">
      <formula>"Muy Baja"</formula>
    </cfRule>
    <cfRule type="cellIs" dxfId="763" priority="31" operator="equal">
      <formula>"Media"</formula>
    </cfRule>
  </conditionalFormatting>
  <conditionalFormatting sqref="AC282:AC389">
    <cfRule type="cellIs" dxfId="762" priority="2094" operator="equal">
      <formula>"Moderado"</formula>
    </cfRule>
    <cfRule type="cellIs" dxfId="761" priority="2093" operator="equal">
      <formula>"Menor"</formula>
    </cfRule>
    <cfRule type="cellIs" dxfId="760" priority="2095" operator="equal">
      <formula>"Mayor"</formula>
    </cfRule>
    <cfRule type="cellIs" dxfId="759" priority="2097" operator="equal">
      <formula>"Leve"</formula>
    </cfRule>
    <cfRule type="cellIs" dxfId="758" priority="2096" operator="equal">
      <formula>"Catastrófico"</formula>
    </cfRule>
  </conditionalFormatting>
  <conditionalFormatting sqref="AD10:AD16 AD42:AD49 AD166:AD169 AD179:AD184">
    <cfRule type="cellIs" dxfId="757" priority="402" operator="equal">
      <formula>"Moderado"</formula>
    </cfRule>
    <cfRule type="cellIs" dxfId="756" priority="400" operator="equal">
      <formula>"Catastrófico"</formula>
    </cfRule>
    <cfRule type="cellIs" dxfId="755" priority="404" operator="equal">
      <formula>"Leve"</formula>
    </cfRule>
    <cfRule type="cellIs" dxfId="754" priority="403" operator="equal">
      <formula>"Menor"</formula>
    </cfRule>
    <cfRule type="cellIs" dxfId="753" priority="401" operator="equal">
      <formula>"Mayor"</formula>
    </cfRule>
  </conditionalFormatting>
  <conditionalFormatting sqref="AD26 AD28:AD32">
    <cfRule type="cellIs" dxfId="752" priority="361" operator="equal">
      <formula>"Menor"</formula>
    </cfRule>
    <cfRule type="cellIs" dxfId="751" priority="359" operator="equal">
      <formula>"Mayor"</formula>
    </cfRule>
    <cfRule type="cellIs" dxfId="750" priority="360" operator="equal">
      <formula>"Moderado"</formula>
    </cfRule>
    <cfRule type="cellIs" dxfId="749" priority="362" operator="equal">
      <formula>"Leve"</formula>
    </cfRule>
    <cfRule type="cellIs" dxfId="748" priority="358" operator="equal">
      <formula>"Catastrófico"</formula>
    </cfRule>
  </conditionalFormatting>
  <conditionalFormatting sqref="AD59:AD68">
    <cfRule type="cellIs" dxfId="747" priority="292" operator="equal">
      <formula>"Mayor"</formula>
    </cfRule>
    <cfRule type="cellIs" dxfId="746" priority="293" operator="equal">
      <formula>"Moderado"</formula>
    </cfRule>
    <cfRule type="cellIs" dxfId="745" priority="294" operator="equal">
      <formula>"Menor"</formula>
    </cfRule>
    <cfRule type="cellIs" dxfId="744" priority="295" operator="equal">
      <formula>"Leve"</formula>
    </cfRule>
    <cfRule type="cellIs" dxfId="743" priority="291" operator="equal">
      <formula>"Catastrófico"</formula>
    </cfRule>
  </conditionalFormatting>
  <conditionalFormatting sqref="AD78:AD79">
    <cfRule type="cellIs" dxfId="742" priority="241" operator="equal">
      <formula>"Mayor"</formula>
    </cfRule>
    <cfRule type="cellIs" dxfId="741" priority="242" operator="equal">
      <formula>"Moderado"</formula>
    </cfRule>
    <cfRule type="cellIs" dxfId="740" priority="244" operator="equal">
      <formula>"Leve"</formula>
    </cfRule>
    <cfRule type="cellIs" dxfId="739" priority="240" operator="equal">
      <formula>"Catastrófico"</formula>
    </cfRule>
    <cfRule type="cellIs" dxfId="738" priority="243" operator="equal">
      <formula>"Menor"</formula>
    </cfRule>
  </conditionalFormatting>
  <conditionalFormatting sqref="AD82:AD83">
    <cfRule type="cellIs" dxfId="737" priority="252" operator="equal">
      <formula>"Menor"</formula>
    </cfRule>
    <cfRule type="cellIs" dxfId="736" priority="251" operator="equal">
      <formula>"Moderado"</formula>
    </cfRule>
    <cfRule type="cellIs" dxfId="735" priority="250" operator="equal">
      <formula>"Mayor"</formula>
    </cfRule>
    <cfRule type="cellIs" dxfId="734" priority="253" operator="equal">
      <formula>"Leve"</formula>
    </cfRule>
    <cfRule type="cellIs" dxfId="733" priority="249" operator="equal">
      <formula>"Catastrófico"</formula>
    </cfRule>
  </conditionalFormatting>
  <conditionalFormatting sqref="AD86">
    <cfRule type="cellIs" dxfId="732" priority="216" operator="equal">
      <formula>"Leve"</formula>
    </cfRule>
    <cfRule type="cellIs" dxfId="731" priority="215" operator="equal">
      <formula>"Menor"</formula>
    </cfRule>
    <cfRule type="cellIs" dxfId="730" priority="214" operator="equal">
      <formula>"Moderado"</formula>
    </cfRule>
    <cfRule type="cellIs" dxfId="729" priority="213" operator="equal">
      <formula>"Mayor"</formula>
    </cfRule>
    <cfRule type="cellIs" dxfId="728" priority="212" operator="equal">
      <formula>"Catastrófico"</formula>
    </cfRule>
  </conditionalFormatting>
  <conditionalFormatting sqref="AD99:AD102">
    <cfRule type="cellIs" dxfId="727" priority="184" operator="equal">
      <formula>"Moderado"</formula>
    </cfRule>
    <cfRule type="cellIs" dxfId="726" priority="183" operator="equal">
      <formula>"Mayor"</formula>
    </cfRule>
    <cfRule type="cellIs" dxfId="725" priority="182" operator="equal">
      <formula>"Catastrófico"</formula>
    </cfRule>
    <cfRule type="cellIs" dxfId="724" priority="186" operator="equal">
      <formula>"Leve"</formula>
    </cfRule>
    <cfRule type="cellIs" dxfId="723" priority="185" operator="equal">
      <formula>"Menor"</formula>
    </cfRule>
  </conditionalFormatting>
  <conditionalFormatting sqref="AD112 AD116">
    <cfRule type="cellIs" dxfId="722" priority="176" operator="equal">
      <formula>"Menor"</formula>
    </cfRule>
    <cfRule type="cellIs" dxfId="721" priority="175" operator="equal">
      <formula>"Moderado"</formula>
    </cfRule>
    <cfRule type="cellIs" dxfId="720" priority="174" operator="equal">
      <formula>"Mayor"</formula>
    </cfRule>
    <cfRule type="cellIs" dxfId="719" priority="173" operator="equal">
      <formula>"Catastrófico"</formula>
    </cfRule>
    <cfRule type="cellIs" dxfId="718" priority="177" operator="equal">
      <formula>"Leve"</formula>
    </cfRule>
  </conditionalFormatting>
  <conditionalFormatting sqref="AD126:AD128">
    <cfRule type="cellIs" dxfId="717" priority="124" operator="equal">
      <formula>"Catastrófico"</formula>
    </cfRule>
    <cfRule type="cellIs" dxfId="716" priority="125" operator="equal">
      <formula>"Mayor"</formula>
    </cfRule>
    <cfRule type="cellIs" dxfId="715" priority="126" operator="equal">
      <formula>"Moderado"</formula>
    </cfRule>
    <cfRule type="cellIs" dxfId="714" priority="127" operator="equal">
      <formula>"Menor"</formula>
    </cfRule>
    <cfRule type="cellIs" dxfId="713" priority="128" operator="equal">
      <formula>"Leve"</formula>
    </cfRule>
  </conditionalFormatting>
  <conditionalFormatting sqref="AD186">
    <cfRule type="cellIs" dxfId="712" priority="27" operator="equal">
      <formula>"Menor"</formula>
    </cfRule>
    <cfRule type="cellIs" dxfId="711" priority="24" operator="equal">
      <formula>"Catastrófico"</formula>
    </cfRule>
    <cfRule type="cellIs" dxfId="710" priority="28" operator="equal">
      <formula>"Leve"</formula>
    </cfRule>
    <cfRule type="cellIs" dxfId="709" priority="25" operator="equal">
      <formula>"Mayor"</formula>
    </cfRule>
    <cfRule type="cellIs" dxfId="708" priority="26" operator="equal">
      <formula>"Moderado"</formula>
    </cfRule>
  </conditionalFormatting>
  <conditionalFormatting sqref="AE282:AE389">
    <cfRule type="cellIs" dxfId="707" priority="2092" operator="equal">
      <formula>"Extremo"</formula>
    </cfRule>
    <cfRule type="cellIs" dxfId="706" priority="2091" operator="equal">
      <formula>"Alto"</formula>
    </cfRule>
    <cfRule type="cellIs" dxfId="705" priority="2090" operator="equal">
      <formula>"Moderado"</formula>
    </cfRule>
    <cfRule type="cellIs" dxfId="704" priority="2089" operator="equal">
      <formula>"Bajo"</formula>
    </cfRule>
  </conditionalFormatting>
  <conditionalFormatting sqref="AF10:AF16 AF42:AF49 AF166:AF169 AF179:AF184">
    <cfRule type="cellIs" dxfId="703" priority="397" operator="equal">
      <formula>"Alto"</formula>
    </cfRule>
    <cfRule type="cellIs" dxfId="702" priority="396" operator="equal">
      <formula>"Extremo"</formula>
    </cfRule>
    <cfRule type="cellIs" dxfId="701" priority="399" operator="equal">
      <formula>"Bajo"</formula>
    </cfRule>
    <cfRule type="cellIs" dxfId="700" priority="398" operator="equal">
      <formula>"Moderado"</formula>
    </cfRule>
  </conditionalFormatting>
  <conditionalFormatting sqref="AF26 AF28:AF32">
    <cfRule type="cellIs" dxfId="699" priority="363" operator="equal">
      <formula>"Extremo"</formula>
    </cfRule>
    <cfRule type="cellIs" dxfId="698" priority="364" operator="equal">
      <formula>"Alto"</formula>
    </cfRule>
    <cfRule type="cellIs" dxfId="697" priority="366" operator="equal">
      <formula>"Bajo"</formula>
    </cfRule>
    <cfRule type="cellIs" dxfId="696" priority="365" operator="equal">
      <formula>"Moderado"</formula>
    </cfRule>
  </conditionalFormatting>
  <conditionalFormatting sqref="AF59:AF68">
    <cfRule type="cellIs" dxfId="695" priority="289" operator="equal">
      <formula>"Moderado"</formula>
    </cfRule>
    <cfRule type="cellIs" dxfId="694" priority="287" operator="equal">
      <formula>"Extremo"</formula>
    </cfRule>
    <cfRule type="cellIs" dxfId="693" priority="288" operator="equal">
      <formula>"Alto"</formula>
    </cfRule>
    <cfRule type="cellIs" dxfId="692" priority="290" operator="equal">
      <formula>"Bajo"</formula>
    </cfRule>
  </conditionalFormatting>
  <conditionalFormatting sqref="AF78:AF79">
    <cfRule type="cellIs" dxfId="691" priority="237" operator="equal">
      <formula>"Alto"</formula>
    </cfRule>
    <cfRule type="cellIs" dxfId="690" priority="236" operator="equal">
      <formula>"Extremo"</formula>
    </cfRule>
    <cfRule type="cellIs" dxfId="689" priority="238" operator="equal">
      <formula>"Moderado"</formula>
    </cfRule>
    <cfRule type="cellIs" dxfId="688" priority="239" operator="equal">
      <formula>"Bajo"</formula>
    </cfRule>
  </conditionalFormatting>
  <conditionalFormatting sqref="AF82:AF83">
    <cfRule type="cellIs" dxfId="687" priority="245" operator="equal">
      <formula>"Extremo"</formula>
    </cfRule>
    <cfRule type="cellIs" dxfId="686" priority="246" operator="equal">
      <formula>"Alto"</formula>
    </cfRule>
    <cfRule type="cellIs" dxfId="685" priority="247" operator="equal">
      <formula>"Moderado"</formula>
    </cfRule>
    <cfRule type="cellIs" dxfId="684" priority="248" operator="equal">
      <formula>"Bajo"</formula>
    </cfRule>
  </conditionalFormatting>
  <conditionalFormatting sqref="AF86">
    <cfRule type="cellIs" dxfId="683" priority="210" operator="equal">
      <formula>"Moderado"</formula>
    </cfRule>
    <cfRule type="cellIs" dxfId="682" priority="209" operator="equal">
      <formula>"Alto"</formula>
    </cfRule>
    <cfRule type="cellIs" dxfId="681" priority="208" operator="equal">
      <formula>"Extremo"</formula>
    </cfRule>
    <cfRule type="cellIs" dxfId="680" priority="211" operator="equal">
      <formula>"Bajo"</formula>
    </cfRule>
  </conditionalFormatting>
  <conditionalFormatting sqref="AF99:AF102">
    <cfRule type="cellIs" dxfId="679" priority="181" operator="equal">
      <formula>"Bajo"</formula>
    </cfRule>
    <cfRule type="cellIs" dxfId="678" priority="180" operator="equal">
      <formula>"Moderado"</formula>
    </cfRule>
    <cfRule type="cellIs" dxfId="677" priority="179" operator="equal">
      <formula>"Alto"</formula>
    </cfRule>
    <cfRule type="cellIs" dxfId="676" priority="178" operator="equal">
      <formula>"Extremo"</formula>
    </cfRule>
  </conditionalFormatting>
  <conditionalFormatting sqref="AF112 AF116">
    <cfRule type="cellIs" dxfId="675" priority="169" operator="equal">
      <formula>"Extremo"</formula>
    </cfRule>
    <cfRule type="cellIs" dxfId="674" priority="170" operator="equal">
      <formula>"Alto"</formula>
    </cfRule>
    <cfRule type="cellIs" dxfId="673" priority="171" operator="equal">
      <formula>"Moderado"</formula>
    </cfRule>
    <cfRule type="cellIs" dxfId="672" priority="172" operator="equal">
      <formula>"Bajo"</formula>
    </cfRule>
  </conditionalFormatting>
  <conditionalFormatting sqref="AF126:AF128">
    <cfRule type="cellIs" dxfId="671" priority="123" operator="equal">
      <formula>"Bajo"</formula>
    </cfRule>
    <cfRule type="cellIs" dxfId="670" priority="122" operator="equal">
      <formula>"Moderado"</formula>
    </cfRule>
    <cfRule type="cellIs" dxfId="669" priority="121" operator="equal">
      <formula>"Alto"</formula>
    </cfRule>
    <cfRule type="cellIs" dxfId="668" priority="120" operator="equal">
      <formula>"Extremo"</formula>
    </cfRule>
  </conditionalFormatting>
  <conditionalFormatting sqref="AF186">
    <cfRule type="cellIs" dxfId="667" priority="23" operator="equal">
      <formula>"Bajo"</formula>
    </cfRule>
    <cfRule type="cellIs" dxfId="666" priority="21" operator="equal">
      <formula>"Alto"</formula>
    </cfRule>
    <cfRule type="cellIs" dxfId="665" priority="20" operator="equal">
      <formula>"Extremo"</formula>
    </cfRule>
    <cfRule type="cellIs" dxfId="664" priority="22" operator="equal">
      <formula>"Moderado"</formula>
    </cfRule>
  </conditionalFormatting>
  <dataValidations disablePrompts="1" count="4">
    <dataValidation type="list" allowBlank="1" showErrorMessage="1" sqref="G26 G28 G30 G138 G141 G143" xr:uid="{B95821E7-EAE5-4F5E-9E33-B7E0800A488E}">
      <formula1>"Gestión,FISCAL"</formula1>
    </dataValidation>
    <dataValidation type="list" allowBlank="1" showInputMessage="1" showErrorMessage="1" sqref="G10:G16 G42:G49 G78 G82 G86 G99 G112:G116 G126:G128 G154:G156 G179:G186" xr:uid="{3C37AA88-CD9C-49C5-8838-ED5D59283398}">
      <formula1>"Gestión, FISCAL,"</formula1>
    </dataValidation>
    <dataValidation type="list" allowBlank="1" showInputMessage="1" showErrorMessage="1" sqref="G59:G64" xr:uid="{1496234F-80A6-4D03-BDDA-D7567B0E11CC}">
      <formula1>"Gestión,Fiscal"</formula1>
    </dataValidation>
    <dataValidation type="list" allowBlank="1" showInputMessage="1" showErrorMessage="1" sqref="G201" xr:uid="{DD43CDE7-666E-4FBE-AC77-BA62E202C641}">
      <formula1>"Gestion,Fiscal"</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CB89B-67B6-450F-BE78-ECD628C14BB3}">
  <dimension ref="A1:AQ78"/>
  <sheetViews>
    <sheetView zoomScale="70" zoomScaleNormal="70" workbookViewId="0">
      <selection activeCell="AO49" sqref="AO49:AQ55"/>
    </sheetView>
  </sheetViews>
  <sheetFormatPr baseColWidth="10" defaultColWidth="11.44140625" defaultRowHeight="13.8" x14ac:dyDescent="0.3"/>
  <cols>
    <col min="1" max="1" width="4" style="36" bestFit="1" customWidth="1"/>
    <col min="2" max="2" width="15.5546875" style="36" customWidth="1"/>
    <col min="3" max="3" width="31.109375" style="36" customWidth="1"/>
    <col min="4" max="4" width="38.109375" style="36" customWidth="1"/>
    <col min="5" max="5" width="57.33203125" style="36" customWidth="1"/>
    <col min="6" max="6" width="61.6640625" style="35" customWidth="1"/>
    <col min="7" max="7" width="18.77734375" style="35" customWidth="1"/>
    <col min="8" max="8" width="31.6640625" style="37" customWidth="1"/>
    <col min="9" max="9" width="32.21875" style="35" customWidth="1"/>
    <col min="10" max="10" width="33.6640625" style="35" bestFit="1" customWidth="1"/>
    <col min="11" max="11" width="11.33203125" style="35" customWidth="1"/>
    <col min="12" max="12" width="24.77734375" style="35" customWidth="1"/>
    <col min="13" max="13" width="28.33203125" style="35" customWidth="1"/>
    <col min="14" max="14" width="31.6640625" style="35" customWidth="1"/>
    <col min="15" max="15" width="23.88671875" style="35" customWidth="1"/>
    <col min="16" max="16" width="18.5546875" style="35" customWidth="1"/>
    <col min="17" max="17" width="14.33203125" style="35" customWidth="1"/>
    <col min="18" max="18" width="25.5546875" style="35" customWidth="1"/>
    <col min="19" max="19" width="73.44140625" style="35" customWidth="1"/>
    <col min="20" max="20" width="16.21875" style="35" customWidth="1"/>
    <col min="21" max="21" width="13.6640625" style="35" customWidth="1"/>
    <col min="22" max="22" width="12" style="35" customWidth="1"/>
    <col min="23" max="23" width="11.5546875" style="35" customWidth="1"/>
    <col min="24" max="24" width="6.6640625" style="35" customWidth="1"/>
    <col min="25" max="25" width="4.6640625" style="35" customWidth="1"/>
    <col min="26" max="26" width="16" style="35" customWidth="1"/>
    <col min="27" max="27" width="8.6640625" style="35" customWidth="1"/>
    <col min="28" max="28" width="10.44140625" style="35" customWidth="1"/>
    <col min="29" max="29" width="9.33203125" style="35" customWidth="1"/>
    <col min="30" max="30" width="9.109375" style="35" customWidth="1"/>
    <col min="31" max="31" width="8.44140625" style="35" customWidth="1"/>
    <col min="32" max="32" width="10" style="35" customWidth="1"/>
    <col min="33" max="33" width="28.6640625" style="35" customWidth="1"/>
    <col min="34" max="34" width="61.77734375" style="35" customWidth="1"/>
    <col min="35" max="35" width="47.21875" style="35" customWidth="1"/>
    <col min="36" max="36" width="29.44140625" style="35" customWidth="1"/>
    <col min="37" max="37" width="13.88671875" style="35" customWidth="1"/>
    <col min="38" max="38" width="33" style="35" customWidth="1"/>
    <col min="39" max="39" width="16.33203125" style="35" customWidth="1"/>
    <col min="40" max="40" width="68.21875" style="35" customWidth="1"/>
    <col min="41" max="41" width="90.109375" style="35" customWidth="1"/>
    <col min="42" max="42" width="66.109375" style="35" customWidth="1"/>
    <col min="43" max="43" width="48.6640625" style="35" bestFit="1" customWidth="1"/>
    <col min="44" max="44" width="32.5546875" style="35" customWidth="1"/>
    <col min="45" max="45" width="19.5546875" style="35" customWidth="1"/>
    <col min="46" max="46" width="57.6640625" style="35" customWidth="1"/>
    <col min="47" max="47" width="22.88671875" style="35" customWidth="1"/>
    <col min="48" max="48" width="19.44140625" style="35" customWidth="1"/>
    <col min="49" max="49" width="27" style="35" customWidth="1"/>
    <col min="50" max="50" width="18.109375" style="35" customWidth="1"/>
    <col min="51" max="51" width="19.44140625" style="35" customWidth="1"/>
    <col min="52" max="16384" width="11.44140625" style="35"/>
  </cols>
  <sheetData>
    <row r="1" spans="1:43" x14ac:dyDescent="0.3">
      <c r="A1" s="889" t="s">
        <v>148</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1"/>
    </row>
    <row r="2" spans="1:43" x14ac:dyDescent="0.3">
      <c r="A2" s="892"/>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4"/>
    </row>
    <row r="3" spans="1:43" ht="23.4" x14ac:dyDescent="0.3">
      <c r="A3" s="1052" t="s">
        <v>149</v>
      </c>
      <c r="B3" s="1031"/>
      <c r="C3" s="1053" t="s">
        <v>204</v>
      </c>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1054"/>
      <c r="AJ3" s="1054"/>
      <c r="AK3" s="1054"/>
      <c r="AL3" s="1054"/>
      <c r="AM3" s="1055"/>
      <c r="AN3" s="46"/>
      <c r="AO3" s="46"/>
    </row>
    <row r="4" spans="1:43" ht="23.4" x14ac:dyDescent="0.3">
      <c r="A4" s="1052" t="s">
        <v>150</v>
      </c>
      <c r="B4" s="1031"/>
      <c r="C4" s="1056" t="s">
        <v>205</v>
      </c>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2"/>
      <c r="AN4" s="46"/>
      <c r="AO4" s="46"/>
    </row>
    <row r="5" spans="1:43" ht="23.4" x14ac:dyDescent="0.3">
      <c r="A5" s="1052" t="s">
        <v>151</v>
      </c>
      <c r="B5" s="1031"/>
      <c r="C5" s="1057" t="s">
        <v>206</v>
      </c>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9"/>
      <c r="AN5" s="46"/>
      <c r="AO5" s="46"/>
    </row>
    <row r="6" spans="1:43" ht="14.4" x14ac:dyDescent="0.3">
      <c r="A6" s="1030" t="s">
        <v>152</v>
      </c>
      <c r="B6" s="1031"/>
      <c r="C6" s="1031"/>
      <c r="D6" s="1031"/>
      <c r="E6" s="1031"/>
      <c r="F6" s="1031"/>
      <c r="G6" s="1031"/>
      <c r="H6" s="1031"/>
      <c r="I6" s="1031"/>
      <c r="J6" s="1032"/>
      <c r="K6" s="1033" t="s">
        <v>153</v>
      </c>
      <c r="L6" s="1034"/>
      <c r="M6" s="1034"/>
      <c r="N6" s="1034"/>
      <c r="O6" s="1034"/>
      <c r="P6" s="1034"/>
      <c r="Q6" s="1035"/>
      <c r="R6" s="1033" t="s">
        <v>154</v>
      </c>
      <c r="S6" s="1034"/>
      <c r="T6" s="1034"/>
      <c r="U6" s="1034"/>
      <c r="V6" s="1034"/>
      <c r="W6" s="1034"/>
      <c r="X6" s="1034"/>
      <c r="Y6" s="1034"/>
      <c r="Z6" s="1035"/>
      <c r="AA6" s="1033" t="s">
        <v>155</v>
      </c>
      <c r="AB6" s="1034"/>
      <c r="AC6" s="1034"/>
      <c r="AD6" s="1034"/>
      <c r="AE6" s="1034"/>
      <c r="AF6" s="1034"/>
      <c r="AG6" s="1035"/>
      <c r="AH6" s="1033" t="s">
        <v>156</v>
      </c>
      <c r="AI6" s="1034"/>
      <c r="AJ6" s="1034"/>
      <c r="AK6" s="1034"/>
      <c r="AL6" s="1034"/>
      <c r="AM6" s="1035"/>
      <c r="AN6" s="46"/>
      <c r="AO6" s="46"/>
    </row>
    <row r="7" spans="1:43" ht="14.4" x14ac:dyDescent="0.3">
      <c r="A7" s="1036" t="s">
        <v>157</v>
      </c>
      <c r="B7" s="1037" t="s">
        <v>141</v>
      </c>
      <c r="C7" s="1038" t="s">
        <v>158</v>
      </c>
      <c r="D7" s="1038" t="s">
        <v>159</v>
      </c>
      <c r="E7" s="1019" t="s">
        <v>160</v>
      </c>
      <c r="F7" s="1039" t="s">
        <v>60</v>
      </c>
      <c r="G7" s="50"/>
      <c r="H7" s="50"/>
      <c r="I7" s="1019" t="s">
        <v>161</v>
      </c>
      <c r="J7" s="1038" t="s">
        <v>162</v>
      </c>
      <c r="K7" s="1038" t="s">
        <v>163</v>
      </c>
      <c r="L7" s="1040" t="s">
        <v>164</v>
      </c>
      <c r="M7" s="1019" t="s">
        <v>165</v>
      </c>
      <c r="N7" s="1019" t="s">
        <v>166</v>
      </c>
      <c r="O7" s="1042" t="s">
        <v>167</v>
      </c>
      <c r="P7" s="1040" t="s">
        <v>164</v>
      </c>
      <c r="Q7" s="1038" t="s">
        <v>168</v>
      </c>
      <c r="R7" s="1018" t="s">
        <v>169</v>
      </c>
      <c r="S7" s="1019" t="s">
        <v>170</v>
      </c>
      <c r="T7" s="1043" t="s">
        <v>171</v>
      </c>
      <c r="U7" s="1044" t="s">
        <v>172</v>
      </c>
      <c r="V7" s="1031"/>
      <c r="W7" s="1031"/>
      <c r="X7" s="1031"/>
      <c r="Y7" s="1031"/>
      <c r="Z7" s="1032"/>
      <c r="AA7" s="1018" t="s">
        <v>173</v>
      </c>
      <c r="AB7" s="1018" t="s">
        <v>174</v>
      </c>
      <c r="AC7" s="1018" t="s">
        <v>164</v>
      </c>
      <c r="AD7" s="1018" t="s">
        <v>175</v>
      </c>
      <c r="AE7" s="1018" t="s">
        <v>164</v>
      </c>
      <c r="AF7" s="1018" t="s">
        <v>176</v>
      </c>
      <c r="AG7" s="1018" t="s">
        <v>177</v>
      </c>
      <c r="AH7" s="1019" t="s">
        <v>156</v>
      </c>
      <c r="AI7" s="1019" t="s">
        <v>142</v>
      </c>
      <c r="AJ7" s="1019" t="s">
        <v>178</v>
      </c>
      <c r="AK7" s="1019" t="s">
        <v>179</v>
      </c>
      <c r="AL7" s="1019" t="s">
        <v>180</v>
      </c>
      <c r="AM7" s="1045" t="s">
        <v>181</v>
      </c>
      <c r="AN7" s="1097" t="s">
        <v>207</v>
      </c>
      <c r="AO7" s="1099" t="s">
        <v>208</v>
      </c>
      <c r="AP7" s="1091" t="s">
        <v>207</v>
      </c>
      <c r="AQ7" s="1101" t="s">
        <v>208</v>
      </c>
    </row>
    <row r="8" spans="1:43" ht="70.2" x14ac:dyDescent="0.3">
      <c r="A8" s="996"/>
      <c r="B8" s="996"/>
      <c r="C8" s="996"/>
      <c r="D8" s="996"/>
      <c r="E8" s="1007"/>
      <c r="F8" s="1007"/>
      <c r="G8" s="50" t="s">
        <v>201</v>
      </c>
      <c r="H8" s="50" t="s">
        <v>182</v>
      </c>
      <c r="I8" s="996"/>
      <c r="J8" s="996"/>
      <c r="K8" s="996"/>
      <c r="L8" s="1041"/>
      <c r="M8" s="996"/>
      <c r="N8" s="996"/>
      <c r="O8" s="1041"/>
      <c r="P8" s="1041"/>
      <c r="Q8" s="996"/>
      <c r="R8" s="996"/>
      <c r="S8" s="996"/>
      <c r="T8" s="534"/>
      <c r="U8" s="51" t="s">
        <v>183</v>
      </c>
      <c r="V8" s="51" t="s">
        <v>184</v>
      </c>
      <c r="W8" s="51" t="s">
        <v>185</v>
      </c>
      <c r="X8" s="51" t="s">
        <v>186</v>
      </c>
      <c r="Y8" s="51" t="s">
        <v>187</v>
      </c>
      <c r="Z8" s="51" t="s">
        <v>188</v>
      </c>
      <c r="AA8" s="996"/>
      <c r="AB8" s="996"/>
      <c r="AC8" s="996"/>
      <c r="AD8" s="996"/>
      <c r="AE8" s="996"/>
      <c r="AF8" s="996"/>
      <c r="AG8" s="996"/>
      <c r="AH8" s="996"/>
      <c r="AI8" s="996"/>
      <c r="AJ8" s="996"/>
      <c r="AK8" s="996"/>
      <c r="AL8" s="996"/>
      <c r="AM8" s="1041"/>
      <c r="AN8" s="1098"/>
      <c r="AO8" s="1100"/>
      <c r="AP8" s="1091"/>
      <c r="AQ8" s="1101"/>
    </row>
    <row r="9" spans="1:43" ht="140.4" x14ac:dyDescent="0.3">
      <c r="A9" s="1021">
        <v>1</v>
      </c>
      <c r="B9" s="1022" t="s">
        <v>199</v>
      </c>
      <c r="C9" s="1022" t="s">
        <v>209</v>
      </c>
      <c r="D9" s="1022" t="s">
        <v>210</v>
      </c>
      <c r="E9" s="53" t="s">
        <v>211</v>
      </c>
      <c r="F9" s="1022" t="s">
        <v>212</v>
      </c>
      <c r="G9" s="1022" t="s">
        <v>202</v>
      </c>
      <c r="H9" s="54" t="s">
        <v>213</v>
      </c>
      <c r="I9" s="55" t="s">
        <v>190</v>
      </c>
      <c r="J9" s="1023">
        <v>365</v>
      </c>
      <c r="K9" s="1012" t="str">
        <f>IF(J9&lt;=0,"",IF(J9&lt;=2,"Muy Baja",IF(J9&lt;=L698,"Baja",IF(J9&lt;=500,"Media",IF(J9&lt;=5000,"Alta","Muy Alta")))))</f>
        <v>Media</v>
      </c>
      <c r="L9" s="1013">
        <f>IF(K9="","",IF(K9="Muy Baja",0.2,IF(K9="Baja",0.4,IF(K9="Media",0.6,IF(K9="Alta",0.8,IF(K9="Muy Alta",1,))))))</f>
        <v>0.6</v>
      </c>
      <c r="M9" s="1013" t="s">
        <v>214</v>
      </c>
      <c r="N9" s="1013" t="str">
        <f>IF(NOT(ISERROR(MATCH(M9,'[15]Tabla Impacto'!$B$221:$B$223,0))),'[15]Tabla Impacto'!$F$223&amp;"Por favor no seleccionar los criterios de impacto(Afectación Económica o presupuestal y Pérdida Reputacional)",M9)</f>
        <v xml:space="preserve">     El riesgo afecta la imagen de de la entidad con efecto publicitario sostenido a nivel de sector administrativo, nivel departamental o municipal</v>
      </c>
      <c r="O9" s="1012" t="str">
        <f>IF(OR(N9='[15]Tabla Impacto'!$C$11,N9='[15]Tabla Impacto'!$D$11),"Leve",IF(OR(N9='[15]Tabla Impacto'!$C$12,N9='[15]Tabla Impacto'!$D$12),"Menor",IF(OR(N9='[15]Tabla Impacto'!$C$13,N9='[15]Tabla Impacto'!$D$13),"Moderado",IF(OR(N9='[15]Tabla Impacto'!$C$14,N9='[15]Tabla Impacto'!$D$14),"Mayor",IF(OR(N9='[15]Tabla Impacto'!$C$15,N9='[15]Tabla Impacto'!$D$15),"Catastrófico","")))))</f>
        <v>Mayor</v>
      </c>
      <c r="P9" s="1013">
        <f>IF(O9="","",IF(O9="Leve",0.2,IF(O9="Menor",0.4,IF(O9="Moderado",0.6,IF(O9="Mayor",0.8,IF(O9="Catastrófico",1,))))))</f>
        <v>0.8</v>
      </c>
      <c r="Q9" s="1024" t="str">
        <f>IF(OR(AND(K9="Muy Baja",O9="Leve"),AND(K9="Muy Baja",O9="Menor"),AND(K9="Baja",O9="Leve")),"Bajo",IF(OR(AND(K9="Muy baja",O9="Moderado"),AND(K9="Baja",O9="Menor"),AND(K9="Baja",O9="Moderado"),AND(K9="Media",O9="Leve"),AND(K9="Media",O9="Menor"),AND(K9="Media",O9="Moderado"),AND(K9="Alta",O9="Leve"),AND(K9="Alta",O9="Menor")),"Moderado",IF(OR(AND(K9="Muy Baja",O9="Mayor"),AND(K9="Baja",O9="Mayor"),AND(K9="Media",O9="Mayor"),AND(K9="Alta",O9="Moderado"),AND(K9="Alta",O9="Mayor"),AND(K9="Muy Alta",O9="Leve"),AND(K9="Muy Alta",O9="Menor"),AND(K9="Muy Alta",O9="Moderado"),AND(K9="Muy Alta",O9="Mayor")),"Alto",IF(OR(AND(K9="Muy Baja",O9="Catastrófico"),AND(K9="Baja",O9="Catastrófico"),AND(K9="Media",O9="Catastrófico"),AND(K9="Alta",O9="Catastrófico"),AND(K9="Muy Alta",O9="Catastrófico")),"Extremo",""))))</f>
        <v>Alto</v>
      </c>
      <c r="R9" s="56">
        <v>1</v>
      </c>
      <c r="S9" s="1025" t="s">
        <v>215</v>
      </c>
      <c r="T9" s="1027" t="str">
        <f>IF(OR(U9="Preventivo",U9="Detectivo"),"Probabilidad",IF(U9="Correctivo","Impacto",""))</f>
        <v>Probabilidad</v>
      </c>
      <c r="U9" s="997" t="s">
        <v>197</v>
      </c>
      <c r="V9" s="997" t="s">
        <v>191</v>
      </c>
      <c r="W9" s="1000" t="str">
        <f>IF(AND(U9="Preventivo",V9="Automático"),"50%",IF(AND(U9="Preventivo",V9="Manual"),"40%",IF(AND(U9="Detectivo",V9="Automático"),"40%",IF(AND(U9="Detectivo",V9="Manual"),"30%",IF(AND(U9="Correctivo",V9="Automático"),"35%",IF(AND(U9="Correctivo",V9="Manual"),"25%",""))))))</f>
        <v>40%</v>
      </c>
      <c r="X9" s="997" t="s">
        <v>198</v>
      </c>
      <c r="Y9" s="997" t="s">
        <v>193</v>
      </c>
      <c r="Z9" s="997" t="s">
        <v>194</v>
      </c>
      <c r="AA9" s="998">
        <f>IFERROR(IF(T9="Probabilidad",(L9-(+L9*W9)),IF(T9="Impacto",L9,"")),"")</f>
        <v>0.36</v>
      </c>
      <c r="AB9" s="999" t="str">
        <f>IFERROR(IF(AA9="","",IF(AA9&lt;=0.2,"Muy Baja",IF(AA9&lt;=0.4,"Baja",IF(AA9&lt;=0.6,"Media",IF(AA9&lt;=0.8,"Alta","Muy Alta"))))),"")</f>
        <v>Baja</v>
      </c>
      <c r="AC9" s="1000">
        <f>+AA9</f>
        <v>0.36</v>
      </c>
      <c r="AD9" s="999" t="str">
        <f>IFERROR(IF(AE9="","",IF(AE9&lt;=0.2,"Leve",IF(AE9&lt;=0.4,"Menor",IF(AE9&lt;=0.6,"Moderado",IF(AE9&lt;=0.8,"Mayor","Catastrófico"))))),"")</f>
        <v>Mayor</v>
      </c>
      <c r="AE9" s="1000">
        <f>IFERROR(IF(T9="Impacto",(P9-(+P9*W9)),IF(T9="Probabilidad",P9,"")),"")</f>
        <v>0.8</v>
      </c>
      <c r="AF9" s="1001" t="str">
        <f>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Alto</v>
      </c>
      <c r="AG9" s="997" t="s">
        <v>195</v>
      </c>
      <c r="AH9" s="1016" t="s">
        <v>216</v>
      </c>
      <c r="AI9" s="1016" t="s">
        <v>217</v>
      </c>
      <c r="AJ9" s="1002">
        <v>45412</v>
      </c>
      <c r="AK9" s="1002">
        <v>45534</v>
      </c>
      <c r="AL9" s="1016" t="s">
        <v>218</v>
      </c>
      <c r="AM9" s="1016" t="s">
        <v>196</v>
      </c>
      <c r="AN9" s="520" t="s">
        <v>219</v>
      </c>
      <c r="AO9" s="521" t="s">
        <v>220</v>
      </c>
      <c r="AP9" s="130" t="s">
        <v>219</v>
      </c>
      <c r="AQ9" s="130" t="s">
        <v>286</v>
      </c>
    </row>
    <row r="10" spans="1:43" ht="82.8" x14ac:dyDescent="0.3">
      <c r="A10" s="1007"/>
      <c r="B10" s="1007"/>
      <c r="C10" s="1007"/>
      <c r="D10" s="1007"/>
      <c r="E10" s="59" t="s">
        <v>221</v>
      </c>
      <c r="F10" s="996"/>
      <c r="G10" s="1007"/>
      <c r="H10" s="54"/>
      <c r="I10" s="60"/>
      <c r="J10" s="1007"/>
      <c r="K10" s="1007"/>
      <c r="L10" s="1007"/>
      <c r="M10" s="1007"/>
      <c r="N10" s="1007"/>
      <c r="O10" s="1007"/>
      <c r="P10" s="1007"/>
      <c r="Q10" s="1007"/>
      <c r="R10" s="56">
        <v>2</v>
      </c>
      <c r="S10" s="1026"/>
      <c r="T10" s="996"/>
      <c r="U10" s="996"/>
      <c r="V10" s="996"/>
      <c r="W10" s="996"/>
      <c r="X10" s="996"/>
      <c r="Y10" s="996"/>
      <c r="Z10" s="996"/>
      <c r="AA10" s="996"/>
      <c r="AB10" s="996"/>
      <c r="AC10" s="996"/>
      <c r="AD10" s="996"/>
      <c r="AE10" s="996"/>
      <c r="AF10" s="996"/>
      <c r="AG10" s="996"/>
      <c r="AH10" s="1017"/>
      <c r="AI10" s="1017"/>
      <c r="AJ10" s="1003"/>
      <c r="AK10" s="1003"/>
      <c r="AL10" s="1017"/>
      <c r="AM10" s="1017"/>
      <c r="AN10" s="504" t="s">
        <v>222</v>
      </c>
      <c r="AO10" s="522" t="s">
        <v>223</v>
      </c>
      <c r="AP10" s="131" t="s">
        <v>222</v>
      </c>
      <c r="AQ10" s="132" t="s">
        <v>287</v>
      </c>
    </row>
    <row r="11" spans="1:43" ht="69" x14ac:dyDescent="0.3">
      <c r="A11" s="61">
        <v>2</v>
      </c>
      <c r="B11" s="62" t="s">
        <v>199</v>
      </c>
      <c r="C11" s="62" t="s">
        <v>209</v>
      </c>
      <c r="D11" s="62" t="s">
        <v>224</v>
      </c>
      <c r="E11" s="63" t="s">
        <v>225</v>
      </c>
      <c r="F11" s="1010" t="s">
        <v>226</v>
      </c>
      <c r="G11" s="1006" t="s">
        <v>202</v>
      </c>
      <c r="H11" s="1008" t="s">
        <v>227</v>
      </c>
      <c r="I11" s="1006" t="s">
        <v>190</v>
      </c>
      <c r="J11" s="1011">
        <v>365</v>
      </c>
      <c r="K11" s="1012" t="str">
        <f>IF(J11&lt;=0,"",IF(J11&lt;=2,"Muy Baja",IF(J11&lt;=L700,"Baja",IF(J11&lt;=500,"Media",IF(J11&lt;=5000,"Alta","Muy Alta")))))</f>
        <v>Media</v>
      </c>
      <c r="L11" s="1013">
        <f>IF(K11="","",IF(K11="Muy Baja",0.2,IF(K11="Baja",0.4,IF(K11="Media",0.6,IF(K11="Alta",0.8,IF(K11="Muy Alta",1,))))))</f>
        <v>0.6</v>
      </c>
      <c r="M11" s="1014" t="s">
        <v>200</v>
      </c>
      <c r="N11" s="1007"/>
      <c r="O11" s="1028"/>
      <c r="P11" s="64"/>
      <c r="Q11" s="1007"/>
      <c r="R11" s="56">
        <v>3</v>
      </c>
      <c r="S11" s="65" t="s">
        <v>228</v>
      </c>
      <c r="T11" s="1029" t="str">
        <f>IF(OR(U11="Preventivo",U11="Detectivo"),"Probabilidad",IF(U11="Correctivo","Impacto",""))</f>
        <v>Probabilidad</v>
      </c>
      <c r="U11" s="997" t="s">
        <v>197</v>
      </c>
      <c r="V11" s="997" t="s">
        <v>191</v>
      </c>
      <c r="W11" s="1000" t="str">
        <f>IF(AND(U11="Preventivo",V11="Automático"),"50%",IF(AND(U11="Preventivo",V11="Manual"),"40%",IF(AND(U11="Detectivo",V11="Automático"),"40%",IF(AND(U11="Detectivo",V11="Manual"),"30%",IF(AND(U11="Correctivo",V11="Automático"),"35%",IF(AND(U11="Correctivo",V11="Manual"),"25%",""))))))</f>
        <v>40%</v>
      </c>
      <c r="X11" s="997" t="s">
        <v>192</v>
      </c>
      <c r="Y11" s="997" t="s">
        <v>193</v>
      </c>
      <c r="Z11" s="997" t="s">
        <v>194</v>
      </c>
      <c r="AA11" s="66" t="str">
        <f t="shared" ref="AA11:AA14" si="0">IFERROR(IF(AND(T10="Probabilidad",T11="Probabilidad"),(AC10-(+AC10*W11)),IF(AND(T10="Impacto",T11="Probabilidad"),(AC9-(+AC9*W11)),IF(T11="Impacto",AC10,""))),"")</f>
        <v/>
      </c>
      <c r="AB11" s="67" t="str">
        <f t="shared" ref="AB11:AB15" si="1">IFERROR(IF(AA11="","",IF(AA11&lt;=0.2,"Muy Baja",IF(AA11&lt;=0.4,"Baja",IF(AA11&lt;=0.6,"Media",IF(AA11&lt;=0.8,"Alta","Muy Alta"))))),"")</f>
        <v/>
      </c>
      <c r="AC11" s="58" t="str">
        <f t="shared" ref="AC11:AC15" si="2">+AA11</f>
        <v/>
      </c>
      <c r="AD11" s="67" t="str">
        <f t="shared" ref="AD11:AD15" si="3">IFERROR(IF(AE11="","",IF(AE11&lt;=0.2,"Leve",IF(AE11&lt;=0.4,"Menor",IF(AE11&lt;=0.6,"Moderado",IF(AE11&lt;=0.8,"Mayor","Catastrófico"))))),"")</f>
        <v>Leve</v>
      </c>
      <c r="AE11" s="58">
        <f t="shared" ref="AE11:AE14" si="4">IFERROR(IF(AND(T10="Impacto",T11="Impacto"),(AE10-(+AE10*W11)),IF(AND(T10="Probabilidad",T11="Impacto"),(AE9-(+AE9*W11)),IF(T11="Probabilidad",AE10,""))),"")</f>
        <v>0</v>
      </c>
      <c r="AF11" s="68" t="str">
        <f t="shared" ref="AF11:AF15" si="5">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57"/>
      <c r="AH11" s="1020" t="s">
        <v>229</v>
      </c>
      <c r="AI11" s="995" t="s">
        <v>230</v>
      </c>
      <c r="AJ11" s="1002">
        <v>45412</v>
      </c>
      <c r="AK11" s="1002">
        <v>45534</v>
      </c>
      <c r="AL11" s="1004" t="s">
        <v>231</v>
      </c>
      <c r="AM11" s="1004" t="s">
        <v>196</v>
      </c>
      <c r="AN11" s="1094" t="s">
        <v>232</v>
      </c>
      <c r="AO11" s="1096" t="s">
        <v>233</v>
      </c>
      <c r="AP11" s="1091" t="s">
        <v>288</v>
      </c>
      <c r="AQ11" s="1093"/>
    </row>
    <row r="12" spans="1:43" ht="55.2" x14ac:dyDescent="0.3">
      <c r="A12" s="61"/>
      <c r="B12" s="62"/>
      <c r="C12" s="62"/>
      <c r="D12" s="62"/>
      <c r="E12" s="63" t="s">
        <v>234</v>
      </c>
      <c r="F12" s="996"/>
      <c r="G12" s="1007"/>
      <c r="H12" s="996"/>
      <c r="I12" s="1007"/>
      <c r="J12" s="1007"/>
      <c r="K12" s="1007"/>
      <c r="L12" s="1007"/>
      <c r="M12" s="1007"/>
      <c r="N12" s="1007"/>
      <c r="O12" s="1007"/>
      <c r="P12" s="64"/>
      <c r="Q12" s="1007"/>
      <c r="R12" s="56">
        <v>4</v>
      </c>
      <c r="S12" s="65" t="s">
        <v>235</v>
      </c>
      <c r="T12" s="996"/>
      <c r="U12" s="996"/>
      <c r="V12" s="996"/>
      <c r="W12" s="996"/>
      <c r="X12" s="996"/>
      <c r="Y12" s="996"/>
      <c r="Z12" s="996"/>
      <c r="AA12" s="66" t="str">
        <f t="shared" si="0"/>
        <v/>
      </c>
      <c r="AB12" s="67" t="str">
        <f t="shared" si="1"/>
        <v/>
      </c>
      <c r="AC12" s="58" t="str">
        <f t="shared" si="2"/>
        <v/>
      </c>
      <c r="AD12" s="67" t="str">
        <f t="shared" si="3"/>
        <v/>
      </c>
      <c r="AE12" s="58" t="str">
        <f t="shared" si="4"/>
        <v/>
      </c>
      <c r="AF12" s="68" t="str">
        <f t="shared" si="5"/>
        <v/>
      </c>
      <c r="AG12" s="57"/>
      <c r="AH12" s="996"/>
      <c r="AI12" s="996"/>
      <c r="AJ12" s="1003"/>
      <c r="AK12" s="1003"/>
      <c r="AL12" s="1005"/>
      <c r="AM12" s="1005"/>
      <c r="AN12" s="1095"/>
      <c r="AO12" s="1096"/>
      <c r="AP12" s="1092"/>
      <c r="AQ12" s="1093"/>
    </row>
    <row r="13" spans="1:43" ht="82.8" x14ac:dyDescent="0.3">
      <c r="A13" s="61"/>
      <c r="B13" s="1006" t="s">
        <v>199</v>
      </c>
      <c r="C13" s="1006" t="s">
        <v>236</v>
      </c>
      <c r="D13" s="1006" t="s">
        <v>237</v>
      </c>
      <c r="E13" s="69" t="s">
        <v>238</v>
      </c>
      <c r="F13" s="1008" t="s">
        <v>239</v>
      </c>
      <c r="G13" s="1009" t="s">
        <v>203</v>
      </c>
      <c r="H13" s="1010" t="s">
        <v>240</v>
      </c>
      <c r="I13" s="1006" t="s">
        <v>190</v>
      </c>
      <c r="J13" s="1011">
        <v>365</v>
      </c>
      <c r="K13" s="1012" t="str">
        <f>IF(J13&lt;=0,"",IF(J13&lt;=2,"Muy Baja",IF(J13&lt;=L702,"Baja",IF(J13&lt;=500,"Media",IF(J13&lt;=5000,"Alta","Muy Alta")))))</f>
        <v>Media</v>
      </c>
      <c r="L13" s="1013">
        <f>IF(K13="","",IF(K13="Muy Baja",0.2,IF(K13="Baja",0.4,IF(K13="Media",0.6,IF(K13="Alta",0.8,IF(K13="Muy Alta",1,))))))</f>
        <v>0.6</v>
      </c>
      <c r="M13" s="1014" t="s">
        <v>241</v>
      </c>
      <c r="N13" s="1007"/>
      <c r="O13" s="1015" t="str">
        <f>IF(OR(N15='[15]Tabla Impacto'!$C$11,N15='[15]Tabla Impacto'!$D$11),"Leve",IF(OR(N15='[15]Tabla Impacto'!$C$12,N15='[15]Tabla Impacto'!$D$12),"Menor",IF(OR(N15='[15]Tabla Impacto'!$C$13,N15='[15]Tabla Impacto'!$D$13),"Moderado",IF(OR(N15='[15]Tabla Impacto'!$C$14,N15='[15]Tabla Impacto'!$D$14),"Mayor",IF(OR(N15='[15]Tabla Impacto'!$C$15,N15='[15]Tabla Impacto'!$D$15),"Catastrófico","")))))</f>
        <v/>
      </c>
      <c r="P13" s="64"/>
      <c r="Q13" s="1007"/>
      <c r="R13" s="56">
        <v>5</v>
      </c>
      <c r="S13" s="65" t="s">
        <v>242</v>
      </c>
      <c r="T13" s="56" t="str">
        <f t="shared" ref="T13:T15" si="6">IF(OR(U13="Preventivo",U13="Detectivo"),"Probabilidad",IF(U13="Correctivo","Impacto",""))</f>
        <v>Probabilidad</v>
      </c>
      <c r="U13" s="70" t="s">
        <v>243</v>
      </c>
      <c r="V13" s="70" t="s">
        <v>191</v>
      </c>
      <c r="W13" s="71" t="str">
        <f t="shared" ref="W13:W15" si="7">IF(AND(U13="Preventivo",V13="Automático"),"50%",IF(AND(U13="Preventivo",V13="Manual"),"40%",IF(AND(U13="Detectivo",V13="Automático"),"40%",IF(AND(U13="Detectivo",V13="Manual"),"30%",IF(AND(U13="Correctivo",V13="Automático"),"35%",IF(AND(U13="Correctivo",V13="Manual"),"25%",""))))))</f>
        <v>30%</v>
      </c>
      <c r="X13" s="70" t="s">
        <v>198</v>
      </c>
      <c r="Y13" s="70" t="s">
        <v>193</v>
      </c>
      <c r="Z13" s="70" t="s">
        <v>194</v>
      </c>
      <c r="AA13" s="66" t="str">
        <f t="shared" si="0"/>
        <v/>
      </c>
      <c r="AB13" s="67" t="str">
        <f t="shared" si="1"/>
        <v/>
      </c>
      <c r="AC13" s="58" t="str">
        <f t="shared" si="2"/>
        <v/>
      </c>
      <c r="AD13" s="67" t="str">
        <f t="shared" si="3"/>
        <v/>
      </c>
      <c r="AE13" s="58" t="str">
        <f t="shared" si="4"/>
        <v/>
      </c>
      <c r="AF13" s="68" t="str">
        <f t="shared" si="5"/>
        <v/>
      </c>
      <c r="AG13" s="57"/>
      <c r="AH13" s="72" t="s">
        <v>244</v>
      </c>
      <c r="AI13" s="72" t="s">
        <v>245</v>
      </c>
      <c r="AJ13" s="73" t="s">
        <v>246</v>
      </c>
      <c r="AK13" s="73">
        <v>45534</v>
      </c>
      <c r="AL13" s="74" t="s">
        <v>231</v>
      </c>
      <c r="AM13" s="74" t="s">
        <v>196</v>
      </c>
      <c r="AN13" s="503" t="s">
        <v>247</v>
      </c>
      <c r="AO13" s="523" t="s">
        <v>248</v>
      </c>
      <c r="AP13" s="130" t="s">
        <v>247</v>
      </c>
      <c r="AQ13" s="133"/>
    </row>
    <row r="14" spans="1:43" ht="82.8" x14ac:dyDescent="0.3">
      <c r="A14" s="75"/>
      <c r="B14" s="1007"/>
      <c r="C14" s="1007"/>
      <c r="D14" s="1007"/>
      <c r="E14" s="76" t="s">
        <v>249</v>
      </c>
      <c r="F14" s="1007"/>
      <c r="G14" s="1007"/>
      <c r="H14" s="1007"/>
      <c r="I14" s="1007"/>
      <c r="J14" s="1007"/>
      <c r="K14" s="1007"/>
      <c r="L14" s="1007"/>
      <c r="M14" s="1007"/>
      <c r="N14" s="996"/>
      <c r="O14" s="1007"/>
      <c r="P14" s="77"/>
      <c r="Q14" s="996"/>
      <c r="R14" s="56">
        <v>6</v>
      </c>
      <c r="S14" s="65" t="s">
        <v>250</v>
      </c>
      <c r="T14" s="56" t="str">
        <f t="shared" si="6"/>
        <v/>
      </c>
      <c r="U14" s="70"/>
      <c r="V14" s="70"/>
      <c r="W14" s="71" t="str">
        <f t="shared" si="7"/>
        <v/>
      </c>
      <c r="X14" s="70"/>
      <c r="Y14" s="70"/>
      <c r="Z14" s="70"/>
      <c r="AA14" s="66" t="str">
        <f t="shared" si="0"/>
        <v/>
      </c>
      <c r="AB14" s="67" t="str">
        <f t="shared" si="1"/>
        <v/>
      </c>
      <c r="AC14" s="58" t="str">
        <f t="shared" si="2"/>
        <v/>
      </c>
      <c r="AD14" s="67" t="str">
        <f t="shared" si="3"/>
        <v/>
      </c>
      <c r="AE14" s="58" t="str">
        <f t="shared" si="4"/>
        <v/>
      </c>
      <c r="AF14" s="68" t="str">
        <f t="shared" si="5"/>
        <v/>
      </c>
      <c r="AG14" s="57"/>
      <c r="AH14" s="72"/>
      <c r="AI14" s="56"/>
      <c r="AJ14" s="78"/>
      <c r="AK14" s="78"/>
      <c r="AL14" s="72"/>
      <c r="AM14" s="56"/>
      <c r="AN14" s="46"/>
      <c r="AO14" s="46"/>
    </row>
    <row r="15" spans="1:43" ht="41.4" x14ac:dyDescent="0.3">
      <c r="A15" s="52">
        <v>2</v>
      </c>
      <c r="B15" s="1007"/>
      <c r="C15" s="1007"/>
      <c r="D15" s="1007"/>
      <c r="E15" s="79" t="s">
        <v>251</v>
      </c>
      <c r="F15" s="996"/>
      <c r="G15" s="1007"/>
      <c r="H15" s="996"/>
      <c r="I15" s="1007"/>
      <c r="J15" s="1007"/>
      <c r="K15" s="1007"/>
      <c r="L15" s="1007"/>
      <c r="M15" s="1007"/>
      <c r="N15" s="82">
        <f>IF(NOT(ISERROR(MATCH(M15,'[15]Tabla Impacto'!$B$221:$B$223,0))),'[15]Tabla Impacto'!$F$223&amp;"Por favor no seleccionar los criterios de impacto(Afectación Económica o presupuestal y Pérdida Reputacional)",M15)</f>
        <v>0</v>
      </c>
      <c r="O15" s="1007"/>
      <c r="P15" s="80" t="str">
        <f>IF(O13="","",IF(O13="Leve",0.2,IF(O13="Menor",0.4,IF(O13="Moderado",0.6,IF(O13="Mayor",0.8,IF(O13="Catastrófico",1,))))))</f>
        <v/>
      </c>
      <c r="Q15" s="81" t="str">
        <f>IF(OR(AND(K15="Muy Baja",O13="Leve"),AND(K15="Muy Baja",O13="Menor"),AND(K15="Baja",O13="Leve")),"Bajo",IF(OR(AND(K15="Muy baja",O13="Moderado"),AND(K15="Baja",O13="Menor"),AND(K15="Baja",O13="Moderado"),AND(K15="Media",O13="Leve"),AND(K15="Media",O13="Menor"),AND(K15="Media",O13="Moderado"),AND(K15="Alta",O13="Leve"),AND(K15="Alta",O13="Menor")),"Moderado",IF(OR(AND(K15="Muy Baja",O13="Mayor"),AND(K15="Baja",O13="Mayor"),AND(K15="Media",O13="Mayor"),AND(K15="Alta",O13="Moderado"),AND(K15="Alta",O13="Mayor"),AND(K15="Muy Alta",O13="Leve"),AND(K15="Muy Alta",O13="Menor"),AND(K15="Muy Alta",O13="Moderado"),AND(K15="Muy Alta",O13="Mayor")),"Alto",IF(OR(AND(K15="Muy Baja",O13="Catastrófico"),AND(K15="Baja",O13="Catastrófico"),AND(K15="Media",O13="Catastrófico"),AND(K15="Alta",O13="Catastrófico"),AND(K15="Muy Alta",O13="Catastrófico")),"Extremo",""))))</f>
        <v/>
      </c>
      <c r="R15" s="56">
        <v>1</v>
      </c>
      <c r="S15" s="65" t="s">
        <v>252</v>
      </c>
      <c r="T15" s="56" t="str">
        <f t="shared" si="6"/>
        <v/>
      </c>
      <c r="U15" s="70"/>
      <c r="V15" s="70"/>
      <c r="W15" s="71" t="str">
        <f t="shared" si="7"/>
        <v/>
      </c>
      <c r="X15" s="70"/>
      <c r="Y15" s="70"/>
      <c r="Z15" s="70"/>
      <c r="AA15" s="66" t="str">
        <f>IFERROR(IF(T15="Probabilidad",(L15-(+L15*W15)),IF(T15="Impacto",L15,"")),"")</f>
        <v/>
      </c>
      <c r="AB15" s="67" t="str">
        <f t="shared" si="1"/>
        <v/>
      </c>
      <c r="AC15" s="58" t="str">
        <f t="shared" si="2"/>
        <v/>
      </c>
      <c r="AD15" s="67" t="str">
        <f t="shared" si="3"/>
        <v/>
      </c>
      <c r="AE15" s="58" t="str">
        <f>IFERROR(IF(T15="Impacto",(P15-(+P15*W15)),IF(T15="Probabilidad",P15,"")),"")</f>
        <v/>
      </c>
      <c r="AF15" s="68" t="str">
        <f t="shared" si="5"/>
        <v/>
      </c>
      <c r="AG15" s="57"/>
      <c r="AH15" s="72"/>
      <c r="AI15" s="56"/>
      <c r="AJ15" s="78"/>
      <c r="AK15" s="78"/>
      <c r="AL15" s="72"/>
      <c r="AM15" s="56"/>
      <c r="AN15" s="46"/>
      <c r="AO15" s="46"/>
    </row>
    <row r="16" spans="1:43" ht="14.4" x14ac:dyDescent="0.3">
      <c r="A16" s="42"/>
      <c r="B16" s="43"/>
      <c r="C16" s="42"/>
      <c r="D16" s="42"/>
      <c r="E16" s="42"/>
      <c r="F16" s="41"/>
      <c r="G16" s="41"/>
      <c r="H16" s="41"/>
      <c r="I16" s="44"/>
      <c r="J16" s="44"/>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row>
    <row r="17" spans="1:39" ht="23.4" x14ac:dyDescent="0.3">
      <c r="A17" s="734" t="s">
        <v>149</v>
      </c>
      <c r="B17" s="735"/>
      <c r="C17" s="747" t="s">
        <v>253</v>
      </c>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row>
    <row r="18" spans="1:39" ht="23.4" x14ac:dyDescent="0.3">
      <c r="A18" s="734" t="s">
        <v>150</v>
      </c>
      <c r="B18" s="735"/>
      <c r="C18" s="736" t="s">
        <v>254</v>
      </c>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row>
    <row r="19" spans="1:39" ht="23.4" x14ac:dyDescent="0.3">
      <c r="A19" s="734" t="s">
        <v>151</v>
      </c>
      <c r="B19" s="735"/>
      <c r="C19" s="736" t="s">
        <v>255</v>
      </c>
      <c r="D19" s="736"/>
      <c r="E19" s="736"/>
      <c r="F19" s="736"/>
      <c r="G19" s="736"/>
      <c r="H19" s="736"/>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row>
    <row r="20" spans="1:39" x14ac:dyDescent="0.3">
      <c r="A20" s="737" t="s">
        <v>152</v>
      </c>
      <c r="B20" s="738"/>
      <c r="C20" s="739"/>
      <c r="D20" s="739"/>
      <c r="E20" s="739"/>
      <c r="F20" s="739"/>
      <c r="G20" s="739"/>
      <c r="H20" s="739"/>
      <c r="I20" s="739"/>
      <c r="J20" s="740"/>
      <c r="K20" s="724" t="s">
        <v>153</v>
      </c>
      <c r="L20" s="739"/>
      <c r="M20" s="739"/>
      <c r="N20" s="739"/>
      <c r="O20" s="739"/>
      <c r="P20" s="739"/>
      <c r="Q20" s="740"/>
      <c r="R20" s="724" t="s">
        <v>154</v>
      </c>
      <c r="S20" s="739"/>
      <c r="T20" s="739"/>
      <c r="U20" s="739"/>
      <c r="V20" s="739"/>
      <c r="W20" s="739"/>
      <c r="X20" s="739"/>
      <c r="Y20" s="739"/>
      <c r="Z20" s="740"/>
      <c r="AA20" s="724" t="s">
        <v>155</v>
      </c>
      <c r="AB20" s="739"/>
      <c r="AC20" s="739"/>
      <c r="AD20" s="739"/>
      <c r="AE20" s="739"/>
      <c r="AF20" s="739"/>
      <c r="AG20" s="740"/>
      <c r="AH20" s="724" t="s">
        <v>156</v>
      </c>
      <c r="AI20" s="739"/>
      <c r="AJ20" s="739"/>
      <c r="AK20" s="739"/>
      <c r="AL20" s="739"/>
      <c r="AM20" s="740"/>
    </row>
    <row r="21" spans="1:39" x14ac:dyDescent="0.3">
      <c r="A21" s="728" t="s">
        <v>157</v>
      </c>
      <c r="B21" s="730" t="s">
        <v>141</v>
      </c>
      <c r="C21" s="726" t="s">
        <v>158</v>
      </c>
      <c r="D21" s="726" t="s">
        <v>159</v>
      </c>
      <c r="E21" s="725" t="s">
        <v>160</v>
      </c>
      <c r="F21" s="732" t="s">
        <v>60</v>
      </c>
      <c r="G21" s="38"/>
      <c r="H21" s="38"/>
      <c r="I21" s="725" t="s">
        <v>161</v>
      </c>
      <c r="J21" s="726" t="s">
        <v>162</v>
      </c>
      <c r="K21" s="731" t="s">
        <v>163</v>
      </c>
      <c r="L21" s="723" t="s">
        <v>164</v>
      </c>
      <c r="M21" s="725" t="s">
        <v>165</v>
      </c>
      <c r="N21" s="725" t="s">
        <v>166</v>
      </c>
      <c r="O21" s="727" t="s">
        <v>167</v>
      </c>
      <c r="P21" s="723" t="s">
        <v>164</v>
      </c>
      <c r="Q21" s="726" t="s">
        <v>168</v>
      </c>
      <c r="R21" s="721" t="s">
        <v>169</v>
      </c>
      <c r="S21" s="699" t="s">
        <v>170</v>
      </c>
      <c r="T21" s="725" t="s">
        <v>171</v>
      </c>
      <c r="U21" s="699" t="s">
        <v>172</v>
      </c>
      <c r="V21" s="699"/>
      <c r="W21" s="699"/>
      <c r="X21" s="699"/>
      <c r="Y21" s="699"/>
      <c r="Z21" s="699"/>
      <c r="AA21" s="720" t="s">
        <v>173</v>
      </c>
      <c r="AB21" s="720" t="s">
        <v>174</v>
      </c>
      <c r="AC21" s="720" t="s">
        <v>164</v>
      </c>
      <c r="AD21" s="720" t="s">
        <v>175</v>
      </c>
      <c r="AE21" s="720" t="s">
        <v>164</v>
      </c>
      <c r="AF21" s="720" t="s">
        <v>176</v>
      </c>
      <c r="AG21" s="721" t="s">
        <v>177</v>
      </c>
      <c r="AH21" s="699" t="s">
        <v>156</v>
      </c>
      <c r="AI21" s="699" t="s">
        <v>142</v>
      </c>
      <c r="AJ21" s="699" t="s">
        <v>178</v>
      </c>
      <c r="AK21" s="699" t="s">
        <v>179</v>
      </c>
      <c r="AL21" s="699" t="s">
        <v>180</v>
      </c>
      <c r="AM21" s="699" t="s">
        <v>181</v>
      </c>
    </row>
    <row r="22" spans="1:39" ht="70.2" x14ac:dyDescent="0.3">
      <c r="A22" s="729"/>
      <c r="B22" s="730"/>
      <c r="C22" s="699"/>
      <c r="D22" s="699"/>
      <c r="E22" s="731"/>
      <c r="F22" s="733"/>
      <c r="G22" s="38" t="s">
        <v>201</v>
      </c>
      <c r="H22" s="38" t="s">
        <v>182</v>
      </c>
      <c r="I22" s="726"/>
      <c r="J22" s="699"/>
      <c r="K22" s="726"/>
      <c r="L22" s="724"/>
      <c r="M22" s="726"/>
      <c r="N22" s="726"/>
      <c r="O22" s="724"/>
      <c r="P22" s="724"/>
      <c r="Q22" s="699"/>
      <c r="R22" s="722"/>
      <c r="S22" s="699"/>
      <c r="T22" s="726"/>
      <c r="U22" s="39" t="s">
        <v>183</v>
      </c>
      <c r="V22" s="39" t="s">
        <v>184</v>
      </c>
      <c r="W22" s="39" t="s">
        <v>185</v>
      </c>
      <c r="X22" s="39" t="s">
        <v>186</v>
      </c>
      <c r="Y22" s="39" t="s">
        <v>187</v>
      </c>
      <c r="Z22" s="39" t="s">
        <v>188</v>
      </c>
      <c r="AA22" s="720"/>
      <c r="AB22" s="720"/>
      <c r="AC22" s="720"/>
      <c r="AD22" s="720"/>
      <c r="AE22" s="720"/>
      <c r="AF22" s="720"/>
      <c r="AG22" s="722"/>
      <c r="AH22" s="699"/>
      <c r="AI22" s="699"/>
      <c r="AJ22" s="699"/>
      <c r="AK22" s="699"/>
      <c r="AL22" s="699"/>
      <c r="AM22" s="699"/>
    </row>
    <row r="23" spans="1:39" ht="198" x14ac:dyDescent="0.3">
      <c r="A23" s="857">
        <v>1</v>
      </c>
      <c r="B23" s="859" t="s">
        <v>189</v>
      </c>
      <c r="C23" s="859" t="s">
        <v>256</v>
      </c>
      <c r="D23" s="861" t="s">
        <v>257</v>
      </c>
      <c r="E23" s="93" t="s">
        <v>281</v>
      </c>
      <c r="F23" s="863" t="s">
        <v>258</v>
      </c>
      <c r="G23" s="864" t="s">
        <v>202</v>
      </c>
      <c r="H23" s="863" t="s">
        <v>259</v>
      </c>
      <c r="I23" s="866" t="s">
        <v>190</v>
      </c>
      <c r="J23" s="94">
        <v>25</v>
      </c>
      <c r="K23" s="95" t="str">
        <f>IF(J23&lt;=0,"",IF(J23&lt;=2,"Muy Baja",IF(J23&lt;=24,"Baja",IF(J23&lt;=500,"Media",IF(J23&lt;=5000,"Alta","Muy Alta")))))</f>
        <v>Media</v>
      </c>
      <c r="L23" s="96">
        <f>IF(K23="","",IF(K23="Muy Baja",0.2,IF(K23="Baja",0.4,IF(K23="Media",0.6,IF(K23="Alta",0.8,IF(K23="Muy Alta",1,))))))</f>
        <v>0.6</v>
      </c>
      <c r="M23" s="97" t="s">
        <v>200</v>
      </c>
      <c r="N23" s="98" t="str">
        <f>IF(NOT(ISERROR(MATCH(M23,'[16]Tabla Impacto'!$B$221:$B$223,0))),'[16]Tabla Impacto'!$F$223&amp;"Por favor no seleccionar los criterios de impacto(Afectación Económica o presupuestal y Pérdida Reputacional)",M23)</f>
        <v xml:space="preserve">     El riesgo afecta la imagen de la entidad con algunos usuarios de relevancia frente al logro de los objetivos</v>
      </c>
      <c r="O23" s="95" t="str">
        <f>IF(OR(N23='[16]Tabla Impacto'!$C$11,N23='[16]Tabla Impacto'!$D$11),"Leve",IF(OR(N23='[16]Tabla Impacto'!$C$12,N23='[16]Tabla Impacto'!$D$12),"Menor",IF(OR(N23='[16]Tabla Impacto'!$C$13,N23='[16]Tabla Impacto'!$D$13),"Moderado",IF(OR(N23='[16]Tabla Impacto'!$C$14,N23='[16]Tabla Impacto'!$D$14),"Mayor",IF(OR(N23='[16]Tabla Impacto'!$C$15,N23='[16]Tabla Impacto'!$D$15),"Catastrófico","")))))</f>
        <v>Moderado</v>
      </c>
      <c r="P23" s="99">
        <f>IF(O23="","",IF(O23="Leve",0.2,IF(O23="Menor",0.4,IF(O23="Moderado",0.6,IF(O23="Mayor",0.8,IF(O23="Catastrófico",1,))))))</f>
        <v>0.6</v>
      </c>
      <c r="Q23" s="100"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c r="R23" s="101">
        <v>1</v>
      </c>
      <c r="S23" s="102" t="s">
        <v>260</v>
      </c>
      <c r="T23" s="103" t="str">
        <f t="shared" ref="T23:T27" si="8">IF(OR(U23="Preventivo",U23="Detectivo"),"Probabilidad",IF(U23="Correctivo","Impacto",""))</f>
        <v>Probabilidad</v>
      </c>
      <c r="U23" s="104" t="s">
        <v>197</v>
      </c>
      <c r="V23" s="104" t="s">
        <v>191</v>
      </c>
      <c r="W23" s="105" t="str">
        <f t="shared" ref="W23:W27" si="9">IF(AND(U23="Preventivo",V23="Automático"),"50%",IF(AND(U23="Preventivo",V23="Manual"),"40%",IF(AND(U23="Detectivo",V23="Automático"),"40%",IF(AND(U23="Detectivo",V23="Manual"),"30%",IF(AND(U23="Correctivo",V23="Automático"),"35%",IF(AND(U23="Correctivo",V23="Manual"),"25%",""))))))</f>
        <v>40%</v>
      </c>
      <c r="X23" s="104" t="s">
        <v>198</v>
      </c>
      <c r="Y23" s="104" t="s">
        <v>193</v>
      </c>
      <c r="Z23" s="104" t="s">
        <v>194</v>
      </c>
      <c r="AA23" s="106">
        <f>IFERROR(IF(T23="Probabilidad",(L23-(+L23*W23)),IF(T23="Impacto",L23,"")),"")</f>
        <v>0.36</v>
      </c>
      <c r="AB23" s="107" t="str">
        <f t="shared" ref="AB23:AB27" si="10">IFERROR(IF(AA23="","",IF(AA23&lt;=0.2,"Muy Baja",IF(AA23&lt;=0.4,"Baja",IF(AA23&lt;=0.6,"Media",IF(AA23&lt;=0.8,"Alta","Muy Alta"))))),"")</f>
        <v>Baja</v>
      </c>
      <c r="AC23" s="108">
        <f>+AA23</f>
        <v>0.36</v>
      </c>
      <c r="AD23" s="868" t="str">
        <f>IFERROR(IF(AE23="","",IF(AE23&lt;=0.2,"Leve",IF(AE23&lt;=0.4,"Menor",IF(AE23&lt;=0.6,"Moderado",IF(AE23&lt;=0.8,"Mayor","Catastrófico"))))),"")</f>
        <v>Moderado</v>
      </c>
      <c r="AE23" s="108">
        <f t="shared" ref="AE23:AE27" si="11">IFERROR(IF(T23="Impacto",(P23-(+P23*W23)),IF(T23="Probabilidad",P23,"")),"")</f>
        <v>0.6</v>
      </c>
      <c r="AF23" s="871" t="str">
        <f>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Moderado</v>
      </c>
      <c r="AG23" s="88" t="s">
        <v>195</v>
      </c>
      <c r="AH23" s="109" t="s">
        <v>261</v>
      </c>
      <c r="AI23" s="110" t="s">
        <v>262</v>
      </c>
      <c r="AJ23" s="111" t="s">
        <v>263</v>
      </c>
      <c r="AK23" s="112" t="s">
        <v>264</v>
      </c>
      <c r="AL23" s="109" t="s">
        <v>265</v>
      </c>
      <c r="AM23" s="113" t="s">
        <v>196</v>
      </c>
    </row>
    <row r="24" spans="1:39" ht="184.8" x14ac:dyDescent="0.3">
      <c r="A24" s="858"/>
      <c r="B24" s="860"/>
      <c r="C24" s="860"/>
      <c r="D24" s="862"/>
      <c r="E24" s="93" t="s">
        <v>282</v>
      </c>
      <c r="F24" s="863"/>
      <c r="G24" s="865"/>
      <c r="H24" s="863"/>
      <c r="I24" s="867"/>
      <c r="J24" s="94">
        <v>25</v>
      </c>
      <c r="K24" s="95" t="str">
        <f>IF(J24&lt;=0,"",IF(J24&lt;=2,"Muy Baja",IF(J24&lt;=24,"Baja",IF(J24&lt;=500,"Media",IF(J24&lt;=5000,"Alta","Muy Alta")))))</f>
        <v>Media</v>
      </c>
      <c r="L24" s="96">
        <f>IF(K24="","",IF(K24="Muy Baja",0.2,IF(K24="Baja",0.4,IF(K24="Media",0.6,IF(K24="Alta",0.8,IF(K24="Muy Alta",1,))))))</f>
        <v>0.6</v>
      </c>
      <c r="M24" s="97" t="s">
        <v>200</v>
      </c>
      <c r="N24" s="98" t="str">
        <f>IF(NOT(ISERROR(MATCH(M24,'[16]Tabla Impacto'!$B$221:$B$223,0))),'[16]Tabla Impacto'!$F$223&amp;"Por favor no seleccionar los criterios de impacto(Afectación Económica o presupuestal y Pérdida Reputacional)",M24)</f>
        <v xml:space="preserve">     El riesgo afecta la imagen de la entidad con algunos usuarios de relevancia frente al logro de los objetivos</v>
      </c>
      <c r="O24" s="95" t="str">
        <f>IF(OR(N24='[16]Tabla Impacto'!$C$11,N24='[16]Tabla Impacto'!$D$11),"Leve",IF(OR(N24='[16]Tabla Impacto'!$C$12,N24='[16]Tabla Impacto'!$D$12),"Menor",IF(OR(N24='[16]Tabla Impacto'!$C$13,N24='[16]Tabla Impacto'!$D$13),"Moderado",IF(OR(N24='[16]Tabla Impacto'!$C$14,N24='[16]Tabla Impacto'!$D$14),"Mayor",IF(OR(N24='[16]Tabla Impacto'!$C$15,N24='[16]Tabla Impacto'!$D$15),"Catastrófico","")))))</f>
        <v>Moderado</v>
      </c>
      <c r="P24" s="99">
        <f>IF(O24="","",IF(O24="Leve",0.2,IF(O24="Menor",0.4,IF(O24="Moderado",0.6,IF(O24="Mayor",0.8,IF(O24="Catastrófico",1,))))))</f>
        <v>0.6</v>
      </c>
      <c r="Q24" s="100" t="str">
        <f>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Moderado</v>
      </c>
      <c r="R24" s="101">
        <v>2</v>
      </c>
      <c r="S24" s="102" t="s">
        <v>266</v>
      </c>
      <c r="T24" s="103" t="str">
        <f t="shared" si="8"/>
        <v>Probabilidad</v>
      </c>
      <c r="U24" s="104" t="s">
        <v>197</v>
      </c>
      <c r="V24" s="104" t="s">
        <v>191</v>
      </c>
      <c r="W24" s="105" t="str">
        <f t="shared" si="9"/>
        <v>40%</v>
      </c>
      <c r="X24" s="104" t="s">
        <v>198</v>
      </c>
      <c r="Y24" s="104" t="s">
        <v>193</v>
      </c>
      <c r="Z24" s="104" t="s">
        <v>194</v>
      </c>
      <c r="AA24" s="106">
        <f>IFERROR(IF(AND(T23="Probabilidad",T24="Probabilidad"),(AC23-(+AC23*W24)),IF(AND(T23="Impacto",T24="Probabilidad"),(L23-(+L23*W24)),IF(T24="Impacto",AC23,""))),"")</f>
        <v>0.216</v>
      </c>
      <c r="AB24" s="107" t="str">
        <f t="shared" si="10"/>
        <v>Baja</v>
      </c>
      <c r="AC24" s="108">
        <f t="shared" ref="AC24:AC27" si="12">+AA24</f>
        <v>0.216</v>
      </c>
      <c r="AD24" s="869"/>
      <c r="AE24" s="108">
        <f t="shared" si="11"/>
        <v>0.6</v>
      </c>
      <c r="AF24" s="872"/>
      <c r="AG24" s="88" t="s">
        <v>195</v>
      </c>
      <c r="AH24" s="109" t="s">
        <v>267</v>
      </c>
      <c r="AI24" s="110" t="s">
        <v>262</v>
      </c>
      <c r="AJ24" s="111" t="s">
        <v>263</v>
      </c>
      <c r="AK24" s="112" t="s">
        <v>264</v>
      </c>
      <c r="AL24" s="109" t="s">
        <v>268</v>
      </c>
      <c r="AM24" s="113" t="s">
        <v>196</v>
      </c>
    </row>
    <row r="25" spans="1:39" ht="303.60000000000002" x14ac:dyDescent="0.3">
      <c r="A25" s="858"/>
      <c r="B25" s="860"/>
      <c r="C25" s="860"/>
      <c r="D25" s="862"/>
      <c r="E25" s="114" t="s">
        <v>283</v>
      </c>
      <c r="F25" s="863"/>
      <c r="G25" s="865"/>
      <c r="H25" s="863"/>
      <c r="I25" s="867"/>
      <c r="J25" s="94">
        <v>25</v>
      </c>
      <c r="K25" s="95" t="str">
        <f>IF(J25&lt;=0,"",IF(J25&lt;=2,"Muy Baja",IF(J25&lt;=24,"Baja",IF(J25&lt;=500,"Media",IF(J25&lt;=5000,"Alta","Muy Alta")))))</f>
        <v>Media</v>
      </c>
      <c r="L25" s="96">
        <f>IF(K25="","",IF(K25="Muy Baja",0.2,IF(K25="Baja",0.4,IF(K25="Media",0.6,IF(K25="Alta",0.8,IF(K25="Muy Alta",1,))))))</f>
        <v>0.6</v>
      </c>
      <c r="M25" s="97" t="s">
        <v>200</v>
      </c>
      <c r="N25" s="98" t="str">
        <f>IF(NOT(ISERROR(MATCH(M25,'[16]Tabla Impacto'!$B$221:$B$223,0))),'[16]Tabla Impacto'!$F$223&amp;"Por favor no seleccionar los criterios de impacto(Afectación Económica o presupuestal y Pérdida Reputacional)",M25)</f>
        <v xml:space="preserve">     El riesgo afecta la imagen de la entidad con algunos usuarios de relevancia frente al logro de los objetivos</v>
      </c>
      <c r="O25" s="95" t="str">
        <f>IF(OR(N25='[16]Tabla Impacto'!$C$11,N25='[16]Tabla Impacto'!$D$11),"Leve",IF(OR(N25='[16]Tabla Impacto'!$C$12,N25='[16]Tabla Impacto'!$D$12),"Menor",IF(OR(N25='[16]Tabla Impacto'!$C$13,N25='[16]Tabla Impacto'!$D$13),"Moderado",IF(OR(N25='[16]Tabla Impacto'!$C$14,N25='[16]Tabla Impacto'!$D$14),"Mayor",IF(OR(N25='[16]Tabla Impacto'!$C$15,N25='[16]Tabla Impacto'!$D$15),"Catastrófico","")))))</f>
        <v>Moderado</v>
      </c>
      <c r="P25" s="99">
        <f>IF(O25="","",IF(O25="Leve",0.2,IF(O25="Menor",0.4,IF(O25="Moderado",0.6,IF(O25="Mayor",0.8,IF(O25="Catastrófico",1,))))))</f>
        <v>0.6</v>
      </c>
      <c r="Q25" s="100"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01">
        <v>3</v>
      </c>
      <c r="S25" s="102" t="s">
        <v>269</v>
      </c>
      <c r="T25" s="103" t="str">
        <f t="shared" si="8"/>
        <v>Probabilidad</v>
      </c>
      <c r="U25" s="104" t="s">
        <v>197</v>
      </c>
      <c r="V25" s="104" t="s">
        <v>191</v>
      </c>
      <c r="W25" s="105" t="str">
        <f t="shared" si="9"/>
        <v>40%</v>
      </c>
      <c r="X25" s="104" t="s">
        <v>198</v>
      </c>
      <c r="Y25" s="104" t="s">
        <v>193</v>
      </c>
      <c r="Z25" s="104" t="s">
        <v>194</v>
      </c>
      <c r="AA25" s="106">
        <f>IFERROR(IF(AND(T24="Probabilidad",T25="Probabilidad"),(AC24-(+AC24*W25)),IF(AND(T24="Impacto",T25="Probabilidad"),(AC23-(+AC23*W25)),IF(T25="Impacto",AC24,""))),"")</f>
        <v>0.12959999999999999</v>
      </c>
      <c r="AB25" s="107" t="str">
        <f t="shared" si="10"/>
        <v>Muy Baja</v>
      </c>
      <c r="AC25" s="108">
        <f t="shared" si="12"/>
        <v>0.12959999999999999</v>
      </c>
      <c r="AD25" s="869"/>
      <c r="AE25" s="108">
        <f t="shared" si="11"/>
        <v>0.6</v>
      </c>
      <c r="AF25" s="872"/>
      <c r="AG25" s="88" t="s">
        <v>195</v>
      </c>
      <c r="AH25" s="109" t="s">
        <v>270</v>
      </c>
      <c r="AI25" s="113" t="s">
        <v>262</v>
      </c>
      <c r="AJ25" s="111" t="s">
        <v>263</v>
      </c>
      <c r="AK25" s="112" t="s">
        <v>264</v>
      </c>
      <c r="AL25" s="109" t="s">
        <v>265</v>
      </c>
      <c r="AM25" s="113" t="s">
        <v>196</v>
      </c>
    </row>
    <row r="26" spans="1:39" ht="158.4" x14ac:dyDescent="0.3">
      <c r="A26" s="858"/>
      <c r="B26" s="860"/>
      <c r="C26" s="860"/>
      <c r="D26" s="862"/>
      <c r="E26" s="114" t="s">
        <v>284</v>
      </c>
      <c r="F26" s="863"/>
      <c r="G26" s="865"/>
      <c r="H26" s="863"/>
      <c r="I26" s="867"/>
      <c r="J26" s="94">
        <v>25</v>
      </c>
      <c r="K26" s="95" t="str">
        <f>IF(J26&lt;=0,"",IF(J26&lt;=2,"Muy Baja",IF(J26&lt;=24,"Baja",IF(J26&lt;=500,"Media",IF(J26&lt;=5000,"Alta","Muy Alta")))))</f>
        <v>Media</v>
      </c>
      <c r="L26" s="96">
        <f>IF(K26="","",IF(K26="Muy Baja",0.2,IF(K26="Baja",0.4,IF(K26="Media",0.6,IF(K26="Alta",0.8,IF(K26="Muy Alta",1,))))))</f>
        <v>0.6</v>
      </c>
      <c r="M26" s="97" t="s">
        <v>200</v>
      </c>
      <c r="N26" s="98" t="str">
        <f>IF(NOT(ISERROR(MATCH(M26,'[16]Tabla Impacto'!$B$221:$B$223,0))),'[16]Tabla Impacto'!$F$223&amp;"Por favor no seleccionar los criterios de impacto(Afectación Económica o presupuestal y Pérdida Reputacional)",M26)</f>
        <v xml:space="preserve">     El riesgo afecta la imagen de la entidad con algunos usuarios de relevancia frente al logro de los objetivos</v>
      </c>
      <c r="O26" s="95" t="str">
        <f>IF(OR(N26='[16]Tabla Impacto'!$C$11,N26='[16]Tabla Impacto'!$D$11),"Leve",IF(OR(N26='[16]Tabla Impacto'!$C$12,N26='[16]Tabla Impacto'!$D$12),"Menor",IF(OR(N26='[16]Tabla Impacto'!$C$13,N26='[16]Tabla Impacto'!$D$13),"Moderado",IF(OR(N26='[16]Tabla Impacto'!$C$14,N26='[16]Tabla Impacto'!$D$14),"Mayor",IF(OR(N26='[16]Tabla Impacto'!$C$15,N26='[16]Tabla Impacto'!$D$15),"Catastrófico","")))))</f>
        <v>Moderado</v>
      </c>
      <c r="P26" s="99">
        <f>IF(O26="","",IF(O26="Leve",0.2,IF(O26="Menor",0.4,IF(O26="Moderado",0.6,IF(O26="Mayor",0.8,IF(O26="Catastrófico",1,))))))</f>
        <v>0.6</v>
      </c>
      <c r="Q26" s="100"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Moderado</v>
      </c>
      <c r="R26" s="101">
        <v>4</v>
      </c>
      <c r="S26" s="102" t="s">
        <v>271</v>
      </c>
      <c r="T26" s="103" t="str">
        <f>IF(OR(U26="Preventivo",U26="Detectivo"),"Probabilidad",IF(U26="Correctivo","Impacto",""))</f>
        <v>Probabilidad</v>
      </c>
      <c r="U26" s="104" t="s">
        <v>197</v>
      </c>
      <c r="V26" s="104" t="s">
        <v>191</v>
      </c>
      <c r="W26" s="105" t="str">
        <f t="shared" si="9"/>
        <v>40%</v>
      </c>
      <c r="X26" s="104" t="s">
        <v>198</v>
      </c>
      <c r="Y26" s="104" t="s">
        <v>193</v>
      </c>
      <c r="Z26" s="104" t="s">
        <v>194</v>
      </c>
      <c r="AA26" s="106">
        <f>IFERROR(IF(AND(T25="Probabilidad",T26="Probabilidad"),(AC25-(+AC25*W26)),IF(AND(T25="Impacto",T26="Probabilidad"),(AC24-(+AC24*W26)),IF(T26="Impacto",AC25,""))),"")</f>
        <v>7.7759999999999996E-2</v>
      </c>
      <c r="AB26" s="107" t="str">
        <f t="shared" si="10"/>
        <v>Muy Baja</v>
      </c>
      <c r="AC26" s="108">
        <f t="shared" si="12"/>
        <v>7.7759999999999996E-2</v>
      </c>
      <c r="AD26" s="870"/>
      <c r="AE26" s="108">
        <f t="shared" si="11"/>
        <v>0.6</v>
      </c>
      <c r="AF26" s="873"/>
      <c r="AG26" s="88" t="s">
        <v>195</v>
      </c>
      <c r="AH26" s="109" t="s">
        <v>272</v>
      </c>
      <c r="AI26" s="113" t="s">
        <v>262</v>
      </c>
      <c r="AJ26" s="111" t="s">
        <v>263</v>
      </c>
      <c r="AK26" s="112" t="s">
        <v>264</v>
      </c>
      <c r="AL26" s="109" t="s">
        <v>273</v>
      </c>
      <c r="AM26" s="113" t="s">
        <v>196</v>
      </c>
    </row>
    <row r="27" spans="1:39" ht="207" x14ac:dyDescent="0.3">
      <c r="A27" s="115">
        <v>2</v>
      </c>
      <c r="B27" s="116" t="s">
        <v>189</v>
      </c>
      <c r="C27" s="116" t="s">
        <v>274</v>
      </c>
      <c r="D27" s="117" t="s">
        <v>275</v>
      </c>
      <c r="E27" s="118" t="s">
        <v>285</v>
      </c>
      <c r="F27" s="119" t="s">
        <v>276</v>
      </c>
      <c r="G27" s="89" t="s">
        <v>202</v>
      </c>
      <c r="H27" s="120" t="s">
        <v>277</v>
      </c>
      <c r="I27" s="121" t="s">
        <v>278</v>
      </c>
      <c r="J27" s="122">
        <v>4</v>
      </c>
      <c r="K27" s="123" t="str">
        <f>IF(J27&lt;=0,"",IF(J27&lt;=2,"Muy Baja",IF(J27&lt;=24,"Baja",IF(J27&lt;=500,"Media",IF(J27&lt;=5000,"Alta","Muy Alta")))))</f>
        <v>Baja</v>
      </c>
      <c r="L27" s="45">
        <f>IF(K27="","",IF(K27="Muy Baja",0.2,IF(K27="Baja",0.4,IF(K27="Media",0.6,IF(K27="Alta",0.8,IF(K27="Muy Alta",1,))))))</f>
        <v>0.4</v>
      </c>
      <c r="M27" s="124" t="s">
        <v>200</v>
      </c>
      <c r="N27" s="125" t="str">
        <f>IF(NOT(ISERROR(MATCH(M27,'[16]Tabla Impacto'!$B$221:$B$223,0))),'[16]Tabla Impacto'!$F$223&amp;"Por favor no seleccionar los criterios de impacto(Afectación Económica o presupuestal y Pérdida Reputacional)",M27)</f>
        <v xml:space="preserve">     El riesgo afecta la imagen de la entidad con algunos usuarios de relevancia frente al logro de los objetivos</v>
      </c>
      <c r="O27" s="126" t="str">
        <f>IF(OR(N27='[16]Tabla Impacto'!$C$11,N27='[16]Tabla Impacto'!$D$11),"Leve",IF(OR(N27='[16]Tabla Impacto'!$C$12,N27='[16]Tabla Impacto'!$D$12),"Menor",IF(OR(N27='[16]Tabla Impacto'!$C$13,N27='[16]Tabla Impacto'!$D$13),"Moderado",IF(OR(N27='[16]Tabla Impacto'!$C$14,N27='[16]Tabla Impacto'!$D$14),"Mayor",IF(OR(N27='[16]Tabla Impacto'!$C$15,N27='[16]Tabla Impacto'!$D$15),"Catastrófico","")))))</f>
        <v>Moderado</v>
      </c>
      <c r="P27" s="125">
        <f>IF(O27="","",IF(O27="Leve",0.2,IF(O27="Menor",0.4,IF(O27="Moderado",0.6,IF(O27="Mayor",0.8,IF(O27="Catastrófico",1,))))))</f>
        <v>0.6</v>
      </c>
      <c r="Q27" s="127" t="str">
        <f>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Moderado</v>
      </c>
      <c r="R27" s="115">
        <v>1</v>
      </c>
      <c r="S27" s="128" t="s">
        <v>279</v>
      </c>
      <c r="T27" s="91" t="str">
        <f t="shared" si="8"/>
        <v>Probabilidad</v>
      </c>
      <c r="U27" s="83" t="s">
        <v>197</v>
      </c>
      <c r="V27" s="83" t="s">
        <v>191</v>
      </c>
      <c r="W27" s="84" t="str">
        <f t="shared" si="9"/>
        <v>40%</v>
      </c>
      <c r="X27" s="83" t="s">
        <v>198</v>
      </c>
      <c r="Y27" s="83" t="s">
        <v>193</v>
      </c>
      <c r="Z27" s="83" t="s">
        <v>194</v>
      </c>
      <c r="AA27" s="92">
        <f>IFERROR(IF(T27="Probabilidad",(L27-(+L27*W27)),IF(T27="Impacto",L27,"")),"")</f>
        <v>0.24</v>
      </c>
      <c r="AB27" s="85" t="str">
        <f t="shared" si="10"/>
        <v>Baja</v>
      </c>
      <c r="AC27" s="86">
        <f t="shared" si="12"/>
        <v>0.24</v>
      </c>
      <c r="AD27" s="85" t="str">
        <f>IFERROR(IF(AE27="","",IF(AE27&lt;=0.2,"Leve",IF(AE27&lt;=0.4,"Menor",IF(AE27&lt;=0.6,"Moderado",IF(AE27&lt;=0.8,"Mayor","Catastrófico"))))),"")</f>
        <v>Moderado</v>
      </c>
      <c r="AE27" s="86">
        <f t="shared" si="11"/>
        <v>0.6</v>
      </c>
      <c r="AF27" s="87" t="str">
        <f>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Moderado</v>
      </c>
      <c r="AG27" s="88" t="s">
        <v>195</v>
      </c>
      <c r="AH27" s="90" t="s">
        <v>280</v>
      </c>
      <c r="AI27" s="113" t="s">
        <v>262</v>
      </c>
      <c r="AJ27" s="111" t="s">
        <v>263</v>
      </c>
      <c r="AK27" s="129" t="s">
        <v>264</v>
      </c>
      <c r="AL27" s="109" t="s">
        <v>265</v>
      </c>
      <c r="AM27" s="113" t="s">
        <v>196</v>
      </c>
    </row>
    <row r="28" spans="1:39" x14ac:dyDescent="0.3">
      <c r="A28" s="741" t="s">
        <v>148</v>
      </c>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3"/>
    </row>
    <row r="29" spans="1:39" x14ac:dyDescent="0.3">
      <c r="A29" s="744"/>
      <c r="B29" s="745"/>
      <c r="C29" s="745"/>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6"/>
    </row>
    <row r="30" spans="1:39" ht="14.4" x14ac:dyDescent="0.3">
      <c r="A30" s="42"/>
      <c r="B30" s="43"/>
      <c r="C30" s="42"/>
      <c r="D30" s="42"/>
      <c r="E30" s="42"/>
      <c r="F30" s="41"/>
      <c r="G30" s="41"/>
      <c r="H30" s="41"/>
      <c r="I30" s="44"/>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row r="31" spans="1:39" ht="23.4" x14ac:dyDescent="0.3">
      <c r="A31" s="734" t="s">
        <v>149</v>
      </c>
      <c r="B31" s="735"/>
      <c r="C31" s="851" t="s">
        <v>486</v>
      </c>
      <c r="D31" s="852"/>
      <c r="E31" s="852"/>
      <c r="F31" s="852"/>
      <c r="G31" s="852"/>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3"/>
    </row>
    <row r="32" spans="1:39" ht="23.4" x14ac:dyDescent="0.3">
      <c r="A32" s="734" t="s">
        <v>150</v>
      </c>
      <c r="B32" s="735"/>
      <c r="C32" s="854" t="s">
        <v>487</v>
      </c>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6"/>
    </row>
    <row r="33" spans="1:43" ht="23.4" x14ac:dyDescent="0.3">
      <c r="A33" s="734" t="s">
        <v>151</v>
      </c>
      <c r="B33" s="735"/>
      <c r="C33" s="854" t="s">
        <v>488</v>
      </c>
      <c r="D33" s="855"/>
      <c r="E33" s="855"/>
      <c r="F33" s="85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6"/>
    </row>
    <row r="34" spans="1:43" x14ac:dyDescent="0.3">
      <c r="A34" s="737" t="s">
        <v>152</v>
      </c>
      <c r="B34" s="738"/>
      <c r="C34" s="739"/>
      <c r="D34" s="739"/>
      <c r="E34" s="739"/>
      <c r="F34" s="739"/>
      <c r="G34" s="739"/>
      <c r="H34" s="739"/>
      <c r="I34" s="739"/>
      <c r="J34" s="740"/>
      <c r="K34" s="724" t="s">
        <v>153</v>
      </c>
      <c r="L34" s="739"/>
      <c r="M34" s="739"/>
      <c r="N34" s="739"/>
      <c r="O34" s="739"/>
      <c r="P34" s="739"/>
      <c r="Q34" s="740"/>
      <c r="R34" s="724" t="s">
        <v>154</v>
      </c>
      <c r="S34" s="739"/>
      <c r="T34" s="739"/>
      <c r="U34" s="739"/>
      <c r="V34" s="739"/>
      <c r="W34" s="739"/>
      <c r="X34" s="739"/>
      <c r="Y34" s="739"/>
      <c r="Z34" s="740"/>
      <c r="AA34" s="724" t="s">
        <v>155</v>
      </c>
      <c r="AB34" s="739"/>
      <c r="AC34" s="739"/>
      <c r="AD34" s="739"/>
      <c r="AE34" s="739"/>
      <c r="AF34" s="739"/>
      <c r="AG34" s="740"/>
      <c r="AH34" s="724" t="s">
        <v>156</v>
      </c>
      <c r="AI34" s="739"/>
      <c r="AJ34" s="739"/>
      <c r="AK34" s="739"/>
      <c r="AL34" s="739"/>
      <c r="AM34" s="740"/>
    </row>
    <row r="35" spans="1:43" x14ac:dyDescent="0.3">
      <c r="A35" s="728" t="s">
        <v>157</v>
      </c>
      <c r="B35" s="730" t="s">
        <v>141</v>
      </c>
      <c r="C35" s="726" t="s">
        <v>158</v>
      </c>
      <c r="D35" s="726" t="s">
        <v>159</v>
      </c>
      <c r="E35" s="725" t="s">
        <v>160</v>
      </c>
      <c r="F35" s="732" t="s">
        <v>60</v>
      </c>
      <c r="G35" s="38"/>
      <c r="H35" s="38"/>
      <c r="I35" s="725" t="s">
        <v>161</v>
      </c>
      <c r="J35" s="726" t="s">
        <v>162</v>
      </c>
      <c r="K35" s="731" t="s">
        <v>163</v>
      </c>
      <c r="L35" s="723" t="s">
        <v>164</v>
      </c>
      <c r="M35" s="725" t="s">
        <v>165</v>
      </c>
      <c r="N35" s="725" t="s">
        <v>166</v>
      </c>
      <c r="O35" s="727" t="s">
        <v>167</v>
      </c>
      <c r="P35" s="723" t="s">
        <v>164</v>
      </c>
      <c r="Q35" s="726" t="s">
        <v>168</v>
      </c>
      <c r="R35" s="721" t="s">
        <v>169</v>
      </c>
      <c r="S35" s="699" t="s">
        <v>170</v>
      </c>
      <c r="T35" s="725" t="s">
        <v>171</v>
      </c>
      <c r="U35" s="699" t="s">
        <v>172</v>
      </c>
      <c r="V35" s="699"/>
      <c r="W35" s="699"/>
      <c r="X35" s="699"/>
      <c r="Y35" s="699"/>
      <c r="Z35" s="699"/>
      <c r="AA35" s="720" t="s">
        <v>173</v>
      </c>
      <c r="AB35" s="720" t="s">
        <v>174</v>
      </c>
      <c r="AC35" s="720" t="s">
        <v>164</v>
      </c>
      <c r="AD35" s="720" t="s">
        <v>175</v>
      </c>
      <c r="AE35" s="720" t="s">
        <v>164</v>
      </c>
      <c r="AF35" s="720" t="s">
        <v>176</v>
      </c>
      <c r="AG35" s="721" t="s">
        <v>177</v>
      </c>
      <c r="AH35" s="699" t="s">
        <v>156</v>
      </c>
      <c r="AI35" s="699" t="s">
        <v>142</v>
      </c>
      <c r="AJ35" s="699" t="s">
        <v>178</v>
      </c>
      <c r="AK35" s="699" t="s">
        <v>179</v>
      </c>
      <c r="AL35" s="699" t="s">
        <v>180</v>
      </c>
      <c r="AM35" s="699" t="s">
        <v>181</v>
      </c>
    </row>
    <row r="36" spans="1:43" ht="70.2" x14ac:dyDescent="0.3">
      <c r="A36" s="729"/>
      <c r="B36" s="730"/>
      <c r="C36" s="699"/>
      <c r="D36" s="699"/>
      <c r="E36" s="731"/>
      <c r="F36" s="733"/>
      <c r="G36" s="38" t="s">
        <v>201</v>
      </c>
      <c r="H36" s="38" t="s">
        <v>182</v>
      </c>
      <c r="I36" s="726"/>
      <c r="J36" s="699"/>
      <c r="K36" s="726"/>
      <c r="L36" s="724"/>
      <c r="M36" s="726"/>
      <c r="N36" s="726"/>
      <c r="O36" s="724"/>
      <c r="P36" s="724"/>
      <c r="Q36" s="699"/>
      <c r="R36" s="722"/>
      <c r="S36" s="699"/>
      <c r="T36" s="726"/>
      <c r="U36" s="39" t="s">
        <v>183</v>
      </c>
      <c r="V36" s="39" t="s">
        <v>184</v>
      </c>
      <c r="W36" s="39" t="s">
        <v>185</v>
      </c>
      <c r="X36" s="39" t="s">
        <v>186</v>
      </c>
      <c r="Y36" s="39" t="s">
        <v>187</v>
      </c>
      <c r="Z36" s="39" t="s">
        <v>188</v>
      </c>
      <c r="AA36" s="720"/>
      <c r="AB36" s="720"/>
      <c r="AC36" s="720"/>
      <c r="AD36" s="720"/>
      <c r="AE36" s="720"/>
      <c r="AF36" s="720"/>
      <c r="AG36" s="722"/>
      <c r="AH36" s="699"/>
      <c r="AI36" s="699"/>
      <c r="AJ36" s="699"/>
      <c r="AK36" s="699"/>
      <c r="AL36" s="699"/>
      <c r="AM36" s="699"/>
    </row>
    <row r="37" spans="1:43" ht="67.2" x14ac:dyDescent="0.3">
      <c r="A37" s="653">
        <v>1</v>
      </c>
      <c r="B37" s="757" t="s">
        <v>199</v>
      </c>
      <c r="C37" s="757" t="s">
        <v>489</v>
      </c>
      <c r="D37" s="759" t="s">
        <v>490</v>
      </c>
      <c r="E37" s="399" t="s">
        <v>491</v>
      </c>
      <c r="F37" s="761" t="s">
        <v>492</v>
      </c>
      <c r="G37" s="783" t="s">
        <v>202</v>
      </c>
      <c r="H37" s="761" t="s">
        <v>493</v>
      </c>
      <c r="I37" s="762" t="s">
        <v>190</v>
      </c>
      <c r="J37" s="764">
        <v>16</v>
      </c>
      <c r="K37" s="766" t="str">
        <f>IF(J37&lt;=0,"",IF(J37&lt;=2,"Muy Baja",IF(J37&lt;=24,"Baja",IF(J37&lt;=500,"Media",IF(J37&lt;=5000,"Alta","Muy Alta")))))</f>
        <v>Baja</v>
      </c>
      <c r="L37" s="768">
        <f>IF(K37="","",IF(K37="Muy Baja",0.2,IF(K37="Baja",0.4,IF(K37="Media",0.6,IF(K37="Alta",0.8,IF(K37="Muy Alta",1,))))))</f>
        <v>0.4</v>
      </c>
      <c r="M37" s="770" t="s">
        <v>214</v>
      </c>
      <c r="N37" s="768" t="str">
        <f>IF(NOT(ISERROR(MATCH(M37,'[17]Tabla Impacto'!$B$221:$B$223,0))),'[17]Tabla Impacto'!$F$223&amp;"Por favor no seleccionar los criterios de impacto(Afectación Económica o presupuestal y Pérdida Reputacional)",M37)</f>
        <v xml:space="preserve">     El riesgo afecta la imagen de de la entidad con efecto publicitario sostenido a nivel de sector administrativo, nivel departamental o municipal</v>
      </c>
      <c r="O37" s="766" t="str">
        <f>IF(OR(N37='[17]Tabla Impacto'!$C$11,N37='[17]Tabla Impacto'!$D$11),"Leve",IF(OR(N37='[17]Tabla Impacto'!$C$12,N37='[17]Tabla Impacto'!$D$12),"Menor",IF(OR(N37='[17]Tabla Impacto'!$C$13,N37='[17]Tabla Impacto'!$D$13),"Moderado",IF(OR(N37='[17]Tabla Impacto'!$C$14,N37='[17]Tabla Impacto'!$D$14),"Mayor",IF(OR(N37='[17]Tabla Impacto'!$C$15,N37='[17]Tabla Impacto'!$D$15),"Catastrófico","")))))</f>
        <v>Mayor</v>
      </c>
      <c r="P37" s="768">
        <f>IF(O37="","",IF(O37="Leve",0.2,IF(O37="Menor",0.4,IF(O37="Moderado",0.6,IF(O37="Mayor",0.8,IF(O37="Catastrófico",1,))))))</f>
        <v>0.8</v>
      </c>
      <c r="Q37" s="772"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Alto</v>
      </c>
      <c r="R37" s="243">
        <v>1</v>
      </c>
      <c r="S37" s="90">
        <f>+[17]DOFA!E64</f>
        <v>0</v>
      </c>
      <c r="T37" s="91" t="str">
        <f>IF(OR(U37="Preventivo",U37="Detectivo"),"Probabilidad",IF(U37="Correctivo","Impacto",""))</f>
        <v>Probabilidad</v>
      </c>
      <c r="U37" s="83" t="s">
        <v>197</v>
      </c>
      <c r="V37" s="83" t="s">
        <v>191</v>
      </c>
      <c r="W37" s="84" t="str">
        <f>IF(AND(U37="Preventivo",V37="Automático"),"50%",IF(AND(U37="Preventivo",V37="Manual"),"40%",IF(AND(U37="Detectivo",V37="Automático"),"40%",IF(AND(U37="Detectivo",V37="Manual"),"30%",IF(AND(U37="Correctivo",V37="Automático"),"35%",IF(AND(U37="Correctivo",V37="Manual"),"25%",""))))))</f>
        <v>40%</v>
      </c>
      <c r="X37" s="83" t="s">
        <v>198</v>
      </c>
      <c r="Y37" s="83" t="s">
        <v>193</v>
      </c>
      <c r="Z37" s="83" t="s">
        <v>194</v>
      </c>
      <c r="AA37" s="92">
        <f>IFERROR(IF(T37="Probabilidad",(L37-(+L37*W37)),IF(T37="Impacto",L37,"")),"")</f>
        <v>0.24</v>
      </c>
      <c r="AB37" s="85" t="str">
        <f>IFERROR(IF(AA37="","",IF(AA37&lt;=0.2,"Muy Baja",IF(AA37&lt;=0.4,"Baja",IF(AA37&lt;=0.6,"Media",IF(AA37&lt;=0.8,"Alta","Muy Alta"))))),"")</f>
        <v>Baja</v>
      </c>
      <c r="AC37" s="86">
        <f>+AA37</f>
        <v>0.24</v>
      </c>
      <c r="AD37" s="85" t="str">
        <f>IFERROR(IF(AE37="","",IF(AE37&lt;=0.2,"Leve",IF(AE37&lt;=0.4,"Menor",IF(AE37&lt;=0.6,"Moderado",IF(AE37&lt;=0.8,"Mayor","Catastrófico"))))),"")</f>
        <v>Mayor</v>
      </c>
      <c r="AE37" s="86">
        <f>IFERROR(IF(T37="Impacto",(P37-(+P37*W37)),IF(T37="Probabilidad",P37,"")),"")</f>
        <v>0.8</v>
      </c>
      <c r="AF37" s="87" t="str">
        <f>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Alto</v>
      </c>
      <c r="AG37" s="643" t="s">
        <v>195</v>
      </c>
      <c r="AH37" s="842" t="s">
        <v>494</v>
      </c>
      <c r="AI37" s="842" t="s">
        <v>495</v>
      </c>
      <c r="AJ37" s="839">
        <v>45691</v>
      </c>
      <c r="AK37" s="839">
        <v>45751</v>
      </c>
      <c r="AL37" s="842" t="s">
        <v>684</v>
      </c>
      <c r="AM37" s="845" t="s">
        <v>685</v>
      </c>
    </row>
    <row r="38" spans="1:43" ht="67.2" x14ac:dyDescent="0.3">
      <c r="A38" s="667"/>
      <c r="B38" s="758"/>
      <c r="C38" s="758"/>
      <c r="D38" s="760"/>
      <c r="E38" s="399" t="s">
        <v>496</v>
      </c>
      <c r="F38" s="761"/>
      <c r="G38" s="784"/>
      <c r="H38" s="761"/>
      <c r="I38" s="763"/>
      <c r="J38" s="765"/>
      <c r="K38" s="767"/>
      <c r="L38" s="769"/>
      <c r="M38" s="771"/>
      <c r="N38" s="769">
        <f>IF(NOT(ISERROR(MATCH(M38,_xlfn.ANCHORARRAY(F46),0))),L48&amp;"Por favor no seleccionar los criterios de impacto",M38)</f>
        <v>0</v>
      </c>
      <c r="O38" s="767"/>
      <c r="P38" s="769"/>
      <c r="Q38" s="773"/>
      <c r="R38" s="243">
        <v>2</v>
      </c>
      <c r="S38" s="90">
        <f>+[17]DOFA!E65</f>
        <v>0</v>
      </c>
      <c r="T38" s="91" t="str">
        <f>IF(OR(U38="Preventivo",U38="Detectivo"),"Probabilidad",IF(U38="Correctivo","Impacto",""))</f>
        <v>Probabilidad</v>
      </c>
      <c r="U38" s="83" t="s">
        <v>197</v>
      </c>
      <c r="V38" s="83" t="s">
        <v>191</v>
      </c>
      <c r="W38" s="84" t="str">
        <f t="shared" ref="W38:W39" si="13">IF(AND(U38="Preventivo",V38="Automático"),"50%",IF(AND(U38="Preventivo",V38="Manual"),"40%",IF(AND(U38="Detectivo",V38="Automático"),"40%",IF(AND(U38="Detectivo",V38="Manual"),"30%",IF(AND(U38="Correctivo",V38="Automático"),"35%",IF(AND(U38="Correctivo",V38="Manual"),"25%",""))))))</f>
        <v>40%</v>
      </c>
      <c r="X38" s="83" t="s">
        <v>198</v>
      </c>
      <c r="Y38" s="83" t="s">
        <v>193</v>
      </c>
      <c r="Z38" s="83" t="s">
        <v>194</v>
      </c>
      <c r="AA38" s="92">
        <f>IFERROR(IF(AND(T37="Probabilidad",T38="Probabilidad"),(AC37-(+AC37*W38)),IF(AND(T37="Impacto",T38="Probabilidad"),(L37-(+L37*W38)),IF(T38="Impacto",AC37,""))),"")</f>
        <v>0.14399999999999999</v>
      </c>
      <c r="AB38" s="85" t="str">
        <f t="shared" ref="AB38:AB39" si="14">IFERROR(IF(AA38="","",IF(AA38&lt;=0.2,"Muy Baja",IF(AA38&lt;=0.4,"Baja",IF(AA38&lt;=0.6,"Media",IF(AA38&lt;=0.8,"Alta","Muy Alta"))))),"")</f>
        <v>Muy Baja</v>
      </c>
      <c r="AC38" s="86">
        <f>+AA38</f>
        <v>0.14399999999999999</v>
      </c>
      <c r="AD38" s="85" t="str">
        <f t="shared" ref="AD38:AD39" si="15">IFERROR(IF(AE38="","",IF(AE38&lt;=0.2,"Leve",IF(AE38&lt;=0.4,"Menor",IF(AE38&lt;=0.6,"Moderado",IF(AE38&lt;=0.8,"Mayor","Catastrófico"))))),"")</f>
        <v>Mayor</v>
      </c>
      <c r="AE38" s="86">
        <f>IFERROR(IF(AND(T37="Impacto",T38="Impacto"),(AE37-(+AE37*W38)),IF(AND(T37="Probabilidad",T38="Impacto"),(P37-(+P37*W38)),IF(T38="Probabilidad",AE37,""))),"")</f>
        <v>0.8</v>
      </c>
      <c r="AF38" s="87" t="str">
        <f t="shared" ref="AF38:AF39" si="16">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Alto</v>
      </c>
      <c r="AG38" s="850"/>
      <c r="AH38" s="843"/>
      <c r="AI38" s="843"/>
      <c r="AJ38" s="840"/>
      <c r="AK38" s="840"/>
      <c r="AL38" s="843"/>
      <c r="AM38" s="846"/>
    </row>
    <row r="39" spans="1:43" ht="67.2" x14ac:dyDescent="0.3">
      <c r="A39" s="667"/>
      <c r="B39" s="758"/>
      <c r="C39" s="758"/>
      <c r="D39" s="760"/>
      <c r="E39" s="401" t="s">
        <v>497</v>
      </c>
      <c r="F39" s="761"/>
      <c r="G39" s="784"/>
      <c r="H39" s="761"/>
      <c r="I39" s="763"/>
      <c r="J39" s="765"/>
      <c r="K39" s="767"/>
      <c r="L39" s="769"/>
      <c r="M39" s="771"/>
      <c r="N39" s="769">
        <f>IF(NOT(ISERROR(MATCH(M39,_xlfn.ANCHORARRAY(F47),0))),L49&amp;"Por favor no seleccionar los criterios de impacto",M39)</f>
        <v>0</v>
      </c>
      <c r="O39" s="767"/>
      <c r="P39" s="769"/>
      <c r="Q39" s="773"/>
      <c r="R39" s="243">
        <v>3</v>
      </c>
      <c r="S39" s="247">
        <f>[17]DOFA!E66</f>
        <v>0</v>
      </c>
      <c r="T39" s="91" t="str">
        <f t="shared" ref="T39" si="17">IF(OR(U39="Preventivo",U39="Detectivo"),"Probabilidad",IF(U39="Correctivo","Impacto",""))</f>
        <v>Probabilidad</v>
      </c>
      <c r="U39" s="83" t="s">
        <v>197</v>
      </c>
      <c r="V39" s="83" t="s">
        <v>191</v>
      </c>
      <c r="W39" s="84" t="str">
        <f t="shared" si="13"/>
        <v>40%</v>
      </c>
      <c r="X39" s="83" t="s">
        <v>198</v>
      </c>
      <c r="Y39" s="83" t="s">
        <v>193</v>
      </c>
      <c r="Z39" s="83" t="s">
        <v>194</v>
      </c>
      <c r="AA39" s="92">
        <f>IFERROR(IF(AND(T38="Probabilidad",T39="Probabilidad"),(AC38-(+AC38*W39)),IF(AND(T38="Impacto",T39="Probabilidad"),(AC37-(+AC37*W39)),IF(T39="Impacto",AC38,""))),"")</f>
        <v>8.6399999999999991E-2</v>
      </c>
      <c r="AB39" s="85" t="str">
        <f t="shared" si="14"/>
        <v>Muy Baja</v>
      </c>
      <c r="AC39" s="86">
        <f t="shared" ref="AC39" si="18">+AA39</f>
        <v>8.6399999999999991E-2</v>
      </c>
      <c r="AD39" s="85" t="str">
        <f t="shared" si="15"/>
        <v>Mayor</v>
      </c>
      <c r="AE39" s="86">
        <f t="shared" ref="AE39" si="19">IFERROR(IF(AND(T38="Impacto",T39="Impacto"),(AE38-(+AE38*W39)),IF(AND(T38="Probabilidad",T39="Impacto"),(AE37-(+AE37*W39)),IF(T39="Probabilidad",AE38,""))),"")</f>
        <v>0.8</v>
      </c>
      <c r="AF39" s="87" t="str">
        <f t="shared" si="16"/>
        <v>Alto</v>
      </c>
      <c r="AG39" s="644"/>
      <c r="AH39" s="844"/>
      <c r="AI39" s="844"/>
      <c r="AJ39" s="841"/>
      <c r="AK39" s="841"/>
      <c r="AL39" s="844"/>
      <c r="AM39" s="847"/>
    </row>
    <row r="40" spans="1:43" ht="14.4" x14ac:dyDescent="0.3">
      <c r="A40" s="741" t="s">
        <v>148</v>
      </c>
      <c r="B40" s="742"/>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3"/>
      <c r="AN40" s="41"/>
      <c r="AO40" s="505"/>
      <c r="AP40" s="41"/>
      <c r="AQ40" s="505"/>
    </row>
    <row r="41" spans="1:43" ht="14.4" x14ac:dyDescent="0.3">
      <c r="A41" s="744"/>
      <c r="B41" s="745"/>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6"/>
      <c r="AN41" s="41"/>
      <c r="AO41" s="505"/>
      <c r="AP41" s="41"/>
      <c r="AQ41" s="505"/>
    </row>
    <row r="42" spans="1:43" ht="14.4" x14ac:dyDescent="0.3">
      <c r="A42" s="42"/>
      <c r="B42" s="43"/>
      <c r="C42" s="43"/>
      <c r="D42" s="43"/>
      <c r="E42" s="134"/>
      <c r="F42" s="135"/>
      <c r="G42" s="136"/>
      <c r="H42" s="41"/>
      <c r="I42" s="44"/>
      <c r="J42" s="41"/>
      <c r="K42" s="136"/>
      <c r="L42" s="41"/>
      <c r="M42" s="41"/>
      <c r="N42" s="41"/>
      <c r="O42" s="136"/>
      <c r="P42" s="41"/>
      <c r="Q42" s="136"/>
      <c r="R42" s="41"/>
      <c r="S42" s="41"/>
      <c r="T42" s="41"/>
      <c r="U42" s="41"/>
      <c r="V42" s="41"/>
      <c r="W42" s="41"/>
      <c r="X42" s="41"/>
      <c r="Y42" s="41"/>
      <c r="Z42" s="41"/>
      <c r="AA42" s="41"/>
      <c r="AB42" s="41"/>
      <c r="AC42" s="41"/>
      <c r="AD42" s="41"/>
      <c r="AE42" s="41"/>
      <c r="AF42" s="41"/>
      <c r="AG42" s="41"/>
      <c r="AH42" s="41"/>
      <c r="AI42" s="41"/>
      <c r="AJ42" s="136"/>
      <c r="AK42" s="41"/>
      <c r="AL42" s="41"/>
      <c r="AM42" s="41"/>
      <c r="AN42" s="41"/>
      <c r="AO42" s="505"/>
      <c r="AP42" s="41"/>
      <c r="AQ42" s="505"/>
    </row>
    <row r="43" spans="1:43" ht="23.4" x14ac:dyDescent="0.3">
      <c r="A43" s="734" t="s">
        <v>149</v>
      </c>
      <c r="B43" s="735"/>
      <c r="C43" s="736" t="s">
        <v>289</v>
      </c>
      <c r="D43" s="736"/>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41"/>
      <c r="AO43" s="505"/>
      <c r="AP43" s="41"/>
      <c r="AQ43" s="505"/>
    </row>
    <row r="44" spans="1:43" ht="23.4" x14ac:dyDescent="0.3">
      <c r="A44" s="734" t="s">
        <v>150</v>
      </c>
      <c r="B44" s="735"/>
      <c r="C44" s="747" t="s">
        <v>290</v>
      </c>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41"/>
      <c r="AO44" s="505"/>
      <c r="AP44" s="41"/>
      <c r="AQ44" s="505"/>
    </row>
    <row r="45" spans="1:43" ht="23.4" x14ac:dyDescent="0.3">
      <c r="A45" s="734" t="s">
        <v>151</v>
      </c>
      <c r="B45" s="735"/>
      <c r="C45" s="736" t="s">
        <v>291</v>
      </c>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41"/>
      <c r="AO45" s="505"/>
      <c r="AP45" s="41"/>
      <c r="AQ45" s="505"/>
    </row>
    <row r="46" spans="1:43" ht="14.4" x14ac:dyDescent="0.3">
      <c r="A46" s="737" t="s">
        <v>152</v>
      </c>
      <c r="B46" s="738"/>
      <c r="C46" s="739"/>
      <c r="D46" s="739"/>
      <c r="E46" s="739"/>
      <c r="F46" s="739"/>
      <c r="G46" s="739"/>
      <c r="H46" s="739"/>
      <c r="I46" s="739"/>
      <c r="J46" s="740"/>
      <c r="K46" s="724" t="s">
        <v>153</v>
      </c>
      <c r="L46" s="739"/>
      <c r="M46" s="739"/>
      <c r="N46" s="739"/>
      <c r="O46" s="739"/>
      <c r="P46" s="739"/>
      <c r="Q46" s="740"/>
      <c r="R46" s="724" t="s">
        <v>154</v>
      </c>
      <c r="S46" s="739"/>
      <c r="T46" s="739"/>
      <c r="U46" s="739"/>
      <c r="V46" s="739"/>
      <c r="W46" s="739"/>
      <c r="X46" s="739"/>
      <c r="Y46" s="739"/>
      <c r="Z46" s="740"/>
      <c r="AA46" s="724" t="s">
        <v>155</v>
      </c>
      <c r="AB46" s="739"/>
      <c r="AC46" s="739"/>
      <c r="AD46" s="739"/>
      <c r="AE46" s="739"/>
      <c r="AF46" s="739"/>
      <c r="AG46" s="740"/>
      <c r="AH46" s="724" t="s">
        <v>156</v>
      </c>
      <c r="AI46" s="739"/>
      <c r="AJ46" s="739"/>
      <c r="AK46" s="739"/>
      <c r="AL46" s="739"/>
      <c r="AM46" s="740"/>
      <c r="AN46" s="41"/>
      <c r="AO46" s="505"/>
      <c r="AP46" s="41"/>
      <c r="AQ46" s="505"/>
    </row>
    <row r="47" spans="1:43" x14ac:dyDescent="0.3">
      <c r="A47" s="728" t="s">
        <v>157</v>
      </c>
      <c r="B47" s="730" t="s">
        <v>141</v>
      </c>
      <c r="C47" s="1077" t="s">
        <v>158</v>
      </c>
      <c r="D47" s="1077" t="s">
        <v>159</v>
      </c>
      <c r="E47" s="725" t="s">
        <v>160</v>
      </c>
      <c r="F47" s="1081" t="s">
        <v>60</v>
      </c>
      <c r="G47" s="137"/>
      <c r="H47" s="38"/>
      <c r="I47" s="725" t="s">
        <v>161</v>
      </c>
      <c r="J47" s="726" t="s">
        <v>162</v>
      </c>
      <c r="K47" s="1083" t="s">
        <v>163</v>
      </c>
      <c r="L47" s="723" t="s">
        <v>164</v>
      </c>
      <c r="M47" s="725" t="s">
        <v>165</v>
      </c>
      <c r="N47" s="725" t="s">
        <v>166</v>
      </c>
      <c r="O47" s="1074" t="s">
        <v>167</v>
      </c>
      <c r="P47" s="723" t="s">
        <v>164</v>
      </c>
      <c r="Q47" s="1076" t="s">
        <v>168</v>
      </c>
      <c r="R47" s="721" t="s">
        <v>169</v>
      </c>
      <c r="S47" s="699" t="s">
        <v>170</v>
      </c>
      <c r="T47" s="725" t="s">
        <v>171</v>
      </c>
      <c r="U47" s="699" t="s">
        <v>172</v>
      </c>
      <c r="V47" s="699"/>
      <c r="W47" s="699"/>
      <c r="X47" s="699"/>
      <c r="Y47" s="699"/>
      <c r="Z47" s="699"/>
      <c r="AA47" s="720" t="s">
        <v>173</v>
      </c>
      <c r="AB47" s="720" t="s">
        <v>174</v>
      </c>
      <c r="AC47" s="720" t="s">
        <v>164</v>
      </c>
      <c r="AD47" s="720" t="s">
        <v>175</v>
      </c>
      <c r="AE47" s="720" t="s">
        <v>164</v>
      </c>
      <c r="AF47" s="720" t="s">
        <v>176</v>
      </c>
      <c r="AG47" s="721" t="s">
        <v>177</v>
      </c>
      <c r="AH47" s="699" t="s">
        <v>156</v>
      </c>
      <c r="AI47" s="699" t="s">
        <v>142</v>
      </c>
      <c r="AJ47" s="1072" t="s">
        <v>178</v>
      </c>
      <c r="AK47" s="699" t="s">
        <v>179</v>
      </c>
      <c r="AL47" s="699" t="s">
        <v>180</v>
      </c>
      <c r="AM47" s="1073" t="s">
        <v>181</v>
      </c>
      <c r="AN47" s="1086" t="s">
        <v>157</v>
      </c>
      <c r="AO47" s="1087" t="s">
        <v>686</v>
      </c>
      <c r="AP47" s="1086" t="s">
        <v>157</v>
      </c>
      <c r="AQ47" s="1089" t="s">
        <v>687</v>
      </c>
    </row>
    <row r="48" spans="1:43" ht="70.8" thickBot="1" x14ac:dyDescent="0.35">
      <c r="A48" s="729"/>
      <c r="B48" s="730"/>
      <c r="C48" s="1078"/>
      <c r="D48" s="1078"/>
      <c r="E48" s="731"/>
      <c r="F48" s="1082"/>
      <c r="G48" s="38" t="s">
        <v>201</v>
      </c>
      <c r="H48" s="38" t="s">
        <v>182</v>
      </c>
      <c r="I48" s="726"/>
      <c r="J48" s="699"/>
      <c r="K48" s="1076"/>
      <c r="L48" s="724"/>
      <c r="M48" s="726"/>
      <c r="N48" s="726"/>
      <c r="O48" s="1075"/>
      <c r="P48" s="724"/>
      <c r="Q48" s="1072"/>
      <c r="R48" s="722"/>
      <c r="S48" s="699"/>
      <c r="T48" s="726"/>
      <c r="U48" s="39" t="s">
        <v>183</v>
      </c>
      <c r="V48" s="39" t="s">
        <v>184</v>
      </c>
      <c r="W48" s="39" t="s">
        <v>185</v>
      </c>
      <c r="X48" s="39" t="s">
        <v>186</v>
      </c>
      <c r="Y48" s="39" t="s">
        <v>187</v>
      </c>
      <c r="Z48" s="39" t="s">
        <v>188</v>
      </c>
      <c r="AA48" s="720"/>
      <c r="AB48" s="720"/>
      <c r="AC48" s="720"/>
      <c r="AD48" s="720"/>
      <c r="AE48" s="720"/>
      <c r="AF48" s="720"/>
      <c r="AG48" s="722"/>
      <c r="AH48" s="699"/>
      <c r="AI48" s="699"/>
      <c r="AJ48" s="1072"/>
      <c r="AK48" s="699"/>
      <c r="AL48" s="699"/>
      <c r="AM48" s="1073"/>
      <c r="AN48" s="1086"/>
      <c r="AO48" s="1088"/>
      <c r="AP48" s="1086"/>
      <c r="AQ48" s="1090"/>
    </row>
    <row r="49" spans="1:43" ht="211.8" thickBot="1" x14ac:dyDescent="0.35">
      <c r="A49" s="248">
        <v>1</v>
      </c>
      <c r="B49" s="138" t="s">
        <v>199</v>
      </c>
      <c r="C49" s="249" t="s">
        <v>292</v>
      </c>
      <c r="D49" s="250" t="s">
        <v>293</v>
      </c>
      <c r="E49" s="139" t="s">
        <v>700</v>
      </c>
      <c r="F49" s="251" t="s">
        <v>294</v>
      </c>
      <c r="G49" s="510" t="s">
        <v>202</v>
      </c>
      <c r="H49" s="253" t="s">
        <v>295</v>
      </c>
      <c r="I49" s="254" t="s">
        <v>190</v>
      </c>
      <c r="J49" s="255">
        <f>11+3</f>
        <v>14</v>
      </c>
      <c r="K49" s="203" t="str">
        <f t="shared" ref="K49:K55" si="20">IF(J49&lt;=0,"",IF(J49&lt;=2,"Muy Baja",IF(J49&lt;=24,"Baja",IF(J49&lt;=500,"Media",IF(J49&lt;=5000,"Alta","Muy Alta")))))</f>
        <v>Baja</v>
      </c>
      <c r="L49" s="256">
        <f t="shared" ref="L49:L55" si="21">IF(K49="","",IF(K49="Muy Baja",0.2,IF(K49="Baja",0.4,IF(K49="Media",0.6,IF(K49="Alta",0.8,IF(K49="Muy Alta",1,))))))</f>
        <v>0.4</v>
      </c>
      <c r="M49" s="257" t="s">
        <v>296</v>
      </c>
      <c r="N49" s="140" t="str">
        <f>IF(NOT(ISERROR(MATCH(M49,'[18]Tabla Impacto'!$B$221:$B$223,0))),'[18]Tabla Impacto'!$F$223&amp;"Por favor no seleccionar los criterios de impacto(Afectación Económica o presupuestal y Pérdida Reputacional)",M49)</f>
        <v xml:space="preserve">     Mayor a 10000 SMLMV</v>
      </c>
      <c r="O49" s="203" t="str">
        <f>IF(OR(N49='[18]Tabla Impacto'!$C$11,N49='[18]Tabla Impacto'!$D$11),"Leve",IF(OR(N49='[18]Tabla Impacto'!$C$12,N49='[18]Tabla Impacto'!$D$12),"Menor",IF(OR(N49='[18]Tabla Impacto'!$C$13,N49='[18]Tabla Impacto'!$D$13),"Moderado",IF(OR(N49='[18]Tabla Impacto'!$C$14,N49='[18]Tabla Impacto'!$D$14),"Mayor",IF(OR(N49='[18]Tabla Impacto'!$C$15,N49='[18]Tabla Impacto'!$D$15),"Catastrófico","")))))</f>
        <v>Catastrófico</v>
      </c>
      <c r="P49" s="256">
        <f t="shared" ref="P49:P55" si="22">IF(O49="","",IF(O49="Leve",0.2,IF(O49="Menor",0.4,IF(O49="Moderado",0.6,IF(O49="Mayor",0.8,IF(O49="Catastrófico",1,))))))</f>
        <v>1</v>
      </c>
      <c r="Q49" s="206" t="str">
        <f t="shared" ref="Q49:Q55" si="23">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Extremo</v>
      </c>
      <c r="R49" s="486">
        <v>1</v>
      </c>
      <c r="S49" s="142" t="s">
        <v>707</v>
      </c>
      <c r="T49" s="143" t="str">
        <f t="shared" ref="T49:T55" si="24">IF(OR(U49="Preventivo",U49="Detectivo"),"Probabilidad",IF(U49="Correctivo","Impacto",""))</f>
        <v>Probabilidad</v>
      </c>
      <c r="U49" s="144" t="s">
        <v>197</v>
      </c>
      <c r="V49" s="144" t="s">
        <v>191</v>
      </c>
      <c r="W49" s="145" t="str">
        <f t="shared" ref="W49:W55" si="25">IF(AND(U49="Preventivo",V49="Automático"),"50%",IF(AND(U49="Preventivo",V49="Manual"),"40%",IF(AND(U49="Detectivo",V49="Automático"),"40%",IF(AND(U49="Detectivo",V49="Manual"),"30%",IF(AND(U49="Correctivo",V49="Automático"),"35%",IF(AND(U49="Correctivo",V49="Manual"),"25%",""))))))</f>
        <v>40%</v>
      </c>
      <c r="X49" s="144" t="s">
        <v>198</v>
      </c>
      <c r="Y49" s="144" t="s">
        <v>193</v>
      </c>
      <c r="Z49" s="144" t="s">
        <v>194</v>
      </c>
      <c r="AA49" s="146">
        <f>IFERROR(IF(T49="Probabilidad",(L49-(+L49*W49)),IF(T49="Impacto",L49,"")),"")</f>
        <v>0.24</v>
      </c>
      <c r="AB49" s="147" t="str">
        <f t="shared" ref="AB49:AB55" si="26">IFERROR(IF(AA49="","",IF(AA49&lt;=0.2,"Muy Baja",IF(AA49&lt;=0.4,"Baja",IF(AA49&lt;=0.6,"Media",IF(AA49&lt;=0.8,"Alta","Muy Alta"))))),"")</f>
        <v>Baja</v>
      </c>
      <c r="AC49" s="148">
        <f t="shared" ref="AC49:AC55" si="27">+AA49</f>
        <v>0.24</v>
      </c>
      <c r="AD49" s="147" t="str">
        <f t="shared" ref="AD49:AD55" si="28">IFERROR(IF(AE49="","",IF(AE49&lt;=0.2,"Leve",IF(AE49&lt;=0.4,"Menor",IF(AE49&lt;=0.6,"Moderado",IF(AE49&lt;=0.8,"Mayor","Catastrófico"))))),"")</f>
        <v>Catastrófico</v>
      </c>
      <c r="AE49" s="148">
        <f>IFERROR(IF(T49="Impacto",(P49-(+P49*W49)),IF(T49="Probabilidad",P49,"")),"")</f>
        <v>1</v>
      </c>
      <c r="AF49" s="149" t="str">
        <f t="shared" ref="AF49:AF55" si="29">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Extremo</v>
      </c>
      <c r="AG49" s="150" t="s">
        <v>195</v>
      </c>
      <c r="AH49" s="142" t="s">
        <v>297</v>
      </c>
      <c r="AI49" s="142" t="s">
        <v>298</v>
      </c>
      <c r="AJ49" s="151">
        <v>45658</v>
      </c>
      <c r="AK49" s="152"/>
      <c r="AL49" s="142"/>
      <c r="AM49" s="153" t="s">
        <v>196</v>
      </c>
      <c r="AN49" s="506">
        <v>1</v>
      </c>
      <c r="AO49" s="525" t="s">
        <v>688</v>
      </c>
      <c r="AP49" s="524">
        <v>1</v>
      </c>
      <c r="AQ49" s="525" t="s">
        <v>689</v>
      </c>
    </row>
    <row r="50" spans="1:43" ht="97.2" thickBot="1" x14ac:dyDescent="0.35">
      <c r="A50" s="248">
        <v>2</v>
      </c>
      <c r="B50" s="258" t="s">
        <v>199</v>
      </c>
      <c r="C50" s="259" t="s">
        <v>299</v>
      </c>
      <c r="D50" s="260" t="s">
        <v>300</v>
      </c>
      <c r="E50" s="155" t="s">
        <v>701</v>
      </c>
      <c r="F50" s="261" t="s">
        <v>301</v>
      </c>
      <c r="G50" s="511" t="s">
        <v>202</v>
      </c>
      <c r="H50" s="156" t="s">
        <v>302</v>
      </c>
      <c r="I50" s="263" t="s">
        <v>190</v>
      </c>
      <c r="J50" s="264">
        <v>120000</v>
      </c>
      <c r="K50" s="203" t="str">
        <f t="shared" si="20"/>
        <v>Muy Alta</v>
      </c>
      <c r="L50" s="265">
        <f t="shared" si="21"/>
        <v>1</v>
      </c>
      <c r="M50" s="266" t="s">
        <v>200</v>
      </c>
      <c r="N50" s="140" t="str">
        <f>IF(NOT(ISERROR(MATCH(M50,'[18]Tabla Impacto'!$B$221:$B$223,0))),'[18]Tabla Impacto'!$F$223&amp;"Por favor no seleccionar los criterios de impacto(Afectación Económica o presupuestal y Pérdida Reputacional)",M50)</f>
        <v xml:space="preserve">     El riesgo afecta la imagen de la entidad con algunos usuarios de relevancia frente al logro de los objetivos</v>
      </c>
      <c r="O50" s="203" t="str">
        <f>IF(OR(N50='[18]Tabla Impacto'!$C$11,N50='[18]Tabla Impacto'!$D$11),"Leve",IF(OR(N50='[18]Tabla Impacto'!$C$12,N50='[18]Tabla Impacto'!$D$12),"Menor",IF(OR(N50='[18]Tabla Impacto'!$C$13,N50='[18]Tabla Impacto'!$D$13),"Moderado",IF(OR(N50='[18]Tabla Impacto'!$C$14,N50='[18]Tabla Impacto'!$D$14),"Mayor",IF(OR(N50='[18]Tabla Impacto'!$C$15,N50='[18]Tabla Impacto'!$D$15),"Catastrófico","")))))</f>
        <v>Moderado</v>
      </c>
      <c r="P50" s="265">
        <f t="shared" si="22"/>
        <v>0.6</v>
      </c>
      <c r="Q50" s="206" t="str">
        <f t="shared" si="23"/>
        <v>Alto</v>
      </c>
      <c r="R50" s="515">
        <v>1</v>
      </c>
      <c r="S50" s="158" t="s">
        <v>708</v>
      </c>
      <c r="T50" s="159" t="str">
        <f t="shared" si="24"/>
        <v>Probabilidad</v>
      </c>
      <c r="U50" s="160" t="s">
        <v>197</v>
      </c>
      <c r="V50" s="160" t="s">
        <v>191</v>
      </c>
      <c r="W50" s="161" t="str">
        <f t="shared" si="25"/>
        <v>40%</v>
      </c>
      <c r="X50" s="160" t="s">
        <v>198</v>
      </c>
      <c r="Y50" s="160" t="s">
        <v>193</v>
      </c>
      <c r="Z50" s="160" t="s">
        <v>194</v>
      </c>
      <c r="AA50" s="162">
        <f>IFERROR(IF(T50="Probabilidad",(L50-(+L50*W50)),IF(T50="Impacto",L50,"")),"")</f>
        <v>0.6</v>
      </c>
      <c r="AB50" s="147" t="str">
        <f t="shared" si="26"/>
        <v>Media</v>
      </c>
      <c r="AC50" s="163">
        <f t="shared" si="27"/>
        <v>0.6</v>
      </c>
      <c r="AD50" s="147" t="str">
        <f t="shared" si="28"/>
        <v>Moderado</v>
      </c>
      <c r="AE50" s="163">
        <f>IFERROR(IF(T50="Impacto",(P50-(+P50*W50)),IF(T50="Probabilidad",P50,"")),"")</f>
        <v>0.6</v>
      </c>
      <c r="AF50" s="149" t="str">
        <f t="shared" si="29"/>
        <v>Moderado</v>
      </c>
      <c r="AG50" s="164" t="s">
        <v>195</v>
      </c>
      <c r="AH50" s="158" t="s">
        <v>303</v>
      </c>
      <c r="AI50" s="158" t="s">
        <v>304</v>
      </c>
      <c r="AJ50" s="165">
        <v>45658</v>
      </c>
      <c r="AK50" s="166"/>
      <c r="AL50" s="158"/>
      <c r="AM50" s="167" t="s">
        <v>196</v>
      </c>
      <c r="AN50" s="506">
        <v>2</v>
      </c>
      <c r="AO50" s="526" t="s">
        <v>690</v>
      </c>
      <c r="AP50" s="524">
        <v>2</v>
      </c>
      <c r="AQ50" s="526" t="s">
        <v>691</v>
      </c>
    </row>
    <row r="51" spans="1:43" ht="409.6" thickBot="1" x14ac:dyDescent="0.35">
      <c r="A51" s="248">
        <v>3</v>
      </c>
      <c r="B51" s="138" t="s">
        <v>189</v>
      </c>
      <c r="C51" s="168" t="s">
        <v>305</v>
      </c>
      <c r="D51" s="169" t="s">
        <v>306</v>
      </c>
      <c r="E51" s="170" t="s">
        <v>702</v>
      </c>
      <c r="F51" s="171" t="s">
        <v>307</v>
      </c>
      <c r="G51" s="512" t="s">
        <v>202</v>
      </c>
      <c r="H51" s="172" t="s">
        <v>308</v>
      </c>
      <c r="I51" s="268" t="s">
        <v>190</v>
      </c>
      <c r="J51" s="269">
        <v>5</v>
      </c>
      <c r="K51" s="203" t="str">
        <f t="shared" si="20"/>
        <v>Baja</v>
      </c>
      <c r="L51" s="270">
        <f t="shared" si="21"/>
        <v>0.4</v>
      </c>
      <c r="M51" s="271" t="s">
        <v>200</v>
      </c>
      <c r="N51" s="140" t="str">
        <f>IF(NOT(ISERROR(MATCH(M51,'[18]Tabla Impacto'!$B$221:$B$223,0))),'[18]Tabla Impacto'!$F$223&amp;"Por favor no seleccionar los criterios de impacto(Afectación Económica o presupuestal y Pérdida Reputacional)",M51)</f>
        <v xml:space="preserve">     El riesgo afecta la imagen de la entidad con algunos usuarios de relevancia frente al logro de los objetivos</v>
      </c>
      <c r="O51" s="203" t="str">
        <f>IF(OR(N51='[18]Tabla Impacto'!$C$11,N51='[18]Tabla Impacto'!$D$11),"Leve",IF(OR(N51='[18]Tabla Impacto'!$C$12,N51='[18]Tabla Impacto'!$D$12),"Menor",IF(OR(N51='[18]Tabla Impacto'!$C$13,N51='[18]Tabla Impacto'!$D$13),"Moderado",IF(OR(N51='[18]Tabla Impacto'!$C$14,N51='[18]Tabla Impacto'!$D$14),"Mayor",IF(OR(N51='[18]Tabla Impacto'!$C$15,N51='[18]Tabla Impacto'!$D$15),"Catastrófico","")))))</f>
        <v>Moderado</v>
      </c>
      <c r="P51" s="270">
        <f t="shared" si="22"/>
        <v>0.6</v>
      </c>
      <c r="Q51" s="206" t="str">
        <f t="shared" si="23"/>
        <v>Moderado</v>
      </c>
      <c r="R51" s="516">
        <v>1</v>
      </c>
      <c r="S51" s="174" t="s">
        <v>709</v>
      </c>
      <c r="T51" s="175" t="str">
        <f t="shared" si="24"/>
        <v>Probabilidad</v>
      </c>
      <c r="U51" s="176" t="s">
        <v>197</v>
      </c>
      <c r="V51" s="176" t="s">
        <v>191</v>
      </c>
      <c r="W51" s="177" t="str">
        <f t="shared" si="25"/>
        <v>40%</v>
      </c>
      <c r="X51" s="176" t="s">
        <v>198</v>
      </c>
      <c r="Y51" s="176" t="s">
        <v>193</v>
      </c>
      <c r="Z51" s="176" t="s">
        <v>194</v>
      </c>
      <c r="AA51" s="178">
        <f>IFERROR(IF(T51="Probabilidad",(L51-(+L51*W51)),IF(T51="Impacto",L51,"")),"")</f>
        <v>0.24</v>
      </c>
      <c r="AB51" s="147" t="str">
        <f t="shared" si="26"/>
        <v>Baja</v>
      </c>
      <c r="AC51" s="179">
        <f t="shared" si="27"/>
        <v>0.24</v>
      </c>
      <c r="AD51" s="147" t="str">
        <f t="shared" si="28"/>
        <v>Moderado</v>
      </c>
      <c r="AE51" s="179">
        <f>IFERROR(IF(T51="Impacto",(P51-(+P51*W51)),IF(T51="Probabilidad",P51,"")),"")</f>
        <v>0.6</v>
      </c>
      <c r="AF51" s="149" t="str">
        <f t="shared" si="29"/>
        <v>Moderado</v>
      </c>
      <c r="AG51" s="180" t="s">
        <v>195</v>
      </c>
      <c r="AH51" s="174" t="s">
        <v>309</v>
      </c>
      <c r="AI51" s="174" t="s">
        <v>310</v>
      </c>
      <c r="AJ51" s="181">
        <v>45658</v>
      </c>
      <c r="AK51" s="182"/>
      <c r="AL51" s="174"/>
      <c r="AM51" s="183" t="s">
        <v>196</v>
      </c>
      <c r="AN51" s="506">
        <v>3</v>
      </c>
      <c r="AO51" s="526" t="s">
        <v>692</v>
      </c>
      <c r="AP51" s="524">
        <v>3</v>
      </c>
      <c r="AQ51" s="526" t="s">
        <v>693</v>
      </c>
    </row>
    <row r="52" spans="1:43" ht="198" x14ac:dyDescent="0.3">
      <c r="A52" s="184">
        <v>4</v>
      </c>
      <c r="B52" s="185" t="s">
        <v>189</v>
      </c>
      <c r="C52" s="186" t="s">
        <v>311</v>
      </c>
      <c r="D52" s="187" t="s">
        <v>312</v>
      </c>
      <c r="E52" s="155" t="s">
        <v>703</v>
      </c>
      <c r="F52" s="188" t="s">
        <v>313</v>
      </c>
      <c r="G52" s="511" t="s">
        <v>202</v>
      </c>
      <c r="H52" s="156" t="s">
        <v>314</v>
      </c>
      <c r="I52" s="190" t="s">
        <v>190</v>
      </c>
      <c r="J52" s="514">
        <v>1</v>
      </c>
      <c r="K52" s="192" t="str">
        <f t="shared" si="20"/>
        <v>Muy Baja</v>
      </c>
      <c r="L52" s="193">
        <f t="shared" si="21"/>
        <v>0.2</v>
      </c>
      <c r="M52" s="194" t="s">
        <v>315</v>
      </c>
      <c r="N52" s="195" t="str">
        <f>IF(NOT(ISERROR(MATCH(M52,'[18]Tabla Impacto'!$B$221:$B$223,0))),'[18]Tabla Impacto'!$F$223&amp;"Por favor no seleccionar los criterios de impacto(Afectación Económica o presupuestal y Pérdida Reputacional)",M52)</f>
        <v xml:space="preserve">     El riesgo afecta la imagen de alguna área de la organización</v>
      </c>
      <c r="O52" s="192" t="str">
        <f>IF(OR(N52='[18]Tabla Impacto'!$C$11,N52='[18]Tabla Impacto'!$D$11),"Leve",IF(OR(N52='[18]Tabla Impacto'!$C$12,N52='[18]Tabla Impacto'!$D$12),"Menor",IF(OR(N52='[18]Tabla Impacto'!$C$13,N52='[18]Tabla Impacto'!$D$13),"Moderado",IF(OR(N52='[18]Tabla Impacto'!$C$14,N52='[18]Tabla Impacto'!$D$14),"Mayor",IF(OR(N52='[18]Tabla Impacto'!$C$15,N52='[18]Tabla Impacto'!$D$15),"Catastrófico","")))))</f>
        <v>Leve</v>
      </c>
      <c r="P52" s="193">
        <f t="shared" si="22"/>
        <v>0.2</v>
      </c>
      <c r="Q52" s="196" t="str">
        <f t="shared" si="23"/>
        <v>Bajo</v>
      </c>
      <c r="R52" s="515">
        <v>1</v>
      </c>
      <c r="S52" s="158" t="s">
        <v>710</v>
      </c>
      <c r="T52" s="159" t="str">
        <f t="shared" si="24"/>
        <v>Probabilidad</v>
      </c>
      <c r="U52" s="160" t="s">
        <v>197</v>
      </c>
      <c r="V52" s="160" t="s">
        <v>191</v>
      </c>
      <c r="W52" s="161" t="str">
        <f t="shared" si="25"/>
        <v>40%</v>
      </c>
      <c r="X52" s="160" t="s">
        <v>192</v>
      </c>
      <c r="Y52" s="160" t="s">
        <v>193</v>
      </c>
      <c r="Z52" s="160" t="s">
        <v>194</v>
      </c>
      <c r="AA52" s="162">
        <f>IFERROR(IF(T52="Probabilidad",(L52-(+L52*W52)),IF(T52="Impacto",L52,"")),"")</f>
        <v>0.12</v>
      </c>
      <c r="AB52" s="147" t="str">
        <f t="shared" si="26"/>
        <v>Muy Baja</v>
      </c>
      <c r="AC52" s="163">
        <f t="shared" si="27"/>
        <v>0.12</v>
      </c>
      <c r="AD52" s="147" t="str">
        <f t="shared" si="28"/>
        <v>Leve</v>
      </c>
      <c r="AE52" s="163">
        <f>IFERROR(IF(T52="Impacto",(P52-(+P52*W52)),IF(T52="Probabilidad",P52,"")),"")</f>
        <v>0.2</v>
      </c>
      <c r="AF52" s="149" t="str">
        <f t="shared" si="29"/>
        <v>Bajo</v>
      </c>
      <c r="AG52" s="164" t="s">
        <v>195</v>
      </c>
      <c r="AH52" s="158" t="s">
        <v>316</v>
      </c>
      <c r="AI52" s="197" t="s">
        <v>304</v>
      </c>
      <c r="AJ52" s="165">
        <v>45658</v>
      </c>
      <c r="AK52" s="166"/>
      <c r="AL52" s="158"/>
      <c r="AM52" s="167" t="s">
        <v>196</v>
      </c>
      <c r="AN52" s="507">
        <v>4</v>
      </c>
      <c r="AO52" s="527" t="s">
        <v>694</v>
      </c>
      <c r="AP52" s="524">
        <v>4</v>
      </c>
      <c r="AQ52" s="527" t="s">
        <v>695</v>
      </c>
    </row>
    <row r="53" spans="1:43" ht="409.6" thickBot="1" x14ac:dyDescent="0.35">
      <c r="A53" s="184">
        <v>5</v>
      </c>
      <c r="B53" s="1060" t="s">
        <v>199</v>
      </c>
      <c r="C53" s="1062" t="s">
        <v>317</v>
      </c>
      <c r="D53" s="1063" t="s">
        <v>318</v>
      </c>
      <c r="E53" s="200" t="s">
        <v>704</v>
      </c>
      <c r="F53" s="1065" t="s">
        <v>319</v>
      </c>
      <c r="G53" s="1084" t="s">
        <v>203</v>
      </c>
      <c r="H53" s="201" t="s">
        <v>320</v>
      </c>
      <c r="I53" s="1068" t="s">
        <v>190</v>
      </c>
      <c r="J53" s="202">
        <v>100</v>
      </c>
      <c r="K53" s="203" t="str">
        <f t="shared" si="20"/>
        <v>Media</v>
      </c>
      <c r="L53" s="204">
        <f t="shared" si="21"/>
        <v>0.6</v>
      </c>
      <c r="M53" s="205" t="s">
        <v>321</v>
      </c>
      <c r="N53" s="1070" t="str">
        <f>IF(NOT(ISERROR(MATCH(M53,'[18]Tabla Impacto'!$B$221:$B$223,0))),'[18]Tabla Impacto'!$F$223&amp;"Por favor no seleccionar los criterios de impacto(Afectación Económica o presupuestal y Pérdida Reputacional)",M53)</f>
        <v xml:space="preserve">     Entre 200 y 1000 SMLMV</v>
      </c>
      <c r="O53" s="203" t="str">
        <f>IF(OR(N53='[18]Tabla Impacto'!$C$11,N53='[18]Tabla Impacto'!$D$11),"Leve",IF(OR(N53='[18]Tabla Impacto'!$C$12,N53='[18]Tabla Impacto'!$D$12),"Menor",IF(OR(N53='[18]Tabla Impacto'!$C$13,N53='[18]Tabla Impacto'!$D$13),"Moderado",IF(OR(N53='[18]Tabla Impacto'!$C$14,N53='[18]Tabla Impacto'!$D$14),"Mayor",IF(OR(N53='[18]Tabla Impacto'!$C$15,N53='[18]Tabla Impacto'!$D$15),"Catastrófico","")))))</f>
        <v>Menor</v>
      </c>
      <c r="P53" s="204">
        <f t="shared" si="22"/>
        <v>0.4</v>
      </c>
      <c r="Q53" s="206" t="str">
        <f t="shared" si="23"/>
        <v>Moderado</v>
      </c>
      <c r="R53" s="517">
        <v>1</v>
      </c>
      <c r="S53" s="208" t="s">
        <v>711</v>
      </c>
      <c r="T53" s="209" t="str">
        <f>IF(OR(U53="Preventivo",U53="Detectivo"),"Probabilidad",IF(U53="Correctivo","Impacto",""))</f>
        <v>Probabilidad</v>
      </c>
      <c r="U53" s="210" t="s">
        <v>197</v>
      </c>
      <c r="V53" s="210" t="s">
        <v>191</v>
      </c>
      <c r="W53" s="211" t="str">
        <f t="shared" si="25"/>
        <v>40%</v>
      </c>
      <c r="X53" s="210" t="s">
        <v>198</v>
      </c>
      <c r="Y53" s="210" t="s">
        <v>193</v>
      </c>
      <c r="Z53" s="210" t="s">
        <v>194</v>
      </c>
      <c r="AA53" s="212">
        <f>IFERROR(IF(T53="Probabilidad",(L53-(+L53*W53)),IF(T53="Impacto",L53,"")),"")</f>
        <v>0.36</v>
      </c>
      <c r="AB53" s="147" t="str">
        <f t="shared" si="26"/>
        <v>Baja</v>
      </c>
      <c r="AC53" s="213">
        <f t="shared" si="27"/>
        <v>0.36</v>
      </c>
      <c r="AD53" s="147" t="str">
        <f t="shared" si="28"/>
        <v>Menor</v>
      </c>
      <c r="AE53" s="213">
        <f>IFERROR(IF(T53="Impacto",(P53-(+P53*W53)),IF(T53="Probabilidad",P53,"")),"")</f>
        <v>0.4</v>
      </c>
      <c r="AF53" s="149" t="str">
        <f t="shared" si="29"/>
        <v>Moderado</v>
      </c>
      <c r="AG53" s="214" t="s">
        <v>195</v>
      </c>
      <c r="AH53" s="208" t="s">
        <v>322</v>
      </c>
      <c r="AI53" s="215" t="s">
        <v>323</v>
      </c>
      <c r="AJ53" s="216">
        <v>45658</v>
      </c>
      <c r="AK53" s="217"/>
      <c r="AL53" s="208"/>
      <c r="AM53" s="218" t="s">
        <v>196</v>
      </c>
      <c r="AN53" s="508">
        <v>5</v>
      </c>
      <c r="AO53" s="528"/>
      <c r="AP53" s="529">
        <v>5</v>
      </c>
      <c r="AQ53" s="528" t="s">
        <v>696</v>
      </c>
    </row>
    <row r="54" spans="1:43" ht="138" x14ac:dyDescent="0.3">
      <c r="A54" s="198">
        <v>6</v>
      </c>
      <c r="B54" s="1061"/>
      <c r="C54" s="1061"/>
      <c r="D54" s="1064"/>
      <c r="E54" s="219" t="s">
        <v>705</v>
      </c>
      <c r="F54" s="1065"/>
      <c r="G54" s="1085"/>
      <c r="H54" s="220" t="s">
        <v>324</v>
      </c>
      <c r="I54" s="1069"/>
      <c r="J54" s="221">
        <v>300000000</v>
      </c>
      <c r="K54" s="203" t="str">
        <f t="shared" si="20"/>
        <v>Muy Alta</v>
      </c>
      <c r="L54" s="222">
        <f t="shared" si="21"/>
        <v>1</v>
      </c>
      <c r="M54" s="223" t="s">
        <v>325</v>
      </c>
      <c r="N54" s="1071" t="str">
        <f>IF(NOT(ISERROR(MATCH(M54,_xlfn.ANCHORARRAY(F56),0))),L58&amp;"Por favor no seleccionar los criterios de impacto",M54)</f>
        <v xml:space="preserve">     Entre 5000 y 10000 SMLMV</v>
      </c>
      <c r="O54" s="203" t="str">
        <f>IF(OR(N54='[18]Tabla Impacto'!$C$11,N54='[18]Tabla Impacto'!$D$11),"Leve",IF(OR(N54='[18]Tabla Impacto'!$C$12,N54='[18]Tabla Impacto'!$D$12),"Menor",IF(OR(N54='[18]Tabla Impacto'!$C$13,N54='[18]Tabla Impacto'!$D$13),"Moderado",IF(OR(N54='[18]Tabla Impacto'!$C$14,N54='[18]Tabla Impacto'!$D$14),"Mayor",IF(OR(N54='[18]Tabla Impacto'!$C$15,N54='[18]Tabla Impacto'!$D$15),"Catastrófico","")))))</f>
        <v>Mayor</v>
      </c>
      <c r="P54" s="222">
        <f t="shared" si="22"/>
        <v>0.8</v>
      </c>
      <c r="Q54" s="206" t="str">
        <f t="shared" si="23"/>
        <v>Alto</v>
      </c>
      <c r="R54" s="518">
        <v>2</v>
      </c>
      <c r="S54" s="225" t="s">
        <v>712</v>
      </c>
      <c r="T54" s="226" t="str">
        <f>IF(OR(U54="Preventivo",U54="Detectivo"),"Probabilidad",IF(U54="Correctivo","Impacto",""))</f>
        <v>Probabilidad</v>
      </c>
      <c r="U54" s="227" t="s">
        <v>197</v>
      </c>
      <c r="V54" s="227" t="s">
        <v>191</v>
      </c>
      <c r="W54" s="228" t="str">
        <f t="shared" si="25"/>
        <v>40%</v>
      </c>
      <c r="X54" s="227" t="s">
        <v>198</v>
      </c>
      <c r="Y54" s="227" t="s">
        <v>193</v>
      </c>
      <c r="Z54" s="227" t="s">
        <v>194</v>
      </c>
      <c r="AA54" s="229">
        <f>IFERROR(IF(AND(T53="Probabilidad",T54="Probabilidad"),(AC53-(+AC53*W54)),IF(AND(T53="Impacto",T54="Probabilidad"),(L53-(+L53*W54)),IF(T54="Impacto",AC53,""))),"")</f>
        <v>0.216</v>
      </c>
      <c r="AB54" s="147" t="str">
        <f t="shared" si="26"/>
        <v>Baja</v>
      </c>
      <c r="AC54" s="230">
        <f t="shared" si="27"/>
        <v>0.216</v>
      </c>
      <c r="AD54" s="231" t="str">
        <f t="shared" si="28"/>
        <v>Menor</v>
      </c>
      <c r="AE54" s="230">
        <f>IFERROR(IF(AND(T53="Impacto",T54="Impacto"),(AE53-(+AE53*W54)),IF(AND(T53="Probabilidad",T54="Impacto"),(P53-(+P53*W54)),IF(T54="Probabilidad",AE53,""))),"")</f>
        <v>0.4</v>
      </c>
      <c r="AF54" s="149" t="str">
        <f t="shared" si="29"/>
        <v>Moderado</v>
      </c>
      <c r="AG54" s="232" t="s">
        <v>195</v>
      </c>
      <c r="AH54" s="233" t="s">
        <v>326</v>
      </c>
      <c r="AI54" s="233" t="s">
        <v>304</v>
      </c>
      <c r="AJ54" s="234">
        <v>45658</v>
      </c>
      <c r="AK54" s="235"/>
      <c r="AL54" s="225"/>
      <c r="AM54" s="233" t="s">
        <v>196</v>
      </c>
      <c r="AN54" s="509">
        <v>6</v>
      </c>
      <c r="AO54" s="530"/>
      <c r="AP54" s="531">
        <v>6</v>
      </c>
      <c r="AQ54" s="530" t="s">
        <v>697</v>
      </c>
    </row>
    <row r="55" spans="1:43" ht="124.2" x14ac:dyDescent="0.3">
      <c r="A55" s="236">
        <v>7</v>
      </c>
      <c r="B55" s="272" t="s">
        <v>199</v>
      </c>
      <c r="C55" s="273" t="s">
        <v>327</v>
      </c>
      <c r="D55" s="274" t="s">
        <v>328</v>
      </c>
      <c r="E55" s="237" t="s">
        <v>706</v>
      </c>
      <c r="F55" s="275" t="s">
        <v>329</v>
      </c>
      <c r="G55" s="513" t="s">
        <v>203</v>
      </c>
      <c r="H55" s="238" t="s">
        <v>330</v>
      </c>
      <c r="I55" s="277" t="s">
        <v>190</v>
      </c>
      <c r="J55" s="278">
        <v>6000</v>
      </c>
      <c r="K55" s="279" t="str">
        <f t="shared" si="20"/>
        <v>Muy Alta</v>
      </c>
      <c r="L55" s="280">
        <f t="shared" si="21"/>
        <v>1</v>
      </c>
      <c r="M55" s="281" t="s">
        <v>325</v>
      </c>
      <c r="N55" s="45" t="str">
        <f>IF(NOT(ISERROR(MATCH(M55,'[18]Tabla Impacto'!$B$221:$B$223,0))),'[18]Tabla Impacto'!$F$223&amp;"Por favor no seleccionar los criterios de impacto(Afectación Económica o presupuestal y Pérdida Reputacional)",M55)</f>
        <v xml:space="preserve">     Entre 5000 y 10000 SMLMV</v>
      </c>
      <c r="O55" s="279" t="str">
        <f>IF(OR(N55='[18]Tabla Impacto'!$C$11,N55='[18]Tabla Impacto'!$D$11),"Leve",IF(OR(N55='[18]Tabla Impacto'!$C$12,N55='[18]Tabla Impacto'!$D$12),"Menor",IF(OR(N55='[18]Tabla Impacto'!$C$13,N55='[18]Tabla Impacto'!$D$13),"Moderado",IF(OR(N55='[18]Tabla Impacto'!$C$14,N55='[18]Tabla Impacto'!$D$14),"Mayor",IF(OR(N55='[18]Tabla Impacto'!$C$15,N55='[18]Tabla Impacto'!$D$15),"Catastrófico","")))))</f>
        <v>Mayor</v>
      </c>
      <c r="P55" s="280">
        <f t="shared" si="22"/>
        <v>0.8</v>
      </c>
      <c r="Q55" s="282" t="str">
        <f t="shared" si="23"/>
        <v>Alto</v>
      </c>
      <c r="R55" s="519">
        <v>1</v>
      </c>
      <c r="S55" s="142" t="s">
        <v>713</v>
      </c>
      <c r="T55" s="143" t="str">
        <f t="shared" si="24"/>
        <v>Probabilidad</v>
      </c>
      <c r="U55" s="144" t="s">
        <v>197</v>
      </c>
      <c r="V55" s="144" t="s">
        <v>191</v>
      </c>
      <c r="W55" s="145" t="str">
        <f t="shared" si="25"/>
        <v>40%</v>
      </c>
      <c r="X55" s="144" t="s">
        <v>198</v>
      </c>
      <c r="Y55" s="144" t="s">
        <v>193</v>
      </c>
      <c r="Z55" s="144" t="s">
        <v>194</v>
      </c>
      <c r="AA55" s="146">
        <f>IFERROR(IF(T55="Probabilidad",(L55-(+L55*W55)),IF(T55="Impacto",L55,"")),"")</f>
        <v>0.6</v>
      </c>
      <c r="AB55" s="147" t="str">
        <f t="shared" si="26"/>
        <v>Media</v>
      </c>
      <c r="AC55" s="148">
        <f t="shared" si="27"/>
        <v>0.6</v>
      </c>
      <c r="AD55" s="147" t="str">
        <f t="shared" si="28"/>
        <v>Mayor</v>
      </c>
      <c r="AE55" s="148">
        <f>IFERROR(IF(T55="Impacto",(P55-(+P55*W55)),IF(T55="Probabilidad",P55,"")),"")</f>
        <v>0.8</v>
      </c>
      <c r="AF55" s="149" t="str">
        <f t="shared" si="29"/>
        <v>Alto</v>
      </c>
      <c r="AG55" s="150" t="s">
        <v>195</v>
      </c>
      <c r="AH55" s="142" t="s">
        <v>331</v>
      </c>
      <c r="AI55" s="240" t="s">
        <v>298</v>
      </c>
      <c r="AJ55" s="151">
        <v>45658</v>
      </c>
      <c r="AK55" s="152"/>
      <c r="AL55" s="142"/>
      <c r="AM55" s="240" t="s">
        <v>196</v>
      </c>
      <c r="AN55" s="509">
        <v>7</v>
      </c>
      <c r="AO55" s="530" t="s">
        <v>698</v>
      </c>
      <c r="AP55" s="531">
        <v>7</v>
      </c>
      <c r="AQ55" s="530" t="s">
        <v>699</v>
      </c>
    </row>
    <row r="72" spans="5:5" x14ac:dyDescent="0.3">
      <c r="E72" s="36" t="s">
        <v>704</v>
      </c>
    </row>
    <row r="73" spans="5:5" x14ac:dyDescent="0.3">
      <c r="E73" s="36" t="s">
        <v>705</v>
      </c>
    </row>
    <row r="78" spans="5:5" x14ac:dyDescent="0.3">
      <c r="E78" s="36" t="s">
        <v>706</v>
      </c>
    </row>
  </sheetData>
  <mergeCells count="296">
    <mergeCell ref="AJ37:AJ39"/>
    <mergeCell ref="AK37:AK39"/>
    <mergeCell ref="AL37:AL39"/>
    <mergeCell ref="AM37:AM39"/>
    <mergeCell ref="AI35:AI36"/>
    <mergeCell ref="AJ35:AJ36"/>
    <mergeCell ref="AK35:AK36"/>
    <mergeCell ref="AL35:AL36"/>
    <mergeCell ref="AM35:AM36"/>
    <mergeCell ref="AI37:AI39"/>
    <mergeCell ref="A37:A39"/>
    <mergeCell ref="B37:B39"/>
    <mergeCell ref="C37:C39"/>
    <mergeCell ref="D37:D39"/>
    <mergeCell ref="F37:F39"/>
    <mergeCell ref="G37:G39"/>
    <mergeCell ref="H37:H39"/>
    <mergeCell ref="I37:I39"/>
    <mergeCell ref="J37:J39"/>
    <mergeCell ref="K37:K39"/>
    <mergeCell ref="L37:L39"/>
    <mergeCell ref="M37:M39"/>
    <mergeCell ref="N37:N39"/>
    <mergeCell ref="O37:O39"/>
    <mergeCell ref="P37:P39"/>
    <mergeCell ref="Q37:Q39"/>
    <mergeCell ref="AG37:AG39"/>
    <mergeCell ref="AH37:AH39"/>
    <mergeCell ref="U35:Z35"/>
    <mergeCell ref="AA35:AA36"/>
    <mergeCell ref="AB35:AB36"/>
    <mergeCell ref="AC35:AC36"/>
    <mergeCell ref="AD35:AD36"/>
    <mergeCell ref="AE35:AE36"/>
    <mergeCell ref="AF35:AF36"/>
    <mergeCell ref="AG35:AG36"/>
    <mergeCell ref="AH35:AH36"/>
    <mergeCell ref="L35:L36"/>
    <mergeCell ref="M35:M36"/>
    <mergeCell ref="N35:N36"/>
    <mergeCell ref="O35:O36"/>
    <mergeCell ref="P35:P36"/>
    <mergeCell ref="Q35:Q36"/>
    <mergeCell ref="R35:R36"/>
    <mergeCell ref="S35:S36"/>
    <mergeCell ref="T35:T36"/>
    <mergeCell ref="A35:A36"/>
    <mergeCell ref="B35:B36"/>
    <mergeCell ref="C35:C36"/>
    <mergeCell ref="D35:D36"/>
    <mergeCell ref="E35:E36"/>
    <mergeCell ref="F35:F36"/>
    <mergeCell ref="I35:I36"/>
    <mergeCell ref="J35:J36"/>
    <mergeCell ref="K35:K36"/>
    <mergeCell ref="A28:AM29"/>
    <mergeCell ref="A31:B31"/>
    <mergeCell ref="C31:AM31"/>
    <mergeCell ref="A32:B32"/>
    <mergeCell ref="C32:AM32"/>
    <mergeCell ref="A33:B33"/>
    <mergeCell ref="C33:AM33"/>
    <mergeCell ref="A34:J34"/>
    <mergeCell ref="K34:Q34"/>
    <mergeCell ref="R34:Z34"/>
    <mergeCell ref="AA34:AG34"/>
    <mergeCell ref="AH34:AM34"/>
    <mergeCell ref="A1:AM2"/>
    <mergeCell ref="A4:B4"/>
    <mergeCell ref="C4:AM4"/>
    <mergeCell ref="A5:B5"/>
    <mergeCell ref="C5:AM5"/>
    <mergeCell ref="A6:J6"/>
    <mergeCell ref="K6:Q6"/>
    <mergeCell ref="R6:Z6"/>
    <mergeCell ref="AA6:AG6"/>
    <mergeCell ref="AH6:AM6"/>
    <mergeCell ref="A3:B3"/>
    <mergeCell ref="C3:AM3"/>
    <mergeCell ref="AN7:AN8"/>
    <mergeCell ref="AO7:AO8"/>
    <mergeCell ref="AP7:AP8"/>
    <mergeCell ref="AQ7:AQ8"/>
    <mergeCell ref="AF7:AF8"/>
    <mergeCell ref="AG7:AG8"/>
    <mergeCell ref="AH7:AH8"/>
    <mergeCell ref="AI7:AI8"/>
    <mergeCell ref="AJ7:AJ8"/>
    <mergeCell ref="AK7:AK8"/>
    <mergeCell ref="U7:Z7"/>
    <mergeCell ref="AA7:AA8"/>
    <mergeCell ref="AB7:AB8"/>
    <mergeCell ref="AC7:AC8"/>
    <mergeCell ref="AD7:AD8"/>
    <mergeCell ref="AE7:AE8"/>
    <mergeCell ref="O7:O8"/>
    <mergeCell ref="P7:P8"/>
    <mergeCell ref="Q7:Q8"/>
    <mergeCell ref="R7:R8"/>
    <mergeCell ref="S7:S8"/>
    <mergeCell ref="T7:T8"/>
    <mergeCell ref="K9:K10"/>
    <mergeCell ref="L9:L10"/>
    <mergeCell ref="M9:M10"/>
    <mergeCell ref="N9:N14"/>
    <mergeCell ref="O9:O10"/>
    <mergeCell ref="K11:K12"/>
    <mergeCell ref="L11:L12"/>
    <mergeCell ref="M11:M12"/>
    <mergeCell ref="O11:O12"/>
    <mergeCell ref="A9:A10"/>
    <mergeCell ref="B9:B10"/>
    <mergeCell ref="C9:C10"/>
    <mergeCell ref="D9:D10"/>
    <mergeCell ref="F9:F10"/>
    <mergeCell ref="G9:G10"/>
    <mergeCell ref="AL7:AL8"/>
    <mergeCell ref="AM7:AM8"/>
    <mergeCell ref="I7:I8"/>
    <mergeCell ref="J7:J8"/>
    <mergeCell ref="K7:K8"/>
    <mergeCell ref="L7:L8"/>
    <mergeCell ref="M7:M8"/>
    <mergeCell ref="N7:N8"/>
    <mergeCell ref="A7:A8"/>
    <mergeCell ref="B7:B8"/>
    <mergeCell ref="C7:C8"/>
    <mergeCell ref="D7:D8"/>
    <mergeCell ref="E7:E8"/>
    <mergeCell ref="F7:F8"/>
    <mergeCell ref="AI9:AI10"/>
    <mergeCell ref="AJ9:AJ10"/>
    <mergeCell ref="AK9:AK10"/>
    <mergeCell ref="AL9:AL10"/>
    <mergeCell ref="AM9:AM10"/>
    <mergeCell ref="F11:F12"/>
    <mergeCell ref="G11:G12"/>
    <mergeCell ref="H11:H12"/>
    <mergeCell ref="I11:I12"/>
    <mergeCell ref="J11:J12"/>
    <mergeCell ref="AC9:AC10"/>
    <mergeCell ref="AD9:AD10"/>
    <mergeCell ref="AE9:AE10"/>
    <mergeCell ref="AF9:AF10"/>
    <mergeCell ref="AG9:AG10"/>
    <mergeCell ref="AH9:AH10"/>
    <mergeCell ref="W9:W10"/>
    <mergeCell ref="X9:X10"/>
    <mergeCell ref="Y9:Y10"/>
    <mergeCell ref="Z9:Z10"/>
    <mergeCell ref="AA9:AA10"/>
    <mergeCell ref="AB9:AB10"/>
    <mergeCell ref="P9:P10"/>
    <mergeCell ref="Q9:Q14"/>
    <mergeCell ref="S9:S10"/>
    <mergeCell ref="T9:T10"/>
    <mergeCell ref="U9:U10"/>
    <mergeCell ref="V9:V10"/>
    <mergeCell ref="T11:T12"/>
    <mergeCell ref="U11:U12"/>
    <mergeCell ref="V11:V12"/>
    <mergeCell ref="J9:J10"/>
    <mergeCell ref="AP11:AP12"/>
    <mergeCell ref="AQ11:AQ12"/>
    <mergeCell ref="B13:B15"/>
    <mergeCell ref="C13:C15"/>
    <mergeCell ref="D13:D15"/>
    <mergeCell ref="F13:F15"/>
    <mergeCell ref="G13:G15"/>
    <mergeCell ref="H13:H15"/>
    <mergeCell ref="I13:I15"/>
    <mergeCell ref="J13:J15"/>
    <mergeCell ref="AJ11:AJ12"/>
    <mergeCell ref="AK11:AK12"/>
    <mergeCell ref="AL11:AL12"/>
    <mergeCell ref="AM11:AM12"/>
    <mergeCell ref="AN11:AN12"/>
    <mergeCell ref="AO11:AO12"/>
    <mergeCell ref="W11:W12"/>
    <mergeCell ref="X11:X12"/>
    <mergeCell ref="Y11:Y12"/>
    <mergeCell ref="Z11:Z12"/>
    <mergeCell ref="AH11:AH12"/>
    <mergeCell ref="AI11:AI12"/>
    <mergeCell ref="K13:K15"/>
    <mergeCell ref="L13:L15"/>
    <mergeCell ref="M13:M15"/>
    <mergeCell ref="O13:O15"/>
    <mergeCell ref="M21:M22"/>
    <mergeCell ref="N21:N22"/>
    <mergeCell ref="A21:A22"/>
    <mergeCell ref="B21:B22"/>
    <mergeCell ref="C21:C22"/>
    <mergeCell ref="D21:D22"/>
    <mergeCell ref="E21:E22"/>
    <mergeCell ref="F21:F22"/>
    <mergeCell ref="A19:B19"/>
    <mergeCell ref="C19:AM19"/>
    <mergeCell ref="A20:J20"/>
    <mergeCell ref="K20:Q20"/>
    <mergeCell ref="R20:Z20"/>
    <mergeCell ref="AA20:AG20"/>
    <mergeCell ref="AH20:AM20"/>
    <mergeCell ref="A17:B17"/>
    <mergeCell ref="C17:AM17"/>
    <mergeCell ref="A18:B18"/>
    <mergeCell ref="C18:AM18"/>
    <mergeCell ref="AL21:AL22"/>
    <mergeCell ref="AM21:AM22"/>
    <mergeCell ref="A23:A26"/>
    <mergeCell ref="B23:B26"/>
    <mergeCell ref="C23:C26"/>
    <mergeCell ref="D23:D26"/>
    <mergeCell ref="F23:F26"/>
    <mergeCell ref="G23:G26"/>
    <mergeCell ref="H23:H26"/>
    <mergeCell ref="I23:I26"/>
    <mergeCell ref="AF21:AF22"/>
    <mergeCell ref="AG21:AG22"/>
    <mergeCell ref="AH21:AH22"/>
    <mergeCell ref="AI21:AI22"/>
    <mergeCell ref="AJ21:AJ22"/>
    <mergeCell ref="AK21:AK22"/>
    <mergeCell ref="U21:Z21"/>
    <mergeCell ref="AA21:AA22"/>
    <mergeCell ref="AB21:AB22"/>
    <mergeCell ref="AC21:AC22"/>
    <mergeCell ref="AD21:AD22"/>
    <mergeCell ref="AE21:AE22"/>
    <mergeCell ref="O21:O22"/>
    <mergeCell ref="AD23:AD26"/>
    <mergeCell ref="AF23:AF26"/>
    <mergeCell ref="P21:P22"/>
    <mergeCell ref="Q21:Q22"/>
    <mergeCell ref="R21:R22"/>
    <mergeCell ref="S21:S22"/>
    <mergeCell ref="T21:T22"/>
    <mergeCell ref="I21:I22"/>
    <mergeCell ref="J21:J22"/>
    <mergeCell ref="K21:K22"/>
    <mergeCell ref="L21:L22"/>
    <mergeCell ref="A40:AM41"/>
    <mergeCell ref="A43:B43"/>
    <mergeCell ref="C43:AM43"/>
    <mergeCell ref="A44:B44"/>
    <mergeCell ref="C44:AM44"/>
    <mergeCell ref="A45:B45"/>
    <mergeCell ref="C45:AM45"/>
    <mergeCell ref="A46:J46"/>
    <mergeCell ref="K46:Q46"/>
    <mergeCell ref="R46:Z46"/>
    <mergeCell ref="AA46:AG46"/>
    <mergeCell ref="AH46:AM46"/>
    <mergeCell ref="A47:A48"/>
    <mergeCell ref="B47:B48"/>
    <mergeCell ref="C47:C48"/>
    <mergeCell ref="D47:D48"/>
    <mergeCell ref="E47:E48"/>
    <mergeCell ref="F47:F48"/>
    <mergeCell ref="I47:I48"/>
    <mergeCell ref="J47:J48"/>
    <mergeCell ref="K47:K48"/>
    <mergeCell ref="AK47:AK48"/>
    <mergeCell ref="AL47:AL48"/>
    <mergeCell ref="AM47:AM48"/>
    <mergeCell ref="AN47:AN48"/>
    <mergeCell ref="AO47:AO48"/>
    <mergeCell ref="AP47:AP48"/>
    <mergeCell ref="AQ47:AQ48"/>
    <mergeCell ref="U47:Z47"/>
    <mergeCell ref="AA47:AA48"/>
    <mergeCell ref="AB47:AB48"/>
    <mergeCell ref="AC47:AC48"/>
    <mergeCell ref="AD47:AD48"/>
    <mergeCell ref="AE47:AE48"/>
    <mergeCell ref="AF47:AF48"/>
    <mergeCell ref="AG47:AG48"/>
    <mergeCell ref="AH47:AH48"/>
    <mergeCell ref="B53:B54"/>
    <mergeCell ref="C53:C54"/>
    <mergeCell ref="D53:D54"/>
    <mergeCell ref="F53:F54"/>
    <mergeCell ref="G53:G54"/>
    <mergeCell ref="I53:I54"/>
    <mergeCell ref="N53:N54"/>
    <mergeCell ref="AI47:AI48"/>
    <mergeCell ref="AJ47:AJ48"/>
    <mergeCell ref="L47:L48"/>
    <mergeCell ref="M47:M48"/>
    <mergeCell ref="N47:N48"/>
    <mergeCell ref="O47:O48"/>
    <mergeCell ref="P47:P48"/>
    <mergeCell ref="Q47:Q48"/>
    <mergeCell ref="R47:R48"/>
    <mergeCell ref="S47:S48"/>
    <mergeCell ref="T47:T48"/>
  </mergeCells>
  <conditionalFormatting sqref="K9">
    <cfRule type="cellIs" dxfId="663" priority="358" operator="equal">
      <formula>"Muy Alta"</formula>
    </cfRule>
    <cfRule type="cellIs" dxfId="662" priority="359" operator="equal">
      <formula>"Alta"</formula>
    </cfRule>
    <cfRule type="cellIs" dxfId="661" priority="360" operator="equal">
      <formula>"Media"</formula>
    </cfRule>
    <cfRule type="cellIs" dxfId="660" priority="361" operator="equal">
      <formula>"Baja"</formula>
    </cfRule>
    <cfRule type="cellIs" dxfId="659" priority="362" operator="equal">
      <formula>"Muy Baja"</formula>
    </cfRule>
  </conditionalFormatting>
  <conditionalFormatting sqref="K11">
    <cfRule type="cellIs" dxfId="658" priority="393" operator="equal">
      <formula>"Media"</formula>
    </cfRule>
    <cfRule type="cellIs" dxfId="657" priority="392" operator="equal">
      <formula>"Alta"</formula>
    </cfRule>
    <cfRule type="cellIs" dxfId="656" priority="391" operator="equal">
      <formula>"Muy Alta"</formula>
    </cfRule>
    <cfRule type="cellIs" dxfId="655" priority="394" operator="equal">
      <formula>"Baja"</formula>
    </cfRule>
    <cfRule type="cellIs" dxfId="654" priority="395" operator="equal">
      <formula>"Muy Baja"</formula>
    </cfRule>
  </conditionalFormatting>
  <conditionalFormatting sqref="K13">
    <cfRule type="cellIs" dxfId="653" priority="397" operator="equal">
      <formula>"Alta"</formula>
    </cfRule>
    <cfRule type="cellIs" dxfId="652" priority="399" operator="equal">
      <formula>"Baja"</formula>
    </cfRule>
    <cfRule type="cellIs" dxfId="651" priority="398" operator="equal">
      <formula>"Media"</formula>
    </cfRule>
    <cfRule type="cellIs" dxfId="650" priority="400" operator="equal">
      <formula>"Muy Baja"</formula>
    </cfRule>
    <cfRule type="cellIs" dxfId="649" priority="396" operator="equal">
      <formula>"Muy Alta"</formula>
    </cfRule>
  </conditionalFormatting>
  <conditionalFormatting sqref="K23:K27 AB49:AB55">
    <cfRule type="cellIs" dxfId="648" priority="279" operator="equal">
      <formula>"Media"</formula>
    </cfRule>
    <cfRule type="cellIs" dxfId="647" priority="281" operator="equal">
      <formula>"Muy Baja"</formula>
    </cfRule>
    <cfRule type="cellIs" dxfId="646" priority="277" operator="equal">
      <formula>"Muy Alta"</formula>
    </cfRule>
    <cfRule type="cellIs" dxfId="645" priority="278" operator="equal">
      <formula>"Alta"</formula>
    </cfRule>
    <cfRule type="cellIs" dxfId="644" priority="280" operator="equal">
      <formula>"Baja"</formula>
    </cfRule>
  </conditionalFormatting>
  <conditionalFormatting sqref="K37 AB37:AB39">
    <cfRule type="cellIs" dxfId="643" priority="48" operator="equal">
      <formula>"Muy Baja"</formula>
    </cfRule>
    <cfRule type="cellIs" dxfId="642" priority="44" operator="equal">
      <formula>"Muy Alta"</formula>
    </cfRule>
    <cfRule type="cellIs" dxfId="641" priority="45" operator="equal">
      <formula>"Alta"</formula>
    </cfRule>
    <cfRule type="cellIs" dxfId="640" priority="46" operator="equal">
      <formula>"Media"</formula>
    </cfRule>
    <cfRule type="cellIs" dxfId="639" priority="47" operator="equal">
      <formula>"Baja"</formula>
    </cfRule>
  </conditionalFormatting>
  <conditionalFormatting sqref="K49:K55">
    <cfRule type="cellIs" dxfId="638" priority="12" operator="equal">
      <formula>"Media"</formula>
    </cfRule>
    <cfRule type="cellIs" dxfId="637" priority="11" operator="equal">
      <formula>"Alta"</formula>
    </cfRule>
    <cfRule type="cellIs" dxfId="636" priority="10" operator="equal">
      <formula>"Muy Alta"</formula>
    </cfRule>
    <cfRule type="cellIs" dxfId="635" priority="14" operator="equal">
      <formula>"Muy Baja"</formula>
    </cfRule>
    <cfRule type="cellIs" dxfId="634" priority="13" operator="equal">
      <formula>"Baja"</formula>
    </cfRule>
  </conditionalFormatting>
  <conditionalFormatting sqref="N9:N15">
    <cfRule type="containsText" dxfId="633" priority="363" operator="containsText" text="❌">
      <formula>NOT(ISERROR(SEARCH(("❌"),(N9))))</formula>
    </cfRule>
  </conditionalFormatting>
  <conditionalFormatting sqref="N23:N27 N49:N55">
    <cfRule type="containsText" dxfId="632" priority="267" operator="containsText" text="❌">
      <formula>NOT(ISERROR(SEARCH("❌",N23)))</formula>
    </cfRule>
  </conditionalFormatting>
  <conditionalFormatting sqref="N37:N39">
    <cfRule type="containsText" dxfId="631" priority="34" operator="containsText" text="❌">
      <formula>NOT(ISERROR(SEARCH("❌",N37)))</formula>
    </cfRule>
  </conditionalFormatting>
  <conditionalFormatting sqref="O9 O13">
    <cfRule type="cellIs" dxfId="630" priority="364" operator="equal">
      <formula>"Catastrófico"</formula>
    </cfRule>
    <cfRule type="cellIs" dxfId="629" priority="365" operator="equal">
      <formula>"Mayor"</formula>
    </cfRule>
    <cfRule type="cellIs" dxfId="628" priority="368" operator="equal">
      <formula>"Leve"</formula>
    </cfRule>
    <cfRule type="cellIs" dxfId="627" priority="367" operator="equal">
      <formula>"Menor"</formula>
    </cfRule>
    <cfRule type="cellIs" dxfId="626" priority="366" operator="equal">
      <formula>"Moderado"</formula>
    </cfRule>
  </conditionalFormatting>
  <conditionalFormatting sqref="O23:O27 AD49:AD55">
    <cfRule type="cellIs" dxfId="625" priority="276" operator="equal">
      <formula>"Leve"</formula>
    </cfRule>
    <cfRule type="cellIs" dxfId="624" priority="273" operator="equal">
      <formula>"Mayor"</formula>
    </cfRule>
    <cfRule type="cellIs" dxfId="623" priority="274" operator="equal">
      <formula>"Moderado"</formula>
    </cfRule>
    <cfRule type="cellIs" dxfId="622" priority="275" operator="equal">
      <formula>"Menor"</formula>
    </cfRule>
    <cfRule type="cellIs" dxfId="621" priority="272" operator="equal">
      <formula>"Catastrófico"</formula>
    </cfRule>
  </conditionalFormatting>
  <conditionalFormatting sqref="O37 AD37:AD39">
    <cfRule type="cellIs" dxfId="620" priority="39" operator="equal">
      <formula>"Catastrófico"</formula>
    </cfRule>
    <cfRule type="cellIs" dxfId="619" priority="40" operator="equal">
      <formula>"Mayor"</formula>
    </cfRule>
    <cfRule type="cellIs" dxfId="618" priority="41" operator="equal">
      <formula>"Moderado"</formula>
    </cfRule>
    <cfRule type="cellIs" dxfId="617" priority="43" operator="equal">
      <formula>"Leve"</formula>
    </cfRule>
    <cfRule type="cellIs" dxfId="616" priority="42" operator="equal">
      <formula>"Menor"</formula>
    </cfRule>
  </conditionalFormatting>
  <conditionalFormatting sqref="O49:O55">
    <cfRule type="cellIs" dxfId="615" priority="8" operator="equal">
      <formula>"Menor"</formula>
    </cfRule>
    <cfRule type="cellIs" dxfId="614" priority="6" operator="equal">
      <formula>"Mayor"</formula>
    </cfRule>
    <cfRule type="cellIs" dxfId="613" priority="5" operator="equal">
      <formula>"Catastrófico"</formula>
    </cfRule>
    <cfRule type="cellIs" dxfId="612" priority="7" operator="equal">
      <formula>"Moderado"</formula>
    </cfRule>
    <cfRule type="cellIs" dxfId="611" priority="9" operator="equal">
      <formula>"Leve"</formula>
    </cfRule>
  </conditionalFormatting>
  <conditionalFormatting sqref="Q9">
    <cfRule type="cellIs" dxfId="610" priority="370" operator="equal">
      <formula>"Alto"</formula>
    </cfRule>
    <cfRule type="cellIs" dxfId="609" priority="371" operator="equal">
      <formula>"Moderado"</formula>
    </cfRule>
    <cfRule type="cellIs" dxfId="608" priority="372" operator="equal">
      <formula>"Bajo"</formula>
    </cfRule>
    <cfRule type="cellIs" dxfId="607" priority="369" operator="equal">
      <formula>"Extremo"</formula>
    </cfRule>
  </conditionalFormatting>
  <conditionalFormatting sqref="Q15">
    <cfRule type="cellIs" dxfId="606" priority="376" operator="equal">
      <formula>"Bajo"</formula>
    </cfRule>
    <cfRule type="cellIs" dxfId="605" priority="375" operator="equal">
      <formula>"Moderado"</formula>
    </cfRule>
    <cfRule type="cellIs" dxfId="604" priority="374" operator="equal">
      <formula>"Alto"</formula>
    </cfRule>
    <cfRule type="cellIs" dxfId="603" priority="373" operator="equal">
      <formula>"Extremo"</formula>
    </cfRule>
  </conditionalFormatting>
  <conditionalFormatting sqref="Q23:Q27 AF49:AF55">
    <cfRule type="cellIs" dxfId="602" priority="270" operator="equal">
      <formula>"Moderado"</formula>
    </cfRule>
    <cfRule type="cellIs" dxfId="601" priority="271" operator="equal">
      <formula>"Bajo"</formula>
    </cfRule>
    <cfRule type="cellIs" dxfId="600" priority="269" operator="equal">
      <formula>"Alto"</formula>
    </cfRule>
    <cfRule type="cellIs" dxfId="599" priority="268" operator="equal">
      <formula>"Extremo"</formula>
    </cfRule>
  </conditionalFormatting>
  <conditionalFormatting sqref="Q37 AF37:AF39">
    <cfRule type="cellIs" dxfId="598" priority="38" operator="equal">
      <formula>"Bajo"</formula>
    </cfRule>
    <cfRule type="cellIs" dxfId="597" priority="37" operator="equal">
      <formula>"Moderado"</formula>
    </cfRule>
    <cfRule type="cellIs" dxfId="596" priority="36" operator="equal">
      <formula>"Alto"</formula>
    </cfRule>
    <cfRule type="cellIs" dxfId="595" priority="35" operator="equal">
      <formula>"Extremo"</formula>
    </cfRule>
  </conditionalFormatting>
  <conditionalFormatting sqref="Q49:Q55">
    <cfRule type="cellIs" dxfId="594" priority="1" operator="equal">
      <formula>"Extremo"</formula>
    </cfRule>
    <cfRule type="cellIs" dxfId="593" priority="2" operator="equal">
      <formula>"Alto"</formula>
    </cfRule>
    <cfRule type="cellIs" dxfId="592" priority="3" operator="equal">
      <formula>"Moderado"</formula>
    </cfRule>
    <cfRule type="cellIs" dxfId="591" priority="4" operator="equal">
      <formula>"Bajo"</formula>
    </cfRule>
  </conditionalFormatting>
  <conditionalFormatting sqref="AB9 AB11:AB15">
    <cfRule type="cellIs" dxfId="590" priority="377" operator="equal">
      <formula>"Muy Alta"</formula>
    </cfRule>
    <cfRule type="cellIs" dxfId="589" priority="381" operator="equal">
      <formula>"Muy Baja"</formula>
    </cfRule>
    <cfRule type="cellIs" dxfId="588" priority="380" operator="equal">
      <formula>"Baja"</formula>
    </cfRule>
    <cfRule type="cellIs" dxfId="587" priority="379" operator="equal">
      <formula>"Media"</formula>
    </cfRule>
    <cfRule type="cellIs" dxfId="586" priority="378" operator="equal">
      <formula>"Alta"</formula>
    </cfRule>
  </conditionalFormatting>
  <conditionalFormatting sqref="AB23:AB27">
    <cfRule type="cellIs" dxfId="585" priority="282" operator="equal">
      <formula>"Muy Alta"</formula>
    </cfRule>
    <cfRule type="cellIs" dxfId="584" priority="284" operator="equal">
      <formula>"Media"</formula>
    </cfRule>
    <cfRule type="cellIs" dxfId="583" priority="283" operator="equal">
      <formula>"Alta"</formula>
    </cfRule>
    <cfRule type="cellIs" dxfId="582" priority="285" operator="equal">
      <formula>"Baja"</formula>
    </cfRule>
    <cfRule type="cellIs" dxfId="581" priority="286" operator="equal">
      <formula>"Muy Baja"</formula>
    </cfRule>
  </conditionalFormatting>
  <conditionalFormatting sqref="AD9 AD11:AD15">
    <cfRule type="cellIs" dxfId="580" priority="383" operator="equal">
      <formula>"Mayor"</formula>
    </cfRule>
    <cfRule type="cellIs" dxfId="579" priority="382" operator="equal">
      <formula>"Catastrófico"</formula>
    </cfRule>
    <cfRule type="cellIs" dxfId="578" priority="384" operator="equal">
      <formula>"Moderado"</formula>
    </cfRule>
    <cfRule type="cellIs" dxfId="577" priority="385" operator="equal">
      <formula>"Menor"</formula>
    </cfRule>
    <cfRule type="cellIs" dxfId="576" priority="386" operator="equal">
      <formula>"Leve"</formula>
    </cfRule>
  </conditionalFormatting>
  <conditionalFormatting sqref="AD23 AD27">
    <cfRule type="cellIs" dxfId="575" priority="292" operator="equal">
      <formula>"Mayor"</formula>
    </cfRule>
    <cfRule type="cellIs" dxfId="574" priority="291" operator="equal">
      <formula>"Catastrófico"</formula>
    </cfRule>
    <cfRule type="cellIs" dxfId="573" priority="295" operator="equal">
      <formula>"Leve"</formula>
    </cfRule>
    <cfRule type="cellIs" dxfId="572" priority="294" operator="equal">
      <formula>"Menor"</formula>
    </cfRule>
    <cfRule type="cellIs" dxfId="571" priority="293" operator="equal">
      <formula>"Moderado"</formula>
    </cfRule>
  </conditionalFormatting>
  <conditionalFormatting sqref="AF9 AF11:AF15">
    <cfRule type="cellIs" dxfId="570" priority="387" operator="equal">
      <formula>"Extremo"</formula>
    </cfRule>
    <cfRule type="cellIs" dxfId="569" priority="388" operator="equal">
      <formula>"Alto"</formula>
    </cfRule>
    <cfRule type="cellIs" dxfId="568" priority="389" operator="equal">
      <formula>"Moderado"</formula>
    </cfRule>
    <cfRule type="cellIs" dxfId="567" priority="390" operator="equal">
      <formula>"Bajo"</formula>
    </cfRule>
  </conditionalFormatting>
  <conditionalFormatting sqref="AF23 AF27">
    <cfRule type="cellIs" dxfId="566" priority="287" operator="equal">
      <formula>"Extremo"</formula>
    </cfRule>
    <cfRule type="cellIs" dxfId="565" priority="288" operator="equal">
      <formula>"Alto"</formula>
    </cfRule>
    <cfRule type="cellIs" dxfId="564" priority="289" operator="equal">
      <formula>"Moderado"</formula>
    </cfRule>
    <cfRule type="cellIs" dxfId="563" priority="290" operator="equal">
      <formula>"Bajo"</formula>
    </cfRule>
  </conditionalFormatting>
  <dataValidations count="2">
    <dataValidation type="list" allowBlank="1" showErrorMessage="1" sqref="G9 G11 G13" xr:uid="{BCF05091-E801-4C92-B457-32D5D27BA5EA}">
      <formula1>"Gestión,FISCAL"</formula1>
    </dataValidation>
    <dataValidation type="list" allowBlank="1" showInputMessage="1" showErrorMessage="1" sqref="G23:G27 G37:G39 G49:G55" xr:uid="{D81127A1-9506-49A8-A539-52754A4C6929}">
      <formula1>"Gestión, FISCAL,"</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5"/>
  <sheetViews>
    <sheetView workbookViewId="0"/>
  </sheetViews>
  <sheetFormatPr baseColWidth="10" defaultColWidth="14.44140625" defaultRowHeight="15" customHeight="1" x14ac:dyDescent="0.3"/>
  <cols>
    <col min="1" max="1" width="19.109375" customWidth="1"/>
    <col min="2" max="26" width="10.6640625" customWidth="1"/>
  </cols>
  <sheetData>
    <row r="1" spans="1:1" ht="14.25" customHeight="1" x14ac:dyDescent="0.3">
      <c r="A1" s="33" t="s">
        <v>145</v>
      </c>
    </row>
    <row r="2" spans="1:1" ht="14.25" customHeight="1" x14ac:dyDescent="0.3">
      <c r="A2" s="33" t="s">
        <v>90</v>
      </c>
    </row>
    <row r="3" spans="1:1" ht="14.25" customHeight="1" x14ac:dyDescent="0.3">
      <c r="A3" s="33" t="s">
        <v>93</v>
      </c>
    </row>
    <row r="4" spans="1:1" ht="14.25" customHeight="1" x14ac:dyDescent="0.3">
      <c r="A4" s="33" t="s">
        <v>96</v>
      </c>
    </row>
    <row r="5" spans="1:1" ht="14.25" customHeight="1" x14ac:dyDescent="0.3">
      <c r="A5" s="33" t="s">
        <v>99</v>
      </c>
    </row>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4"/>
  <sheetViews>
    <sheetView workbookViewId="0"/>
  </sheetViews>
  <sheetFormatPr baseColWidth="10" defaultColWidth="14.44140625" defaultRowHeight="15" customHeight="1" x14ac:dyDescent="0.3"/>
  <cols>
    <col min="1" max="1" width="23.109375" customWidth="1"/>
    <col min="2" max="26" width="10.6640625" customWidth="1"/>
  </cols>
  <sheetData>
    <row r="1" spans="1:1" ht="14.25" customHeight="1" x14ac:dyDescent="0.3">
      <c r="A1" s="34" t="s">
        <v>146</v>
      </c>
    </row>
    <row r="2" spans="1:1" ht="14.25" customHeight="1" x14ac:dyDescent="0.3">
      <c r="A2" s="34" t="s">
        <v>143</v>
      </c>
    </row>
    <row r="3" spans="1:1" ht="14.25" customHeight="1" x14ac:dyDescent="0.3">
      <c r="A3" s="34" t="s">
        <v>144</v>
      </c>
    </row>
    <row r="4" spans="1:1" ht="14.25" customHeight="1" x14ac:dyDescent="0.3">
      <c r="A4" s="34" t="s">
        <v>147</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CONSOLIDADO GESTION FISCAL 6BI</vt:lpstr>
      <vt:lpstr>CONSOLIDADO GESTION 1 BIM</vt:lpstr>
      <vt:lpstr>CONSOLIDADO GESTION 2 BIM</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2025-05-12T13:30:27Z</dcterms:modified>
</cp:coreProperties>
</file>