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23-5-25 CIRCULAR RIESGOS\11. GEST INNOV TIC\"/>
    </mc:Choice>
  </mc:AlternateContent>
  <xr:revisionPtr revIDLastSave="0" documentId="13_ncr:1_{32948382-551C-4B0B-A729-A1CBDFE27041}" xr6:coauthVersionLast="47" xr6:coauthVersionMax="47" xr10:uidLastSave="{00000000-0000-0000-0000-000000000000}"/>
  <bookViews>
    <workbookView xWindow="-108" yWindow="-108" windowWidth="23256" windowHeight="12456" firstSheet="3" activeTab="4" xr2:uid="{00000000-000D-0000-FFFF-FFFF00000000}"/>
  </bookViews>
  <sheets>
    <sheet name="Intructivo" sheetId="20" r:id="rId1"/>
    <sheet name="Contexto" sheetId="21" r:id="rId2"/>
    <sheet name="Priorizacion de Causas" sheetId="22"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s>
  <calcPr calcId="191029"/>
  <pivotCaches>
    <pivotCache cacheId="13"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22" l="1"/>
  <c r="E18" i="23" s="1"/>
  <c r="E12" i="1" s="1"/>
  <c r="B35" i="22"/>
  <c r="B36" i="22"/>
  <c r="E19" i="23" s="1"/>
  <c r="B33" i="22"/>
  <c r="E17" i="23" s="1"/>
  <c r="B23" i="22"/>
  <c r="E11" i="23" s="1"/>
  <c r="B24" i="22"/>
  <c r="E12" i="23" s="1"/>
  <c r="B25" i="22"/>
  <c r="B26" i="22"/>
  <c r="E13" i="23" s="1"/>
  <c r="E10" i="1" s="1"/>
  <c r="B27" i="22"/>
  <c r="E14" i="23" s="1"/>
  <c r="B28" i="22"/>
  <c r="E15" i="23" s="1"/>
  <c r="B29" i="22"/>
  <c r="B30" i="22"/>
  <c r="E16" i="23" s="1"/>
  <c r="B31" i="22"/>
  <c r="B32" i="22"/>
  <c r="E20" i="23" s="1"/>
  <c r="B22" i="22"/>
  <c r="B21" i="22"/>
  <c r="A6" i="23" l="1"/>
  <c r="S11" i="22"/>
  <c r="S12" i="22"/>
  <c r="S13" i="22"/>
  <c r="S14" i="22"/>
  <c r="S15" i="22"/>
  <c r="S16" i="22"/>
  <c r="S17" i="22"/>
  <c r="S18" i="22"/>
  <c r="S19" i="22"/>
  <c r="S20" i="22"/>
  <c r="S21" i="22"/>
  <c r="S22" i="22"/>
  <c r="S23" i="22"/>
  <c r="S24" i="22"/>
  <c r="S25" i="22"/>
  <c r="S26" i="22"/>
  <c r="S27" i="22"/>
  <c r="S28" i="22"/>
  <c r="S29" i="22"/>
  <c r="S30" i="22"/>
  <c r="S31" i="22"/>
  <c r="S32" i="22"/>
  <c r="S33" i="22"/>
  <c r="S34" i="22"/>
  <c r="R11" i="22"/>
  <c r="R12" i="22"/>
  <c r="R13" i="22"/>
  <c r="R14" i="22"/>
  <c r="R15" i="22"/>
  <c r="R16" i="22"/>
  <c r="R17" i="22"/>
  <c r="R18" i="22"/>
  <c r="R19" i="22"/>
  <c r="R20" i="22"/>
  <c r="R21" i="22"/>
  <c r="R22" i="22"/>
  <c r="R23" i="22"/>
  <c r="R24" i="22"/>
  <c r="R25" i="22"/>
  <c r="R26" i="22"/>
  <c r="R27" i="22"/>
  <c r="R28" i="22"/>
  <c r="R29" i="22"/>
  <c r="R30" i="22"/>
  <c r="R31" i="22"/>
  <c r="R32" i="22"/>
  <c r="R33" i="22"/>
  <c r="R34" i="22"/>
  <c r="B12" i="22"/>
  <c r="B13" i="22"/>
  <c r="B14" i="22"/>
  <c r="C40" i="23" s="1"/>
  <c r="B15" i="22"/>
  <c r="C41" i="23" s="1"/>
  <c r="B16" i="22"/>
  <c r="C42" i="23" s="1"/>
  <c r="B17" i="22"/>
  <c r="C43" i="23" s="1"/>
  <c r="B18" i="22"/>
  <c r="B19" i="22"/>
  <c r="B20" i="22"/>
  <c r="C44" i="23" s="1"/>
  <c r="B11" i="22"/>
  <c r="A7" i="22"/>
  <c r="A6" i="22"/>
  <c r="A1" i="23" l="1"/>
  <c r="S40" i="22"/>
  <c r="R40" i="22"/>
  <c r="S39" i="22"/>
  <c r="R39" i="22"/>
  <c r="S38" i="22"/>
  <c r="R38" i="22"/>
  <c r="S37" i="22"/>
  <c r="R37" i="22"/>
  <c r="S36" i="22"/>
  <c r="R36" i="22"/>
  <c r="S35" i="22"/>
  <c r="S41" i="22" s="1"/>
  <c r="S42" i="22" s="1"/>
  <c r="R35" i="22"/>
  <c r="B1" i="22"/>
  <c r="W69" i="1" l="1"/>
  <c r="T69" i="1"/>
  <c r="W68" i="1"/>
  <c r="T68" i="1"/>
  <c r="W67" i="1"/>
  <c r="T67" i="1"/>
  <c r="W66" i="1"/>
  <c r="T66" i="1"/>
  <c r="W65" i="1"/>
  <c r="T65" i="1"/>
  <c r="W64" i="1"/>
  <c r="T64" i="1"/>
  <c r="W63" i="1"/>
  <c r="T63" i="1"/>
  <c r="W62" i="1"/>
  <c r="T62" i="1"/>
  <c r="W61" i="1"/>
  <c r="T61" i="1"/>
  <c r="AE62" i="1" s="1"/>
  <c r="AD62" i="1" s="1"/>
  <c r="W60" i="1"/>
  <c r="T60" i="1"/>
  <c r="W59" i="1"/>
  <c r="T59" i="1"/>
  <c r="W58" i="1"/>
  <c r="T58" i="1"/>
  <c r="AE59" i="1" s="1"/>
  <c r="AD59" i="1" s="1"/>
  <c r="W57" i="1"/>
  <c r="T57" i="1"/>
  <c r="W56" i="1"/>
  <c r="T56" i="1"/>
  <c r="W55" i="1"/>
  <c r="T55" i="1"/>
  <c r="W54" i="1"/>
  <c r="T54" i="1"/>
  <c r="W53" i="1"/>
  <c r="T53" i="1"/>
  <c r="AE54" i="1" s="1"/>
  <c r="AD54" i="1" s="1"/>
  <c r="W52" i="1"/>
  <c r="T52" i="1"/>
  <c r="W51" i="1"/>
  <c r="T51" i="1"/>
  <c r="W50" i="1"/>
  <c r="T50" i="1"/>
  <c r="W49" i="1"/>
  <c r="T49" i="1"/>
  <c r="AE50" i="1" s="1"/>
  <c r="AD50" i="1" s="1"/>
  <c r="W48" i="1"/>
  <c r="T48" i="1"/>
  <c r="W47" i="1"/>
  <c r="T47" i="1"/>
  <c r="AE48" i="1" s="1"/>
  <c r="AD48" i="1" s="1"/>
  <c r="W46" i="1"/>
  <c r="T46" i="1"/>
  <c r="AE47" i="1" s="1"/>
  <c r="AD47" i="1" s="1"/>
  <c r="W45" i="1"/>
  <c r="T45" i="1"/>
  <c r="W44" i="1"/>
  <c r="T44" i="1"/>
  <c r="W43" i="1"/>
  <c r="T43" i="1"/>
  <c r="AE44" i="1" s="1"/>
  <c r="AD44" i="1" s="1"/>
  <c r="W42" i="1"/>
  <c r="T42" i="1"/>
  <c r="W41" i="1"/>
  <c r="T41" i="1"/>
  <c r="AE42" i="1" s="1"/>
  <c r="AD42" i="1" s="1"/>
  <c r="W40" i="1"/>
  <c r="T40" i="1"/>
  <c r="W39" i="1"/>
  <c r="T39" i="1"/>
  <c r="W38" i="1"/>
  <c r="T38" i="1"/>
  <c r="W37" i="1"/>
  <c r="T37" i="1"/>
  <c r="AE38" i="1" s="1"/>
  <c r="AD38" i="1" s="1"/>
  <c r="W36" i="1"/>
  <c r="T36" i="1"/>
  <c r="W35" i="1"/>
  <c r="T35" i="1"/>
  <c r="AE36" i="1" s="1"/>
  <c r="AD36" i="1" s="1"/>
  <c r="W34" i="1"/>
  <c r="T34" i="1"/>
  <c r="W33" i="1"/>
  <c r="T33" i="1"/>
  <c r="W32" i="1"/>
  <c r="T32" i="1"/>
  <c r="W31" i="1"/>
  <c r="T31" i="1"/>
  <c r="AE32" i="1" s="1"/>
  <c r="AD32" i="1" s="1"/>
  <c r="W30" i="1"/>
  <c r="T30" i="1"/>
  <c r="W29" i="1"/>
  <c r="T29" i="1"/>
  <c r="AE30" i="1" s="1"/>
  <c r="AD30" i="1" s="1"/>
  <c r="W28" i="1"/>
  <c r="T28" i="1"/>
  <c r="W27" i="1"/>
  <c r="T27" i="1"/>
  <c r="W26" i="1"/>
  <c r="T26" i="1"/>
  <c r="W25" i="1"/>
  <c r="T25" i="1"/>
  <c r="W24" i="1"/>
  <c r="T24" i="1"/>
  <c r="W23" i="1"/>
  <c r="T23" i="1"/>
  <c r="AE24" i="1" s="1"/>
  <c r="AD24" i="1" s="1"/>
  <c r="W22" i="1"/>
  <c r="T22" i="1"/>
  <c r="W21" i="1"/>
  <c r="T21" i="1"/>
  <c r="W20" i="1"/>
  <c r="T20" i="1"/>
  <c r="W19" i="1"/>
  <c r="T19" i="1"/>
  <c r="AE20" i="1" s="1"/>
  <c r="AD20" i="1" s="1"/>
  <c r="W18" i="1"/>
  <c r="T18" i="1"/>
  <c r="W17" i="1"/>
  <c r="T17" i="1"/>
  <c r="AE18" i="1" s="1"/>
  <c r="AD18" i="1" s="1"/>
  <c r="W16" i="1"/>
  <c r="T16" i="1"/>
  <c r="AE23" i="1" l="1"/>
  <c r="AD23" i="1" s="1"/>
  <c r="AE35" i="1"/>
  <c r="AD35" i="1" s="1"/>
  <c r="AE19" i="1"/>
  <c r="AD19" i="1" s="1"/>
  <c r="AE31" i="1"/>
  <c r="AD31" i="1" s="1"/>
  <c r="AE43" i="1"/>
  <c r="AD43" i="1" s="1"/>
  <c r="AE55" i="1"/>
  <c r="AD55" i="1" s="1"/>
  <c r="AE27" i="1"/>
  <c r="AD27" i="1" s="1"/>
  <c r="AE39" i="1"/>
  <c r="AD39" i="1" s="1"/>
  <c r="AE51" i="1"/>
  <c r="AD51" i="1" s="1"/>
  <c r="AE67" i="1"/>
  <c r="AD67" i="1" s="1"/>
  <c r="AE26" i="1"/>
  <c r="AD26" i="1" s="1"/>
  <c r="AE66" i="1"/>
  <c r="AD66" i="1" s="1"/>
  <c r="AE63" i="1"/>
  <c r="AD63" i="1" s="1"/>
  <c r="AE56" i="1"/>
  <c r="AD56" i="1" s="1"/>
  <c r="AE60" i="1"/>
  <c r="AD60" i="1" s="1"/>
  <c r="AE68" i="1"/>
  <c r="AD68" i="1" s="1"/>
  <c r="AE21" i="1"/>
  <c r="AD21" i="1" s="1"/>
  <c r="AE25" i="1"/>
  <c r="AD25" i="1" s="1"/>
  <c r="AE29" i="1"/>
  <c r="AD29" i="1" s="1"/>
  <c r="AE33" i="1"/>
  <c r="AD33" i="1" s="1"/>
  <c r="AE37" i="1"/>
  <c r="AD37" i="1" s="1"/>
  <c r="AE41" i="1"/>
  <c r="AD41" i="1" s="1"/>
  <c r="AE45" i="1"/>
  <c r="AD45" i="1" s="1"/>
  <c r="AE49" i="1"/>
  <c r="AD49" i="1" s="1"/>
  <c r="AE53" i="1"/>
  <c r="AD53" i="1" s="1"/>
  <c r="AE57" i="1"/>
  <c r="AD57" i="1" s="1"/>
  <c r="AE61" i="1"/>
  <c r="AD61" i="1" s="1"/>
  <c r="AE65" i="1"/>
  <c r="AD65" i="1" s="1"/>
  <c r="AE69" i="1"/>
  <c r="AD69" i="1" s="1"/>
  <c r="AA64" i="1"/>
  <c r="AA66" i="1"/>
  <c r="AA68" i="1"/>
  <c r="AE64" i="1"/>
  <c r="AD64" i="1" s="1"/>
  <c r="AA65" i="1"/>
  <c r="AA67" i="1"/>
  <c r="AA69" i="1"/>
  <c r="AA58" i="1"/>
  <c r="AA60" i="1"/>
  <c r="AA62" i="1"/>
  <c r="AE58" i="1"/>
  <c r="AD58" i="1" s="1"/>
  <c r="AA59" i="1"/>
  <c r="AA61" i="1"/>
  <c r="AA63" i="1"/>
  <c r="AA52" i="1"/>
  <c r="AA54" i="1"/>
  <c r="AA56" i="1"/>
  <c r="AE52" i="1"/>
  <c r="AD52" i="1" s="1"/>
  <c r="AA53" i="1"/>
  <c r="AA55" i="1"/>
  <c r="AA57" i="1"/>
  <c r="AA46" i="1"/>
  <c r="AA48" i="1"/>
  <c r="AA50" i="1"/>
  <c r="AE46" i="1"/>
  <c r="AD46" i="1" s="1"/>
  <c r="AA47" i="1"/>
  <c r="AA49" i="1"/>
  <c r="AA51" i="1"/>
  <c r="AA40" i="1"/>
  <c r="AA42" i="1"/>
  <c r="AA44" i="1"/>
  <c r="AE40" i="1"/>
  <c r="AD40" i="1" s="1"/>
  <c r="AA41" i="1"/>
  <c r="AA43" i="1"/>
  <c r="AA45" i="1"/>
  <c r="AA34" i="1"/>
  <c r="AA36" i="1"/>
  <c r="AA38" i="1"/>
  <c r="AE34" i="1"/>
  <c r="AD34" i="1" s="1"/>
  <c r="AA35" i="1"/>
  <c r="AA37" i="1"/>
  <c r="AA39" i="1"/>
  <c r="AA28" i="1"/>
  <c r="AA30" i="1"/>
  <c r="AA32" i="1"/>
  <c r="AE28" i="1"/>
  <c r="AD28" i="1" s="1"/>
  <c r="AA29" i="1"/>
  <c r="AA31" i="1"/>
  <c r="AA33" i="1"/>
  <c r="AA22" i="1"/>
  <c r="AA24" i="1"/>
  <c r="AA26" i="1"/>
  <c r="AE22" i="1"/>
  <c r="AD22" i="1" s="1"/>
  <c r="AA23" i="1"/>
  <c r="AA25" i="1"/>
  <c r="AA27" i="1"/>
  <c r="AA18" i="1"/>
  <c r="AA20" i="1"/>
  <c r="AA19" i="1"/>
  <c r="AA21" i="1"/>
  <c r="AC69" i="1" l="1"/>
  <c r="AB69" i="1"/>
  <c r="AF69" i="1" s="1"/>
  <c r="AC67" i="1"/>
  <c r="AB67" i="1"/>
  <c r="AF67" i="1" s="1"/>
  <c r="AC65" i="1"/>
  <c r="AB65" i="1"/>
  <c r="AF65" i="1" s="1"/>
  <c r="AC68" i="1"/>
  <c r="AB68" i="1"/>
  <c r="AF68" i="1" s="1"/>
  <c r="AC66" i="1"/>
  <c r="AB66" i="1"/>
  <c r="AF66" i="1" s="1"/>
  <c r="AC64" i="1"/>
  <c r="AB64" i="1"/>
  <c r="AF64" i="1" s="1"/>
  <c r="AC63" i="1"/>
  <c r="AB63" i="1"/>
  <c r="AF63" i="1" s="1"/>
  <c r="AC61" i="1"/>
  <c r="AB61" i="1"/>
  <c r="AF61" i="1" s="1"/>
  <c r="AC59" i="1"/>
  <c r="AB59" i="1"/>
  <c r="AF59" i="1" s="1"/>
  <c r="AC62" i="1"/>
  <c r="AB62" i="1"/>
  <c r="AF62" i="1" s="1"/>
  <c r="AC60" i="1"/>
  <c r="AB60" i="1"/>
  <c r="AF60" i="1" s="1"/>
  <c r="AC58" i="1"/>
  <c r="AB58" i="1"/>
  <c r="AF58" i="1" s="1"/>
  <c r="AC57" i="1"/>
  <c r="AB57" i="1"/>
  <c r="AF57" i="1" s="1"/>
  <c r="AC55" i="1"/>
  <c r="AB55" i="1"/>
  <c r="AF55" i="1" s="1"/>
  <c r="AC53" i="1"/>
  <c r="AB53" i="1"/>
  <c r="AF53" i="1" s="1"/>
  <c r="AC56" i="1"/>
  <c r="AB56" i="1"/>
  <c r="AF56" i="1" s="1"/>
  <c r="AC54" i="1"/>
  <c r="AB54" i="1"/>
  <c r="AF54" i="1" s="1"/>
  <c r="AC52" i="1"/>
  <c r="AB52" i="1"/>
  <c r="AF52" i="1" s="1"/>
  <c r="AC51" i="1"/>
  <c r="AB51" i="1"/>
  <c r="AF51" i="1" s="1"/>
  <c r="AC49" i="1"/>
  <c r="AB49" i="1"/>
  <c r="AF49" i="1" s="1"/>
  <c r="AC47" i="1"/>
  <c r="AB47" i="1"/>
  <c r="AF47" i="1" s="1"/>
  <c r="AC50" i="1"/>
  <c r="AB50" i="1"/>
  <c r="AF50" i="1" s="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F35" i="1" s="1"/>
  <c r="AB38" i="1"/>
  <c r="AF38" i="1" s="1"/>
  <c r="AC38" i="1"/>
  <c r="AB36" i="1"/>
  <c r="AF36" i="1" s="1"/>
  <c r="AC36" i="1"/>
  <c r="AC34" i="1"/>
  <c r="AB34" i="1"/>
  <c r="AF34" i="1" s="1"/>
  <c r="AC33" i="1"/>
  <c r="AB33" i="1"/>
  <c r="AF33" i="1" s="1"/>
  <c r="AC31" i="1"/>
  <c r="AB31" i="1"/>
  <c r="AF31" i="1" s="1"/>
  <c r="AC29" i="1"/>
  <c r="AB29" i="1"/>
  <c r="AF29" i="1" s="1"/>
  <c r="AC32" i="1"/>
  <c r="AB32" i="1"/>
  <c r="AF32" i="1" s="1"/>
  <c r="AC30" i="1"/>
  <c r="AB30" i="1"/>
  <c r="AF30" i="1" s="1"/>
  <c r="AC28" i="1"/>
  <c r="AB28" i="1"/>
  <c r="AF28" i="1" s="1"/>
  <c r="AC25" i="1"/>
  <c r="AB25" i="1"/>
  <c r="AF25" i="1" s="1"/>
  <c r="AC23" i="1"/>
  <c r="AB23" i="1"/>
  <c r="AF23" i="1" s="1"/>
  <c r="AC26" i="1"/>
  <c r="AB26" i="1"/>
  <c r="AF26" i="1" s="1"/>
  <c r="AC27" i="1"/>
  <c r="AB27" i="1"/>
  <c r="AF27" i="1" s="1"/>
  <c r="AC24" i="1"/>
  <c r="AB24" i="1"/>
  <c r="AF24" i="1" s="1"/>
  <c r="AC22" i="1"/>
  <c r="AB22" i="1"/>
  <c r="AF22" i="1" s="1"/>
  <c r="AC21" i="1"/>
  <c r="AB21" i="1"/>
  <c r="AF21" i="1" s="1"/>
  <c r="AC19" i="1"/>
  <c r="AB19" i="1"/>
  <c r="AF19" i="1" s="1"/>
  <c r="AC20" i="1"/>
  <c r="AB20" i="1"/>
  <c r="AF20" i="1" s="1"/>
  <c r="AC18" i="1"/>
  <c r="AB18" i="1"/>
  <c r="AF18" i="1" s="1"/>
  <c r="K10" i="1" l="1"/>
  <c r="K22" i="1"/>
  <c r="L22" i="1" s="1"/>
  <c r="K28" i="1"/>
  <c r="K34" i="1"/>
  <c r="L34" i="1" s="1"/>
  <c r="K40" i="1"/>
  <c r="L40" i="1" s="1"/>
  <c r="K46" i="1"/>
  <c r="L46" i="1" s="1"/>
  <c r="K52" i="1"/>
  <c r="L52" i="1" s="1"/>
  <c r="K58" i="1"/>
  <c r="L58" i="1" s="1"/>
  <c r="K64" i="1"/>
  <c r="L64" i="1" s="1"/>
  <c r="W12" i="1"/>
  <c r="W14" i="1"/>
  <c r="W15" i="1"/>
  <c r="W11" i="1"/>
  <c r="N57" i="1"/>
  <c r="N69" i="1"/>
  <c r="N65" i="1"/>
  <c r="N53" i="1"/>
  <c r="N54" i="1"/>
  <c r="N23" i="1"/>
  <c r="N45" i="1"/>
  <c r="N33" i="1"/>
  <c r="N32" i="1"/>
  <c r="N35" i="1"/>
  <c r="N47" i="1"/>
  <c r="N29" i="1"/>
  <c r="N66" i="1"/>
  <c r="N42" i="1"/>
  <c r="N50" i="1"/>
  <c r="N48" i="1"/>
  <c r="N63" i="1"/>
  <c r="N31" i="1"/>
  <c r="N55" i="1"/>
  <c r="N51" i="1"/>
  <c r="N59" i="1"/>
  <c r="N68" i="1"/>
  <c r="N36" i="1"/>
  <c r="N49" i="1"/>
  <c r="N27" i="1"/>
  <c r="N24" i="1"/>
  <c r="N37" i="1"/>
  <c r="N25" i="1"/>
  <c r="N67" i="1"/>
  <c r="N39" i="1"/>
  <c r="N26" i="1"/>
  <c r="N41" i="1"/>
  <c r="N62" i="1"/>
  <c r="N43" i="1"/>
  <c r="N30" i="1"/>
  <c r="N60" i="1"/>
  <c r="N56" i="1"/>
  <c r="N44" i="1"/>
  <c r="N61" i="1"/>
  <c r="N38" i="1"/>
  <c r="L28" i="1" l="1"/>
  <c r="T11" i="1" l="1"/>
  <c r="F217" i="13"/>
  <c r="T12" i="1"/>
  <c r="T14" i="1"/>
  <c r="T15" i="1"/>
  <c r="W10" i="1" l="1"/>
  <c r="T10" i="1"/>
  <c r="L10" i="1" l="1"/>
  <c r="N19" i="1"/>
  <c r="N17" i="1"/>
  <c r="N18" i="1"/>
  <c r="N21" i="1"/>
  <c r="N20" i="1"/>
  <c r="F221" i="13" l="1"/>
  <c r="F211" i="13"/>
  <c r="F212" i="13"/>
  <c r="F213" i="13"/>
  <c r="F214" i="13"/>
  <c r="F215" i="13"/>
  <c r="F216" i="13"/>
  <c r="F218" i="13"/>
  <c r="F219" i="13"/>
  <c r="F220" i="13"/>
  <c r="F210" i="13"/>
  <c r="N13" i="1"/>
  <c r="B221" i="13" a="1"/>
  <c r="N14" i="1"/>
  <c r="N11" i="1"/>
  <c r="N12" i="1"/>
  <c r="N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6" i="1" l="1"/>
  <c r="L16" i="1" l="1"/>
  <c r="AA16" i="1" s="1"/>
  <c r="AC16" i="1" l="1"/>
  <c r="AA17" i="1" s="1"/>
  <c r="AB1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B17" i="1" l="1"/>
  <c r="AC17" i="1"/>
  <c r="AA10" i="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4" i="1" l="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C14" i="1" l="1"/>
  <c r="AA15" i="1" s="1"/>
  <c r="AB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B15" i="1" l="1"/>
  <c r="AC15" i="1"/>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2" i="1" l="1"/>
  <c r="O22" i="1" s="1"/>
  <c r="N28" i="1"/>
  <c r="O28" i="1" s="1"/>
  <c r="N34" i="1"/>
  <c r="O34" i="1" s="1"/>
  <c r="N40" i="1"/>
  <c r="O40" i="1" s="1"/>
  <c r="N46" i="1"/>
  <c r="O46" i="1" s="1"/>
  <c r="N52" i="1"/>
  <c r="O52" i="1" s="1"/>
  <c r="N58" i="1"/>
  <c r="O58" i="1" s="1"/>
  <c r="N64" i="1"/>
  <c r="O64" i="1" s="1"/>
  <c r="N16" i="1"/>
  <c r="O16"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6" i="1"/>
  <c r="R30" i="18"/>
  <c r="AD38" i="18"/>
  <c r="AD22" i="18"/>
  <c r="P16" i="1"/>
  <c r="AE16" i="1" s="1"/>
  <c r="L30" i="18"/>
  <c r="AJ14" i="18"/>
  <c r="L14" i="18"/>
  <c r="X38" i="18"/>
  <c r="L22" i="18"/>
  <c r="AD30" i="18"/>
  <c r="AJ22" i="18"/>
  <c r="X14" i="18"/>
  <c r="X6" i="18"/>
  <c r="R22" i="18"/>
  <c r="L6" i="18"/>
  <c r="X22" i="18"/>
  <c r="P64" i="1"/>
  <c r="Q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8" i="1"/>
  <c r="Q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2" i="1"/>
  <c r="P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6" i="1"/>
  <c r="Q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40" i="1"/>
  <c r="P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4" i="1"/>
  <c r="P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8" i="1"/>
  <c r="Q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2" i="1"/>
  <c r="Q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6" i="1" l="1"/>
  <c r="AF16" i="1" s="1"/>
  <c r="AE17" i="1"/>
  <c r="AD17" i="1" s="1"/>
  <c r="AF17" i="1" s="1"/>
  <c r="AD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V36" i="19"/>
  <c r="P6" i="19"/>
  <c r="AB36" i="19"/>
  <c r="AH16" i="19"/>
  <c r="P16" i="19"/>
  <c r="AH6" i="19"/>
  <c r="V46" i="19"/>
  <c r="AB46" i="19"/>
  <c r="J6" i="19"/>
  <c r="AB26" i="19"/>
  <c r="AB16" i="19"/>
  <c r="J16" i="19"/>
  <c r="V26" i="19"/>
  <c r="P26" i="19"/>
  <c r="V16" i="19"/>
  <c r="AF10" i="1"/>
  <c r="AB6" i="19"/>
  <c r="J36" i="19"/>
  <c r="J26" i="19"/>
  <c r="J46" i="19"/>
  <c r="P46" i="19"/>
  <c r="AH46" i="19"/>
  <c r="AH26" i="19"/>
  <c r="V6" i="19" l="1"/>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E14"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D14" i="1"/>
  <c r="AE15" i="1"/>
  <c r="AD15" i="1" s="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F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F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<sst xmlns="http://schemas.openxmlformats.org/spreadsheetml/2006/main" count="554" uniqueCount="375">
  <si>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</si>
  <si>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</si>
  <si>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</si>
  <si>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</si>
  <si>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</si>
  <si>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</si>
  <si>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</si>
  <si>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</si>
  <si>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</si>
  <si>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</si>
  <si>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</si>
  <si>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</si>
  <si>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</si>
  <si>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</si>
  <si>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</si>
  <si>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</si>
  <si>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</si>
  <si>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</si>
  <si>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</si>
  <si>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</si>
  <si>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</si>
  <si>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</si>
  <si>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</si>
  <si>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</si>
  <si>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</si>
  <si>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</si>
  <si>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</si>
  <si>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</si>
  <si>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</si>
  <si>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</si>
  <si>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</si>
  <si>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</si>
  <si>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</si>
  <si>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</si>
  <si>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</si>
  <si>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</si>
  <si>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</si>
  <si>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</si>
  <si>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</si>
  <si>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</si>
  <si>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</si>
  <si>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</si>
  <si>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</si>
  <si>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</si>
  <si>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</si>
  <si>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</si>
  <si>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</si>
  <si>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</si>
  <si>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</si>
  <si>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</si>
  <si>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</si>
  <si>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</si>
  <si>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</si>
  <si>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</si>
  <si>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</si>
  <si>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</si>
  <si>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</si>
  <si>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</si>
  <si>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</si>
  <si>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</si>
  <si>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</si>
  <si>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</si>
  <si>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</si>
  <si>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</si>
  <si>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</si>
  <si>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</si>
  <si>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</si>
  <si>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</si>
  <si>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</si>
  <si>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</si>
  <si>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</si>
  <si>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</si>
  <si>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</si>
  <si>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</si>
  <si>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</si>
  <si>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</si>
  <si>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</si>
  <si>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</si>
  <si>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</si>
  <si>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</si>
  <si>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</si>
  <si>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</si>
  <si>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</si>
  <si>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</si>
  <si>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</si>
  <si>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</si>
  <si>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</si>
  <si>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</si>
  <si>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</si>
  <si>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</si>
  <si>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</si>
  <si>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</si>
  <si>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</si>
  <si>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</si>
  <si>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</si>
  <si>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</si>
  <si>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</si>
  <si>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</si>
  <si>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</si>
  <si>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</si>
  <si>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</si>
  <si>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</si>
  <si>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</si>
  <si>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</si>
  <si>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</si>
  <si>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</si>
  <si>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</si>
  <si>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</si>
  <si>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</si>
  <si>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</si>
  <si>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</si>
  <si>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</si>
  <si>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</si>
  <si>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</si>
  <si>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</si>
  <si>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</si>
  <si>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</si>
  <si>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</si>
  <si>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</si>
  <si>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</si>
  <si>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</si>
  <si>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</si>
  <si>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</si>
  <si>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</si>
  <si>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</si>
  <si>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</si>
  <si>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</si>
  <si>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</si>
  <si>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</si>
  <si>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</si>
  <si>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</si>
  <si>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</si>
  <si>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</si>
  <si>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</si>
  <si>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</si>
  <si>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</si>
  <si>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</si>
  <si>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</si>
  <si>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</si>
  <si>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</si>
  <si>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</si>
  <si>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</si>
  <si>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</si>
  <si>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</si>
  <si>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</si>
  <si>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</si>
  <si>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</si>
  <si>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</si>
  <si>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</si>
  <si>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</si>
  <si>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</si>
  <si>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</si>
  <si>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</si>
  <si>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</si>
  <si>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</si>
  <si>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</si>
  <si>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</si>
  <si>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</si>
  <si>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</si>
  <si>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</si>
  <si>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</si>
  <si>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</si>
  <si>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</si>
  <si>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</si>
  <si>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</si>
  <si>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</si>
  <si>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</si>
  <si>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</si>
  <si>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</si>
  <si>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</si>
  <si>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</si>
  <si>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</si>
  <si>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</si>
  <si>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</si>
  <si>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</si>
  <si>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</si>
  <si>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</si>
  <si>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</si>
  <si>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</si>
  <si>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</si>
  <si>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</si>
  <si>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</si>
  <si>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</si>
  <si>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</si>
  <si>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</si>
  <si>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</si>
  <si>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</si>
  <si>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</si>
  <si>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</si>
  <si>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</si>
  <si>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</si>
  <si>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</si>
  <si>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</si>
  <si>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</si>
  <si>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</si>
  <si>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</si>
  <si>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</si>
  <si>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</si>
  <si>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</si>
  <si>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</si>
  <si>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</si>
  <si>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</si>
  <si>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</si>
  <si>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</si>
  <si>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</si>
  <si>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</si>
  <si>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</si>
  <si>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</si>
  <si>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</si>
  <si>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</si>
  <si>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</si>
  <si>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</si>
  <si>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</si>
  <si>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</si>
  <si>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</si>
  <si>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</si>
  <si>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</si>
  <si>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</si>
  <si>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</si>
  <si>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</si>
  <si>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</si>
  <si>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</si>
  <si>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</si>
  <si>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</si>
  <si>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</si>
  <si>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</si>
  <si>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</si>
  <si>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</si>
  <si>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</si>
  <si>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</si>
  <si>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</si>
  <si>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</si>
  <si>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</si>
  <si>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</si>
  <si>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</si>
  <si>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</si>
  <si>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</si>
  <si>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</si>
  <si>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</si>
  <si>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</si>
  <si>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</si>
  <si>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</si>
  <si>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</si>
  <si>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</si>
  <si>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</si>
  <si>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</si>
  <si>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</si>
  <si>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</si>
  <si>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</si>
  <si>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</si>
  <si>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</si>
  <si>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</si>
  <si>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</si>
  <si>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</si>
  <si>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</si>
  <si>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</si>
  <si>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</si>
  <si>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</si>
  <si>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</si>
  <si>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</si>
  <si>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</si>
  <si>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</si>
  <si>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</si>
  <si>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</si>
  <si>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Codigo: FOR-029-PRO-SIG-01</t>
  </si>
  <si>
    <t>LEGALES Y REGLAMENTARIOS</t>
  </si>
  <si>
    <t>FINANCIEROS</t>
  </si>
  <si>
    <t>INTERACCIÓN CON LOS PROCESOS</t>
  </si>
  <si>
    <t>ECONÓMICOS Y FINANCIEROS</t>
  </si>
  <si>
    <t>TECNOLOGÍA (integridad de datos, disponibilidad de datos y sistemas, desarrollo, producción, mantenimiento de sistemas de información)</t>
  </si>
  <si>
    <t>PERSONAL DE LA ENTIDAD (Capacidad del personal, políticas de manejo del talento humano, idoneidad)</t>
  </si>
  <si>
    <t>COMUNICACIÓN ENTRE LOS PROCESOS</t>
  </si>
  <si>
    <t>Cierre de contratos de serivicio de vigilancia y aseo.</t>
  </si>
  <si>
    <t xml:space="preserve">Constante innovación  y evolución tecnológica   </t>
  </si>
  <si>
    <t>Personal de planta insuficiente o sin las competencias necesarias para el proceso</t>
  </si>
  <si>
    <t>PROCESOS OPERATIVOS</t>
  </si>
  <si>
    <t>COMMUNICACIÓN INTERNA</t>
  </si>
  <si>
    <t>FACTORES GEOGRÁFICOS (ubicación, espacio,topografía, clima, recursos naturales, etc.)</t>
  </si>
  <si>
    <t>PROCESO: GESTIÓN DE  INNOVACION Y TIC</t>
  </si>
  <si>
    <t>GESTIÓN DE INNOVACION Y TIC</t>
  </si>
  <si>
    <t>No cumplir anualmente con las metas o acciones de la política pública o plan de desarrollo establecidos ocasionando disminución de la credibilidad ante la ciudadanía y disminución del presupuesto  asignado</t>
  </si>
  <si>
    <t>Ausencia de acciones estratégicas para el cumplimiento de la Política Pública de Ciencia, Tecnología e Innovación y con visión a una Transformación Digital</t>
  </si>
  <si>
    <t>Gestión</t>
  </si>
  <si>
    <t>Desde la etapa de planeación, durante la ejecución y el seguimiento de las actividades para el cumplimiento de la Política Pública de CTeI y plan de Transformación Digital</t>
  </si>
  <si>
    <t xml:space="preserve"> La Secretario de las TIC en conjutno con Asesor y Profesional Especializado del Grupo de Innovación y TIC ) ,trimestralmente verifica el cumplimiento de los siguientes instrumentos (Plan de Acción Política Pública, plan de anual de adquisiciones, plan operativo anual de inversión, plan anual de caja y plan de acción de metas del plan de desarrollo) donde se encuentra progrmadas las líneas estratégicas con sus actividades, así mismo las metas de producto planteadas en el plan de desarrollo; la evidencia reposará en la serie documental de Informe de Gestión de la Secretaría de las TIC, también en el correo institucional innovaciontic@ibague.gov.co y Plataforma PISAMI. En caso de que no se asigne presupuesto, se debe contemplar alianzas públicas y/o solicitar recursos al alcalde justificando la necesidad.</t>
  </si>
  <si>
    <t xml:space="preserve"> La Secretario de las TIC en conjutno con Asesor y Profesional Especializado del Grupo de Innovación y TIC,  anualmente realiza procesos contractuales se adquiere de software y hardware con el objeto de potencializar los centros digitales y así mismo impulsar el uso y apropiación de las tecnologías de la información lo anterior contemplado en el plan de anual de adquisiciones,  plan operativo anual de inversión, plan anual de caja y plan de acción. Así mismo el mobiliario y los equipos tecnológicos se encuentran amparados en una póliza de seguro en caso eventuales de daños a equipos. Así mismo se hacen brigadas de mantenimiento preventivo y correctivo a los equipos. La evidencia reposa en Plataforma PISAMI y en la serie documental de Informe de Gestión de la Secretaría de las TIC. En caso de que no se asigne recursos económicos mediante adiciones presupuestales, justificando la necesidad.</t>
  </si>
  <si>
    <t xml:space="preserve"> La Secretario de las TIC en conjutno con Asesor y Profesional Especializado del Grupo de Innovación y TIC y con el apoyo del proceso de Gestión de Recursos Físicos, anualmente fortalece la infraestructura de los centros digitales cuando éstos presentan eventos naturales, fallas estructurales y fallas del fluido eléctrico o por factores de orden público o ambientales.  Así mismo el mobiliario y los equipos tecnológicos se encuentran amparados en una póliza de seguro en caso eventuales de daños a equipos. La evidencia reposa en Plataforma PISAMI (Mmemorando, oficicios, circulaes) y en la serie documental de Informe de Gestión de la Secretaría de las TIC y proceso contractual en calidad de comodato o arriendo. Si se presenta el caso de que no se logre la alianza con la Secretaría Administrativa, se debe solicitar recursos económicos justificando la necesidad del servicio.</t>
  </si>
  <si>
    <t>Secretaría de las TIC</t>
  </si>
  <si>
    <t>Proceso contractual (demora en los tiempo de respuesta)</t>
  </si>
  <si>
    <t>responsabilidad social y orden público</t>
  </si>
  <si>
    <t>Falta de Ética y Valores,  tráfico de influencias y abuso de confianza</t>
  </si>
  <si>
    <t>Falta de regulación para controlar el Incremento de precios en las cotizaciones de los oferentes en la contratación de Bienes y servicios logísticos, operativos y tecnológicos</t>
  </si>
  <si>
    <t>Variación en los tipos de cambios monetarios y cambios normativos tributarios</t>
  </si>
  <si>
    <t>Ausentismo por disposiciones de trabajo en casa por aislamiento preventivo u obligatorio, previo cumplimiento de los requisitos normativos.</t>
  </si>
  <si>
    <t>ARTICULACIÓN DE LOS PROCESOS</t>
  </si>
  <si>
    <t>Falta articulación con otras dependencias de la Administración para ejecutar eventos u oferta institucional</t>
  </si>
  <si>
    <t>Incremento de los delitos informáticos</t>
  </si>
  <si>
    <t>Insuficiente  Presupuesto para cumplir con el correcto funcionamiento del proceso de la entidad y metas del plan de desarrollo</t>
  </si>
  <si>
    <t xml:space="preserve">Obsolescencia en la plataforma tecnológica (Hardware y Software) </t>
  </si>
  <si>
    <t xml:space="preserve">Fallas producidas por el proveedor del servicio de internet.  </t>
  </si>
  <si>
    <t>Deficiencias en el licenciamiento o uso de software no autorizado</t>
  </si>
  <si>
    <t>Altas temperaturas o calor</t>
  </si>
  <si>
    <t>Deficiencia en la comunicación interna en el uso y manejo de la infraestructura fisica y tecnologica de los Centro de Experiencia Digital</t>
  </si>
  <si>
    <t>Eventos naturales</t>
  </si>
  <si>
    <t xml:space="preserve">Obsolescencia del sistema de cableado estructurado existente </t>
  </si>
  <si>
    <t>Mala utilización de los recursos  tecnológicos por parte de los usuarios externos</t>
  </si>
  <si>
    <t>Fallas de fluido eléctrico</t>
  </si>
  <si>
    <t>Aislamiento preventivo obligatorio del usuario externo.</t>
  </si>
  <si>
    <t>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</si>
  <si>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X</t>
  </si>
  <si>
    <t>1. Búsqueda de alianzas estratégicas con entidades publica o privadas para adquirir recursos económicos o servicios</t>
  </si>
  <si>
    <t>2. Disponiblidad de recursos internos para dar continuidad del servicio de los puntos de conectividad y Centros de Experiencia Digital</t>
  </si>
  <si>
    <t>3. Formulación proyectos de CTeI y TIC para presentar en convocatorias y adquirir recursos.</t>
  </si>
  <si>
    <t>4. Contratación de personal idóneo para el desarrollo de actividades en el grupo de ciencia, tecnología e innovación</t>
  </si>
  <si>
    <t>5. Producion de software desarrollado por funcionarios de la Secretaría de las TIC para mejorar la calidad de vida de los ciudadano.</t>
  </si>
  <si>
    <t>6. Articulación de ofertas institucionales presentadas por otras entidades.</t>
  </si>
  <si>
    <t>7. Apropiación del módulo (PISAMI) por parte de los administradores de los Centros de Experiencia Digital para aportar a la política de cero papel, brindar mejor atención al ciudadano y generación de estadísticas</t>
  </si>
  <si>
    <t>1. Convenios y alianzas con las entidades educativas para promover la trasnformación digital o brindar capacitaciones en apropiación de las TIC</t>
  </si>
  <si>
    <r>
      <rPr>
        <b/>
        <sz val="11"/>
        <color theme="1"/>
        <rFont val="Arial"/>
        <family val="2"/>
      </rPr>
      <t xml:space="preserve">D3;O1;O3: </t>
    </r>
    <r>
      <rPr>
        <sz val="11"/>
        <color theme="1"/>
        <rFont val="Arial"/>
        <family val="2"/>
      </rPr>
      <t xml:space="preserve">Crear nuevos y manterner convenios de ofertas academicas gratuitas con aliados como el SENA, MINTIC, Universidades para el desarrollo de metas en apropiación y uso de las  TIC </t>
    </r>
  </si>
  <si>
    <r>
      <rPr>
        <b/>
        <sz val="11"/>
        <color theme="1"/>
        <rFont val="Arial"/>
        <family val="2"/>
      </rPr>
      <t xml:space="preserve">F5;O5: </t>
    </r>
    <r>
      <rPr>
        <sz val="11"/>
        <color theme="1"/>
        <rFont val="Arial"/>
        <family val="2"/>
      </rPr>
      <t xml:space="preserve">Establecer procedimientos de entrega de informacion  para teceros a traves del catalogo de datos abiertos </t>
    </r>
  </si>
  <si>
    <t xml:space="preserve">2. Convocatorias de financiación por entes nacionales para la implementación de proyectos con enfoque CTeI y TIC </t>
  </si>
  <si>
    <r>
      <rPr>
        <b/>
        <sz val="11"/>
        <color theme="1"/>
        <rFont val="Arial"/>
        <family val="2"/>
      </rPr>
      <t xml:space="preserve">D3;O5;O6: </t>
    </r>
    <r>
      <rPr>
        <sz val="11"/>
        <color theme="1"/>
        <rFont val="Arial"/>
        <family val="2"/>
      </rPr>
      <t>Obligatoriedad de metas en el plan Desarrollo para la  asignacion de recursos metas para cubrir necesidades de la comunidad para el uso y gestion TIC  e Investigacion de ciencia y tecnologia</t>
    </r>
  </si>
  <si>
    <t>3. Establecer Convenios con Universidades para  realizar proyectos de en investigacion  en  ciencia y tecnologia.</t>
  </si>
  <si>
    <r>
      <rPr>
        <b/>
        <sz val="11"/>
        <color theme="1"/>
        <rFont val="Arial"/>
        <family val="2"/>
      </rPr>
      <t xml:space="preserve">D3;O2: </t>
    </r>
    <r>
      <rPr>
        <sz val="11"/>
        <color theme="1"/>
        <rFont val="Arial"/>
        <family val="2"/>
      </rPr>
      <t>Particiapación en convocatorias con el objeto de búsqueda de alianzas con entidades nacionales para adquirir recursos económicos.</t>
    </r>
  </si>
  <si>
    <r>
      <rPr>
        <b/>
        <sz val="11"/>
        <color theme="1"/>
        <rFont val="Arial"/>
        <family val="2"/>
      </rPr>
      <t>F3;O2;O3;O5:</t>
    </r>
    <r>
      <rPr>
        <sz val="11"/>
        <color theme="1"/>
        <rFont val="Arial"/>
        <family val="2"/>
      </rPr>
      <t xml:space="preserve"> Desarrollo de proyectos de innovación para presentar en covocatorias y adquirir recursos.</t>
    </r>
  </si>
  <si>
    <t>4. Lineamientos normativos para el fortalecimiento institucional en materia de tecnologías de la información y las comunicaciones a través del posicionamiento de los líderes de áreas TI.</t>
  </si>
  <si>
    <r>
      <rPr>
        <b/>
        <sz val="11"/>
        <color theme="1"/>
        <rFont val="Arial"/>
        <family val="2"/>
      </rPr>
      <t xml:space="preserve">D4;D5;D6;D7;O8: </t>
    </r>
    <r>
      <rPr>
        <sz val="11"/>
        <color theme="1"/>
        <rFont val="Arial"/>
        <family val="2"/>
      </rPr>
      <t>Realizacion de estudios económicos y análisis de mercado para la celebracion de contratos de tecnologico con el objeto de mejorar la infraestructura tecnológica</t>
    </r>
  </si>
  <si>
    <r>
      <rPr>
        <b/>
        <sz val="11"/>
        <color theme="1"/>
        <rFont val="Arial"/>
        <family val="2"/>
      </rPr>
      <t>F1;F4;O1;O5:</t>
    </r>
    <r>
      <rPr>
        <sz val="11"/>
        <color theme="1"/>
        <rFont val="Arial"/>
        <family val="2"/>
      </rPr>
      <t xml:space="preserve"> Convenios con el SENA y universidades para impulsar la transformación digital, la ciencia, la innovación e Investigación</t>
    </r>
  </si>
  <si>
    <t>5. Demanda por parte de la comunidad para el uso y  apropiacion de las Tic</t>
  </si>
  <si>
    <r>
      <rPr>
        <b/>
        <sz val="11"/>
        <color theme="1"/>
        <rFont val="Arial"/>
        <family val="2"/>
      </rPr>
      <t xml:space="preserve">D9;O2;O6: </t>
    </r>
    <r>
      <rPr>
        <sz val="11"/>
        <color theme="1"/>
        <rFont val="Arial"/>
        <family val="2"/>
      </rPr>
      <t>Promover los CED mediante convenios con universidades para impulsar la transformación digital</t>
    </r>
  </si>
  <si>
    <t>6. Obligotoriedad de Gobierno Digital ( Gobierno abierto, Tic para 
gestion, Tic para servicios, Tic para seguridad)</t>
  </si>
  <si>
    <r>
      <rPr>
        <b/>
        <sz val="11"/>
        <color theme="1"/>
        <rFont val="Arial"/>
        <family val="2"/>
      </rPr>
      <t xml:space="preserve">D1;D2;O4: </t>
    </r>
    <r>
      <rPr>
        <sz val="11"/>
        <color theme="1"/>
        <rFont val="Arial"/>
        <family val="2"/>
      </rPr>
      <t>Fortalecer el grupo de Innovación con personal idóneo para el desarrollo de actividades propias de la Secretaria y el cumplimiento de metas del plan de desarrollo</t>
    </r>
  </si>
  <si>
    <t xml:space="preserve">7. Avance, desarrollo y actualización en el mercado de altas 
tecnologías  </t>
  </si>
  <si>
    <r>
      <rPr>
        <b/>
        <sz val="10"/>
        <rFont val="Arial"/>
        <family val="2"/>
      </rPr>
      <t>D1;O5</t>
    </r>
    <r>
      <rPr>
        <sz val="10"/>
        <rFont val="Arial"/>
        <family val="2"/>
      </rPr>
      <t xml:space="preserve"> Realizar campañas de sensibilización a los usuarios de los CED con relación al buen uso y prácticas de la infraestructura física y tecnológica en concordancia con el reglamento interno de los mismos</t>
    </r>
  </si>
  <si>
    <t>8. Oferta de proveedores de nuevas tendencias tecnológicas para el prestamos de servicios de infraestructura tecnológicas</t>
  </si>
  <si>
    <r>
      <rPr>
        <b/>
        <sz val="11"/>
        <color theme="1"/>
        <rFont val="Arial"/>
        <family val="2"/>
      </rPr>
      <t>A1;A3;D4;D5;D6;D7:</t>
    </r>
    <r>
      <rPr>
        <sz val="11"/>
        <color theme="1"/>
        <rFont val="Arial"/>
        <family val="2"/>
      </rPr>
      <t xml:space="preserve"> Desarrollo o aplicar el mapa de ruta del Plan Estratégico de TIC para Modernización de Hardware y Software. Procurando impactar a la comunidad con tecnología de última generación.</t>
    </r>
  </si>
  <si>
    <r>
      <rPr>
        <b/>
        <sz val="11"/>
        <color theme="1"/>
        <rFont val="Arial"/>
        <family val="2"/>
      </rPr>
      <t>A1;F2;F6:</t>
    </r>
    <r>
      <rPr>
        <sz val="11"/>
        <color theme="1"/>
        <rFont val="Arial"/>
        <family val="2"/>
      </rPr>
      <t xml:space="preserve"> Inclusion en el Plan de Compras de la entidad para la potencialiazar los CED</t>
    </r>
  </si>
  <si>
    <r>
      <rPr>
        <b/>
        <sz val="11"/>
        <color theme="1"/>
        <rFont val="Arial"/>
        <family val="2"/>
      </rPr>
      <t xml:space="preserve">A3;D8: </t>
    </r>
    <r>
      <rPr>
        <sz val="11"/>
        <color theme="1"/>
        <rFont val="Arial"/>
        <family val="2"/>
      </rPr>
      <t>Aplicar el procedimiento para efectuar mantenimiento a la infraestructura física, bienes muebles y recurso tecnológico.</t>
    </r>
  </si>
  <si>
    <r>
      <rPr>
        <b/>
        <sz val="11"/>
        <color theme="1"/>
        <rFont val="Arial"/>
        <family val="2"/>
      </rPr>
      <t>A2;F5:</t>
    </r>
    <r>
      <rPr>
        <sz val="11"/>
        <color theme="1"/>
        <rFont val="Arial"/>
        <family val="2"/>
      </rPr>
      <t xml:space="preserve"> Estabalece un buen canal de comunicación con los otros pocesos para el apoyo de seguridad o vigilancia</t>
    </r>
  </si>
  <si>
    <r>
      <rPr>
        <b/>
        <sz val="11"/>
        <rFont val="Arial"/>
        <family val="2"/>
      </rPr>
      <t xml:space="preserve">A3;D3: </t>
    </r>
    <r>
      <rPr>
        <sz val="11"/>
        <rFont val="Arial"/>
        <family val="2"/>
      </rPr>
      <t>Cursos virtuales; Cursos Presenciales con Medidas de Bioseguridad</t>
    </r>
  </si>
  <si>
    <r>
      <rPr>
        <b/>
        <sz val="11"/>
        <color theme="1"/>
        <rFont val="Arial"/>
        <family val="2"/>
      </rPr>
      <t xml:space="preserve">A2;A4;D9: </t>
    </r>
    <r>
      <rPr>
        <sz val="11"/>
        <color theme="1"/>
        <rFont val="Arial"/>
        <family val="2"/>
      </rPr>
      <t>Articulación con otros procesos para vigilancia del buen uso de las herramientas tecnológicas y supervisión o seguimientos a los servicios prestados por proveedores.</t>
    </r>
  </si>
  <si>
    <r>
      <rPr>
        <b/>
        <sz val="10"/>
        <rFont val="Arial"/>
        <family val="2"/>
      </rPr>
      <t>D1;D2;D9;A2;A5</t>
    </r>
    <r>
      <rPr>
        <sz val="10"/>
        <rFont val="Arial"/>
        <family val="2"/>
      </rPr>
      <t xml:space="preserve">  Realizar denuncia a los entes que corresponda de acuerdo a la gravedad del incidente presentado</t>
    </r>
  </si>
  <si>
    <t xml:space="preserve">Obsolescencia en la plataforma tecnológica (Hardware y Software) 
Deficiencias en el licenciamiento o uso de software no autorizado
Obsolescencia del sistema de cableado estructurado existente </t>
  </si>
  <si>
    <r>
      <rPr>
        <b/>
        <sz val="11"/>
        <color theme="1"/>
        <rFont val="Arial"/>
        <family val="2"/>
      </rPr>
      <t xml:space="preserve">F1;O2: </t>
    </r>
    <r>
      <rPr>
        <sz val="11"/>
        <color theme="1"/>
        <rFont val="Arial"/>
        <family val="2"/>
      </rPr>
      <t>Participación en convocatorias para el desarrollo de programas de Innovacion Ciencia y Tecnologia, con el objeto de optimizar los recursos</t>
    </r>
  </si>
  <si>
    <r>
      <rPr>
        <b/>
        <sz val="12"/>
        <color theme="1"/>
        <rFont val="Arial Narrow"/>
        <family val="2"/>
      </rPr>
      <t>D3;O5;O6:</t>
    </r>
    <r>
      <rPr>
        <sz val="12"/>
        <color theme="1"/>
        <rFont val="Arial Narrow"/>
        <family val="2"/>
      </rPr>
      <t xml:space="preserve"> Obligatoriedad de metas en el plan Desarrollo para la  asignacion de recursos metas para cubrir necesidades de la comunidad para el uso y gestion TIC  e Investigacion de ciencia y tecnologia
</t>
    </r>
    <r>
      <rPr>
        <b/>
        <sz val="12"/>
        <color theme="1"/>
        <rFont val="Arial Narrow"/>
        <family val="2"/>
      </rPr>
      <t>D3;O2:</t>
    </r>
    <r>
      <rPr>
        <sz val="12"/>
        <color theme="1"/>
        <rFont val="Arial Narrow"/>
        <family val="2"/>
      </rPr>
      <t xml:space="preserve"> Particiapación en convocatorias con el objeto de búsqueda de alianzas con entidades nacionales para adquirir recursos económicos.
</t>
    </r>
    <r>
      <rPr>
        <b/>
        <sz val="12"/>
        <color theme="1"/>
        <rFont val="Arial Narrow"/>
        <family val="2"/>
      </rPr>
      <t>F1;O2:</t>
    </r>
    <r>
      <rPr>
        <sz val="12"/>
        <color theme="1"/>
        <rFont val="Arial Narrow"/>
        <family val="2"/>
      </rPr>
      <t xml:space="preserve"> Participación en convocatorias para el desarrollo de programas de Innovacion Ciencia y Tecnologia, con el objeto de optimizar los recursos
</t>
    </r>
    <r>
      <rPr>
        <b/>
        <sz val="12"/>
        <color theme="1"/>
        <rFont val="Arial Narrow"/>
        <family val="2"/>
      </rPr>
      <t>F3;O2;O3;O5:</t>
    </r>
    <r>
      <rPr>
        <sz val="12"/>
        <color theme="1"/>
        <rFont val="Arial Narrow"/>
        <family val="2"/>
      </rPr>
      <t xml:space="preserve"> Desarrollo de proyectos de innovación para presentar en covocatorias y adquirir recursos.</t>
    </r>
  </si>
  <si>
    <r>
      <rPr>
        <b/>
        <sz val="11"/>
        <color theme="1"/>
        <rFont val="Arial Narrow"/>
        <family val="2"/>
      </rPr>
      <t>D4;D5;D6;D7;O8:</t>
    </r>
    <r>
      <rPr>
        <sz val="11"/>
        <color theme="1"/>
        <rFont val="Arial Narrow"/>
        <family val="2"/>
      </rPr>
      <t xml:space="preserve"> Realizacion de estudios económicos y análisis de mercado para la celebracion de contratos de tecnologico con el objeto de mejorar la infraestructura tecnológica
</t>
    </r>
    <r>
      <rPr>
        <b/>
        <sz val="11"/>
        <color theme="1"/>
        <rFont val="Arial Narrow"/>
        <family val="2"/>
      </rPr>
      <t>A1;A3;D4;D5;D6;D7:</t>
    </r>
    <r>
      <rPr>
        <sz val="11"/>
        <color theme="1"/>
        <rFont val="Arial Narrow"/>
        <family val="2"/>
      </rPr>
      <t xml:space="preserve"> Desarrollo o aplicar el mapa de ruta del Plan Estratégico de TIC para Modernización de Hardware y Software. Procurando impactar a la comunidad con tecnología de última generación.
</t>
    </r>
    <r>
      <rPr>
        <b/>
        <sz val="11"/>
        <color theme="1"/>
        <rFont val="Arial Narrow"/>
        <family val="2"/>
      </rPr>
      <t>A1;F2;F6:</t>
    </r>
    <r>
      <rPr>
        <sz val="11"/>
        <color theme="1"/>
        <rFont val="Arial Narrow"/>
        <family val="2"/>
      </rPr>
      <t xml:space="preserve"> Inclusion en el Plan de Compras de la entidad para la potencialiazar los CED</t>
    </r>
  </si>
  <si>
    <t>Posible pérdida reputacional y económica por Disminución de la credibilidad ante la ciudadanía y disminución del presupuesto  asignado debido a estrategias para el cumplimiento del objetivo de la Política Pública de Ciencia, Tecnología e Innovación y con visión a una transformación digital</t>
  </si>
  <si>
    <t>Deterioro físico de los centros de Experiencia digital</t>
  </si>
  <si>
    <r>
      <rPr>
        <b/>
        <sz val="11"/>
        <color theme="1"/>
        <rFont val="Arial Narrow"/>
        <family val="2"/>
      </rPr>
      <t>A2;A4;D9:</t>
    </r>
    <r>
      <rPr>
        <sz val="11"/>
        <color theme="1"/>
        <rFont val="Arial Narrow"/>
        <family val="2"/>
      </rPr>
      <t xml:space="preserve"> Articulación con otros procesos para vigilancia del buen uso de las herramientas tecnológicas y supervisión o seguimientos a los servicios prestados por proveedores.
</t>
    </r>
    <r>
      <rPr>
        <b/>
        <sz val="11"/>
        <color theme="1"/>
        <rFont val="Arial Narrow"/>
        <family val="2"/>
      </rPr>
      <t>A3;D8:</t>
    </r>
    <r>
      <rPr>
        <sz val="11"/>
        <color theme="1"/>
        <rFont val="Arial Narrow"/>
        <family val="2"/>
      </rPr>
      <t xml:space="preserve"> Aplicar el procedimiento para efectuar mantenimiento a la infraestructura física, bienes muebles y recurso tecnológico.</t>
    </r>
  </si>
  <si>
    <t>CONTRIBUIR AL USO Y APROPIACIÓN DE LAS TECNOLOGÍAS DE INFORMACIÓN Y COMUNICACIONES TIC POR PARTE DE LOS HABITANTES DEL MUNICIPIO DE IBAGUÉ, MEDIANTE LA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</si>
  <si>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INICIA CON LA FORMULACIÓN DE LA POLÍTICA PÚBLICA DE INNOVACIÓN Y PLANES OPERATIVOS, CONTINÚA CON SU EJECUCIÓN Y SEGUIMIENTO, LA GESTIÓN DE PROYECTOS DE INNOVACIÓN Y TIC, LA GESTIÓN DE GOBIERNO DIGITAL EN EL COMPONENTE DE TIC PARA LA SOCIEDAD, FINALIZANDO CON EL SEGUIMIENTO Y EVALUACIÓN DEL PROCESO.</t>
  </si>
  <si>
    <t>Normatividad y lineamientos establecidos por el Ministerio de Tecnologías de la Información y Comunicaciones (MinTIC) para zonas digitales gratuitas</t>
  </si>
  <si>
    <t>Deficiencia en la retencion del conocimiento
Deficiencia instalaciones eléctricas</t>
  </si>
  <si>
    <t>Ausencia de políticas operativas claras y con especificaciones técnicas  para la asignación de las zonas de internet gratuito, que estén alineados con las disposiciones del Ministerio de las TIC.</t>
  </si>
  <si>
    <t>Constantes cambios normativos (leyes, decretos, acuerdos) y declaratorias de emergencias
Normatividad y lineamientos establecidos por el Ministerio de Tecnologías de la Información y Comunicaciones (MinTIC) para zonas digitales gratuitas</t>
  </si>
  <si>
    <t>Ausencia de políticas operativas o especificaciones técnicas para la elaboración de estudios previos considerando que la normatividad y lineamientos establecidos por el Ministerio de Tecnologías de la Información y Comunicaciones (MinTIC) para zonas digitales gratuitas</t>
  </si>
  <si>
    <t>FISCAL</t>
  </si>
  <si>
    <t>Seguimiento Enero - Febrero</t>
  </si>
  <si>
    <t>01/01/2025 - 31/12/2025</t>
  </si>
  <si>
    <t>Desde la etapa de planeación, durante la ejecución y el seguimiento de las actividades para el cumplimiento contrato de prestación de servicios de internet gratuito</t>
  </si>
  <si>
    <t xml:space="preserve"> La Secretario de las TIC en conjutno con Asesor y Profesionales del Despacho y Grupo de Innovación y TIC,  anualmente realiza procesos contractuales donde se adquiere el servicio de internet gratuito para los ciudadnos, así mismo impulsar el uso y apropiación de las tecnologías de la información lo anterior contemplado en el plan de anual de adquisiciones,  plan operativo anual de inversión, plan anual de caja y plan de acción. La evidencia reposa en Plataforma PISAMI y en la serie documental de Informe de Gestión de la Secretaría de las TIC. En caso de que no se asigne recursos económicos mediante adiciones presupuestales, justificando la necesidad.</t>
  </si>
  <si>
    <r>
      <t>D10;A1;A3;A4</t>
    </r>
    <r>
      <rPr>
        <sz val="10"/>
        <rFont val="Arial"/>
        <family val="2"/>
      </rPr>
      <t xml:space="preserve"> Realizar políticas operativas claras y con especificaciones técnicas  para la asignación de las zonas de internet gratuito, que estén alineados con las disposiciones normativas.</t>
    </r>
  </si>
  <si>
    <r>
      <t>D10;O8</t>
    </r>
    <r>
      <rPr>
        <sz val="10"/>
        <rFont val="Arial"/>
        <family val="2"/>
      </rPr>
      <t xml:space="preserve"> Realizar un análisis o estudio técnico basado en las  especificaciones técnicas  para la asignación de las zonas de internet gratuito, que estén alineados con la normatividad vigente.</t>
    </r>
  </si>
  <si>
    <t>No cumplir anualmente con las especificaciones técnicas  para la asignación de las zonas de internet gratuito, que estén alineados con la normatividad vigente.</t>
  </si>
  <si>
    <t>Deficiencia en los estudio técnico o contratación sin  especificaciones técnicas  para la asignación de las zonas de internet gratuito, que estén alineados con la normatividad vigente.</t>
  </si>
  <si>
    <t>Falta de lineamientos o políticas operativas claras y con especificaciones técnicas  para la asignación de las zonas de internet gratuito.</t>
  </si>
  <si>
    <t>Posible pédida reputacional y económica por deficiencia en estudio técnico que determine la necesidad real del canal de internet  o falta de análisis de mercado donde los proveedores propongan alternativas viables técnicas y económicas.</t>
  </si>
  <si>
    <r>
      <rPr>
        <b/>
        <sz val="12"/>
        <color theme="1"/>
        <rFont val="Arial Narrow"/>
        <family val="2"/>
      </rPr>
      <t xml:space="preserve">D10;A1;A3;A4 </t>
    </r>
    <r>
      <rPr>
        <sz val="12"/>
        <color theme="1"/>
        <rFont val="Arial Narrow"/>
        <family val="2"/>
      </rPr>
      <t>Realizar políticas operativas claras y con especificaciones técnicas  para la asignación de las zonas de internet gratuito, que estén alineados con las disposiciones del Ministerio de las TIC.</t>
    </r>
    <r>
      <rPr>
        <b/>
        <sz val="12"/>
        <color theme="1"/>
        <rFont val="Arial Narrow"/>
        <family val="2"/>
      </rPr>
      <t xml:space="preserve">
</t>
    </r>
  </si>
  <si>
    <r>
      <rPr>
        <b/>
        <sz val="12"/>
        <color theme="1"/>
        <rFont val="Arial Narrow"/>
        <family val="2"/>
      </rPr>
      <t xml:space="preserve">D10;O8 </t>
    </r>
    <r>
      <rPr>
        <sz val="12"/>
        <color theme="1"/>
        <rFont val="Arial Narrow"/>
        <family val="2"/>
      </rPr>
      <t xml:space="preserve">Realizar un análisis o estudio técnico basado en las  especificaciones técnicas  para la asignación de las zonas de internet gratuito, que estén alineados con las disposiciones del Ministerio de las TIC.
</t>
    </r>
    <r>
      <rPr>
        <b/>
        <sz val="12"/>
        <color theme="1"/>
        <rFont val="Arial Narrow"/>
        <family val="2"/>
      </rPr>
      <t xml:space="preserve">D4;D5;D6;D7;O8: </t>
    </r>
    <r>
      <rPr>
        <sz val="12"/>
        <color theme="1"/>
        <rFont val="Arial Narrow"/>
        <family val="2"/>
      </rPr>
      <t>Realizacion de estudios económicos y análisis de mercado para la celebracion de contratos de tecnologico con el objeto de mejorar la infraestructura tecnológica</t>
    </r>
  </si>
  <si>
    <t>La Secretario de las TIC en conjutno con Asesor y Profesionales del Despacho y Grupo de Innovación y TIC,  anualmente realiza procesos contractuales donde se adquiere el servicio de conectividad, con el objeto de brindar Internet Gratuito para la Ciudadanía de Ibagué y así mismo impulsar el uso y apropiación de las tecnologías de la información, lo anterior contemplado en el plan de anual de adquisiciones,  plan operativo anual de inversión, plan anual de caja y plan de acción. La evidencia reposa en Plataforma PISAMI y en la serie documental de Informe de Gestión de la Secretaría de las TIC. En caso de que no se asigne recursos económicos mediante adiciones presupuestales, justificando la necesidad.</t>
  </si>
  <si>
    <t>Durante el bimestre fue asignado para la Secretaría de las TIC una adición en el presupuesto de renta y recursos de capital y de gastos mediante el decreto No. 1000-0261 de fecha 30/04/2025, por valor de $1.120.000.000 para la Secretaría de las TIC.</t>
  </si>
  <si>
    <t>Durante el bimestre se solicita mediante correo electrónico e informe se recibe apoyo logístico de adecuaciones físicas a los Centros de Experiencia Digitales por parte de la Dirección de Recursos Físicos.
-	Solicitud de adecuación por filtración de agua Centro de Experiencia Digital del barrio San Pedro Alejandrino, fecha 15/03/2025
-	Informe intervención 10 - CED san pedro alejandrino mes de marzo y abril de 2025</t>
  </si>
  <si>
    <t>Durante el bimestre se realiza seguimiento a la elaboración del instructivo por parte de los ingenieros de la Secretaría de las TIC, en aras del cumplimiento del siguiente cronograma de actividades</t>
  </si>
  <si>
    <t xml:space="preserve">El 4 de abril de 2025 Se realizo una mesa técnica donde se realizó un análisis técnico, fundamentado en las especificaciones técnicas y lineamientos nacionales vigentes. Este proceso tuvo como objetivo garantizar que las soluciones de conectividad implementadas respondan de manera efectiva a las necesidades de acceso digital de la población beneficiada, optimizando la cobertura, calidad del servicio y sostenibilidad operativa.
Para tal fin, se conformó un equipo multidisciplinario integrado por ingenieros de la Secretaría de las TIC, quienes aportaron su conocimiento especializado en infraestructura de redes, tecnologías inalámbricas, normatividad sectorial y gestión de proyectos TIC. </t>
  </si>
  <si>
    <t>Durante el bimestre se realizaron las siguientes actividades relacionadas con la subcausa
-	18/03/2025 Acta de capacitación de mantenimiento de equipos para administradores de los Centros de Experiencia Digitales.
-	29/03/2025 Entrega de información a la Jefe Vilma de la cantidad de equipos existentes en los Centros de Experiencia Digital, con el objeto de adquisición de licencias.
-	10/04/2025 Acta de capacitación de mantenimiento de equipos para administradores de los Centros de Experiencia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</si>
</sst>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sz val="11"/>
      <color theme="1"/>
      <name val="Calibri"/>
      <family val="2"/>
    </font>
    <font>
      <b/>
      <sz val="11"/>
      <name val="Arial"/>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0"/>
        <bgColor theme="0"/>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style="thin">
        <color rgb="FF000000"/>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7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37" xfId="0" applyFont="1" applyFill="1" applyBorder="1" applyAlignment="1">
      <alignmen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8" fillId="3" borderId="0" xfId="0" applyFont="1" applyFill="1" applyAlignment="1">
      <alignment horizontal="left"/>
    </xf>
    <xf numFmtId="0" fontId="1" fillId="3" borderId="75" xfId="0" applyFont="1" applyFill="1" applyBorder="1" applyAlignment="1">
      <alignment vertical="center" wrapText="1"/>
    </xf>
    <xf numFmtId="0" fontId="27" fillId="0" borderId="75" xfId="0" applyFont="1" applyBorder="1" applyAlignment="1" applyProtection="1">
      <alignment horizontal="left" vertical="top" wrapText="1"/>
      <protection locked="0"/>
    </xf>
    <xf numFmtId="0" fontId="6" fillId="0" borderId="2" xfId="0" applyFont="1" applyBorder="1" applyAlignment="1" applyProtection="1">
      <alignment horizontal="justify" vertical="top"/>
      <protection locked="0"/>
    </xf>
    <xf numFmtId="0" fontId="61" fillId="18" borderId="77" xfId="0" applyFont="1" applyFill="1" applyBorder="1" applyAlignment="1">
      <alignment vertical="center" wrapText="1"/>
    </xf>
    <xf numFmtId="0" fontId="0" fillId="0" borderId="105" xfId="0" applyBorder="1" applyAlignment="1">
      <alignment horizontal="left" vertical="center" wrapText="1"/>
    </xf>
    <xf numFmtId="0" fontId="61" fillId="18" borderId="78" xfId="0" applyFont="1" applyFill="1" applyBorder="1" applyAlignment="1">
      <alignment vertical="center" wrapText="1"/>
    </xf>
    <xf numFmtId="0" fontId="0" fillId="0" borderId="106" xfId="0" applyBorder="1" applyAlignment="1">
      <alignment horizontal="left" vertical="center" wrapText="1"/>
    </xf>
    <xf numFmtId="0" fontId="0" fillId="21" borderId="107" xfId="0" applyFill="1" applyBorder="1" applyAlignment="1">
      <alignment horizontal="left" vertical="center" wrapText="1"/>
    </xf>
    <xf numFmtId="0" fontId="61" fillId="0" borderId="107" xfId="0" applyFont="1" applyBorder="1" applyAlignment="1">
      <alignment horizontal="left" vertical="center" wrapText="1"/>
    </xf>
    <xf numFmtId="0" fontId="0" fillId="0" borderId="107" xfId="0" applyBorder="1" applyAlignment="1">
      <alignment horizontal="left" vertical="center" wrapText="1"/>
    </xf>
    <xf numFmtId="0" fontId="0" fillId="0" borderId="107" xfId="0" applyBorder="1" applyAlignment="1">
      <alignment vertical="top" wrapText="1"/>
    </xf>
    <xf numFmtId="0" fontId="61" fillId="0" borderId="107" xfId="0" applyFont="1" applyBorder="1" applyAlignment="1">
      <alignment vertical="top" wrapText="1"/>
    </xf>
    <xf numFmtId="0" fontId="0" fillId="0" borderId="108" xfId="0" applyBorder="1" applyAlignment="1">
      <alignment vertical="top" wrapText="1"/>
    </xf>
    <xf numFmtId="0" fontId="0" fillId="15" borderId="108" xfId="0" applyFill="1" applyBorder="1" applyAlignment="1">
      <alignment horizontal="center" vertical="center"/>
    </xf>
    <xf numFmtId="0" fontId="0" fillId="15" borderId="107" xfId="0" applyFill="1" applyBorder="1" applyAlignment="1">
      <alignment horizontal="center" vertical="center"/>
    </xf>
    <xf numFmtId="0" fontId="61" fillId="15" borderId="33" xfId="0" applyFont="1" applyFill="1" applyBorder="1" applyAlignment="1" applyProtection="1">
      <alignment horizontal="center" vertical="center"/>
      <protection locked="0"/>
    </xf>
    <xf numFmtId="0" fontId="0" fillId="0" borderId="108" xfId="0" applyBorder="1" applyAlignment="1">
      <alignment horizontal="center" vertical="center"/>
    </xf>
    <xf numFmtId="0" fontId="0" fillId="0" borderId="107" xfId="0" applyBorder="1" applyAlignment="1">
      <alignment horizontal="center" vertical="center"/>
    </xf>
    <xf numFmtId="0" fontId="74" fillId="0" borderId="107" xfId="0" applyFont="1" applyBorder="1" applyAlignment="1">
      <alignment horizontal="center" vertical="center"/>
    </xf>
    <xf numFmtId="0" fontId="70" fillId="19" borderId="91" xfId="0" applyFont="1" applyFill="1" applyBorder="1" applyAlignment="1">
      <alignment horizontal="center" wrapText="1"/>
    </xf>
    <xf numFmtId="0" fontId="67" fillId="3" borderId="87" xfId="0" applyFont="1" applyFill="1" applyBorder="1" applyAlignment="1">
      <alignment horizontal="center" wrapText="1"/>
    </xf>
    <xf numFmtId="0" fontId="58" fillId="0" borderId="0" xfId="0" applyFont="1" applyAlignment="1">
      <alignment horizontal="center"/>
    </xf>
    <xf numFmtId="0" fontId="61" fillId="0" borderId="79" xfId="0" applyFont="1" applyBorder="1" applyAlignment="1">
      <alignment vertical="center" wrapText="1"/>
    </xf>
    <xf numFmtId="0" fontId="61" fillId="0" borderId="38" xfId="0" applyFont="1" applyBorder="1" applyAlignment="1">
      <alignment vertical="center" wrapText="1"/>
    </xf>
    <xf numFmtId="0" fontId="61" fillId="0" borderId="104" xfId="0" applyFont="1" applyBorder="1" applyAlignment="1">
      <alignment vertical="center" wrapText="1"/>
    </xf>
    <xf numFmtId="0" fontId="61" fillId="0" borderId="99" xfId="0" applyFont="1" applyBorder="1" applyAlignment="1">
      <alignment vertical="center" wrapText="1"/>
    </xf>
    <xf numFmtId="0" fontId="58" fillId="0" borderId="93" xfId="0" applyFont="1" applyBorder="1" applyAlignment="1" applyProtection="1">
      <alignment horizontal="center" vertical="center"/>
      <protection locked="0"/>
    </xf>
    <xf numFmtId="0" fontId="58" fillId="0" borderId="94" xfId="0" applyFont="1" applyBorder="1" applyAlignment="1" applyProtection="1">
      <alignment horizontal="center" vertical="center"/>
      <protection locked="0"/>
    </xf>
    <xf numFmtId="0" fontId="58" fillId="0" borderId="94" xfId="0" applyFont="1" applyBorder="1" applyAlignment="1">
      <alignment horizontal="center" vertical="center"/>
    </xf>
    <xf numFmtId="0" fontId="58" fillId="0" borderId="97" xfId="0" applyFont="1" applyBorder="1" applyAlignment="1">
      <alignment horizontal="center" vertical="center"/>
    </xf>
    <xf numFmtId="0" fontId="61" fillId="15" borderId="33" xfId="0" applyFont="1" applyFill="1" applyBorder="1" applyAlignment="1">
      <alignment horizontal="center" vertical="center"/>
    </xf>
    <xf numFmtId="0" fontId="61" fillId="15" borderId="33" xfId="0" applyFont="1" applyFill="1" applyBorder="1" applyAlignment="1">
      <alignment horizontal="left" vertical="center" wrapText="1"/>
    </xf>
    <xf numFmtId="165" fontId="61" fillId="15" borderId="92" xfId="0" applyNumberFormat="1" applyFont="1" applyFill="1" applyBorder="1" applyAlignment="1">
      <alignment horizontal="center" vertical="center"/>
    </xf>
    <xf numFmtId="0" fontId="58" fillId="15" borderId="94" xfId="0" applyFont="1" applyFill="1" applyBorder="1" applyAlignment="1">
      <alignment horizontal="center" vertical="center"/>
    </xf>
    <xf numFmtId="0" fontId="61" fillId="0" borderId="34" xfId="0" applyFont="1" applyBorder="1" applyAlignment="1">
      <alignment horizontal="center" vertical="center"/>
    </xf>
    <xf numFmtId="0" fontId="61" fillId="0" borderId="34" xfId="0" applyFont="1" applyBorder="1" applyAlignment="1">
      <alignment horizontal="left" vertical="center" wrapText="1"/>
    </xf>
    <xf numFmtId="0" fontId="0" fillId="0" borderId="109" xfId="0" applyBorder="1" applyAlignment="1">
      <alignment horizontal="center" vertical="center"/>
    </xf>
    <xf numFmtId="0" fontId="74" fillId="0" borderId="110" xfId="0" applyFont="1" applyBorder="1" applyAlignment="1">
      <alignment horizontal="center" vertical="center"/>
    </xf>
    <xf numFmtId="0" fontId="61" fillId="0" borderId="34" xfId="0" applyFont="1" applyBorder="1" applyAlignment="1" applyProtection="1">
      <alignment horizontal="center" vertical="center"/>
      <protection locked="0"/>
    </xf>
    <xf numFmtId="165" fontId="61" fillId="0" borderId="90" xfId="0" applyNumberFormat="1" applyFont="1" applyBorder="1" applyAlignment="1">
      <alignment horizontal="center" vertical="center"/>
    </xf>
    <xf numFmtId="0" fontId="58" fillId="0" borderId="111" xfId="0" applyFont="1" applyBorder="1" applyAlignment="1">
      <alignment horizontal="center" vertical="center"/>
    </xf>
    <xf numFmtId="0" fontId="61" fillId="0" borderId="112" xfId="0" applyFont="1" applyBorder="1" applyAlignment="1">
      <alignment horizontal="center" vertical="center"/>
    </xf>
    <xf numFmtId="0" fontId="61" fillId="0" borderId="112" xfId="0" applyFont="1" applyBorder="1" applyAlignment="1">
      <alignment horizontal="left" vertical="center" wrapText="1"/>
    </xf>
    <xf numFmtId="0" fontId="0" fillId="0" borderId="113" xfId="0" applyBorder="1" applyAlignment="1">
      <alignment horizontal="center" vertical="center"/>
    </xf>
    <xf numFmtId="0" fontId="61" fillId="0" borderId="112" xfId="0" applyFont="1" applyBorder="1" applyAlignment="1" applyProtection="1">
      <alignment horizontal="center" vertical="center"/>
      <protection locked="0"/>
    </xf>
    <xf numFmtId="165" fontId="61" fillId="0" borderId="114" xfId="0" applyNumberFormat="1" applyFont="1" applyBorder="1" applyAlignment="1">
      <alignment horizontal="center" vertical="center"/>
    </xf>
    <xf numFmtId="0" fontId="58" fillId="0" borderId="115" xfId="0" applyFont="1" applyBorder="1" applyAlignment="1">
      <alignment horizontal="center" vertical="center"/>
    </xf>
    <xf numFmtId="0" fontId="61" fillId="15" borderId="34" xfId="0" applyFont="1" applyFill="1" applyBorder="1" applyAlignment="1">
      <alignment horizontal="center" vertical="center"/>
    </xf>
    <xf numFmtId="0" fontId="61" fillId="15" borderId="34" xfId="0" applyFont="1" applyFill="1" applyBorder="1" applyAlignment="1">
      <alignment horizontal="left" vertical="center" wrapText="1"/>
    </xf>
    <xf numFmtId="0" fontId="0" fillId="15" borderId="109" xfId="0" applyFill="1" applyBorder="1" applyAlignment="1">
      <alignment horizontal="center" vertical="center"/>
    </xf>
    <xf numFmtId="0" fontId="0" fillId="15" borderId="110" xfId="0" applyFill="1" applyBorder="1" applyAlignment="1">
      <alignment horizontal="center" vertical="center"/>
    </xf>
    <xf numFmtId="0" fontId="61" fillId="15" borderId="34" xfId="0" applyFont="1" applyFill="1" applyBorder="1" applyAlignment="1" applyProtection="1">
      <alignment horizontal="center" vertical="center"/>
      <protection locked="0"/>
    </xf>
    <xf numFmtId="165" fontId="61" fillId="15" borderId="90" xfId="0" applyNumberFormat="1" applyFont="1" applyFill="1" applyBorder="1" applyAlignment="1">
      <alignment horizontal="center" vertical="center"/>
    </xf>
    <xf numFmtId="0" fontId="58" fillId="15" borderId="111" xfId="0" applyFont="1" applyFill="1" applyBorder="1" applyAlignment="1">
      <alignment horizontal="center" vertical="center"/>
    </xf>
    <xf numFmtId="0" fontId="61" fillId="0" borderId="0" xfId="0" applyFont="1" applyAlignment="1">
      <alignment wrapText="1"/>
    </xf>
    <xf numFmtId="0" fontId="27" fillId="0" borderId="2" xfId="0" applyFont="1" applyBorder="1" applyAlignment="1" applyProtection="1">
      <alignment horizontal="left" vertical="center" wrapText="1"/>
      <protection locked="0"/>
    </xf>
    <xf numFmtId="0" fontId="1" fillId="0" borderId="2" xfId="0" applyFont="1" applyBorder="1" applyAlignment="1" applyProtection="1">
      <alignment horizontal="left" vertical="top" wrapText="1"/>
      <protection locked="0"/>
    </xf>
    <xf numFmtId="0" fontId="1" fillId="3" borderId="0" xfId="0" applyFont="1" applyFill="1" applyAlignment="1">
      <alignment wrapText="1"/>
    </xf>
    <xf numFmtId="0" fontId="1" fillId="0" borderId="0" xfId="0" applyFont="1" applyAlignment="1">
      <alignment wrapText="1"/>
    </xf>
    <xf numFmtId="14" fontId="27" fillId="0" borderId="2" xfId="0" applyNumberFormat="1" applyFont="1" applyBorder="1" applyAlignment="1" applyProtection="1">
      <alignment horizontal="center" vertical="top" wrapText="1"/>
      <protection locked="0"/>
    </xf>
    <xf numFmtId="14" fontId="1" fillId="0" borderId="2" xfId="0" applyNumberFormat="1"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61" fillId="15" borderId="112" xfId="0" applyFont="1" applyFill="1" applyBorder="1" applyAlignment="1">
      <alignment horizontal="center" vertical="center"/>
    </xf>
    <xf numFmtId="0" fontId="61" fillId="15" borderId="112" xfId="0" applyFont="1" applyFill="1" applyBorder="1" applyAlignment="1">
      <alignment horizontal="left" vertical="center" wrapText="1"/>
    </xf>
    <xf numFmtId="0" fontId="0" fillId="15" borderId="113" xfId="0" applyFill="1" applyBorder="1" applyAlignment="1">
      <alignment horizontal="center" vertical="center"/>
    </xf>
    <xf numFmtId="0" fontId="61" fillId="15" borderId="112" xfId="0" applyFont="1" applyFill="1" applyBorder="1" applyAlignment="1" applyProtection="1">
      <alignment horizontal="center" vertical="center"/>
      <protection locked="0"/>
    </xf>
    <xf numFmtId="165" fontId="61" fillId="15" borderId="114" xfId="0" applyNumberFormat="1" applyFont="1" applyFill="1" applyBorder="1" applyAlignment="1">
      <alignment horizontal="center" vertical="center"/>
    </xf>
    <xf numFmtId="0" fontId="58" fillId="15" borderId="115" xfId="0" applyFont="1" applyFill="1" applyBorder="1" applyAlignment="1">
      <alignment horizontal="center" vertical="center"/>
    </xf>
    <xf numFmtId="0" fontId="27" fillId="0" borderId="2" xfId="0" applyFont="1" applyBorder="1" applyAlignment="1" applyProtection="1">
      <alignment horizontal="left" vertical="top" wrapText="1"/>
      <protection locked="0"/>
    </xf>
    <xf numFmtId="0" fontId="1" fillId="0" borderId="0" xfId="0" applyFont="1" applyAlignment="1">
      <alignment horizontal="left" vertical="center"/>
    </xf>
    <xf numFmtId="0" fontId="27" fillId="0" borderId="75" xfId="0" applyFont="1" applyBorder="1" applyAlignment="1" applyProtection="1">
      <alignment horizontal="justify" vertical="top" wrapText="1"/>
      <protection locked="0"/>
    </xf>
    <xf numFmtId="0" fontId="50" fillId="0" borderId="75" xfId="0" applyFont="1" applyBorder="1" applyAlignment="1" applyProtection="1">
      <alignment horizontal="justify" vertical="top" wrapText="1"/>
      <protection locked="0"/>
    </xf>
    <xf numFmtId="0" fontId="27" fillId="0" borderId="2" xfId="0" applyFont="1" applyBorder="1" applyAlignment="1">
      <alignment horizontal="center" vertical="top"/>
    </xf>
    <xf numFmtId="0" fontId="27" fillId="0" borderId="2" xfId="0" applyFont="1" applyBorder="1" applyAlignment="1" applyProtection="1">
      <alignment horizontal="justify" vertical="top" wrapText="1"/>
      <protection locked="0"/>
    </xf>
    <xf numFmtId="0" fontId="50" fillId="0" borderId="2" xfId="0" applyFont="1" applyBorder="1" applyAlignment="1" applyProtection="1">
      <alignment horizontal="center" vertical="top"/>
      <protection hidden="1"/>
    </xf>
    <xf numFmtId="164" fontId="27" fillId="0" borderId="2" xfId="1" applyNumberFormat="1" applyFont="1" applyBorder="1" applyAlignment="1">
      <alignment horizontal="center" vertical="top"/>
    </xf>
    <xf numFmtId="0" fontId="27" fillId="3" borderId="0" xfId="0" applyFont="1" applyFill="1"/>
    <xf numFmtId="0" fontId="27" fillId="0" borderId="0" xfId="0" applyFont="1"/>
    <xf numFmtId="0" fontId="27" fillId="0" borderId="2" xfId="0" applyFont="1" applyBorder="1" applyAlignment="1" applyProtection="1">
      <alignment horizontal="center" vertical="top"/>
      <protection hidden="1"/>
    </xf>
    <xf numFmtId="0" fontId="27" fillId="0" borderId="2" xfId="0" applyFont="1" applyBorder="1" applyAlignment="1" applyProtection="1">
      <alignment horizontal="justify" vertical="top"/>
      <protection locked="0"/>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5" fillId="16" borderId="39" xfId="0" applyFont="1" applyFill="1" applyBorder="1" applyAlignment="1">
      <alignment horizontal="left" vertical="top" wrapText="1"/>
    </xf>
    <xf numFmtId="0" fontId="65" fillId="16" borderId="40" xfId="0" applyFont="1" applyFill="1" applyBorder="1" applyAlignment="1">
      <alignment horizontal="left" vertical="top"/>
    </xf>
    <xf numFmtId="0" fontId="65"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0" fillId="0" borderId="33"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2" xfId="0" applyBorder="1" applyAlignment="1">
      <alignment horizontal="center"/>
    </xf>
    <xf numFmtId="0" fontId="0" fillId="0" borderId="14" xfId="0" applyBorder="1" applyAlignment="1">
      <alignment horizontal="center"/>
    </xf>
    <xf numFmtId="0" fontId="0" fillId="0" borderId="68"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69" xfId="0" applyBorder="1" applyAlignment="1">
      <alignment horizontal="center"/>
    </xf>
    <xf numFmtId="0" fontId="0" fillId="0" borderId="70" xfId="0" applyBorder="1" applyAlignment="1">
      <alignment horizontal="center"/>
    </xf>
    <xf numFmtId="0" fontId="61" fillId="16" borderId="37" xfId="0" applyFont="1" applyFill="1" applyBorder="1" applyAlignment="1">
      <alignment vertical="center"/>
    </xf>
    <xf numFmtId="0" fontId="61" fillId="16" borderId="33" xfId="0" applyFont="1" applyFill="1" applyBorder="1" applyAlignment="1">
      <alignment vertical="center"/>
    </xf>
    <xf numFmtId="0" fontId="61" fillId="16" borderId="38" xfId="0" applyFont="1" applyFill="1" applyBorder="1" applyAlignment="1">
      <alignment vertical="center"/>
    </xf>
    <xf numFmtId="0" fontId="61" fillId="16" borderId="39" xfId="0" applyFont="1" applyFill="1" applyBorder="1" applyAlignment="1">
      <alignment horizontal="left" vertical="center" wrapText="1"/>
    </xf>
    <xf numFmtId="0" fontId="61" fillId="16" borderId="40" xfId="0" applyFont="1" applyFill="1" applyBorder="1" applyAlignment="1">
      <alignment horizontal="left" vertical="center" wrapText="1"/>
    </xf>
    <xf numFmtId="0" fontId="61" fillId="16" borderId="41"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0" xfId="0" applyFont="1" applyAlignment="1">
      <alignment horizontal="center"/>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61" fillId="0" borderId="33" xfId="4" applyFont="1" applyBorder="1" applyAlignment="1" applyProtection="1">
      <alignment horizontal="left" vertical="center" wrapText="1"/>
      <protection locked="0"/>
    </xf>
    <xf numFmtId="0" fontId="61" fillId="0" borderId="33" xfId="4" applyFont="1" applyBorder="1" applyAlignment="1" applyProtection="1">
      <alignment horizontal="center" vertical="center"/>
      <protection locked="0"/>
    </xf>
    <xf numFmtId="0" fontId="38" fillId="3" borderId="33" xfId="0" applyFont="1" applyFill="1" applyBorder="1" applyAlignment="1" applyProtection="1">
      <alignment horizontal="left" vertical="center" wrapText="1"/>
      <protection locked="0"/>
    </xf>
    <xf numFmtId="0" fontId="38" fillId="0" borderId="33" xfId="4" applyFont="1" applyBorder="1" applyAlignment="1" applyProtection="1">
      <alignment horizontal="left" vertical="center" wrapText="1"/>
      <protection locked="0"/>
    </xf>
    <xf numFmtId="0" fontId="38" fillId="3" borderId="33" xfId="4" applyFont="1" applyFill="1" applyBorder="1" applyAlignment="1" applyProtection="1">
      <alignment horizontal="left" vertical="center"/>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61" fillId="0" borderId="92" xfId="4" applyFont="1" applyBorder="1" applyAlignment="1" applyProtection="1">
      <alignment horizontal="left" vertical="center" wrapText="1"/>
      <protection locked="0"/>
    </xf>
    <xf numFmtId="0" fontId="61" fillId="0" borderId="99" xfId="4" applyFont="1" applyBorder="1" applyAlignment="1" applyProtection="1">
      <alignment horizontal="left" vertical="center" wrapText="1"/>
      <protection locked="0"/>
    </xf>
    <xf numFmtId="0" fontId="61" fillId="0" borderId="81" xfId="4" applyFont="1" applyBorder="1" applyAlignment="1" applyProtection="1">
      <alignment horizontal="left" vertical="center" wrapText="1"/>
      <protection locked="0"/>
    </xf>
    <xf numFmtId="0" fontId="65" fillId="0" borderId="92" xfId="4" applyFont="1" applyBorder="1" applyAlignment="1" applyProtection="1">
      <alignment horizontal="left" vertical="center" wrapText="1"/>
      <protection locked="0"/>
    </xf>
    <xf numFmtId="0" fontId="65" fillId="0" borderId="99" xfId="4" applyFont="1" applyBorder="1" applyAlignment="1" applyProtection="1">
      <alignment horizontal="left" vertical="center" wrapText="1"/>
      <protection locked="0"/>
    </xf>
    <xf numFmtId="0" fontId="61" fillId="0" borderId="92" xfId="4" applyFont="1" applyBorder="1" applyAlignment="1" applyProtection="1">
      <alignment horizontal="center" vertical="center" wrapText="1"/>
      <protection locked="0"/>
    </xf>
    <xf numFmtId="0" fontId="61" fillId="0" borderId="81" xfId="4" applyFont="1" applyBorder="1" applyAlignment="1" applyProtection="1">
      <alignment horizontal="center" vertical="center" wrapText="1"/>
      <protection locked="0"/>
    </xf>
    <xf numFmtId="0" fontId="61" fillId="0" borderId="99" xfId="4" applyFont="1" applyBorder="1" applyAlignment="1" applyProtection="1">
      <alignment horizontal="center" vertical="center" wrapText="1"/>
      <protection locked="0"/>
    </xf>
    <xf numFmtId="0" fontId="38" fillId="3" borderId="95" xfId="0" applyFont="1" applyFill="1" applyBorder="1" applyAlignment="1" applyProtection="1">
      <alignment horizontal="left" vertical="center"/>
      <protection locked="0"/>
    </xf>
    <xf numFmtId="0" fontId="73" fillId="3" borderId="33" xfId="0" applyFont="1" applyFill="1" applyBorder="1" applyAlignment="1" applyProtection="1">
      <alignment horizontal="left" vertical="center" wrapText="1"/>
      <protection locked="0"/>
    </xf>
    <xf numFmtId="0" fontId="38" fillId="3" borderId="92" xfId="4" applyFont="1" applyFill="1" applyBorder="1" applyAlignment="1" applyProtection="1">
      <alignment horizontal="left" vertical="center" wrapText="1"/>
      <protection locked="0"/>
    </xf>
    <xf numFmtId="0" fontId="38" fillId="3" borderId="99" xfId="4" applyFont="1" applyFill="1" applyBorder="1" applyAlignment="1" applyProtection="1">
      <alignment horizontal="left" vertical="center" wrapText="1"/>
      <protection locked="0"/>
    </xf>
    <xf numFmtId="0" fontId="73" fillId="3" borderId="33" xfId="4" applyFont="1" applyFill="1" applyBorder="1" applyAlignment="1" applyProtection="1">
      <alignment horizontal="left" vertical="center" wrapText="1"/>
      <protection locked="0"/>
    </xf>
    <xf numFmtId="0" fontId="38" fillId="0" borderId="92" xfId="4" applyFont="1" applyBorder="1" applyAlignment="1" applyProtection="1">
      <alignment horizontal="left" vertical="center" wrapText="1"/>
      <protection locked="0"/>
    </xf>
    <xf numFmtId="0" fontId="73" fillId="0" borderId="99" xfId="4" applyFont="1" applyBorder="1" applyAlignment="1" applyProtection="1">
      <alignment horizontal="left" vertical="center" wrapText="1"/>
      <protection locked="0"/>
    </xf>
    <xf numFmtId="0" fontId="38" fillId="3" borderId="92" xfId="4" applyFont="1" applyFill="1" applyBorder="1" applyAlignment="1" applyProtection="1">
      <alignment horizontal="left" vertical="center"/>
      <protection locked="0"/>
    </xf>
    <xf numFmtId="0" fontId="38" fillId="3" borderId="81" xfId="4" applyFont="1" applyFill="1" applyBorder="1" applyAlignment="1" applyProtection="1">
      <alignment horizontal="left" vertical="center"/>
      <protection locked="0"/>
    </xf>
    <xf numFmtId="0" fontId="38" fillId="3" borderId="99" xfId="4" applyFont="1" applyFill="1" applyBorder="1" applyAlignment="1" applyProtection="1">
      <alignment horizontal="left" vertical="center"/>
      <protection locked="0"/>
    </xf>
    <xf numFmtId="0" fontId="38" fillId="0" borderId="92"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0" borderId="92" xfId="0" applyFont="1" applyBorder="1" applyAlignment="1" applyProtection="1">
      <alignment horizontal="center" vertical="center"/>
      <protection locked="0"/>
    </xf>
    <xf numFmtId="0" fontId="38" fillId="0" borderId="81"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38" fillId="0" borderId="33" xfId="0" applyFont="1" applyBorder="1" applyAlignment="1" applyProtection="1">
      <alignment horizontal="left" vertical="center"/>
      <protection locked="0"/>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33"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38" fillId="3" borderId="33" xfId="4" applyFont="1" applyFill="1" applyBorder="1" applyAlignment="1" applyProtection="1">
      <alignment horizontal="left" vertical="center" wrapText="1"/>
      <protection locked="0"/>
    </xf>
    <xf numFmtId="0" fontId="60" fillId="0" borderId="12" xfId="0" applyFont="1" applyBorder="1" applyAlignment="1">
      <alignment horizontal="center" vertical="center" wrapText="1"/>
    </xf>
    <xf numFmtId="0" fontId="60" fillId="0" borderId="14" xfId="0" applyFont="1" applyBorder="1" applyAlignment="1">
      <alignment horizontal="center" vertical="center" wrapText="1"/>
    </xf>
    <xf numFmtId="0" fontId="61" fillId="0" borderId="103" xfId="0" applyFont="1" applyBorder="1" applyAlignment="1">
      <alignment horizontal="left" vertical="center" wrapText="1"/>
    </xf>
    <xf numFmtId="0" fontId="61" fillId="0" borderId="104" xfId="0" applyFont="1" applyBorder="1" applyAlignment="1">
      <alignment horizontal="left" vertical="center" wrapText="1"/>
    </xf>
    <xf numFmtId="0" fontId="61" fillId="0" borderId="85" xfId="0" applyFont="1" applyBorder="1" applyAlignment="1">
      <alignment horizontal="center" vertical="center" wrapText="1"/>
    </xf>
    <xf numFmtId="0" fontId="61" fillId="0" borderId="98" xfId="0" applyFont="1" applyBorder="1" applyAlignment="1">
      <alignment horizontal="center" vertical="center" wrapText="1"/>
    </xf>
    <xf numFmtId="0" fontId="61" fillId="0" borderId="43" xfId="0" applyFont="1" applyBorder="1" applyAlignment="1">
      <alignment horizontal="center" vertical="center" wrapText="1"/>
    </xf>
    <xf numFmtId="0" fontId="61" fillId="0" borderId="92" xfId="0" applyFont="1" applyBorder="1" applyAlignment="1">
      <alignment horizontal="left" vertical="center" wrapText="1"/>
    </xf>
    <xf numFmtId="0" fontId="61" fillId="0" borderId="99" xfId="0" applyFont="1" applyBorder="1" applyAlignment="1">
      <alignment horizontal="left" vertical="center" wrapText="1"/>
    </xf>
    <xf numFmtId="0" fontId="60" fillId="0" borderId="68"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81" xfId="0" applyFont="1" applyBorder="1" applyAlignment="1">
      <alignment horizontal="center" vertical="center" wrapText="1"/>
    </xf>
    <xf numFmtId="0" fontId="60" fillId="0" borderId="82" xfId="0" applyFont="1" applyBorder="1" applyAlignment="1">
      <alignment horizontal="center" vertical="center"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9">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2380</xdr:rowOff>
    </xdr:from>
    <xdr:to>
      <xdr:col>5</xdr:col>
      <xdr:colOff>1423686</xdr:colOff>
      <xdr:row>4</xdr:row>
      <xdr:rowOff>0</xdr:rowOff>
    </xdr:to>
    <xdr:pic>
      <xdr:nvPicPr>
        <xdr:cNvPr id="4" name="Imagen 3">
          <a:extLst>
            <a:ext uri="{FF2B5EF4-FFF2-40B4-BE49-F238E27FC236}">
              <a16:creationId xmlns:a16="http://schemas.microsoft.com/office/drawing/2014/main" id="{FBE4F0CF-C0D4-41FC-AFBA-B26D6C27DF01}"/>
            </a:ext>
          </a:extLst>
        </xdr:cNvPr>
        <xdr:cNvPicPr>
          <a:picLocks noChangeAspect="1"/>
        </xdr:cNvPicPr>
      </xdr:nvPicPr>
      <xdr:blipFill>
        <a:blip xmlns:r="http://schemas.openxmlformats.org/officeDocument/2006/relationships" r:embed="rId1"/>
        <a:stretch>
          <a:fillRect/>
        </a:stretch>
      </xdr:blipFill>
      <xdr:spPr>
        <a:xfrm>
          <a:off x="11315326" y="2380"/>
          <a:ext cx="623960" cy="767240"/>
        </a:xfrm>
        <a:prstGeom prst="rect">
          <a:avLst/>
        </a:prstGeom>
      </xdr:spPr>
    </xdr:pic>
    <xdr:clientData/>
  </xdr:twoCellAnchor>
  <xdr:twoCellAnchor editAs="oneCell">
    <xdr:from>
      <xdr:col>0</xdr:col>
      <xdr:colOff>266700</xdr:colOff>
      <xdr:row>0</xdr:row>
      <xdr:rowOff>82202</xdr:rowOff>
    </xdr:from>
    <xdr:to>
      <xdr:col>0</xdr:col>
      <xdr:colOff>1700386</xdr:colOff>
      <xdr:row>3</xdr:row>
      <xdr:rowOff>112822</xdr:rowOff>
    </xdr:to>
    <xdr:pic>
      <xdr:nvPicPr>
        <xdr:cNvPr id="5" name="Imagen 4">
          <a:extLst>
            <a:ext uri="{FF2B5EF4-FFF2-40B4-BE49-F238E27FC236}">
              <a16:creationId xmlns:a16="http://schemas.microsoft.com/office/drawing/2014/main" id="{0DD4DE6A-F8C7-4ADD-AAE2-E5DF6473B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82202"/>
          <a:ext cx="1433686" cy="602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8335E96B-B5F1-48E3-8253-E8FA7A702D9F}"/>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319AEEC8-6C98-49FA-8CBF-0E123D8E50AC}"/>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7E56F4DA-FB72-4ABB-A604-DFFDE4AACB6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17</xdr:col>
      <xdr:colOff>542551</xdr:colOff>
      <xdr:row>0</xdr:row>
      <xdr:rowOff>161925</xdr:rowOff>
    </xdr:from>
    <xdr:to>
      <xdr:col>18</xdr:col>
      <xdr:colOff>623586</xdr:colOff>
      <xdr:row>3</xdr:row>
      <xdr:rowOff>30005</xdr:rowOff>
    </xdr:to>
    <xdr:pic>
      <xdr:nvPicPr>
        <xdr:cNvPr id="2" name="Imagen 1">
          <a:extLst>
            <a:ext uri="{FF2B5EF4-FFF2-40B4-BE49-F238E27FC236}">
              <a16:creationId xmlns:a16="http://schemas.microsoft.com/office/drawing/2014/main" id="{1FFD1189-AAE7-446C-A535-82DCE629BC4C}"/>
            </a:ext>
          </a:extLst>
        </xdr:cNvPr>
        <xdr:cNvPicPr>
          <a:picLocks noChangeAspect="1"/>
        </xdr:cNvPicPr>
      </xdr:nvPicPr>
      <xdr:blipFill>
        <a:blip xmlns:r="http://schemas.openxmlformats.org/officeDocument/2006/relationships" r:embed="rId1"/>
        <a:stretch>
          <a:fillRect/>
        </a:stretch>
      </xdr:blipFill>
      <xdr:spPr>
        <a:xfrm>
          <a:off x="10010401" y="161925"/>
          <a:ext cx="623960" cy="772955"/>
        </a:xfrm>
        <a:prstGeom prst="rect">
          <a:avLst/>
        </a:prstGeom>
      </xdr:spPr>
    </xdr:pic>
    <xdr:clientData/>
  </xdr:twoCellAnchor>
  <xdr:twoCellAnchor editAs="oneCell">
    <xdr:from>
      <xdr:col>0</xdr:col>
      <xdr:colOff>310515</xdr:colOff>
      <xdr:row>0</xdr:row>
      <xdr:rowOff>211267</xdr:rowOff>
    </xdr:from>
    <xdr:to>
      <xdr:col>1</xdr:col>
      <xdr:colOff>1401301</xdr:colOff>
      <xdr:row>2</xdr:row>
      <xdr:rowOff>104727</xdr:rowOff>
    </xdr:to>
    <xdr:pic>
      <xdr:nvPicPr>
        <xdr:cNvPr id="7" name="Imagen 6">
          <a:extLst>
            <a:ext uri="{FF2B5EF4-FFF2-40B4-BE49-F238E27FC236}">
              <a16:creationId xmlns:a16="http://schemas.microsoft.com/office/drawing/2014/main" id="{B7AE4CB3-D302-417B-AAE5-2862D83E5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0515" y="211267"/>
          <a:ext cx="1433686" cy="607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197746</xdr:colOff>
      <xdr:row>0</xdr:row>
      <xdr:rowOff>0</xdr:rowOff>
    </xdr:from>
    <xdr:to>
      <xdr:col>9</xdr:col>
      <xdr:colOff>821706</xdr:colOff>
      <xdr:row>3</xdr:row>
      <xdr:rowOff>195740</xdr:rowOff>
    </xdr:to>
    <xdr:pic>
      <xdr:nvPicPr>
        <xdr:cNvPr id="4" name="Imagen 3">
          <a:extLst>
            <a:ext uri="{FF2B5EF4-FFF2-40B4-BE49-F238E27FC236}">
              <a16:creationId xmlns:a16="http://schemas.microsoft.com/office/drawing/2014/main" id="{26B97343-483D-433A-A51C-3CBA42D76065}"/>
            </a:ext>
          </a:extLst>
        </xdr:cNvPr>
        <xdr:cNvPicPr>
          <a:picLocks noChangeAspect="1"/>
        </xdr:cNvPicPr>
      </xdr:nvPicPr>
      <xdr:blipFill>
        <a:blip xmlns:r="http://schemas.openxmlformats.org/officeDocument/2006/relationships" r:embed="rId1"/>
        <a:stretch>
          <a:fillRect/>
        </a:stretch>
      </xdr:blipFill>
      <xdr:spPr>
        <a:xfrm>
          <a:off x="13563226" y="0"/>
          <a:ext cx="623960" cy="767240"/>
        </a:xfrm>
        <a:prstGeom prst="rect">
          <a:avLst/>
        </a:prstGeom>
      </xdr:spPr>
    </xdr:pic>
    <xdr:clientData/>
  </xdr:twoCellAnchor>
  <xdr:twoCellAnchor editAs="oneCell">
    <xdr:from>
      <xdr:col>0</xdr:col>
      <xdr:colOff>45720</xdr:colOff>
      <xdr:row>0</xdr:row>
      <xdr:rowOff>95062</xdr:rowOff>
    </xdr:from>
    <xdr:to>
      <xdr:col>2</xdr:col>
      <xdr:colOff>580246</xdr:colOff>
      <xdr:row>3</xdr:row>
      <xdr:rowOff>125682</xdr:rowOff>
    </xdr:to>
    <xdr:pic>
      <xdr:nvPicPr>
        <xdr:cNvPr id="5" name="Imagen 4">
          <a:extLst>
            <a:ext uri="{FF2B5EF4-FFF2-40B4-BE49-F238E27FC236}">
              <a16:creationId xmlns:a16="http://schemas.microsoft.com/office/drawing/2014/main" id="{178EF148-CD75-485E-951D-E98F488634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 y="95062"/>
          <a:ext cx="1433686" cy="6021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39</xdr:col>
      <xdr:colOff>71438</xdr:colOff>
      <xdr:row>14</xdr:row>
      <xdr:rowOff>142876</xdr:rowOff>
    </xdr:from>
    <xdr:to>
      <xdr:col>53</xdr:col>
      <xdr:colOff>593914</xdr:colOff>
      <xdr:row>16</xdr:row>
      <xdr:rowOff>1149738</xdr:rowOff>
    </xdr:to>
    <xdr:pic>
      <xdr:nvPicPr>
        <xdr:cNvPr id="2" name="Imagen 1">
          <a:extLst>
            <a:ext uri="{FF2B5EF4-FFF2-40B4-BE49-F238E27FC236}">
              <a16:creationId xmlns:a16="http://schemas.microsoft.com/office/drawing/2014/main" id="{A1EF69E2-8C19-FF0F-4980-34CD8F6A04BB}"/>
            </a:ext>
          </a:extLst>
        </xdr:cNvPr>
        <xdr:cNvPicPr>
          <a:picLocks noChangeAspect="1"/>
        </xdr:cNvPicPr>
      </xdr:nvPicPr>
      <xdr:blipFill>
        <a:blip xmlns:r="http://schemas.openxmlformats.org/officeDocument/2006/relationships" r:embed="rId1"/>
        <a:stretch>
          <a:fillRect/>
        </a:stretch>
      </xdr:blipFill>
      <xdr:spPr>
        <a:xfrm>
          <a:off x="46910626" y="9429751"/>
          <a:ext cx="11190476" cy="32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48">
      <pivotArea type="all" dataOnly="0" outline="0" fieldPosition="0"/>
    </format>
    <format dxfId="47">
      <pivotArea field="0" type="button" dataOnly="0" labelOnly="1" outline="0" axis="axisRow" fieldPosition="0"/>
    </format>
    <format dxfId="46">
      <pivotArea field="1" type="button" dataOnly="0" labelOnly="1" outline="0" axis="axisRow" fieldPosition="1"/>
    </format>
    <format dxfId="45">
      <pivotArea dataOnly="0" labelOnly="1" outline="0" fieldPosition="0">
        <references count="1">
          <reference field="0" count="0"/>
        </references>
      </pivotArea>
    </format>
    <format dxfId="44">
      <pivotArea dataOnly="0" labelOnly="1" outline="0" fieldPosition="0">
        <references count="2">
          <reference field="0" count="1" selected="0">
            <x v="0"/>
          </reference>
          <reference field="1" count="5">
            <x v="0"/>
            <x v="6"/>
            <x v="7"/>
            <x v="8"/>
            <x v="9"/>
          </reference>
        </references>
      </pivotArea>
    </format>
    <format dxfId="43">
      <pivotArea dataOnly="0" labelOnly="1" outline="0" fieldPosition="0">
        <references count="2">
          <reference field="0" count="1" selected="0">
            <x v="1"/>
          </reference>
          <reference field="1" count="5">
            <x v="1"/>
            <x v="2"/>
            <x v="3"/>
            <x v="4"/>
            <x v="5"/>
          </reference>
        </references>
      </pivotArea>
    </format>
    <format dxfId="42">
      <pivotArea type="all" dataOnly="0" outline="0" fieldPosition="0"/>
    </format>
    <format dxfId="41">
      <pivotArea field="0" type="button" dataOnly="0" labelOnly="1" outline="0" axis="axisRow" fieldPosition="0"/>
    </format>
    <format dxfId="40">
      <pivotArea field="1" type="button" dataOnly="0" labelOnly="1" outline="0" axis="axisRow" fieldPosition="1"/>
    </format>
    <format dxfId="39">
      <pivotArea dataOnly="0" labelOnly="1" outline="0" fieldPosition="0">
        <references count="1">
          <reference field="0" count="0"/>
        </references>
      </pivotArea>
    </format>
    <format dxfId="38">
      <pivotArea dataOnly="0" labelOnly="1" outline="0" fieldPosition="0">
        <references count="2">
          <reference field="0" count="1" selected="0">
            <x v="0"/>
          </reference>
          <reference field="1" count="5">
            <x v="10"/>
            <x v="11"/>
            <x v="12"/>
            <x v="13"/>
            <x v="14"/>
          </reference>
        </references>
      </pivotArea>
    </format>
    <format dxfId="3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6" dataDxfId="35">
  <autoFilter ref="B209:C219" xr:uid="{00000000-0009-0000-0100-000001000000}"/>
  <tableColumns count="2">
    <tableColumn id="1" xr3:uid="{00000000-0010-0000-0000-000001000000}" name="Criterios" dataDxfId="34"/>
    <tableColumn id="2" xr3:uid="{00000000-0010-0000-0000-000002000000}" name="Subcriterios" dataDxfId="3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Normal="100" workbookViewId="0">
      <selection activeCell="B7" sqref="B7:H7"/>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93" t="s">
        <v>154</v>
      </c>
      <c r="C2" s="294"/>
      <c r="D2" s="294"/>
      <c r="E2" s="294"/>
      <c r="F2" s="294"/>
      <c r="G2" s="294"/>
      <c r="H2" s="295"/>
    </row>
    <row r="3" spans="2:8" x14ac:dyDescent="0.3">
      <c r="B3" s="68"/>
      <c r="C3" s="69"/>
      <c r="D3" s="69"/>
      <c r="E3" s="69"/>
      <c r="F3" s="69"/>
      <c r="G3" s="69"/>
      <c r="H3" s="70"/>
    </row>
    <row r="4" spans="2:8" ht="63" customHeight="1" x14ac:dyDescent="0.3">
      <c r="B4" s="296" t="s">
        <v>197</v>
      </c>
      <c r="C4" s="297"/>
      <c r="D4" s="297"/>
      <c r="E4" s="297"/>
      <c r="F4" s="297"/>
      <c r="G4" s="297"/>
      <c r="H4" s="298"/>
    </row>
    <row r="5" spans="2:8" ht="63" customHeight="1" x14ac:dyDescent="0.3">
      <c r="B5" s="299"/>
      <c r="C5" s="300"/>
      <c r="D5" s="300"/>
      <c r="E5" s="300"/>
      <c r="F5" s="300"/>
      <c r="G5" s="300"/>
      <c r="H5" s="301"/>
    </row>
    <row r="6" spans="2:8" x14ac:dyDescent="0.3">
      <c r="B6" s="302" t="s">
        <v>152</v>
      </c>
      <c r="C6" s="303"/>
      <c r="D6" s="303"/>
      <c r="E6" s="303"/>
      <c r="F6" s="303"/>
      <c r="G6" s="303"/>
      <c r="H6" s="304"/>
    </row>
    <row r="7" spans="2:8" ht="95.25" customHeight="1" x14ac:dyDescent="0.3">
      <c r="B7" s="312" t="s">
        <v>157</v>
      </c>
      <c r="C7" s="313"/>
      <c r="D7" s="313"/>
      <c r="E7" s="313"/>
      <c r="F7" s="313"/>
      <c r="G7" s="313"/>
      <c r="H7" s="314"/>
    </row>
    <row r="8" spans="2:8" x14ac:dyDescent="0.3">
      <c r="B8" s="102"/>
      <c r="C8" s="103"/>
      <c r="D8" s="103"/>
      <c r="E8" s="103"/>
      <c r="F8" s="103"/>
      <c r="G8" s="103"/>
      <c r="H8" s="104"/>
    </row>
    <row r="9" spans="2:8" ht="16.5" customHeight="1" x14ac:dyDescent="0.3">
      <c r="B9" s="305" t="s">
        <v>190</v>
      </c>
      <c r="C9" s="306"/>
      <c r="D9" s="306"/>
      <c r="E9" s="306"/>
      <c r="F9" s="306"/>
      <c r="G9" s="306"/>
      <c r="H9" s="307"/>
    </row>
    <row r="10" spans="2:8" ht="44.25" customHeight="1" x14ac:dyDescent="0.3">
      <c r="B10" s="305"/>
      <c r="C10" s="306"/>
      <c r="D10" s="306"/>
      <c r="E10" s="306"/>
      <c r="F10" s="306"/>
      <c r="G10" s="306"/>
      <c r="H10" s="307"/>
    </row>
    <row r="11" spans="2:8" ht="15" thickBot="1" x14ac:dyDescent="0.35">
      <c r="B11" s="91"/>
      <c r="C11" s="94"/>
      <c r="D11" s="99"/>
      <c r="E11" s="100"/>
      <c r="F11" s="100"/>
      <c r="G11" s="101"/>
      <c r="H11" s="95"/>
    </row>
    <row r="12" spans="2:8" ht="15" thickTop="1" x14ac:dyDescent="0.3">
      <c r="B12" s="91"/>
      <c r="C12" s="308" t="s">
        <v>153</v>
      </c>
      <c r="D12" s="309"/>
      <c r="E12" s="310" t="s">
        <v>191</v>
      </c>
      <c r="F12" s="311"/>
      <c r="G12" s="94"/>
      <c r="H12" s="95"/>
    </row>
    <row r="13" spans="2:8" ht="35.25" customHeight="1" x14ac:dyDescent="0.3">
      <c r="B13" s="91"/>
      <c r="C13" s="280" t="s">
        <v>184</v>
      </c>
      <c r="D13" s="281"/>
      <c r="E13" s="282" t="s">
        <v>189</v>
      </c>
      <c r="F13" s="283"/>
      <c r="G13" s="94"/>
      <c r="H13" s="95"/>
    </row>
    <row r="14" spans="2:8" ht="17.25" customHeight="1" x14ac:dyDescent="0.3">
      <c r="B14" s="91"/>
      <c r="C14" s="280" t="s">
        <v>185</v>
      </c>
      <c r="D14" s="281"/>
      <c r="E14" s="282" t="s">
        <v>187</v>
      </c>
      <c r="F14" s="283"/>
      <c r="G14" s="94"/>
      <c r="H14" s="95"/>
    </row>
    <row r="15" spans="2:8" ht="19.5" customHeight="1" x14ac:dyDescent="0.3">
      <c r="B15" s="91"/>
      <c r="C15" s="280" t="s">
        <v>186</v>
      </c>
      <c r="D15" s="281"/>
      <c r="E15" s="282" t="s">
        <v>188</v>
      </c>
      <c r="F15" s="283"/>
      <c r="G15" s="94"/>
      <c r="H15" s="95"/>
    </row>
    <row r="16" spans="2:8" ht="69.75" customHeight="1" x14ac:dyDescent="0.3">
      <c r="B16" s="91"/>
      <c r="C16" s="280" t="s">
        <v>155</v>
      </c>
      <c r="D16" s="281"/>
      <c r="E16" s="282" t="s">
        <v>156</v>
      </c>
      <c r="F16" s="283"/>
      <c r="G16" s="94"/>
      <c r="H16" s="95"/>
    </row>
    <row r="17" spans="2:8" ht="34.5" customHeight="1" x14ac:dyDescent="0.3">
      <c r="B17" s="91"/>
      <c r="C17" s="284" t="s">
        <v>2</v>
      </c>
      <c r="D17" s="285"/>
      <c r="E17" s="276" t="s">
        <v>198</v>
      </c>
      <c r="F17" s="277"/>
      <c r="G17" s="94"/>
      <c r="H17" s="95"/>
    </row>
    <row r="18" spans="2:8" ht="27.75" customHeight="1" x14ac:dyDescent="0.3">
      <c r="B18" s="91"/>
      <c r="C18" s="284" t="s">
        <v>3</v>
      </c>
      <c r="D18" s="285"/>
      <c r="E18" s="276" t="s">
        <v>199</v>
      </c>
      <c r="F18" s="277"/>
      <c r="G18" s="94"/>
      <c r="H18" s="95"/>
    </row>
    <row r="19" spans="2:8" ht="28.5" customHeight="1" x14ac:dyDescent="0.3">
      <c r="B19" s="91"/>
      <c r="C19" s="284" t="s">
        <v>41</v>
      </c>
      <c r="D19" s="285"/>
      <c r="E19" s="276" t="s">
        <v>200</v>
      </c>
      <c r="F19" s="277"/>
      <c r="G19" s="94"/>
      <c r="H19" s="95"/>
    </row>
    <row r="20" spans="2:8" ht="72.75" customHeight="1" x14ac:dyDescent="0.3">
      <c r="B20" s="91"/>
      <c r="C20" s="284" t="s">
        <v>1</v>
      </c>
      <c r="D20" s="285"/>
      <c r="E20" s="276" t="s">
        <v>201</v>
      </c>
      <c r="F20" s="277"/>
      <c r="G20" s="94"/>
      <c r="H20" s="95"/>
    </row>
    <row r="21" spans="2:8" ht="64.5" customHeight="1" x14ac:dyDescent="0.3">
      <c r="B21" s="91"/>
      <c r="C21" s="284" t="s">
        <v>49</v>
      </c>
      <c r="D21" s="285"/>
      <c r="E21" s="276" t="s">
        <v>159</v>
      </c>
      <c r="F21" s="277"/>
      <c r="G21" s="94"/>
      <c r="H21" s="95"/>
    </row>
    <row r="22" spans="2:8" ht="71.25" customHeight="1" x14ac:dyDescent="0.3">
      <c r="B22" s="91"/>
      <c r="C22" s="284" t="s">
        <v>158</v>
      </c>
      <c r="D22" s="285"/>
      <c r="E22" s="276" t="s">
        <v>160</v>
      </c>
      <c r="F22" s="277"/>
      <c r="G22" s="94"/>
      <c r="H22" s="95"/>
    </row>
    <row r="23" spans="2:8" ht="55.5" customHeight="1" x14ac:dyDescent="0.3">
      <c r="B23" s="91"/>
      <c r="C23" s="278" t="s">
        <v>161</v>
      </c>
      <c r="D23" s="279"/>
      <c r="E23" s="276" t="s">
        <v>162</v>
      </c>
      <c r="F23" s="277"/>
      <c r="G23" s="94"/>
      <c r="H23" s="95"/>
    </row>
    <row r="24" spans="2:8" ht="42" customHeight="1" x14ac:dyDescent="0.3">
      <c r="B24" s="91"/>
      <c r="C24" s="278" t="s">
        <v>47</v>
      </c>
      <c r="D24" s="279"/>
      <c r="E24" s="276" t="s">
        <v>163</v>
      </c>
      <c r="F24" s="277"/>
      <c r="G24" s="94"/>
      <c r="H24" s="95"/>
    </row>
    <row r="25" spans="2:8" ht="59.25" customHeight="1" x14ac:dyDescent="0.3">
      <c r="B25" s="91"/>
      <c r="C25" s="278" t="s">
        <v>151</v>
      </c>
      <c r="D25" s="279"/>
      <c r="E25" s="276" t="s">
        <v>164</v>
      </c>
      <c r="F25" s="277"/>
      <c r="G25" s="94"/>
      <c r="H25" s="95"/>
    </row>
    <row r="26" spans="2:8" ht="23.25" customHeight="1" x14ac:dyDescent="0.3">
      <c r="B26" s="91"/>
      <c r="C26" s="278" t="s">
        <v>12</v>
      </c>
      <c r="D26" s="279"/>
      <c r="E26" s="276" t="s">
        <v>165</v>
      </c>
      <c r="F26" s="277"/>
      <c r="G26" s="94"/>
      <c r="H26" s="95"/>
    </row>
    <row r="27" spans="2:8" ht="30.75" customHeight="1" x14ac:dyDescent="0.3">
      <c r="B27" s="91"/>
      <c r="C27" s="278" t="s">
        <v>169</v>
      </c>
      <c r="D27" s="279"/>
      <c r="E27" s="276" t="s">
        <v>166</v>
      </c>
      <c r="F27" s="277"/>
      <c r="G27" s="94"/>
      <c r="H27" s="95"/>
    </row>
    <row r="28" spans="2:8" ht="35.25" customHeight="1" x14ac:dyDescent="0.3">
      <c r="B28" s="91"/>
      <c r="C28" s="278" t="s">
        <v>170</v>
      </c>
      <c r="D28" s="279"/>
      <c r="E28" s="276" t="s">
        <v>167</v>
      </c>
      <c r="F28" s="277"/>
      <c r="G28" s="94"/>
      <c r="H28" s="95"/>
    </row>
    <row r="29" spans="2:8" ht="33" customHeight="1" x14ac:dyDescent="0.3">
      <c r="B29" s="91"/>
      <c r="C29" s="278" t="s">
        <v>170</v>
      </c>
      <c r="D29" s="279"/>
      <c r="E29" s="276" t="s">
        <v>167</v>
      </c>
      <c r="F29" s="277"/>
      <c r="G29" s="94"/>
      <c r="H29" s="95"/>
    </row>
    <row r="30" spans="2:8" ht="30" customHeight="1" x14ac:dyDescent="0.3">
      <c r="B30" s="91"/>
      <c r="C30" s="278" t="s">
        <v>171</v>
      </c>
      <c r="D30" s="279"/>
      <c r="E30" s="276" t="s">
        <v>168</v>
      </c>
      <c r="F30" s="277"/>
      <c r="G30" s="94"/>
      <c r="H30" s="95"/>
    </row>
    <row r="31" spans="2:8" ht="35.25" customHeight="1" x14ac:dyDescent="0.3">
      <c r="B31" s="91"/>
      <c r="C31" s="278" t="s">
        <v>172</v>
      </c>
      <c r="D31" s="279"/>
      <c r="E31" s="276" t="s">
        <v>173</v>
      </c>
      <c r="F31" s="277"/>
      <c r="G31" s="94"/>
      <c r="H31" s="95"/>
    </row>
    <row r="32" spans="2:8" ht="31.5" customHeight="1" x14ac:dyDescent="0.3">
      <c r="B32" s="91"/>
      <c r="C32" s="278" t="s">
        <v>174</v>
      </c>
      <c r="D32" s="279"/>
      <c r="E32" s="276" t="s">
        <v>175</v>
      </c>
      <c r="F32" s="277"/>
      <c r="G32" s="94"/>
      <c r="H32" s="95"/>
    </row>
    <row r="33" spans="2:8" ht="35.25" customHeight="1" x14ac:dyDescent="0.3">
      <c r="B33" s="91"/>
      <c r="C33" s="278" t="s">
        <v>176</v>
      </c>
      <c r="D33" s="279"/>
      <c r="E33" s="276" t="s">
        <v>177</v>
      </c>
      <c r="F33" s="277"/>
      <c r="G33" s="94"/>
      <c r="H33" s="95"/>
    </row>
    <row r="34" spans="2:8" ht="59.25" customHeight="1" x14ac:dyDescent="0.3">
      <c r="B34" s="91"/>
      <c r="C34" s="278" t="s">
        <v>178</v>
      </c>
      <c r="D34" s="279"/>
      <c r="E34" s="276" t="s">
        <v>179</v>
      </c>
      <c r="F34" s="277"/>
      <c r="G34" s="94"/>
      <c r="H34" s="95"/>
    </row>
    <row r="35" spans="2:8" ht="29.25" customHeight="1" x14ac:dyDescent="0.3">
      <c r="B35" s="91"/>
      <c r="C35" s="278" t="s">
        <v>29</v>
      </c>
      <c r="D35" s="279"/>
      <c r="E35" s="276" t="s">
        <v>180</v>
      </c>
      <c r="F35" s="277"/>
      <c r="G35" s="94"/>
      <c r="H35" s="95"/>
    </row>
    <row r="36" spans="2:8" ht="82.5" customHeight="1" x14ac:dyDescent="0.3">
      <c r="B36" s="91"/>
      <c r="C36" s="278" t="s">
        <v>182</v>
      </c>
      <c r="D36" s="279"/>
      <c r="E36" s="276" t="s">
        <v>181</v>
      </c>
      <c r="F36" s="277"/>
      <c r="G36" s="94"/>
      <c r="H36" s="95"/>
    </row>
    <row r="37" spans="2:8" ht="46.5" customHeight="1" x14ac:dyDescent="0.3">
      <c r="B37" s="91"/>
      <c r="C37" s="278" t="s">
        <v>38</v>
      </c>
      <c r="D37" s="279"/>
      <c r="E37" s="276" t="s">
        <v>183</v>
      </c>
      <c r="F37" s="277"/>
      <c r="G37" s="94"/>
      <c r="H37" s="95"/>
    </row>
    <row r="38" spans="2:8" ht="6.75" customHeight="1" thickBot="1" x14ac:dyDescent="0.35">
      <c r="B38" s="91"/>
      <c r="C38" s="289"/>
      <c r="D38" s="290"/>
      <c r="E38" s="291"/>
      <c r="F38" s="292"/>
      <c r="G38" s="94"/>
      <c r="H38" s="95"/>
    </row>
    <row r="39" spans="2:8" ht="15" thickTop="1" x14ac:dyDescent="0.3">
      <c r="B39" s="91"/>
      <c r="C39" s="92"/>
      <c r="D39" s="92"/>
      <c r="E39" s="93"/>
      <c r="F39" s="93"/>
      <c r="G39" s="94"/>
      <c r="H39" s="95"/>
    </row>
    <row r="40" spans="2:8" ht="21" customHeight="1" x14ac:dyDescent="0.3">
      <c r="B40" s="286" t="s">
        <v>192</v>
      </c>
      <c r="C40" s="287"/>
      <c r="D40" s="287"/>
      <c r="E40" s="287"/>
      <c r="F40" s="287"/>
      <c r="G40" s="287"/>
      <c r="H40" s="288"/>
    </row>
    <row r="41" spans="2:8" ht="20.25" customHeight="1" x14ac:dyDescent="0.3">
      <c r="B41" s="286" t="s">
        <v>193</v>
      </c>
      <c r="C41" s="287"/>
      <c r="D41" s="287"/>
      <c r="E41" s="287"/>
      <c r="F41" s="287"/>
      <c r="G41" s="287"/>
      <c r="H41" s="288"/>
    </row>
    <row r="42" spans="2:8" ht="20.25" customHeight="1" x14ac:dyDescent="0.3">
      <c r="B42" s="286" t="s">
        <v>194</v>
      </c>
      <c r="C42" s="287"/>
      <c r="D42" s="287"/>
      <c r="E42" s="287"/>
      <c r="F42" s="287"/>
      <c r="G42" s="287"/>
      <c r="H42" s="288"/>
    </row>
    <row r="43" spans="2:8" ht="20.25" customHeight="1" x14ac:dyDescent="0.3">
      <c r="B43" s="286" t="s">
        <v>195</v>
      </c>
      <c r="C43" s="287"/>
      <c r="D43" s="287"/>
      <c r="E43" s="287"/>
      <c r="F43" s="287"/>
      <c r="G43" s="287"/>
      <c r="H43" s="288"/>
    </row>
    <row r="44" spans="2:8" x14ac:dyDescent="0.3">
      <c r="B44" s="286" t="s">
        <v>196</v>
      </c>
      <c r="C44" s="287"/>
      <c r="D44" s="287"/>
      <c r="E44" s="287"/>
      <c r="F44" s="287"/>
      <c r="G44" s="287"/>
      <c r="H44" s="288"/>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6" workbookViewId="0">
      <selection activeCell="F8" sqref="F8"/>
    </sheetView>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67" t="s">
        <v>76</v>
      </c>
      <c r="C1" s="668"/>
      <c r="D1" s="668"/>
      <c r="E1" s="668"/>
      <c r="F1" s="669"/>
    </row>
    <row r="2" spans="2:6" ht="16.2" thickBot="1" x14ac:dyDescent="0.35">
      <c r="B2" s="73"/>
      <c r="C2" s="73"/>
      <c r="D2" s="73"/>
      <c r="E2" s="73"/>
      <c r="F2" s="73"/>
    </row>
    <row r="3" spans="2:6" ht="16.2" thickBot="1" x14ac:dyDescent="0.35">
      <c r="B3" s="671" t="s">
        <v>62</v>
      </c>
      <c r="C3" s="672"/>
      <c r="D3" s="672"/>
      <c r="E3" s="85" t="s">
        <v>63</v>
      </c>
      <c r="F3" s="86" t="s">
        <v>64</v>
      </c>
    </row>
    <row r="4" spans="2:6" ht="31.2" x14ac:dyDescent="0.3">
      <c r="B4" s="673" t="s">
        <v>65</v>
      </c>
      <c r="C4" s="675" t="s">
        <v>13</v>
      </c>
      <c r="D4" s="74" t="s">
        <v>14</v>
      </c>
      <c r="E4" s="75" t="s">
        <v>66</v>
      </c>
      <c r="F4" s="76">
        <v>0.25</v>
      </c>
    </row>
    <row r="5" spans="2:6" ht="46.8" x14ac:dyDescent="0.3">
      <c r="B5" s="674"/>
      <c r="C5" s="676"/>
      <c r="D5" s="77" t="s">
        <v>15</v>
      </c>
      <c r="E5" s="78" t="s">
        <v>67</v>
      </c>
      <c r="F5" s="79">
        <v>0.15</v>
      </c>
    </row>
    <row r="6" spans="2:6" ht="46.8" x14ac:dyDescent="0.3">
      <c r="B6" s="674"/>
      <c r="C6" s="676"/>
      <c r="D6" s="77" t="s">
        <v>16</v>
      </c>
      <c r="E6" s="78" t="s">
        <v>68</v>
      </c>
      <c r="F6" s="79">
        <v>0.1</v>
      </c>
    </row>
    <row r="7" spans="2:6" ht="62.4" x14ac:dyDescent="0.3">
      <c r="B7" s="674"/>
      <c r="C7" s="676" t="s">
        <v>17</v>
      </c>
      <c r="D7" s="77" t="s">
        <v>10</v>
      </c>
      <c r="E7" s="78" t="s">
        <v>69</v>
      </c>
      <c r="F7" s="79">
        <v>0.25</v>
      </c>
    </row>
    <row r="8" spans="2:6" ht="31.2" x14ac:dyDescent="0.3">
      <c r="B8" s="674"/>
      <c r="C8" s="676"/>
      <c r="D8" s="77" t="s">
        <v>9</v>
      </c>
      <c r="E8" s="78" t="s">
        <v>70</v>
      </c>
      <c r="F8" s="79">
        <v>0.15</v>
      </c>
    </row>
    <row r="9" spans="2:6" ht="46.8" x14ac:dyDescent="0.3">
      <c r="B9" s="674" t="s">
        <v>150</v>
      </c>
      <c r="C9" s="676" t="s">
        <v>18</v>
      </c>
      <c r="D9" s="77" t="s">
        <v>19</v>
      </c>
      <c r="E9" s="78" t="s">
        <v>71</v>
      </c>
      <c r="F9" s="80" t="s">
        <v>72</v>
      </c>
    </row>
    <row r="10" spans="2:6" ht="46.8" x14ac:dyDescent="0.3">
      <c r="B10" s="674"/>
      <c r="C10" s="676"/>
      <c r="D10" s="77" t="s">
        <v>20</v>
      </c>
      <c r="E10" s="78" t="s">
        <v>73</v>
      </c>
      <c r="F10" s="80" t="s">
        <v>72</v>
      </c>
    </row>
    <row r="11" spans="2:6" ht="46.8" x14ac:dyDescent="0.3">
      <c r="B11" s="674"/>
      <c r="C11" s="676" t="s">
        <v>21</v>
      </c>
      <c r="D11" s="77" t="s">
        <v>22</v>
      </c>
      <c r="E11" s="78" t="s">
        <v>74</v>
      </c>
      <c r="F11" s="80" t="s">
        <v>72</v>
      </c>
    </row>
    <row r="12" spans="2:6" ht="46.8" x14ac:dyDescent="0.3">
      <c r="B12" s="674"/>
      <c r="C12" s="676"/>
      <c r="D12" s="77" t="s">
        <v>23</v>
      </c>
      <c r="E12" s="78" t="s">
        <v>75</v>
      </c>
      <c r="F12" s="80" t="s">
        <v>72</v>
      </c>
    </row>
    <row r="13" spans="2:6" ht="31.2" x14ac:dyDescent="0.3">
      <c r="B13" s="674"/>
      <c r="C13" s="676" t="s">
        <v>24</v>
      </c>
      <c r="D13" s="77" t="s">
        <v>113</v>
      </c>
      <c r="E13" s="78" t="s">
        <v>116</v>
      </c>
      <c r="F13" s="80" t="s">
        <v>72</v>
      </c>
    </row>
    <row r="14" spans="2:6" ht="16.2" thickBot="1" x14ac:dyDescent="0.35">
      <c r="B14" s="677"/>
      <c r="C14" s="678"/>
      <c r="D14" s="81" t="s">
        <v>114</v>
      </c>
      <c r="E14" s="82" t="s">
        <v>115</v>
      </c>
      <c r="F14" s="83" t="s">
        <v>72</v>
      </c>
    </row>
    <row r="15" spans="2:6" ht="49.5" customHeight="1" x14ac:dyDescent="0.3">
      <c r="B15" s="670" t="s">
        <v>147</v>
      </c>
      <c r="C15" s="670"/>
      <c r="D15" s="670"/>
      <c r="E15" s="670"/>
      <c r="F15" s="67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topLeftCell="A20" workbookViewId="0">
      <selection activeCell="D22" sqref="D22"/>
    </sheetView>
  </sheetViews>
  <sheetFormatPr baseColWidth="10" defaultColWidth="11.44140625" defaultRowHeight="13.8" x14ac:dyDescent="0.25"/>
  <cols>
    <col min="1" max="1" width="29.44140625" style="149" customWidth="1"/>
    <col min="2" max="2" width="29.109375" style="149" customWidth="1"/>
    <col min="3" max="3" width="30.33203125" style="149" customWidth="1"/>
    <col min="4" max="4" width="31.88671875" style="149" customWidth="1"/>
    <col min="5" max="5" width="32.5546875" style="149" customWidth="1"/>
    <col min="6" max="6" width="32" style="149" customWidth="1"/>
    <col min="7" max="16384" width="11.44140625" style="149"/>
  </cols>
  <sheetData>
    <row r="1" spans="1:10" ht="15" customHeight="1" x14ac:dyDescent="0.25">
      <c r="A1" s="319"/>
      <c r="B1" s="321" t="s">
        <v>258</v>
      </c>
      <c r="C1" s="321"/>
      <c r="D1" s="321"/>
      <c r="E1" s="147" t="s">
        <v>259</v>
      </c>
      <c r="F1" s="323"/>
      <c r="G1" s="148"/>
      <c r="J1" s="325"/>
    </row>
    <row r="2" spans="1:10" ht="15" customHeight="1" x14ac:dyDescent="0.25">
      <c r="A2" s="320"/>
      <c r="B2" s="322"/>
      <c r="C2" s="322"/>
      <c r="D2" s="322"/>
      <c r="E2" s="151" t="s">
        <v>260</v>
      </c>
      <c r="F2" s="324"/>
      <c r="G2" s="148"/>
      <c r="J2" s="325"/>
    </row>
    <row r="3" spans="1:10" ht="15" customHeight="1" x14ac:dyDescent="0.25">
      <c r="A3" s="320"/>
      <c r="B3" s="322" t="s">
        <v>214</v>
      </c>
      <c r="C3" s="322"/>
      <c r="D3" s="322"/>
      <c r="E3" s="151" t="s">
        <v>261</v>
      </c>
      <c r="F3" s="324"/>
      <c r="G3" s="148"/>
      <c r="J3" s="325"/>
    </row>
    <row r="4" spans="1:10" ht="15.75" customHeight="1" x14ac:dyDescent="0.25">
      <c r="A4" s="320"/>
      <c r="B4" s="322"/>
      <c r="C4" s="322"/>
      <c r="D4" s="322"/>
      <c r="E4" s="151" t="s">
        <v>262</v>
      </c>
      <c r="F4" s="324"/>
      <c r="G4" s="148"/>
      <c r="J4" s="325"/>
    </row>
    <row r="5" spans="1:10" ht="15.75" customHeight="1" x14ac:dyDescent="0.25">
      <c r="A5" s="326"/>
      <c r="B5" s="327"/>
      <c r="C5" s="327"/>
      <c r="D5" s="327"/>
      <c r="E5" s="327"/>
      <c r="F5" s="328"/>
      <c r="G5" s="148"/>
      <c r="J5" s="150"/>
    </row>
    <row r="6" spans="1:10" ht="15" customHeight="1" x14ac:dyDescent="0.25">
      <c r="A6" s="329" t="s">
        <v>215</v>
      </c>
      <c r="B6" s="330"/>
      <c r="C6" s="330"/>
      <c r="D6" s="330"/>
      <c r="E6" s="330"/>
      <c r="F6" s="331"/>
    </row>
    <row r="7" spans="1:10" ht="15.75" customHeight="1" x14ac:dyDescent="0.25">
      <c r="A7" s="329"/>
      <c r="B7" s="330"/>
      <c r="C7" s="330"/>
      <c r="D7" s="330"/>
      <c r="E7" s="330"/>
      <c r="F7" s="331"/>
    </row>
    <row r="8" spans="1:10" ht="27" customHeight="1" x14ac:dyDescent="0.25">
      <c r="A8" s="332" t="s">
        <v>278</v>
      </c>
      <c r="B8" s="333"/>
      <c r="C8" s="333"/>
      <c r="D8" s="333"/>
      <c r="E8" s="333"/>
      <c r="F8" s="334"/>
    </row>
    <row r="9" spans="1:10" ht="59.25" customHeight="1" thickBot="1" x14ac:dyDescent="0.3">
      <c r="A9" s="315" t="s">
        <v>308</v>
      </c>
      <c r="B9" s="316"/>
      <c r="C9" s="316"/>
      <c r="D9" s="316"/>
      <c r="E9" s="316"/>
      <c r="F9" s="317"/>
    </row>
    <row r="10" spans="1:10" ht="18.75" customHeight="1" thickBot="1" x14ac:dyDescent="0.3">
      <c r="A10" s="318"/>
      <c r="B10" s="318"/>
      <c r="C10" s="318"/>
      <c r="D10" s="318"/>
      <c r="E10" s="318"/>
      <c r="F10" s="318"/>
    </row>
    <row r="11" spans="1:10" ht="22.5" customHeight="1" thickBot="1" x14ac:dyDescent="0.3">
      <c r="A11" s="152" t="s">
        <v>216</v>
      </c>
      <c r="B11" s="153" t="s">
        <v>217</v>
      </c>
      <c r="C11" s="153" t="s">
        <v>218</v>
      </c>
      <c r="D11" s="153" t="s">
        <v>217</v>
      </c>
      <c r="E11" s="153" t="s">
        <v>219</v>
      </c>
      <c r="F11" s="154" t="s">
        <v>217</v>
      </c>
    </row>
    <row r="12" spans="1:10" ht="115.2" x14ac:dyDescent="0.25">
      <c r="A12" s="199" t="s">
        <v>265</v>
      </c>
      <c r="B12" s="200" t="s">
        <v>354</v>
      </c>
      <c r="C12" s="201" t="s">
        <v>270</v>
      </c>
      <c r="D12" s="200" t="s">
        <v>274</v>
      </c>
      <c r="E12" s="201" t="s">
        <v>267</v>
      </c>
      <c r="F12" s="202" t="s">
        <v>288</v>
      </c>
    </row>
    <row r="13" spans="1:10" ht="55.2" x14ac:dyDescent="0.25">
      <c r="A13" s="155" t="s">
        <v>220</v>
      </c>
      <c r="B13" s="203" t="s">
        <v>289</v>
      </c>
      <c r="C13" s="156" t="s">
        <v>270</v>
      </c>
      <c r="D13" s="204" t="s">
        <v>290</v>
      </c>
      <c r="E13" s="156" t="s">
        <v>267</v>
      </c>
      <c r="F13" s="158" t="s">
        <v>347</v>
      </c>
    </row>
    <row r="14" spans="1:10" ht="86.4" x14ac:dyDescent="0.25">
      <c r="A14" s="155" t="s">
        <v>268</v>
      </c>
      <c r="B14" s="203" t="s">
        <v>291</v>
      </c>
      <c r="C14" s="156" t="s">
        <v>275</v>
      </c>
      <c r="D14" s="205" t="s">
        <v>352</v>
      </c>
      <c r="E14" s="156" t="s">
        <v>271</v>
      </c>
      <c r="F14" s="158" t="s">
        <v>272</v>
      </c>
    </row>
    <row r="15" spans="1:10" ht="72" x14ac:dyDescent="0.25">
      <c r="A15" s="155" t="s">
        <v>268</v>
      </c>
      <c r="B15" s="205" t="s">
        <v>292</v>
      </c>
      <c r="C15" s="156" t="s">
        <v>270</v>
      </c>
      <c r="D15" s="205" t="s">
        <v>293</v>
      </c>
      <c r="E15" s="156" t="s">
        <v>294</v>
      </c>
      <c r="F15" s="158" t="s">
        <v>295</v>
      </c>
    </row>
    <row r="16" spans="1:10" ht="59.25" customHeight="1" x14ac:dyDescent="0.25">
      <c r="A16" s="155" t="s">
        <v>221</v>
      </c>
      <c r="B16" s="205" t="s">
        <v>296</v>
      </c>
      <c r="C16" s="156" t="s">
        <v>266</v>
      </c>
      <c r="D16" s="205" t="s">
        <v>297</v>
      </c>
      <c r="E16" s="156"/>
      <c r="F16" s="158"/>
    </row>
    <row r="17" spans="1:6" ht="69" x14ac:dyDescent="0.25">
      <c r="A17" s="155" t="s">
        <v>221</v>
      </c>
      <c r="B17" s="205" t="s">
        <v>273</v>
      </c>
      <c r="C17" s="156" t="s">
        <v>269</v>
      </c>
      <c r="D17" s="206" t="s">
        <v>298</v>
      </c>
      <c r="E17" s="156"/>
      <c r="F17" s="158"/>
    </row>
    <row r="18" spans="1:6" ht="69" x14ac:dyDescent="0.25">
      <c r="A18" s="155" t="s">
        <v>221</v>
      </c>
      <c r="B18" s="205" t="s">
        <v>299</v>
      </c>
      <c r="C18" s="156" t="s">
        <v>269</v>
      </c>
      <c r="D18" s="206" t="s">
        <v>300</v>
      </c>
      <c r="E18" s="156"/>
      <c r="F18" s="158"/>
    </row>
    <row r="19" spans="1:6" ht="73.5" customHeight="1" x14ac:dyDescent="0.25">
      <c r="A19" s="155" t="s">
        <v>222</v>
      </c>
      <c r="B19" s="205" t="s">
        <v>301</v>
      </c>
      <c r="C19" s="156" t="s">
        <v>276</v>
      </c>
      <c r="D19" s="207" t="s">
        <v>302</v>
      </c>
      <c r="E19" s="156"/>
      <c r="F19" s="158"/>
    </row>
    <row r="20" spans="1:6" ht="69" x14ac:dyDescent="0.25">
      <c r="A20" s="155" t="s">
        <v>222</v>
      </c>
      <c r="B20" s="205" t="s">
        <v>303</v>
      </c>
      <c r="C20" s="156" t="s">
        <v>269</v>
      </c>
      <c r="D20" s="208" t="s">
        <v>304</v>
      </c>
      <c r="E20" s="156"/>
      <c r="F20" s="158"/>
    </row>
    <row r="21" spans="1:6" ht="66.75" customHeight="1" x14ac:dyDescent="0.25">
      <c r="A21" s="155" t="s">
        <v>220</v>
      </c>
      <c r="B21" s="205" t="s">
        <v>305</v>
      </c>
      <c r="C21" s="156" t="s">
        <v>277</v>
      </c>
      <c r="D21" s="208" t="s">
        <v>306</v>
      </c>
      <c r="E21" s="156"/>
      <c r="F21" s="158"/>
    </row>
    <row r="22" spans="1:6" ht="69" customHeight="1" thickBot="1" x14ac:dyDescent="0.3">
      <c r="A22" s="155" t="s">
        <v>220</v>
      </c>
      <c r="B22" s="205" t="s">
        <v>307</v>
      </c>
      <c r="C22" s="156" t="s">
        <v>275</v>
      </c>
      <c r="D22" s="159" t="s">
        <v>353</v>
      </c>
      <c r="E22" s="156"/>
      <c r="F22" s="158"/>
    </row>
    <row r="23" spans="1:6" ht="75" customHeight="1" x14ac:dyDescent="0.25">
      <c r="A23" s="199" t="s">
        <v>265</v>
      </c>
      <c r="B23" s="200" t="s">
        <v>351</v>
      </c>
      <c r="C23" s="156"/>
      <c r="D23" s="159"/>
      <c r="E23" s="156"/>
      <c r="F23" s="158"/>
    </row>
    <row r="24" spans="1:6" ht="57.75" customHeight="1" x14ac:dyDescent="0.25">
      <c r="A24" s="155"/>
      <c r="B24" s="157"/>
      <c r="C24" s="156"/>
      <c r="D24" s="159"/>
      <c r="E24" s="156"/>
      <c r="F24" s="158"/>
    </row>
    <row r="25" spans="1:6" ht="62.25" customHeight="1" x14ac:dyDescent="0.25">
      <c r="A25" s="155"/>
      <c r="B25" s="157"/>
      <c r="C25" s="156"/>
      <c r="D25" s="159"/>
      <c r="E25" s="156"/>
      <c r="F25" s="158"/>
    </row>
    <row r="26" spans="1:6" ht="56.25" customHeight="1" thickBot="1" x14ac:dyDescent="0.3">
      <c r="A26" s="160"/>
      <c r="B26" s="161"/>
      <c r="C26" s="162"/>
      <c r="D26" s="163"/>
      <c r="E26" s="162"/>
      <c r="F26" s="164"/>
    </row>
    <row r="27" spans="1:6" ht="65.25" customHeight="1" x14ac:dyDescent="0.25">
      <c r="A27" s="165"/>
      <c r="B27" s="166"/>
      <c r="C27" s="165"/>
      <c r="D27" s="167"/>
      <c r="E27" s="165"/>
      <c r="F27" s="167"/>
    </row>
    <row r="28" spans="1:6" ht="62.25" customHeight="1" x14ac:dyDescent="0.25">
      <c r="A28" s="165"/>
      <c r="B28" s="166"/>
      <c r="C28" s="165"/>
      <c r="D28" s="167"/>
      <c r="E28" s="165"/>
      <c r="F28" s="167"/>
    </row>
    <row r="29" spans="1:6" ht="63" customHeight="1" x14ac:dyDescent="0.25">
      <c r="A29" s="165"/>
      <c r="B29" s="166"/>
      <c r="C29" s="165"/>
      <c r="D29" s="167"/>
      <c r="E29" s="165"/>
      <c r="F29" s="166"/>
    </row>
    <row r="30" spans="1:6" ht="51.75" customHeight="1" x14ac:dyDescent="0.25">
      <c r="A30" s="165"/>
      <c r="B30" s="166"/>
      <c r="C30" s="165"/>
      <c r="D30" s="167"/>
      <c r="E30" s="165"/>
      <c r="F30" s="166"/>
    </row>
    <row r="31" spans="1:6" ht="52.5" customHeight="1" x14ac:dyDescent="0.25">
      <c r="A31" s="165"/>
      <c r="B31" s="167"/>
      <c r="C31" s="165"/>
      <c r="D31" s="167"/>
      <c r="E31" s="165"/>
      <c r="F31" s="167"/>
    </row>
    <row r="32" spans="1:6" ht="63.75" customHeight="1" x14ac:dyDescent="0.25">
      <c r="A32" s="165"/>
      <c r="B32" s="167"/>
      <c r="C32" s="165"/>
      <c r="D32" s="167"/>
      <c r="E32" s="165"/>
      <c r="F32" s="167"/>
    </row>
    <row r="33" spans="1:6" ht="66" customHeight="1" x14ac:dyDescent="0.25">
      <c r="A33" s="165"/>
      <c r="B33" s="168"/>
      <c r="C33" s="165"/>
      <c r="D33" s="169"/>
      <c r="E33" s="165"/>
      <c r="F33" s="168"/>
    </row>
    <row r="34" spans="1:6" ht="55.5" customHeight="1" x14ac:dyDescent="0.25">
      <c r="A34" s="165"/>
      <c r="B34" s="168"/>
      <c r="C34" s="165"/>
      <c r="D34" s="169"/>
      <c r="E34" s="165"/>
      <c r="F34" s="170"/>
    </row>
    <row r="35" spans="1:6" ht="51.75" customHeight="1" x14ac:dyDescent="0.25">
      <c r="A35" s="165"/>
      <c r="B35" s="170"/>
      <c r="C35" s="165"/>
      <c r="D35" s="171"/>
      <c r="E35" s="165"/>
      <c r="F35" s="170"/>
    </row>
    <row r="36" spans="1:6" ht="55.5" customHeight="1" x14ac:dyDescent="0.25">
      <c r="A36" s="165"/>
      <c r="B36" s="170"/>
      <c r="C36" s="165"/>
      <c r="D36" s="170"/>
      <c r="E36" s="165"/>
      <c r="F36" s="170"/>
    </row>
    <row r="37" spans="1:6" ht="55.5" customHeight="1" x14ac:dyDescent="0.25">
      <c r="A37" s="165"/>
      <c r="B37" s="170"/>
      <c r="C37" s="165"/>
      <c r="D37" s="170"/>
      <c r="E37" s="165"/>
      <c r="F37" s="170"/>
    </row>
    <row r="38" spans="1:6" ht="54.75" customHeight="1" x14ac:dyDescent="0.25">
      <c r="A38" s="165"/>
      <c r="B38" s="170"/>
      <c r="C38" s="165"/>
      <c r="D38" s="170"/>
      <c r="E38" s="165"/>
      <c r="F38" s="170"/>
    </row>
    <row r="39" spans="1:6" ht="56.25" customHeight="1" x14ac:dyDescent="0.25">
      <c r="A39" s="165"/>
      <c r="B39" s="170"/>
      <c r="C39" s="165"/>
      <c r="D39" s="170"/>
      <c r="E39" s="165"/>
      <c r="F39" s="170"/>
    </row>
    <row r="40" spans="1:6" ht="54.75" customHeight="1" x14ac:dyDescent="0.25">
      <c r="A40" s="165"/>
      <c r="B40" s="168"/>
      <c r="C40" s="165"/>
      <c r="D40" s="169"/>
      <c r="E40" s="165"/>
      <c r="F40" s="168"/>
    </row>
    <row r="41" spans="1:6" ht="55.5" customHeight="1" x14ac:dyDescent="0.25">
      <c r="A41" s="165"/>
      <c r="B41" s="168"/>
      <c r="C41" s="165"/>
      <c r="D41" s="169"/>
      <c r="E41" s="165"/>
      <c r="F41" s="170"/>
    </row>
    <row r="42" spans="1:6" ht="54.75" customHeight="1" x14ac:dyDescent="0.25">
      <c r="A42" s="165"/>
      <c r="B42" s="170"/>
      <c r="C42" s="165"/>
      <c r="D42" s="171"/>
      <c r="E42" s="165"/>
      <c r="F42" s="170"/>
    </row>
    <row r="43" spans="1:6" ht="55.5" customHeight="1" x14ac:dyDescent="0.25">
      <c r="A43" s="165"/>
      <c r="B43" s="170"/>
      <c r="C43" s="165"/>
      <c r="D43" s="170"/>
      <c r="E43" s="165"/>
      <c r="F43" s="170"/>
    </row>
    <row r="44" spans="1:6" ht="56.25" customHeight="1" x14ac:dyDescent="0.25">
      <c r="A44" s="165"/>
      <c r="B44" s="170"/>
      <c r="C44" s="165"/>
      <c r="D44" s="170"/>
      <c r="E44" s="165"/>
      <c r="F44" s="170"/>
    </row>
    <row r="45" spans="1:6" ht="59.25" customHeight="1" x14ac:dyDescent="0.25">
      <c r="A45" s="165"/>
      <c r="B45" s="170"/>
      <c r="C45" s="165"/>
      <c r="D45" s="170"/>
      <c r="E45" s="165"/>
      <c r="F45" s="170"/>
    </row>
    <row r="46" spans="1:6" ht="55.5" customHeight="1" x14ac:dyDescent="0.25">
      <c r="A46" s="165"/>
      <c r="B46" s="170"/>
      <c r="C46" s="165"/>
      <c r="D46" s="170"/>
      <c r="E46" s="165"/>
      <c r="F46" s="170"/>
    </row>
    <row r="47" spans="1:6" ht="55.5" customHeight="1" x14ac:dyDescent="0.25">
      <c r="A47" s="165"/>
      <c r="B47" s="168"/>
      <c r="C47" s="165"/>
      <c r="D47" s="169"/>
      <c r="E47" s="165"/>
      <c r="F47" s="168"/>
    </row>
    <row r="48" spans="1:6" ht="56.25" customHeight="1" x14ac:dyDescent="0.25">
      <c r="A48" s="165"/>
      <c r="B48" s="168"/>
      <c r="C48" s="165"/>
      <c r="D48" s="169"/>
      <c r="E48" s="165"/>
      <c r="F48" s="170"/>
    </row>
    <row r="49" spans="1:6" ht="54" customHeight="1" x14ac:dyDescent="0.25">
      <c r="A49" s="165"/>
      <c r="B49" s="170"/>
      <c r="C49" s="165"/>
      <c r="D49" s="171"/>
      <c r="E49" s="165"/>
      <c r="F49" s="170"/>
    </row>
    <row r="50" spans="1:6" ht="56.25" customHeight="1" x14ac:dyDescent="0.25">
      <c r="A50" s="165"/>
      <c r="B50" s="170"/>
      <c r="C50" s="165"/>
      <c r="D50" s="170"/>
      <c r="E50" s="165"/>
      <c r="F50" s="170"/>
    </row>
    <row r="51" spans="1:6" ht="59.25" customHeight="1" x14ac:dyDescent="0.25">
      <c r="A51" s="165"/>
      <c r="B51" s="170"/>
      <c r="C51" s="165"/>
      <c r="D51" s="170"/>
      <c r="E51" s="165"/>
      <c r="F51" s="170"/>
    </row>
    <row r="52" spans="1:6" ht="54.75" customHeight="1" x14ac:dyDescent="0.25">
      <c r="A52" s="165"/>
      <c r="B52" s="170"/>
      <c r="C52" s="165"/>
      <c r="D52" s="170"/>
      <c r="E52" s="165"/>
      <c r="F52" s="170"/>
    </row>
    <row r="53" spans="1:6" ht="55.5" customHeight="1" x14ac:dyDescent="0.25">
      <c r="A53" s="165"/>
      <c r="B53" s="170"/>
      <c r="C53" s="165"/>
      <c r="D53" s="170"/>
      <c r="E53" s="165"/>
      <c r="F53" s="170"/>
    </row>
  </sheetData>
  <mergeCells count="10">
    <mergeCell ref="J1:J4"/>
    <mergeCell ref="B3:D4"/>
    <mergeCell ref="A5:F5"/>
    <mergeCell ref="A6:F7"/>
    <mergeCell ref="A8:F8"/>
    <mergeCell ref="A9:F9"/>
    <mergeCell ref="A10:F10"/>
    <mergeCell ref="A1:A4"/>
    <mergeCell ref="B1:D2"/>
    <mergeCell ref="F1:F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topLeftCell="A32" workbookViewId="0">
      <selection activeCell="B36" sqref="B36"/>
    </sheetView>
  </sheetViews>
  <sheetFormatPr baseColWidth="10" defaultColWidth="11.44140625" defaultRowHeight="14.4" x14ac:dyDescent="0.3"/>
  <cols>
    <col min="1" max="1" width="5.109375" style="192" customWidth="1"/>
    <col min="2" max="2" width="40.44140625" style="193" customWidth="1"/>
    <col min="3" max="17" width="6.44140625" style="193" customWidth="1"/>
    <col min="18" max="18" width="8.109375" style="193" customWidth="1"/>
    <col min="19" max="19" width="13" style="194" customWidth="1"/>
    <col min="20" max="20" width="19.6640625" style="217" customWidth="1"/>
    <col min="21" max="22" width="11.44140625" hidden="1" customWidth="1"/>
    <col min="23" max="23" width="9.33203125" hidden="1" customWidth="1"/>
  </cols>
  <sheetData>
    <row r="1" spans="1:24" ht="32.25" customHeight="1" x14ac:dyDescent="0.3">
      <c r="A1" s="337"/>
      <c r="B1" s="340" t="str">
        <f>[1]CONTEXTO!B1</f>
        <v xml:space="preserve">PROCESO: </v>
      </c>
      <c r="C1" s="340"/>
      <c r="D1" s="340"/>
      <c r="E1" s="340"/>
      <c r="F1" s="340"/>
      <c r="G1" s="340"/>
      <c r="H1" s="340"/>
      <c r="I1" s="340"/>
      <c r="J1" s="340"/>
      <c r="K1" s="340"/>
      <c r="L1" s="340"/>
      <c r="M1" s="340"/>
      <c r="N1" s="340"/>
      <c r="O1" s="340"/>
      <c r="P1" s="340"/>
      <c r="Q1" s="340"/>
      <c r="R1" s="340"/>
      <c r="S1" s="341"/>
      <c r="T1" s="218" t="s">
        <v>259</v>
      </c>
      <c r="U1" s="220"/>
      <c r="V1" s="147"/>
      <c r="W1" s="218"/>
    </row>
    <row r="2" spans="1:24" ht="24" customHeight="1" x14ac:dyDescent="0.3">
      <c r="A2" s="338"/>
      <c r="B2" s="342"/>
      <c r="C2" s="342"/>
      <c r="D2" s="342"/>
      <c r="E2" s="342"/>
      <c r="F2" s="342"/>
      <c r="G2" s="342"/>
      <c r="H2" s="342"/>
      <c r="I2" s="342"/>
      <c r="J2" s="342"/>
      <c r="K2" s="342"/>
      <c r="L2" s="342"/>
      <c r="M2" s="342"/>
      <c r="N2" s="342"/>
      <c r="O2" s="342"/>
      <c r="P2" s="342"/>
      <c r="Q2" s="342"/>
      <c r="R2" s="342"/>
      <c r="S2" s="343"/>
      <c r="T2" s="219" t="s">
        <v>260</v>
      </c>
      <c r="U2" s="221"/>
      <c r="V2" s="151"/>
      <c r="W2" s="219"/>
    </row>
    <row r="3" spans="1:24" x14ac:dyDescent="0.3">
      <c r="A3" s="338"/>
      <c r="B3" s="342" t="s">
        <v>223</v>
      </c>
      <c r="C3" s="342"/>
      <c r="D3" s="342"/>
      <c r="E3" s="342"/>
      <c r="F3" s="342"/>
      <c r="G3" s="342"/>
      <c r="H3" s="342"/>
      <c r="I3" s="342"/>
      <c r="J3" s="342"/>
      <c r="K3" s="342"/>
      <c r="L3" s="342"/>
      <c r="M3" s="342"/>
      <c r="N3" s="342"/>
      <c r="O3" s="342"/>
      <c r="P3" s="342"/>
      <c r="Q3" s="342"/>
      <c r="R3" s="342"/>
      <c r="S3" s="343"/>
      <c r="T3" s="219" t="s">
        <v>263</v>
      </c>
      <c r="U3" s="221"/>
      <c r="V3" s="151"/>
      <c r="W3" s="219"/>
    </row>
    <row r="4" spans="1:24" x14ac:dyDescent="0.3">
      <c r="A4" s="339"/>
      <c r="B4" s="344"/>
      <c r="C4" s="344"/>
      <c r="D4" s="344"/>
      <c r="E4" s="344"/>
      <c r="F4" s="344"/>
      <c r="G4" s="344"/>
      <c r="H4" s="344"/>
      <c r="I4" s="344"/>
      <c r="J4" s="344"/>
      <c r="K4" s="344"/>
      <c r="L4" s="344"/>
      <c r="M4" s="344"/>
      <c r="N4" s="344"/>
      <c r="O4" s="344"/>
      <c r="P4" s="344"/>
      <c r="Q4" s="344"/>
      <c r="R4" s="344"/>
      <c r="S4" s="345"/>
      <c r="T4" s="219" t="s">
        <v>262</v>
      </c>
      <c r="U4" s="221"/>
      <c r="V4" s="151"/>
      <c r="W4" s="219"/>
    </row>
    <row r="5" spans="1:24" x14ac:dyDescent="0.3">
      <c r="A5" s="339"/>
      <c r="B5" s="346"/>
      <c r="C5" s="346"/>
      <c r="D5" s="346"/>
      <c r="E5" s="346"/>
      <c r="F5" s="346"/>
      <c r="G5" s="346"/>
      <c r="H5" s="346"/>
      <c r="I5" s="346"/>
      <c r="J5" s="346"/>
      <c r="K5" s="346"/>
      <c r="L5" s="346"/>
      <c r="M5" s="346"/>
      <c r="N5" s="346"/>
      <c r="O5" s="346"/>
      <c r="P5" s="346"/>
      <c r="Q5" s="346"/>
      <c r="R5" s="346"/>
      <c r="S5" s="346"/>
      <c r="T5" s="347"/>
      <c r="U5" s="166"/>
      <c r="V5" s="166"/>
      <c r="W5" s="172"/>
    </row>
    <row r="6" spans="1:24" s="149" customFormat="1" ht="13.8" x14ac:dyDescent="0.25">
      <c r="A6" s="348" t="str">
        <f>+Contexto!A8</f>
        <v>PROCESO: GESTIÓN DE  INNOVACION Y TIC</v>
      </c>
      <c r="B6" s="349"/>
      <c r="C6" s="349"/>
      <c r="D6" s="349"/>
      <c r="E6" s="349"/>
      <c r="F6" s="349"/>
      <c r="G6" s="349"/>
      <c r="H6" s="349"/>
      <c r="I6" s="349"/>
      <c r="J6" s="349"/>
      <c r="K6" s="349"/>
      <c r="L6" s="349"/>
      <c r="M6" s="349"/>
      <c r="N6" s="349"/>
      <c r="O6" s="349"/>
      <c r="P6" s="349"/>
      <c r="Q6" s="349"/>
      <c r="R6" s="349"/>
      <c r="S6" s="349"/>
      <c r="T6" s="350"/>
      <c r="W6" s="173"/>
    </row>
    <row r="7" spans="1:24" s="149" customFormat="1" ht="57" customHeight="1" thickBot="1" x14ac:dyDescent="0.3">
      <c r="A7" s="351" t="str">
        <f>+Contexto!A9</f>
        <v>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v>
      </c>
      <c r="B7" s="352"/>
      <c r="C7" s="352"/>
      <c r="D7" s="352"/>
      <c r="E7" s="352"/>
      <c r="F7" s="352"/>
      <c r="G7" s="352"/>
      <c r="H7" s="352"/>
      <c r="I7" s="352"/>
      <c r="J7" s="352"/>
      <c r="K7" s="352"/>
      <c r="L7" s="352"/>
      <c r="M7" s="352"/>
      <c r="N7" s="352"/>
      <c r="O7" s="352"/>
      <c r="P7" s="352"/>
      <c r="Q7" s="352"/>
      <c r="R7" s="352"/>
      <c r="S7" s="352"/>
      <c r="T7" s="353"/>
      <c r="U7" s="174"/>
      <c r="V7" s="174"/>
      <c r="W7" s="175"/>
    </row>
    <row r="8" spans="1:24" s="149" customFormat="1" thickBot="1" x14ac:dyDescent="0.3">
      <c r="A8" s="176"/>
      <c r="B8" s="176"/>
      <c r="C8" s="176"/>
      <c r="D8" s="176"/>
      <c r="E8" s="176"/>
      <c r="F8" s="176"/>
      <c r="G8" s="176"/>
      <c r="H8" s="176"/>
      <c r="I8" s="176"/>
      <c r="J8" s="176"/>
      <c r="K8" s="176"/>
      <c r="L8" s="176"/>
      <c r="M8" s="176"/>
      <c r="N8" s="176"/>
      <c r="O8" s="176"/>
      <c r="P8" s="176"/>
      <c r="Q8" s="176"/>
      <c r="R8" s="176"/>
      <c r="S8" s="176"/>
      <c r="T8" s="216"/>
      <c r="X8" s="177"/>
    </row>
    <row r="9" spans="1:24" s="149" customFormat="1" thickBot="1" x14ac:dyDescent="0.3">
      <c r="A9" s="354"/>
      <c r="B9" s="354"/>
      <c r="C9" s="354" t="b">
        <v>0</v>
      </c>
      <c r="D9" s="354"/>
      <c r="E9" s="354"/>
      <c r="F9" s="354"/>
      <c r="G9" s="354"/>
      <c r="H9" s="354"/>
      <c r="I9" s="354"/>
      <c r="J9" s="354"/>
      <c r="K9" s="354"/>
      <c r="L9" s="354"/>
      <c r="M9" s="354"/>
      <c r="N9" s="354"/>
      <c r="O9" s="354"/>
      <c r="P9" s="354"/>
      <c r="Q9" s="354"/>
      <c r="R9" s="354"/>
      <c r="S9" s="354"/>
      <c r="T9" s="355"/>
    </row>
    <row r="10" spans="1:24" s="182" customFormat="1" ht="24.6" thickBot="1" x14ac:dyDescent="0.3">
      <c r="A10" s="178" t="s">
        <v>224</v>
      </c>
      <c r="B10" s="179" t="s">
        <v>225</v>
      </c>
      <c r="C10" s="179" t="s">
        <v>226</v>
      </c>
      <c r="D10" s="179" t="s">
        <v>227</v>
      </c>
      <c r="E10" s="179" t="s">
        <v>228</v>
      </c>
      <c r="F10" s="179" t="s">
        <v>229</v>
      </c>
      <c r="G10" s="179" t="s">
        <v>230</v>
      </c>
      <c r="H10" s="179" t="s">
        <v>231</v>
      </c>
      <c r="I10" s="179" t="s">
        <v>232</v>
      </c>
      <c r="J10" s="179" t="s">
        <v>233</v>
      </c>
      <c r="K10" s="179" t="s">
        <v>234</v>
      </c>
      <c r="L10" s="179" t="s">
        <v>235</v>
      </c>
      <c r="M10" s="179" t="s">
        <v>236</v>
      </c>
      <c r="N10" s="179" t="s">
        <v>237</v>
      </c>
      <c r="O10" s="179" t="s">
        <v>238</v>
      </c>
      <c r="P10" s="179" t="s">
        <v>239</v>
      </c>
      <c r="Q10" s="179" t="s">
        <v>240</v>
      </c>
      <c r="R10" s="180" t="s">
        <v>241</v>
      </c>
      <c r="S10" s="181" t="s">
        <v>242</v>
      </c>
      <c r="T10" s="215" t="s">
        <v>243</v>
      </c>
    </row>
    <row r="11" spans="1:24" ht="103.5" customHeight="1" x14ac:dyDescent="0.3">
      <c r="A11" s="183">
        <v>1</v>
      </c>
      <c r="B11" s="157" t="str">
        <f>+Contexto!B12</f>
        <v>Constantes cambios normativos (leyes, decretos, acuerdos) y declaratorias de emergencias
Normatividad y lineamientos establecidos por el Ministerio de Tecnologías de la Información y Comunicaciones (MinTIC) para zonas digitales gratuitas</v>
      </c>
      <c r="C11" s="212">
        <v>4</v>
      </c>
      <c r="D11" s="212">
        <v>3</v>
      </c>
      <c r="E11" s="212">
        <v>3</v>
      </c>
      <c r="F11" s="213">
        <v>3</v>
      </c>
      <c r="G11" s="184"/>
      <c r="H11" s="184"/>
      <c r="I11" s="184"/>
      <c r="J11" s="184"/>
      <c r="K11" s="184"/>
      <c r="L11" s="184"/>
      <c r="M11" s="184"/>
      <c r="N11" s="184"/>
      <c r="O11" s="184"/>
      <c r="P11" s="184"/>
      <c r="Q11" s="184"/>
      <c r="R11" s="183">
        <f t="shared" ref="R11:R22" si="0">SUM(C11:Q11)</f>
        <v>13</v>
      </c>
      <c r="S11" s="185">
        <f t="shared" ref="S11:S34" si="1">IF(ISERROR(AVERAGE(C11:Q11)),0,AVERAGE(C11:Q11))</f>
        <v>3.25</v>
      </c>
      <c r="T11" s="222"/>
    </row>
    <row r="12" spans="1:24" x14ac:dyDescent="0.3">
      <c r="A12" s="183">
        <v>2</v>
      </c>
      <c r="B12" s="157" t="str">
        <f>+Contexto!B13</f>
        <v>responsabilidad social y orden público</v>
      </c>
      <c r="C12" s="212">
        <v>2</v>
      </c>
      <c r="D12" s="212">
        <v>4</v>
      </c>
      <c r="E12" s="212">
        <v>2</v>
      </c>
      <c r="F12" s="214">
        <v>4</v>
      </c>
      <c r="G12" s="184"/>
      <c r="H12" s="184"/>
      <c r="I12" s="184"/>
      <c r="J12" s="184"/>
      <c r="K12" s="184"/>
      <c r="L12" s="184"/>
      <c r="M12" s="184"/>
      <c r="N12" s="184"/>
      <c r="O12" s="184"/>
      <c r="P12" s="184"/>
      <c r="Q12" s="184"/>
      <c r="R12" s="183">
        <f t="shared" si="0"/>
        <v>12</v>
      </c>
      <c r="S12" s="185">
        <f t="shared" si="1"/>
        <v>3</v>
      </c>
      <c r="T12" s="223"/>
    </row>
    <row r="13" spans="1:24" ht="69" x14ac:dyDescent="0.3">
      <c r="A13" s="183">
        <v>3</v>
      </c>
      <c r="B13" s="157" t="str">
        <f>+Contexto!B14</f>
        <v>Falta de regulación para controlar el Incremento de precios en las cotizaciones de los oferentes en la contratación de Bienes y servicios logísticos, operativos y tecnológicos</v>
      </c>
      <c r="C13" s="212">
        <v>3</v>
      </c>
      <c r="D13" s="212">
        <v>4</v>
      </c>
      <c r="E13" s="212">
        <v>3</v>
      </c>
      <c r="F13" s="213">
        <v>2</v>
      </c>
      <c r="G13" s="184"/>
      <c r="H13" s="184"/>
      <c r="I13" s="184"/>
      <c r="J13" s="184"/>
      <c r="K13" s="184"/>
      <c r="L13" s="184"/>
      <c r="M13" s="184"/>
      <c r="N13" s="184"/>
      <c r="O13" s="184"/>
      <c r="P13" s="184"/>
      <c r="Q13" s="184"/>
      <c r="R13" s="183">
        <f t="shared" si="0"/>
        <v>12</v>
      </c>
      <c r="S13" s="185">
        <f t="shared" si="1"/>
        <v>3</v>
      </c>
      <c r="T13" s="224"/>
    </row>
    <row r="14" spans="1:24" ht="27.6" x14ac:dyDescent="0.3">
      <c r="A14" s="226">
        <v>4</v>
      </c>
      <c r="B14" s="227" t="str">
        <f>+Contexto!B15</f>
        <v>Variación en los tipos de cambios monetarios y cambios normativos tributarios</v>
      </c>
      <c r="C14" s="209">
        <v>4</v>
      </c>
      <c r="D14" s="209">
        <v>4</v>
      </c>
      <c r="E14" s="209">
        <v>4</v>
      </c>
      <c r="F14" s="210">
        <v>4</v>
      </c>
      <c r="G14" s="211"/>
      <c r="H14" s="211"/>
      <c r="I14" s="211"/>
      <c r="J14" s="211"/>
      <c r="K14" s="211"/>
      <c r="L14" s="211"/>
      <c r="M14" s="211"/>
      <c r="N14" s="211"/>
      <c r="O14" s="211"/>
      <c r="P14" s="211"/>
      <c r="Q14" s="211"/>
      <c r="R14" s="226">
        <f t="shared" si="0"/>
        <v>16</v>
      </c>
      <c r="S14" s="228">
        <f t="shared" si="1"/>
        <v>4</v>
      </c>
      <c r="T14" s="229" t="s">
        <v>309</v>
      </c>
    </row>
    <row r="15" spans="1:24" x14ac:dyDescent="0.3">
      <c r="A15" s="226">
        <v>5</v>
      </c>
      <c r="B15" s="227" t="str">
        <f>+Contexto!B16</f>
        <v>Incremento de los delitos informáticos</v>
      </c>
      <c r="C15" s="209">
        <v>4</v>
      </c>
      <c r="D15" s="209">
        <v>4</v>
      </c>
      <c r="E15" s="209">
        <v>4</v>
      </c>
      <c r="F15" s="210">
        <v>4</v>
      </c>
      <c r="G15" s="211"/>
      <c r="H15" s="211"/>
      <c r="I15" s="211"/>
      <c r="J15" s="211"/>
      <c r="K15" s="211"/>
      <c r="L15" s="211"/>
      <c r="M15" s="211"/>
      <c r="N15" s="211"/>
      <c r="O15" s="211"/>
      <c r="P15" s="211"/>
      <c r="Q15" s="211"/>
      <c r="R15" s="226">
        <f t="shared" si="0"/>
        <v>16</v>
      </c>
      <c r="S15" s="228">
        <f t="shared" si="1"/>
        <v>4</v>
      </c>
      <c r="T15" s="229" t="s">
        <v>309</v>
      </c>
    </row>
    <row r="16" spans="1:24" ht="27.6" x14ac:dyDescent="0.3">
      <c r="A16" s="226">
        <v>6</v>
      </c>
      <c r="B16" s="227" t="str">
        <f>+Contexto!B17</f>
        <v xml:space="preserve">Constante innovación  y evolución tecnológica   </v>
      </c>
      <c r="C16" s="209">
        <v>3</v>
      </c>
      <c r="D16" s="209">
        <v>4</v>
      </c>
      <c r="E16" s="209">
        <v>3</v>
      </c>
      <c r="F16" s="210">
        <v>4</v>
      </c>
      <c r="G16" s="211"/>
      <c r="H16" s="211"/>
      <c r="I16" s="211"/>
      <c r="J16" s="211"/>
      <c r="K16" s="211"/>
      <c r="L16" s="211"/>
      <c r="M16" s="211"/>
      <c r="N16" s="211"/>
      <c r="O16" s="211"/>
      <c r="P16" s="211"/>
      <c r="Q16" s="211"/>
      <c r="R16" s="226">
        <f t="shared" si="0"/>
        <v>14</v>
      </c>
      <c r="S16" s="228">
        <f t="shared" si="1"/>
        <v>3.5</v>
      </c>
      <c r="T16" s="229" t="s">
        <v>309</v>
      </c>
    </row>
    <row r="17" spans="1:20" ht="27.6" x14ac:dyDescent="0.3">
      <c r="A17" s="226">
        <v>7</v>
      </c>
      <c r="B17" s="227" t="str">
        <f>+Contexto!B18</f>
        <v xml:space="preserve">Fallas producidas por el proveedor del servicio de internet.  </v>
      </c>
      <c r="C17" s="209">
        <v>4</v>
      </c>
      <c r="D17" s="209">
        <v>4</v>
      </c>
      <c r="E17" s="209">
        <v>4</v>
      </c>
      <c r="F17" s="210">
        <v>4</v>
      </c>
      <c r="G17" s="211"/>
      <c r="H17" s="211"/>
      <c r="I17" s="211"/>
      <c r="J17" s="211"/>
      <c r="K17" s="211"/>
      <c r="L17" s="211"/>
      <c r="M17" s="211"/>
      <c r="N17" s="211"/>
      <c r="O17" s="211"/>
      <c r="P17" s="211"/>
      <c r="Q17" s="211"/>
      <c r="R17" s="226">
        <f t="shared" si="0"/>
        <v>16</v>
      </c>
      <c r="S17" s="228">
        <f t="shared" si="1"/>
        <v>4</v>
      </c>
      <c r="T17" s="229" t="s">
        <v>309</v>
      </c>
    </row>
    <row r="18" spans="1:20" x14ac:dyDescent="0.3">
      <c r="A18" s="183">
        <v>8</v>
      </c>
      <c r="B18" s="157" t="str">
        <f>+Contexto!B19</f>
        <v>Altas temperaturas o calor</v>
      </c>
      <c r="C18" s="212">
        <v>3</v>
      </c>
      <c r="D18" s="212">
        <v>3</v>
      </c>
      <c r="E18" s="212">
        <v>3</v>
      </c>
      <c r="F18" s="213">
        <v>3</v>
      </c>
      <c r="G18" s="184"/>
      <c r="H18" s="184"/>
      <c r="I18" s="184"/>
      <c r="J18" s="184"/>
      <c r="K18" s="184"/>
      <c r="L18" s="184"/>
      <c r="M18" s="184"/>
      <c r="N18" s="184"/>
      <c r="O18" s="184"/>
      <c r="P18" s="184"/>
      <c r="Q18" s="184"/>
      <c r="R18" s="183">
        <f t="shared" si="0"/>
        <v>12</v>
      </c>
      <c r="S18" s="185">
        <f t="shared" si="1"/>
        <v>3</v>
      </c>
      <c r="T18" s="224"/>
    </row>
    <row r="19" spans="1:20" x14ac:dyDescent="0.3">
      <c r="A19" s="183">
        <v>9</v>
      </c>
      <c r="B19" s="157" t="str">
        <f>+Contexto!B20</f>
        <v>Eventos naturales</v>
      </c>
      <c r="C19" s="212">
        <v>3</v>
      </c>
      <c r="D19" s="212">
        <v>3</v>
      </c>
      <c r="E19" s="212">
        <v>3</v>
      </c>
      <c r="F19" s="213">
        <v>3</v>
      </c>
      <c r="G19" s="184"/>
      <c r="H19" s="184"/>
      <c r="I19" s="184"/>
      <c r="J19" s="184"/>
      <c r="K19" s="184"/>
      <c r="L19" s="184"/>
      <c r="M19" s="184"/>
      <c r="N19" s="184"/>
      <c r="O19" s="184"/>
      <c r="P19" s="184"/>
      <c r="Q19" s="184"/>
      <c r="R19" s="183">
        <f t="shared" si="0"/>
        <v>12</v>
      </c>
      <c r="S19" s="185">
        <f t="shared" si="1"/>
        <v>3</v>
      </c>
      <c r="T19" s="224"/>
    </row>
    <row r="20" spans="1:20" ht="41.4" x14ac:dyDescent="0.3">
      <c r="A20" s="226">
        <v>10</v>
      </c>
      <c r="B20" s="227" t="str">
        <f>+Contexto!B21</f>
        <v>Mala utilización de los recursos  tecnológicos por parte de los usuarios externos</v>
      </c>
      <c r="C20" s="209">
        <v>4</v>
      </c>
      <c r="D20" s="209">
        <v>3</v>
      </c>
      <c r="E20" s="209">
        <v>3</v>
      </c>
      <c r="F20" s="210">
        <v>4</v>
      </c>
      <c r="G20" s="211"/>
      <c r="H20" s="211"/>
      <c r="I20" s="211"/>
      <c r="J20" s="211"/>
      <c r="K20" s="211"/>
      <c r="L20" s="211"/>
      <c r="M20" s="211"/>
      <c r="N20" s="211"/>
      <c r="O20" s="211"/>
      <c r="P20" s="211"/>
      <c r="Q20" s="211"/>
      <c r="R20" s="226">
        <f t="shared" si="0"/>
        <v>14</v>
      </c>
      <c r="S20" s="228">
        <f t="shared" si="1"/>
        <v>3.5</v>
      </c>
      <c r="T20" s="229" t="s">
        <v>309</v>
      </c>
    </row>
    <row r="21" spans="1:20" ht="28.2" thickBot="1" x14ac:dyDescent="0.35">
      <c r="A21" s="237">
        <v>11</v>
      </c>
      <c r="B21" s="238" t="str">
        <f>+Contexto!B22</f>
        <v>Aislamiento preventivo obligatorio del usuario externo.</v>
      </c>
      <c r="C21" s="239">
        <v>2</v>
      </c>
      <c r="D21" s="239">
        <v>2</v>
      </c>
      <c r="E21" s="239">
        <v>2</v>
      </c>
      <c r="F21" s="239">
        <v>3</v>
      </c>
      <c r="G21" s="240"/>
      <c r="H21" s="240"/>
      <c r="I21" s="240"/>
      <c r="J21" s="240"/>
      <c r="K21" s="240"/>
      <c r="L21" s="240"/>
      <c r="M21" s="240"/>
      <c r="N21" s="240"/>
      <c r="O21" s="240"/>
      <c r="P21" s="240"/>
      <c r="Q21" s="240"/>
      <c r="R21" s="237">
        <f t="shared" si="0"/>
        <v>9</v>
      </c>
      <c r="S21" s="241">
        <f t="shared" si="1"/>
        <v>2.25</v>
      </c>
      <c r="T21" s="242"/>
    </row>
    <row r="22" spans="1:20" ht="28.2" thickTop="1" x14ac:dyDescent="0.3">
      <c r="A22" s="230">
        <v>12</v>
      </c>
      <c r="B22" s="231" t="str">
        <f>+Contexto!D12</f>
        <v>Personal de planta insuficiente o sin las competencias necesarias para el proceso</v>
      </c>
      <c r="C22" s="232">
        <v>3</v>
      </c>
      <c r="D22" s="232">
        <v>3</v>
      </c>
      <c r="E22" s="232">
        <v>3</v>
      </c>
      <c r="F22" s="233">
        <v>3</v>
      </c>
      <c r="G22" s="234"/>
      <c r="H22" s="234"/>
      <c r="I22" s="234"/>
      <c r="J22" s="234"/>
      <c r="K22" s="234"/>
      <c r="L22" s="234"/>
      <c r="M22" s="234"/>
      <c r="N22" s="234"/>
      <c r="O22" s="234"/>
      <c r="P22" s="234"/>
      <c r="Q22" s="234"/>
      <c r="R22" s="230">
        <f t="shared" si="0"/>
        <v>12</v>
      </c>
      <c r="S22" s="235">
        <f t="shared" si="1"/>
        <v>3</v>
      </c>
      <c r="T22" s="236"/>
    </row>
    <row r="23" spans="1:20" ht="27.6" x14ac:dyDescent="0.3">
      <c r="A23" s="226">
        <v>13</v>
      </c>
      <c r="B23" s="227" t="str">
        <f>+Contexto!D13</f>
        <v>Falta de Ética y Valores,  tráfico de influencias y abuso de confianza</v>
      </c>
      <c r="C23" s="209">
        <v>3</v>
      </c>
      <c r="D23" s="209">
        <v>3</v>
      </c>
      <c r="E23" s="209">
        <v>4</v>
      </c>
      <c r="F23" s="210">
        <v>4</v>
      </c>
      <c r="G23" s="211"/>
      <c r="H23" s="211"/>
      <c r="I23" s="211"/>
      <c r="J23" s="211"/>
      <c r="K23" s="211"/>
      <c r="L23" s="211"/>
      <c r="M23" s="211"/>
      <c r="N23" s="211"/>
      <c r="O23" s="211"/>
      <c r="P23" s="211"/>
      <c r="Q23" s="211"/>
      <c r="R23" s="226">
        <f t="shared" ref="R23:R34" si="2">SUM(C23:Q23)</f>
        <v>14</v>
      </c>
      <c r="S23" s="228">
        <f t="shared" si="1"/>
        <v>3.5</v>
      </c>
      <c r="T23" s="229" t="s">
        <v>309</v>
      </c>
    </row>
    <row r="24" spans="1:20" ht="27.6" x14ac:dyDescent="0.3">
      <c r="A24" s="226">
        <v>14</v>
      </c>
      <c r="B24" s="227" t="str">
        <f>+Contexto!D14</f>
        <v>Deficiencia en la retencion del conocimiento
Deficiencia instalaciones eléctricas</v>
      </c>
      <c r="C24" s="209">
        <v>3</v>
      </c>
      <c r="D24" s="209">
        <v>4</v>
      </c>
      <c r="E24" s="209">
        <v>4</v>
      </c>
      <c r="F24" s="210">
        <v>4</v>
      </c>
      <c r="G24" s="211"/>
      <c r="H24" s="211"/>
      <c r="I24" s="211"/>
      <c r="J24" s="211"/>
      <c r="K24" s="211"/>
      <c r="L24" s="211"/>
      <c r="M24" s="211"/>
      <c r="N24" s="211"/>
      <c r="O24" s="211"/>
      <c r="P24" s="211"/>
      <c r="Q24" s="211"/>
      <c r="R24" s="226">
        <f t="shared" si="2"/>
        <v>15</v>
      </c>
      <c r="S24" s="228">
        <f t="shared" si="1"/>
        <v>3.75</v>
      </c>
      <c r="T24" s="229" t="s">
        <v>309</v>
      </c>
    </row>
    <row r="25" spans="1:20" ht="55.2" x14ac:dyDescent="0.3">
      <c r="A25" s="183">
        <v>15</v>
      </c>
      <c r="B25" s="157" t="str">
        <f>+Contexto!D15</f>
        <v>Ausentismo por disposiciones de trabajo en casa por aislamiento preventivo u obligatorio, previo cumplimiento de los requisitos normativos.</v>
      </c>
      <c r="C25" s="212">
        <v>2</v>
      </c>
      <c r="D25" s="212">
        <v>3</v>
      </c>
      <c r="E25" s="212">
        <v>3</v>
      </c>
      <c r="F25" s="213">
        <v>3</v>
      </c>
      <c r="G25" s="184"/>
      <c r="H25" s="184"/>
      <c r="I25" s="184"/>
      <c r="J25" s="184"/>
      <c r="K25" s="184"/>
      <c r="L25" s="184"/>
      <c r="M25" s="184"/>
      <c r="N25" s="184"/>
      <c r="O25" s="184"/>
      <c r="P25" s="184"/>
      <c r="Q25" s="184"/>
      <c r="R25" s="183">
        <f t="shared" si="2"/>
        <v>11</v>
      </c>
      <c r="S25" s="185">
        <f t="shared" si="1"/>
        <v>2.75</v>
      </c>
      <c r="T25" s="224"/>
    </row>
    <row r="26" spans="1:20" ht="41.4" x14ac:dyDescent="0.3">
      <c r="A26" s="226">
        <v>16</v>
      </c>
      <c r="B26" s="227" t="str">
        <f>+Contexto!D16</f>
        <v>Insuficiente  Presupuesto para cumplir con el correcto funcionamiento del proceso de la entidad y metas del plan de desarrollo</v>
      </c>
      <c r="C26" s="209">
        <v>3</v>
      </c>
      <c r="D26" s="209">
        <v>4</v>
      </c>
      <c r="E26" s="209">
        <v>4</v>
      </c>
      <c r="F26" s="210">
        <v>5</v>
      </c>
      <c r="G26" s="211"/>
      <c r="H26" s="211"/>
      <c r="I26" s="211"/>
      <c r="J26" s="211"/>
      <c r="K26" s="211"/>
      <c r="L26" s="211"/>
      <c r="M26" s="211"/>
      <c r="N26" s="211"/>
      <c r="O26" s="211"/>
      <c r="P26" s="211"/>
      <c r="Q26" s="211"/>
      <c r="R26" s="226">
        <f t="shared" si="2"/>
        <v>16</v>
      </c>
      <c r="S26" s="228">
        <f t="shared" si="1"/>
        <v>4</v>
      </c>
      <c r="T26" s="229" t="s">
        <v>309</v>
      </c>
    </row>
    <row r="27" spans="1:20" ht="27.6" x14ac:dyDescent="0.3">
      <c r="A27" s="226">
        <v>17</v>
      </c>
      <c r="B27" s="227" t="str">
        <f>+Contexto!D17</f>
        <v xml:space="preserve">Obsolescencia en la plataforma tecnológica (Hardware y Software) </v>
      </c>
      <c r="C27" s="209">
        <v>4</v>
      </c>
      <c r="D27" s="209">
        <v>4</v>
      </c>
      <c r="E27" s="209">
        <v>4</v>
      </c>
      <c r="F27" s="210">
        <v>4</v>
      </c>
      <c r="G27" s="211"/>
      <c r="H27" s="211"/>
      <c r="I27" s="211"/>
      <c r="J27" s="211"/>
      <c r="K27" s="211"/>
      <c r="L27" s="211"/>
      <c r="M27" s="211"/>
      <c r="N27" s="211"/>
      <c r="O27" s="211"/>
      <c r="P27" s="211"/>
      <c r="Q27" s="211"/>
      <c r="R27" s="226">
        <f t="shared" si="2"/>
        <v>16</v>
      </c>
      <c r="S27" s="228">
        <f t="shared" si="1"/>
        <v>4</v>
      </c>
      <c r="T27" s="229" t="s">
        <v>309</v>
      </c>
    </row>
    <row r="28" spans="1:20" ht="27.6" x14ac:dyDescent="0.3">
      <c r="A28" s="226">
        <v>18</v>
      </c>
      <c r="B28" s="227" t="str">
        <f>+Contexto!D18</f>
        <v>Deficiencias en el licenciamiento o uso de software no autorizado</v>
      </c>
      <c r="C28" s="209">
        <v>4</v>
      </c>
      <c r="D28" s="209">
        <v>3</v>
      </c>
      <c r="E28" s="209">
        <v>4</v>
      </c>
      <c r="F28" s="210">
        <v>3</v>
      </c>
      <c r="G28" s="211"/>
      <c r="H28" s="211"/>
      <c r="I28" s="211"/>
      <c r="J28" s="211"/>
      <c r="K28" s="211"/>
      <c r="L28" s="211"/>
      <c r="M28" s="211"/>
      <c r="N28" s="211"/>
      <c r="O28" s="211"/>
      <c r="P28" s="211"/>
      <c r="Q28" s="211"/>
      <c r="R28" s="226">
        <f t="shared" si="2"/>
        <v>14</v>
      </c>
      <c r="S28" s="228">
        <f t="shared" si="1"/>
        <v>3.5</v>
      </c>
      <c r="T28" s="229" t="s">
        <v>309</v>
      </c>
    </row>
    <row r="29" spans="1:20" ht="55.2" x14ac:dyDescent="0.3">
      <c r="A29" s="183">
        <v>19</v>
      </c>
      <c r="B29" s="157" t="str">
        <f>+Contexto!D19</f>
        <v>Deficiencia en la comunicación interna en el uso y manejo de la infraestructura fisica y tecnologica de los Centro de Experiencia Digital</v>
      </c>
      <c r="C29" s="212">
        <v>2</v>
      </c>
      <c r="D29" s="212">
        <v>2</v>
      </c>
      <c r="E29" s="212">
        <v>3</v>
      </c>
      <c r="F29" s="213">
        <v>4</v>
      </c>
      <c r="G29" s="184"/>
      <c r="H29" s="184"/>
      <c r="I29" s="184"/>
      <c r="J29" s="184"/>
      <c r="K29" s="184"/>
      <c r="L29" s="184"/>
      <c r="M29" s="184"/>
      <c r="N29" s="184"/>
      <c r="O29" s="184"/>
      <c r="P29" s="184"/>
      <c r="Q29" s="184"/>
      <c r="R29" s="183">
        <f t="shared" si="2"/>
        <v>11</v>
      </c>
      <c r="S29" s="185">
        <f t="shared" si="1"/>
        <v>2.75</v>
      </c>
      <c r="T29" s="224"/>
    </row>
    <row r="30" spans="1:20" ht="27.6" x14ac:dyDescent="0.3">
      <c r="A30" s="226">
        <v>20</v>
      </c>
      <c r="B30" s="227" t="str">
        <f>+Contexto!D20</f>
        <v xml:space="preserve">Obsolescencia del sistema de cableado estructurado existente </v>
      </c>
      <c r="C30" s="209">
        <v>3</v>
      </c>
      <c r="D30" s="209">
        <v>3</v>
      </c>
      <c r="E30" s="209">
        <v>4</v>
      </c>
      <c r="F30" s="210">
        <v>4</v>
      </c>
      <c r="G30" s="211"/>
      <c r="H30" s="211"/>
      <c r="I30" s="211"/>
      <c r="J30" s="211"/>
      <c r="K30" s="211"/>
      <c r="L30" s="211"/>
      <c r="M30" s="211"/>
      <c r="N30" s="211"/>
      <c r="O30" s="211"/>
      <c r="P30" s="211"/>
      <c r="Q30" s="211"/>
      <c r="R30" s="226">
        <f t="shared" si="2"/>
        <v>14</v>
      </c>
      <c r="S30" s="228">
        <f t="shared" si="1"/>
        <v>3.5</v>
      </c>
      <c r="T30" s="229" t="s">
        <v>309</v>
      </c>
    </row>
    <row r="31" spans="1:20" x14ac:dyDescent="0.3">
      <c r="A31" s="183">
        <v>21</v>
      </c>
      <c r="B31" s="157" t="str">
        <f>+Contexto!D21</f>
        <v>Fallas de fluido eléctrico</v>
      </c>
      <c r="C31" s="212">
        <v>3</v>
      </c>
      <c r="D31" s="212">
        <v>3</v>
      </c>
      <c r="E31" s="212">
        <v>3</v>
      </c>
      <c r="F31" s="213">
        <v>3</v>
      </c>
      <c r="G31" s="184"/>
      <c r="H31" s="184"/>
      <c r="I31" s="184"/>
      <c r="J31" s="184"/>
      <c r="K31" s="184"/>
      <c r="L31" s="184"/>
      <c r="M31" s="184"/>
      <c r="N31" s="184"/>
      <c r="O31" s="184"/>
      <c r="P31" s="184"/>
      <c r="Q31" s="184"/>
      <c r="R31" s="183">
        <f t="shared" si="2"/>
        <v>12</v>
      </c>
      <c r="S31" s="185">
        <f t="shared" si="1"/>
        <v>3</v>
      </c>
      <c r="T31" s="224"/>
    </row>
    <row r="32" spans="1:20" ht="79.5" customHeight="1" thickBot="1" x14ac:dyDescent="0.35">
      <c r="A32" s="258">
        <v>22</v>
      </c>
      <c r="B32" s="259" t="str">
        <f>+Contexto!D22</f>
        <v>Ausencia de políticas operativas claras y con especificaciones técnicas  para la asignación de las zonas de internet gratuito, que estén alineados con las disposiciones del Ministerio de las TIC.</v>
      </c>
      <c r="C32" s="260">
        <v>4</v>
      </c>
      <c r="D32" s="260">
        <v>4</v>
      </c>
      <c r="E32" s="260">
        <v>5</v>
      </c>
      <c r="F32" s="260">
        <v>4</v>
      </c>
      <c r="G32" s="261"/>
      <c r="H32" s="261"/>
      <c r="I32" s="261"/>
      <c r="J32" s="261"/>
      <c r="K32" s="261"/>
      <c r="L32" s="261"/>
      <c r="M32" s="261"/>
      <c r="N32" s="261"/>
      <c r="O32" s="261"/>
      <c r="P32" s="261"/>
      <c r="Q32" s="261"/>
      <c r="R32" s="258">
        <f t="shared" si="2"/>
        <v>17</v>
      </c>
      <c r="S32" s="262">
        <f t="shared" si="1"/>
        <v>4.25</v>
      </c>
      <c r="T32" s="263" t="s">
        <v>309</v>
      </c>
    </row>
    <row r="33" spans="1:20" ht="28.2" thickTop="1" x14ac:dyDescent="0.3">
      <c r="A33" s="243">
        <v>23</v>
      </c>
      <c r="B33" s="244" t="str">
        <f>+Contexto!F12</f>
        <v>Proceso contractual (demora en los tiempo de respuesta)</v>
      </c>
      <c r="C33" s="245">
        <v>3</v>
      </c>
      <c r="D33" s="245">
        <v>3</v>
      </c>
      <c r="E33" s="245">
        <v>3</v>
      </c>
      <c r="F33" s="246">
        <v>5</v>
      </c>
      <c r="G33" s="247"/>
      <c r="H33" s="247"/>
      <c r="I33" s="247"/>
      <c r="J33" s="247"/>
      <c r="K33" s="247"/>
      <c r="L33" s="247"/>
      <c r="M33" s="247"/>
      <c r="N33" s="247"/>
      <c r="O33" s="247"/>
      <c r="P33" s="247"/>
      <c r="Q33" s="247"/>
      <c r="R33" s="243">
        <f t="shared" si="2"/>
        <v>14</v>
      </c>
      <c r="S33" s="248">
        <f t="shared" si="1"/>
        <v>3.5</v>
      </c>
      <c r="T33" s="249" t="s">
        <v>309</v>
      </c>
    </row>
    <row r="34" spans="1:20" ht="27.6" x14ac:dyDescent="0.3">
      <c r="A34" s="226">
        <v>24</v>
      </c>
      <c r="B34" s="227" t="str">
        <f>+Contexto!F13</f>
        <v>Deterioro físico de los centros de Experiencia digital</v>
      </c>
      <c r="C34" s="211">
        <v>4</v>
      </c>
      <c r="D34" s="211">
        <v>4</v>
      </c>
      <c r="E34" s="211">
        <v>4</v>
      </c>
      <c r="F34" s="211">
        <v>4</v>
      </c>
      <c r="G34" s="211"/>
      <c r="H34" s="211"/>
      <c r="I34" s="211"/>
      <c r="J34" s="211"/>
      <c r="K34" s="211"/>
      <c r="L34" s="211"/>
      <c r="M34" s="211"/>
      <c r="N34" s="211"/>
      <c r="O34" s="211"/>
      <c r="P34" s="211"/>
      <c r="Q34" s="211"/>
      <c r="R34" s="226">
        <f t="shared" si="2"/>
        <v>16</v>
      </c>
      <c r="S34" s="228">
        <f t="shared" si="1"/>
        <v>4</v>
      </c>
      <c r="T34" s="229" t="s">
        <v>309</v>
      </c>
    </row>
    <row r="35" spans="1:20" ht="27.6" x14ac:dyDescent="0.3">
      <c r="A35" s="183">
        <v>25</v>
      </c>
      <c r="B35" s="157" t="str">
        <f>+Contexto!F14</f>
        <v>Cierre de contratos de serivicio de vigilancia y aseo.</v>
      </c>
      <c r="C35" s="184">
        <v>3</v>
      </c>
      <c r="D35" s="184">
        <v>3</v>
      </c>
      <c r="E35" s="184">
        <v>3</v>
      </c>
      <c r="F35" s="184">
        <v>3</v>
      </c>
      <c r="G35" s="184"/>
      <c r="H35" s="184"/>
      <c r="I35" s="184"/>
      <c r="J35" s="184"/>
      <c r="K35" s="184"/>
      <c r="L35" s="184"/>
      <c r="M35" s="184"/>
      <c r="N35" s="184"/>
      <c r="O35" s="184"/>
      <c r="P35" s="184"/>
      <c r="Q35" s="184"/>
      <c r="R35" s="183">
        <f t="shared" ref="R35:R39" si="3">SUM(C35:Q35)</f>
        <v>12</v>
      </c>
      <c r="S35" s="185">
        <f t="shared" ref="S35:S39" si="4">IF(ISERROR(AVERAGE(C35:Q35)),0,AVERAGE(C35:Q35))</f>
        <v>3</v>
      </c>
      <c r="T35" s="224"/>
    </row>
    <row r="36" spans="1:20" ht="41.4" x14ac:dyDescent="0.3">
      <c r="A36" s="226">
        <v>26</v>
      </c>
      <c r="B36" s="227" t="str">
        <f>+Contexto!F15</f>
        <v>Falta articulación con otras dependencias de la Administración para ejecutar eventos u oferta institucional</v>
      </c>
      <c r="C36" s="211">
        <v>4</v>
      </c>
      <c r="D36" s="211">
        <v>4</v>
      </c>
      <c r="E36" s="211">
        <v>4</v>
      </c>
      <c r="F36" s="211">
        <v>4</v>
      </c>
      <c r="G36" s="211"/>
      <c r="H36" s="211"/>
      <c r="I36" s="211"/>
      <c r="J36" s="211"/>
      <c r="K36" s="211"/>
      <c r="L36" s="211"/>
      <c r="M36" s="211"/>
      <c r="N36" s="211"/>
      <c r="O36" s="211"/>
      <c r="P36" s="211"/>
      <c r="Q36" s="211"/>
      <c r="R36" s="226">
        <f t="shared" si="3"/>
        <v>16</v>
      </c>
      <c r="S36" s="228">
        <f t="shared" si="4"/>
        <v>4</v>
      </c>
      <c r="T36" s="229" t="s">
        <v>309</v>
      </c>
    </row>
    <row r="37" spans="1:20" x14ac:dyDescent="0.3">
      <c r="A37" s="183">
        <v>27</v>
      </c>
      <c r="B37" s="157"/>
      <c r="C37" s="184"/>
      <c r="D37" s="184"/>
      <c r="E37" s="184"/>
      <c r="F37" s="184"/>
      <c r="G37" s="184"/>
      <c r="H37" s="184"/>
      <c r="I37" s="184"/>
      <c r="J37" s="184"/>
      <c r="K37" s="184"/>
      <c r="L37" s="184"/>
      <c r="M37" s="184"/>
      <c r="N37" s="184"/>
      <c r="O37" s="184"/>
      <c r="P37" s="184"/>
      <c r="Q37" s="184"/>
      <c r="R37" s="183">
        <f t="shared" si="3"/>
        <v>0</v>
      </c>
      <c r="S37" s="185">
        <f t="shared" si="4"/>
        <v>0</v>
      </c>
      <c r="T37" s="224"/>
    </row>
    <row r="38" spans="1:20" x14ac:dyDescent="0.3">
      <c r="A38" s="183">
        <v>28</v>
      </c>
      <c r="B38" s="157"/>
      <c r="C38" s="184"/>
      <c r="D38" s="184"/>
      <c r="E38" s="184"/>
      <c r="F38" s="184"/>
      <c r="G38" s="184"/>
      <c r="H38" s="184"/>
      <c r="I38" s="184"/>
      <c r="J38" s="184"/>
      <c r="K38" s="184"/>
      <c r="L38" s="184"/>
      <c r="M38" s="184"/>
      <c r="N38" s="184"/>
      <c r="O38" s="184"/>
      <c r="P38" s="184"/>
      <c r="Q38" s="184"/>
      <c r="R38" s="183">
        <f t="shared" si="3"/>
        <v>0</v>
      </c>
      <c r="S38" s="185">
        <f t="shared" si="4"/>
        <v>0</v>
      </c>
      <c r="T38" s="224"/>
    </row>
    <row r="39" spans="1:20" x14ac:dyDescent="0.3">
      <c r="A39" s="183">
        <v>29</v>
      </c>
      <c r="B39" s="157"/>
      <c r="C39" s="184"/>
      <c r="D39" s="184"/>
      <c r="E39" s="184"/>
      <c r="F39" s="184"/>
      <c r="G39" s="184"/>
      <c r="H39" s="184"/>
      <c r="I39" s="184"/>
      <c r="J39" s="184"/>
      <c r="K39" s="184"/>
      <c r="L39" s="184"/>
      <c r="M39" s="184"/>
      <c r="N39" s="184"/>
      <c r="O39" s="184"/>
      <c r="P39" s="184"/>
      <c r="Q39" s="184"/>
      <c r="R39" s="183">
        <f t="shared" si="3"/>
        <v>0</v>
      </c>
      <c r="S39" s="185">
        <f t="shared" si="4"/>
        <v>0</v>
      </c>
      <c r="T39" s="224"/>
    </row>
    <row r="40" spans="1:20" ht="15" thickBot="1" x14ac:dyDescent="0.35">
      <c r="A40" s="186">
        <v>30</v>
      </c>
      <c r="B40" s="187"/>
      <c r="C40" s="188"/>
      <c r="D40" s="188"/>
      <c r="E40" s="188"/>
      <c r="F40" s="188"/>
      <c r="G40" s="188"/>
      <c r="H40" s="188"/>
      <c r="I40" s="188"/>
      <c r="J40" s="188"/>
      <c r="K40" s="188"/>
      <c r="L40" s="188"/>
      <c r="M40" s="188"/>
      <c r="N40" s="188"/>
      <c r="O40" s="188"/>
      <c r="P40" s="188"/>
      <c r="Q40" s="188"/>
      <c r="R40" s="186">
        <f>SUM(C40:Q40)</f>
        <v>0</v>
      </c>
      <c r="S40" s="189">
        <f>IF(ISERROR(AVERAGE(C40:Q40)),0,AVERAGE(C40:Q40))</f>
        <v>0</v>
      </c>
      <c r="T40" s="225"/>
    </row>
    <row r="41" spans="1:20" x14ac:dyDescent="0.3">
      <c r="A41" s="356" t="s">
        <v>244</v>
      </c>
      <c r="B41" s="357"/>
      <c r="C41" s="357"/>
      <c r="D41" s="357"/>
      <c r="E41" s="357"/>
      <c r="F41" s="357"/>
      <c r="G41" s="357"/>
      <c r="H41" s="357"/>
      <c r="I41" s="357"/>
      <c r="J41" s="357"/>
      <c r="K41" s="357"/>
      <c r="L41" s="357"/>
      <c r="M41" s="357"/>
      <c r="N41" s="357"/>
      <c r="O41" s="357"/>
      <c r="P41" s="357"/>
      <c r="Q41" s="357"/>
      <c r="R41" s="358"/>
      <c r="S41" s="190">
        <f>SUM(S11:S40)</f>
        <v>89</v>
      </c>
    </row>
    <row r="42" spans="1:20" ht="15" thickBot="1" x14ac:dyDescent="0.35">
      <c r="A42" s="335" t="s">
        <v>242</v>
      </c>
      <c r="B42" s="336"/>
      <c r="C42" s="336"/>
      <c r="D42" s="336"/>
      <c r="E42" s="336"/>
      <c r="F42" s="336"/>
      <c r="G42" s="336"/>
      <c r="H42" s="336"/>
      <c r="I42" s="336"/>
      <c r="J42" s="336"/>
      <c r="K42" s="336"/>
      <c r="L42" s="336"/>
      <c r="M42" s="336"/>
      <c r="N42" s="336"/>
      <c r="O42" s="336"/>
      <c r="P42" s="336"/>
      <c r="Q42" s="336"/>
      <c r="R42" s="336"/>
      <c r="S42" s="191">
        <f>S41/A36</f>
        <v>3.4230769230769229</v>
      </c>
    </row>
  </sheetData>
  <mergeCells count="9">
    <mergeCell ref="A42:R42"/>
    <mergeCell ref="A1:A4"/>
    <mergeCell ref="B1:S2"/>
    <mergeCell ref="B3:S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3">
    <dataValidation type="whole" showErrorMessage="1" error="DATO INVÁLIDO_x000a_Tenga en cuenta que la escala de calificación va de 1 a 5" sqref="G11:Q40 C34:F40" xr:uid="{00000000-0002-0000-0200-000000000000}">
      <formula1>1</formula1>
      <formula2>5</formula2>
    </dataValidation>
    <dataValidation type="decimal" allowBlank="1" showInputMessage="1" showErrorMessage="1" prompt="DATO INVÁLIDO_x000a_Tenga en cuenta que la escala de calificación va de 1 a 5" sqref="C11:F11 C13:F21 C23:F26 F27:F28 C29:F29 F30 C31:F31 F32:F33" xr:uid="{4E3B1F70-3ACB-4993-BE0F-CD43A9FB161B}">
      <formula1>1</formula1>
      <formula2>5</formula2>
    </dataValidation>
    <dataValidation type="decimal" allowBlank="1" showErrorMessage="1" sqref="C33:E33" xr:uid="{70D09255-C269-42C8-B4BA-39059C83EFC8}">
      <formula1>1</formula1>
      <formula2>10</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2"/>
  <sheetViews>
    <sheetView topLeftCell="C41" zoomScale="90" zoomScaleNormal="90" workbookViewId="0">
      <selection activeCell="E45" sqref="E45:F45"/>
    </sheetView>
  </sheetViews>
  <sheetFormatPr baseColWidth="10" defaultColWidth="11.44140625" defaultRowHeight="13.8" x14ac:dyDescent="0.25"/>
  <cols>
    <col min="1" max="2" width="6.5546875" style="149" customWidth="1"/>
    <col min="3" max="3" width="32.6640625" style="149" customWidth="1"/>
    <col min="4" max="4" width="27.5546875" style="149" customWidth="1"/>
    <col min="5" max="5" width="38" style="149" customWidth="1"/>
    <col min="6" max="6" width="30.33203125" style="149" customWidth="1"/>
    <col min="7" max="7" width="18.33203125" style="149" customWidth="1"/>
    <col min="8" max="8" width="15.5546875" style="149" customWidth="1"/>
    <col min="9" max="9" width="19.33203125" style="149" customWidth="1"/>
    <col min="10" max="10" width="14.5546875" style="149" customWidth="1"/>
    <col min="11" max="16384" width="11.44140625" style="149"/>
  </cols>
  <sheetData>
    <row r="1" spans="1:14" ht="15" customHeight="1" x14ac:dyDescent="0.25">
      <c r="A1" s="426" t="str">
        <f>[1]CONTEXTO!B1</f>
        <v xml:space="preserve">PROCESO: </v>
      </c>
      <c r="B1" s="340"/>
      <c r="C1" s="340"/>
      <c r="D1" s="340"/>
      <c r="E1" s="340"/>
      <c r="F1" s="340"/>
      <c r="G1" s="341"/>
      <c r="H1" s="428" t="s">
        <v>264</v>
      </c>
      <c r="I1" s="429"/>
      <c r="J1" s="430"/>
      <c r="K1" s="148"/>
      <c r="N1" s="325"/>
    </row>
    <row r="2" spans="1:14" ht="15" customHeight="1" x14ac:dyDescent="0.25">
      <c r="A2" s="427"/>
      <c r="B2" s="342"/>
      <c r="C2" s="342"/>
      <c r="D2" s="342"/>
      <c r="E2" s="342"/>
      <c r="F2" s="342"/>
      <c r="G2" s="343"/>
      <c r="H2" s="433" t="s">
        <v>260</v>
      </c>
      <c r="I2" s="434"/>
      <c r="J2" s="431"/>
      <c r="K2" s="148"/>
      <c r="N2" s="325"/>
    </row>
    <row r="3" spans="1:14" ht="15" customHeight="1" x14ac:dyDescent="0.25">
      <c r="A3" s="427" t="s">
        <v>245</v>
      </c>
      <c r="B3" s="342"/>
      <c r="C3" s="342"/>
      <c r="D3" s="342"/>
      <c r="E3" s="342"/>
      <c r="F3" s="342"/>
      <c r="G3" s="343"/>
      <c r="H3" s="433" t="s">
        <v>261</v>
      </c>
      <c r="I3" s="434"/>
      <c r="J3" s="431"/>
      <c r="K3" s="148"/>
      <c r="N3" s="325"/>
    </row>
    <row r="4" spans="1:14" ht="15.75" customHeight="1" x14ac:dyDescent="0.25">
      <c r="A4" s="435"/>
      <c r="B4" s="344"/>
      <c r="C4" s="344"/>
      <c r="D4" s="344"/>
      <c r="E4" s="344"/>
      <c r="F4" s="344"/>
      <c r="G4" s="345"/>
      <c r="H4" s="433" t="s">
        <v>262</v>
      </c>
      <c r="I4" s="434"/>
      <c r="J4" s="432"/>
      <c r="K4" s="148"/>
      <c r="N4" s="325"/>
    </row>
    <row r="5" spans="1:14" ht="15.75" customHeight="1" x14ac:dyDescent="0.25">
      <c r="A5" s="436"/>
      <c r="B5" s="437"/>
      <c r="C5" s="437"/>
      <c r="D5" s="437"/>
      <c r="E5" s="437"/>
      <c r="F5" s="437"/>
      <c r="G5" s="437"/>
      <c r="H5" s="437"/>
      <c r="I5" s="437"/>
      <c r="J5" s="438"/>
      <c r="K5" s="148"/>
      <c r="N5" s="150"/>
    </row>
    <row r="6" spans="1:14" ht="15" customHeight="1" x14ac:dyDescent="0.25">
      <c r="A6" s="413" t="str">
        <f>Contexto!A8</f>
        <v>PROCESO: GESTIÓN DE  INNOVACION Y TIC</v>
      </c>
      <c r="B6" s="414"/>
      <c r="C6" s="414"/>
      <c r="D6" s="414"/>
      <c r="E6" s="414"/>
      <c r="F6" s="414"/>
      <c r="G6" s="414"/>
      <c r="H6" s="414"/>
      <c r="I6" s="414"/>
      <c r="J6" s="415"/>
    </row>
    <row r="7" spans="1:14" ht="32.25" customHeight="1" thickBot="1" x14ac:dyDescent="0.3">
      <c r="A7" s="416"/>
      <c r="B7" s="417"/>
      <c r="C7" s="417"/>
      <c r="D7" s="417"/>
      <c r="E7" s="417"/>
      <c r="F7" s="417"/>
      <c r="G7" s="417"/>
      <c r="H7" s="417"/>
      <c r="I7" s="417"/>
      <c r="J7" s="418"/>
    </row>
    <row r="8" spans="1:14" ht="23.25" customHeight="1" x14ac:dyDescent="0.25">
      <c r="A8" s="419" t="s">
        <v>246</v>
      </c>
      <c r="B8" s="419"/>
      <c r="C8" s="419"/>
      <c r="D8" s="419"/>
      <c r="E8" s="409" t="s">
        <v>218</v>
      </c>
      <c r="F8" s="420"/>
      <c r="G8" s="420"/>
      <c r="H8" s="420"/>
      <c r="I8" s="420"/>
      <c r="J8" s="421"/>
    </row>
    <row r="9" spans="1:14" ht="23.25" customHeight="1" x14ac:dyDescent="0.25">
      <c r="A9" s="419"/>
      <c r="B9" s="419"/>
      <c r="C9" s="419"/>
      <c r="D9" s="419"/>
      <c r="E9" s="408" t="s">
        <v>247</v>
      </c>
      <c r="F9" s="408"/>
      <c r="G9" s="408" t="s">
        <v>248</v>
      </c>
      <c r="H9" s="408"/>
      <c r="I9" s="408"/>
      <c r="J9" s="408"/>
    </row>
    <row r="10" spans="1:14" ht="23.25" customHeight="1" x14ac:dyDescent="0.3">
      <c r="A10" s="419"/>
      <c r="B10" s="419"/>
      <c r="C10" s="419"/>
      <c r="D10" s="419"/>
      <c r="E10" s="376" t="s">
        <v>249</v>
      </c>
      <c r="F10" s="376"/>
      <c r="G10" s="422" t="s">
        <v>250</v>
      </c>
      <c r="H10" s="423"/>
      <c r="I10" s="423"/>
      <c r="J10" s="424"/>
    </row>
    <row r="11" spans="1:14" ht="43.5" customHeight="1" x14ac:dyDescent="0.25">
      <c r="A11" s="419"/>
      <c r="B11" s="419"/>
      <c r="C11" s="419"/>
      <c r="D11" s="419"/>
      <c r="E11" s="400" t="str">
        <f>+'Priorizacion de Causas'!B23</f>
        <v>Falta de Ética y Valores,  tráfico de influencias y abuso de confianza</v>
      </c>
      <c r="F11" s="401"/>
      <c r="G11" s="373" t="s">
        <v>310</v>
      </c>
      <c r="H11" s="373"/>
      <c r="I11" s="373"/>
      <c r="J11" s="373"/>
    </row>
    <row r="12" spans="1:14" ht="43.5" customHeight="1" x14ac:dyDescent="0.25">
      <c r="A12" s="419"/>
      <c r="B12" s="419"/>
      <c r="C12" s="419"/>
      <c r="D12" s="419"/>
      <c r="E12" s="400" t="str">
        <f>+'Priorizacion de Causas'!B24</f>
        <v>Deficiencia en la retencion del conocimiento
Deficiencia instalaciones eléctricas</v>
      </c>
      <c r="F12" s="401"/>
      <c r="G12" s="373" t="s">
        <v>311</v>
      </c>
      <c r="H12" s="373"/>
      <c r="I12" s="373"/>
      <c r="J12" s="373"/>
    </row>
    <row r="13" spans="1:14" ht="43.5" customHeight="1" x14ac:dyDescent="0.25">
      <c r="A13" s="419"/>
      <c r="B13" s="419"/>
      <c r="C13" s="419"/>
      <c r="D13" s="419"/>
      <c r="E13" s="400" t="str">
        <f>+'Priorizacion de Causas'!B26</f>
        <v>Insuficiente  Presupuesto para cumplir con el correcto funcionamiento del proceso de la entidad y metas del plan de desarrollo</v>
      </c>
      <c r="F13" s="401"/>
      <c r="G13" s="425" t="s">
        <v>312</v>
      </c>
      <c r="H13" s="425"/>
      <c r="I13" s="425"/>
      <c r="J13" s="425"/>
    </row>
    <row r="14" spans="1:14" ht="43.5" customHeight="1" x14ac:dyDescent="0.25">
      <c r="A14" s="419"/>
      <c r="B14" s="419"/>
      <c r="C14" s="419"/>
      <c r="D14" s="419"/>
      <c r="E14" s="400" t="str">
        <f>+'Priorizacion de Causas'!B27</f>
        <v xml:space="preserve">Obsolescencia en la plataforma tecnológica (Hardware y Software) </v>
      </c>
      <c r="F14" s="401"/>
      <c r="G14" s="373" t="s">
        <v>313</v>
      </c>
      <c r="H14" s="373"/>
      <c r="I14" s="373"/>
      <c r="J14" s="373"/>
      <c r="L14" s="250"/>
    </row>
    <row r="15" spans="1:14" ht="49.5" customHeight="1" x14ac:dyDescent="0.25">
      <c r="A15" s="419"/>
      <c r="B15" s="419"/>
      <c r="C15" s="419"/>
      <c r="D15" s="419"/>
      <c r="E15" s="400" t="str">
        <f>+'Priorizacion de Causas'!B28</f>
        <v>Deficiencias en el licenciamiento o uso de software no autorizado</v>
      </c>
      <c r="F15" s="401"/>
      <c r="G15" s="373" t="s">
        <v>314</v>
      </c>
      <c r="H15" s="373"/>
      <c r="I15" s="373"/>
      <c r="J15" s="373"/>
    </row>
    <row r="16" spans="1:14" ht="49.5" customHeight="1" x14ac:dyDescent="0.25">
      <c r="A16" s="419"/>
      <c r="B16" s="419"/>
      <c r="C16" s="419"/>
      <c r="D16" s="419"/>
      <c r="E16" s="400" t="str">
        <f>+'Priorizacion de Causas'!B30</f>
        <v xml:space="preserve">Obsolescencia del sistema de cableado estructurado existente </v>
      </c>
      <c r="F16" s="401"/>
      <c r="G16" s="373" t="s">
        <v>315</v>
      </c>
      <c r="H16" s="373"/>
      <c r="I16" s="373"/>
      <c r="J16" s="373"/>
    </row>
    <row r="17" spans="1:10" ht="54.75" customHeight="1" x14ac:dyDescent="0.25">
      <c r="A17" s="419"/>
      <c r="B17" s="419"/>
      <c r="C17" s="419"/>
      <c r="D17" s="419"/>
      <c r="E17" s="400" t="str">
        <f>+'Priorizacion de Causas'!B33</f>
        <v>Proceso contractual (demora en los tiempo de respuesta)</v>
      </c>
      <c r="F17" s="401"/>
      <c r="G17" s="373" t="s">
        <v>316</v>
      </c>
      <c r="H17" s="373"/>
      <c r="I17" s="373"/>
      <c r="J17" s="373"/>
    </row>
    <row r="18" spans="1:10" ht="48.75" customHeight="1" x14ac:dyDescent="0.25">
      <c r="A18" s="419"/>
      <c r="B18" s="419"/>
      <c r="C18" s="419"/>
      <c r="D18" s="419"/>
      <c r="E18" s="400" t="str">
        <f>+'Priorizacion de Causas'!B34</f>
        <v>Deterioro físico de los centros de Experiencia digital</v>
      </c>
      <c r="F18" s="401"/>
      <c r="G18" s="412"/>
      <c r="H18" s="412"/>
      <c r="I18" s="412"/>
      <c r="J18" s="412"/>
    </row>
    <row r="19" spans="1:10" ht="54.75" customHeight="1" x14ac:dyDescent="0.25">
      <c r="A19" s="419"/>
      <c r="B19" s="419"/>
      <c r="C19" s="419"/>
      <c r="D19" s="419"/>
      <c r="E19" s="400" t="str">
        <f>+'Priorizacion de Causas'!B36</f>
        <v>Falta articulación con otras dependencias de la Administración para ejecutar eventos u oferta institucional</v>
      </c>
      <c r="F19" s="401"/>
      <c r="G19" s="412"/>
      <c r="H19" s="412"/>
      <c r="I19" s="412"/>
      <c r="J19" s="412"/>
    </row>
    <row r="20" spans="1:10" ht="59.25" customHeight="1" x14ac:dyDescent="0.25">
      <c r="A20" s="419"/>
      <c r="B20" s="419"/>
      <c r="C20" s="419"/>
      <c r="D20" s="419"/>
      <c r="E20" s="400" t="str">
        <f>+'Priorizacion de Causas'!B32</f>
        <v>Ausencia de políticas operativas claras y con especificaciones técnicas  para la asignación de las zonas de internet gratuito, que estén alineados con las disposiciones del Ministerio de las TIC.</v>
      </c>
      <c r="F20" s="401"/>
      <c r="G20" s="412"/>
      <c r="H20" s="412"/>
      <c r="I20" s="412"/>
      <c r="J20" s="412"/>
    </row>
    <row r="21" spans="1:10" ht="49.5" customHeight="1" x14ac:dyDescent="0.25">
      <c r="A21" s="419"/>
      <c r="B21" s="419"/>
      <c r="C21" s="419"/>
      <c r="D21" s="419"/>
      <c r="E21" s="400"/>
      <c r="F21" s="401"/>
      <c r="G21" s="405"/>
      <c r="H21" s="406"/>
      <c r="I21" s="406"/>
      <c r="J21" s="407"/>
    </row>
    <row r="22" spans="1:10" ht="49.5" customHeight="1" x14ac:dyDescent="0.25">
      <c r="A22" s="419"/>
      <c r="B22" s="419"/>
      <c r="C22" s="419"/>
      <c r="D22" s="419"/>
      <c r="E22" s="400"/>
      <c r="F22" s="401"/>
      <c r="G22" s="402"/>
      <c r="H22" s="403"/>
      <c r="I22" s="403"/>
      <c r="J22" s="404"/>
    </row>
    <row r="23" spans="1:10" ht="49.5" customHeight="1" x14ac:dyDescent="0.25">
      <c r="A23" s="419"/>
      <c r="B23" s="419"/>
      <c r="C23" s="419"/>
      <c r="D23" s="419"/>
      <c r="E23" s="400"/>
      <c r="F23" s="401"/>
      <c r="G23" s="402"/>
      <c r="H23" s="403"/>
      <c r="I23" s="403"/>
      <c r="J23" s="404"/>
    </row>
    <row r="24" spans="1:10" ht="49.5" customHeight="1" x14ac:dyDescent="0.25">
      <c r="A24" s="419"/>
      <c r="B24" s="419"/>
      <c r="C24" s="419"/>
      <c r="D24" s="419"/>
      <c r="E24" s="400"/>
      <c r="F24" s="401"/>
      <c r="G24" s="402"/>
      <c r="H24" s="403"/>
      <c r="I24" s="403"/>
      <c r="J24" s="404"/>
    </row>
    <row r="25" spans="1:10" ht="49.5" customHeight="1" x14ac:dyDescent="0.25">
      <c r="A25" s="419"/>
      <c r="B25" s="419"/>
      <c r="C25" s="419"/>
      <c r="D25" s="419"/>
      <c r="E25" s="400"/>
      <c r="F25" s="401"/>
      <c r="G25" s="405"/>
      <c r="H25" s="406"/>
      <c r="I25" s="406"/>
      <c r="J25" s="407"/>
    </row>
    <row r="26" spans="1:10" ht="51.75" customHeight="1" x14ac:dyDescent="0.25">
      <c r="A26" s="375" t="s">
        <v>216</v>
      </c>
      <c r="B26" s="375" t="s">
        <v>248</v>
      </c>
      <c r="C26" s="376" t="s">
        <v>251</v>
      </c>
      <c r="D26" s="376"/>
      <c r="E26" s="408" t="s">
        <v>252</v>
      </c>
      <c r="F26" s="376"/>
      <c r="G26" s="409" t="s">
        <v>253</v>
      </c>
      <c r="H26" s="410"/>
      <c r="I26" s="410"/>
      <c r="J26" s="411"/>
    </row>
    <row r="27" spans="1:10" ht="48.75" customHeight="1" x14ac:dyDescent="0.25">
      <c r="A27" s="375"/>
      <c r="B27" s="375"/>
      <c r="C27" s="392" t="s">
        <v>317</v>
      </c>
      <c r="D27" s="393"/>
      <c r="E27" s="382" t="s">
        <v>318</v>
      </c>
      <c r="F27" s="383"/>
      <c r="G27" s="382" t="s">
        <v>319</v>
      </c>
      <c r="H27" s="384"/>
      <c r="I27" s="384"/>
      <c r="J27" s="383"/>
    </row>
    <row r="28" spans="1:10" ht="51" customHeight="1" x14ac:dyDescent="0.25">
      <c r="A28" s="375"/>
      <c r="B28" s="375"/>
      <c r="C28" s="392" t="s">
        <v>320</v>
      </c>
      <c r="D28" s="393"/>
      <c r="E28" s="382" t="s">
        <v>321</v>
      </c>
      <c r="F28" s="383"/>
      <c r="G28" s="370" t="s">
        <v>343</v>
      </c>
      <c r="H28" s="370"/>
      <c r="I28" s="370"/>
      <c r="J28" s="370"/>
    </row>
    <row r="29" spans="1:10" ht="54.75" customHeight="1" x14ac:dyDescent="0.25">
      <c r="A29" s="375"/>
      <c r="B29" s="375"/>
      <c r="C29" s="392" t="s">
        <v>322</v>
      </c>
      <c r="D29" s="393"/>
      <c r="E29" s="382" t="s">
        <v>323</v>
      </c>
      <c r="F29" s="383"/>
      <c r="G29" s="382" t="s">
        <v>324</v>
      </c>
      <c r="H29" s="384"/>
      <c r="I29" s="384"/>
      <c r="J29" s="383"/>
    </row>
    <row r="30" spans="1:10" ht="49.5" customHeight="1" x14ac:dyDescent="0.25">
      <c r="A30" s="375"/>
      <c r="B30" s="375"/>
      <c r="C30" s="392" t="s">
        <v>325</v>
      </c>
      <c r="D30" s="393"/>
      <c r="E30" s="382" t="s">
        <v>326</v>
      </c>
      <c r="F30" s="383"/>
      <c r="G30" s="370" t="s">
        <v>327</v>
      </c>
      <c r="H30" s="370"/>
      <c r="I30" s="370"/>
      <c r="J30" s="370"/>
    </row>
    <row r="31" spans="1:10" ht="51" customHeight="1" x14ac:dyDescent="0.25">
      <c r="A31" s="375"/>
      <c r="B31" s="375"/>
      <c r="C31" s="392" t="s">
        <v>328</v>
      </c>
      <c r="D31" s="393"/>
      <c r="E31" s="382" t="s">
        <v>329</v>
      </c>
      <c r="F31" s="383"/>
      <c r="G31" s="382"/>
      <c r="H31" s="384"/>
      <c r="I31" s="384"/>
      <c r="J31" s="383"/>
    </row>
    <row r="32" spans="1:10" ht="52.5" customHeight="1" x14ac:dyDescent="0.25">
      <c r="A32" s="375"/>
      <c r="B32" s="375"/>
      <c r="C32" s="392" t="s">
        <v>330</v>
      </c>
      <c r="D32" s="393"/>
      <c r="E32" s="382" t="s">
        <v>331</v>
      </c>
      <c r="F32" s="383"/>
      <c r="G32" s="370"/>
      <c r="H32" s="370"/>
      <c r="I32" s="370"/>
      <c r="J32" s="370"/>
    </row>
    <row r="33" spans="1:10" ht="47.25" customHeight="1" x14ac:dyDescent="0.25">
      <c r="A33" s="375"/>
      <c r="B33" s="375"/>
      <c r="C33" s="392" t="s">
        <v>332</v>
      </c>
      <c r="D33" s="393"/>
      <c r="E33" s="395" t="s">
        <v>333</v>
      </c>
      <c r="F33" s="396"/>
      <c r="G33" s="397"/>
      <c r="H33" s="398"/>
      <c r="I33" s="398"/>
      <c r="J33" s="399"/>
    </row>
    <row r="34" spans="1:10" ht="51" customHeight="1" x14ac:dyDescent="0.25">
      <c r="A34" s="375"/>
      <c r="B34" s="375"/>
      <c r="C34" s="392" t="s">
        <v>334</v>
      </c>
      <c r="D34" s="393"/>
      <c r="E34" s="394" t="s">
        <v>362</v>
      </c>
      <c r="F34" s="394"/>
      <c r="G34" s="374"/>
      <c r="H34" s="374"/>
      <c r="I34" s="374"/>
      <c r="J34" s="374"/>
    </row>
    <row r="35" spans="1:10" ht="51" customHeight="1" x14ac:dyDescent="0.25">
      <c r="A35" s="375"/>
      <c r="B35" s="375"/>
      <c r="C35" s="372"/>
      <c r="D35" s="372"/>
      <c r="E35" s="361"/>
      <c r="F35" s="361"/>
      <c r="G35" s="361"/>
      <c r="H35" s="361"/>
      <c r="I35" s="361"/>
      <c r="J35" s="361"/>
    </row>
    <row r="36" spans="1:10" ht="51" customHeight="1" x14ac:dyDescent="0.25">
      <c r="A36" s="375"/>
      <c r="B36" s="375"/>
      <c r="C36" s="368"/>
      <c r="D36" s="369"/>
      <c r="E36" s="362"/>
      <c r="F36" s="363"/>
      <c r="G36" s="362"/>
      <c r="H36" s="364"/>
      <c r="I36" s="364"/>
      <c r="J36" s="363"/>
    </row>
    <row r="37" spans="1:10" ht="45.75" customHeight="1" x14ac:dyDescent="0.25">
      <c r="A37" s="375"/>
      <c r="B37" s="375"/>
      <c r="C37" s="368"/>
      <c r="D37" s="369"/>
      <c r="E37" s="362"/>
      <c r="F37" s="363"/>
      <c r="G37" s="362"/>
      <c r="H37" s="364"/>
      <c r="I37" s="364"/>
      <c r="J37" s="363"/>
    </row>
    <row r="38" spans="1:10" ht="41.25" customHeight="1" x14ac:dyDescent="0.25">
      <c r="A38" s="375"/>
      <c r="B38" s="375"/>
      <c r="C38" s="361"/>
      <c r="D38" s="361"/>
      <c r="E38" s="390"/>
      <c r="F38" s="390"/>
      <c r="G38" s="390"/>
      <c r="H38" s="390"/>
      <c r="I38" s="390"/>
      <c r="J38" s="390"/>
    </row>
    <row r="39" spans="1:10" ht="66" customHeight="1" x14ac:dyDescent="0.3">
      <c r="A39" s="375"/>
      <c r="B39" s="375" t="s">
        <v>247</v>
      </c>
      <c r="C39" s="376" t="s">
        <v>254</v>
      </c>
      <c r="D39" s="376"/>
      <c r="E39" s="377" t="s">
        <v>255</v>
      </c>
      <c r="F39" s="378"/>
      <c r="G39" s="379" t="s">
        <v>256</v>
      </c>
      <c r="H39" s="380"/>
      <c r="I39" s="380"/>
      <c r="J39" s="381"/>
    </row>
    <row r="40" spans="1:10" ht="51.75" customHeight="1" x14ac:dyDescent="0.25">
      <c r="A40" s="375"/>
      <c r="B40" s="375"/>
      <c r="C40" s="368" t="str">
        <f>+'Priorizacion de Causas'!B14</f>
        <v>Variación en los tipos de cambios monetarios y cambios normativos tributarios</v>
      </c>
      <c r="D40" s="369"/>
      <c r="E40" s="382" t="s">
        <v>335</v>
      </c>
      <c r="F40" s="383"/>
      <c r="G40" s="382" t="s">
        <v>336</v>
      </c>
      <c r="H40" s="384"/>
      <c r="I40" s="384"/>
      <c r="J40" s="383"/>
    </row>
    <row r="41" spans="1:10" ht="47.25" customHeight="1" x14ac:dyDescent="0.25">
      <c r="A41" s="375"/>
      <c r="B41" s="375"/>
      <c r="C41" s="368" t="str">
        <f>+'Priorizacion de Causas'!B15</f>
        <v>Incremento de los delitos informáticos</v>
      </c>
      <c r="D41" s="369"/>
      <c r="E41" s="370" t="s">
        <v>337</v>
      </c>
      <c r="F41" s="370"/>
      <c r="G41" s="370" t="s">
        <v>338</v>
      </c>
      <c r="H41" s="370"/>
      <c r="I41" s="370"/>
      <c r="J41" s="370"/>
    </row>
    <row r="42" spans="1:10" ht="49.5" customHeight="1" x14ac:dyDescent="0.25">
      <c r="A42" s="375"/>
      <c r="B42" s="375"/>
      <c r="C42" s="368" t="str">
        <f>+'Priorizacion de Causas'!B16</f>
        <v xml:space="preserve">Constante innovación  y evolución tecnológica   </v>
      </c>
      <c r="D42" s="369"/>
      <c r="E42" s="385" t="s">
        <v>339</v>
      </c>
      <c r="F42" s="386"/>
      <c r="G42" s="387"/>
      <c r="H42" s="388"/>
      <c r="I42" s="388"/>
      <c r="J42" s="389"/>
    </row>
    <row r="43" spans="1:10" ht="48" customHeight="1" x14ac:dyDescent="0.25">
      <c r="A43" s="375"/>
      <c r="B43" s="375"/>
      <c r="C43" s="368" t="str">
        <f>+'Priorizacion de Causas'!B17</f>
        <v xml:space="preserve">Fallas producidas por el proveedor del servicio de internet.  </v>
      </c>
      <c r="D43" s="369"/>
      <c r="E43" s="370" t="s">
        <v>340</v>
      </c>
      <c r="F43" s="370"/>
      <c r="G43" s="371"/>
      <c r="H43" s="371"/>
      <c r="I43" s="371"/>
      <c r="J43" s="371"/>
    </row>
    <row r="44" spans="1:10" ht="45.75" customHeight="1" x14ac:dyDescent="0.25">
      <c r="A44" s="375"/>
      <c r="B44" s="375"/>
      <c r="C44" s="372" t="str">
        <f>+'Priorizacion de Causas'!B20</f>
        <v>Mala utilización de los recursos  tecnológicos por parte de los usuarios externos</v>
      </c>
      <c r="D44" s="372"/>
      <c r="E44" s="373" t="s">
        <v>341</v>
      </c>
      <c r="F44" s="373"/>
      <c r="G44" s="374"/>
      <c r="H44" s="374"/>
      <c r="I44" s="374"/>
      <c r="J44" s="374"/>
    </row>
    <row r="45" spans="1:10" ht="45.75" customHeight="1" x14ac:dyDescent="0.25">
      <c r="A45" s="375"/>
      <c r="B45" s="375"/>
      <c r="C45" s="361"/>
      <c r="D45" s="361"/>
      <c r="E45" s="391" t="s">
        <v>361</v>
      </c>
      <c r="F45" s="391"/>
      <c r="G45" s="361"/>
      <c r="H45" s="361"/>
      <c r="I45" s="361"/>
      <c r="J45" s="361"/>
    </row>
    <row r="46" spans="1:10" ht="45" customHeight="1" x14ac:dyDescent="0.25">
      <c r="A46" s="375"/>
      <c r="B46" s="375"/>
      <c r="C46" s="362"/>
      <c r="D46" s="363"/>
      <c r="E46" s="362"/>
      <c r="F46" s="363"/>
      <c r="G46" s="362"/>
      <c r="H46" s="364"/>
      <c r="I46" s="364"/>
      <c r="J46" s="363"/>
    </row>
    <row r="47" spans="1:10" ht="50.25" customHeight="1" x14ac:dyDescent="0.25">
      <c r="A47" s="375"/>
      <c r="B47" s="375"/>
      <c r="C47" s="362"/>
      <c r="D47" s="363"/>
      <c r="E47" s="362"/>
      <c r="F47" s="363"/>
      <c r="G47" s="362"/>
      <c r="H47" s="364"/>
      <c r="I47" s="364"/>
      <c r="J47" s="363"/>
    </row>
    <row r="48" spans="1:10" ht="52.5" customHeight="1" x14ac:dyDescent="0.25">
      <c r="A48" s="375"/>
      <c r="B48" s="375"/>
      <c r="C48" s="362"/>
      <c r="D48" s="363"/>
      <c r="E48" s="365"/>
      <c r="F48" s="366"/>
      <c r="G48" s="365"/>
      <c r="H48" s="367"/>
      <c r="I48" s="367"/>
      <c r="J48" s="366"/>
    </row>
    <row r="49" spans="1:10" ht="48" customHeight="1" x14ac:dyDescent="0.25">
      <c r="A49" s="375"/>
      <c r="B49" s="375"/>
      <c r="C49" s="362"/>
      <c r="D49" s="363"/>
      <c r="E49" s="362"/>
      <c r="F49" s="363"/>
      <c r="G49" s="362"/>
      <c r="H49" s="364"/>
      <c r="I49" s="364"/>
      <c r="J49" s="363"/>
    </row>
    <row r="50" spans="1:10" ht="46.5" customHeight="1" x14ac:dyDescent="0.25">
      <c r="A50" s="375"/>
      <c r="B50" s="375"/>
      <c r="C50" s="362"/>
      <c r="D50" s="363"/>
      <c r="E50" s="365"/>
      <c r="F50" s="366"/>
      <c r="G50" s="365"/>
      <c r="H50" s="367"/>
      <c r="I50" s="367"/>
      <c r="J50" s="366"/>
    </row>
    <row r="51" spans="1:10" ht="48" customHeight="1" x14ac:dyDescent="0.25">
      <c r="A51" s="375"/>
      <c r="B51" s="375"/>
      <c r="C51" s="362"/>
      <c r="D51" s="363"/>
      <c r="E51" s="362"/>
      <c r="F51" s="363"/>
      <c r="G51" s="362"/>
      <c r="H51" s="364"/>
      <c r="I51" s="364"/>
      <c r="J51" s="363"/>
    </row>
    <row r="52" spans="1:10" ht="53.25" customHeight="1" x14ac:dyDescent="0.25">
      <c r="A52" s="375"/>
      <c r="B52" s="375"/>
      <c r="C52" s="362"/>
      <c r="D52" s="363"/>
      <c r="E52" s="362"/>
      <c r="F52" s="363"/>
      <c r="G52" s="362"/>
      <c r="H52" s="364"/>
      <c r="I52" s="364"/>
      <c r="J52" s="363"/>
    </row>
    <row r="53" spans="1:10" ht="43.5" customHeight="1" x14ac:dyDescent="0.25">
      <c r="A53" s="375"/>
      <c r="B53" s="375"/>
      <c r="C53" s="361"/>
      <c r="D53" s="361"/>
      <c r="E53" s="361"/>
      <c r="F53" s="361"/>
      <c r="G53" s="361"/>
      <c r="H53" s="361"/>
      <c r="I53" s="361"/>
      <c r="J53" s="361"/>
    </row>
    <row r="54" spans="1:10" ht="48.75" customHeight="1" x14ac:dyDescent="0.25">
      <c r="A54" s="375"/>
      <c r="B54" s="375"/>
      <c r="C54" s="361"/>
      <c r="D54" s="361"/>
      <c r="E54" s="361"/>
      <c r="F54" s="361"/>
      <c r="G54" s="361"/>
      <c r="H54" s="361"/>
      <c r="I54" s="361"/>
      <c r="J54" s="361"/>
    </row>
    <row r="55" spans="1:10" x14ac:dyDescent="0.25">
      <c r="C55" s="195"/>
      <c r="D55" s="195"/>
      <c r="E55" s="360"/>
      <c r="F55" s="360"/>
      <c r="G55" s="360"/>
      <c r="H55" s="360"/>
      <c r="I55" s="360"/>
      <c r="J55" s="360"/>
    </row>
    <row r="56" spans="1:10" x14ac:dyDescent="0.25">
      <c r="C56" s="195"/>
      <c r="D56" s="195"/>
      <c r="E56" s="360"/>
      <c r="F56" s="360"/>
      <c r="G56" s="360"/>
      <c r="H56" s="360"/>
      <c r="I56" s="360"/>
      <c r="J56" s="360"/>
    </row>
    <row r="57" spans="1:10" x14ac:dyDescent="0.25">
      <c r="E57" s="359"/>
      <c r="F57" s="359"/>
      <c r="G57" s="359"/>
      <c r="H57" s="359"/>
      <c r="I57" s="359"/>
      <c r="J57" s="359"/>
    </row>
    <row r="58" spans="1:10" x14ac:dyDescent="0.25">
      <c r="E58" s="359"/>
      <c r="F58" s="359"/>
      <c r="G58" s="359"/>
      <c r="H58" s="359"/>
      <c r="I58" s="359"/>
      <c r="J58" s="359"/>
    </row>
    <row r="59" spans="1:10" x14ac:dyDescent="0.25">
      <c r="E59" s="359"/>
      <c r="F59" s="359"/>
      <c r="G59" s="359"/>
      <c r="H59" s="359"/>
      <c r="I59" s="359"/>
      <c r="J59" s="359"/>
    </row>
    <row r="60" spans="1:10" x14ac:dyDescent="0.25">
      <c r="E60" s="359"/>
      <c r="F60" s="359"/>
      <c r="G60" s="359"/>
      <c r="H60" s="359"/>
      <c r="I60" s="359"/>
      <c r="J60" s="359"/>
    </row>
    <row r="61" spans="1:10" x14ac:dyDescent="0.25">
      <c r="E61" s="359"/>
      <c r="F61" s="359"/>
      <c r="G61" s="359"/>
      <c r="H61" s="359"/>
      <c r="I61" s="359"/>
      <c r="J61" s="359"/>
    </row>
    <row r="62" spans="1:10" x14ac:dyDescent="0.25">
      <c r="E62" s="359"/>
      <c r="F62" s="359"/>
      <c r="G62" s="359"/>
      <c r="H62" s="359"/>
      <c r="I62" s="359"/>
      <c r="J62" s="359"/>
    </row>
    <row r="63" spans="1:10" x14ac:dyDescent="0.25">
      <c r="E63" s="359"/>
      <c r="F63" s="359"/>
      <c r="G63" s="359"/>
      <c r="H63" s="359"/>
      <c r="I63" s="359"/>
      <c r="J63" s="359"/>
    </row>
    <row r="64" spans="1:10" x14ac:dyDescent="0.25">
      <c r="E64" s="359"/>
      <c r="F64" s="359"/>
      <c r="G64" s="359"/>
      <c r="H64" s="359"/>
      <c r="I64" s="359"/>
      <c r="J64" s="359"/>
    </row>
    <row r="65" spans="5:10" x14ac:dyDescent="0.25">
      <c r="E65" s="359"/>
      <c r="F65" s="359"/>
      <c r="G65" s="359"/>
      <c r="H65" s="359"/>
      <c r="I65" s="359"/>
      <c r="J65" s="359"/>
    </row>
    <row r="66" spans="5:10" x14ac:dyDescent="0.25">
      <c r="E66" s="359"/>
      <c r="F66" s="359"/>
      <c r="G66" s="359"/>
      <c r="H66" s="359"/>
      <c r="I66" s="359"/>
      <c r="J66" s="359"/>
    </row>
    <row r="67" spans="5:10" x14ac:dyDescent="0.25">
      <c r="E67" s="359"/>
      <c r="F67" s="359"/>
      <c r="G67" s="359"/>
      <c r="H67" s="359"/>
      <c r="I67" s="359"/>
      <c r="J67" s="359"/>
    </row>
    <row r="68" spans="5:10" x14ac:dyDescent="0.25">
      <c r="E68" s="359"/>
      <c r="F68" s="359"/>
      <c r="G68" s="359"/>
      <c r="H68" s="359"/>
      <c r="I68" s="359"/>
      <c r="J68" s="359"/>
    </row>
    <row r="69" spans="5:10" x14ac:dyDescent="0.25">
      <c r="E69" s="359"/>
      <c r="F69" s="359"/>
      <c r="G69" s="359"/>
      <c r="H69" s="359"/>
      <c r="I69" s="359"/>
      <c r="J69" s="359"/>
    </row>
    <row r="70" spans="5:10" x14ac:dyDescent="0.25">
      <c r="E70" s="359"/>
      <c r="F70" s="359"/>
      <c r="G70" s="359"/>
      <c r="H70" s="359"/>
      <c r="I70" s="359"/>
      <c r="J70" s="359"/>
    </row>
    <row r="71" spans="5:10" x14ac:dyDescent="0.25">
      <c r="E71" s="359"/>
      <c r="F71" s="359"/>
      <c r="G71" s="359"/>
      <c r="H71" s="359"/>
      <c r="I71" s="359"/>
      <c r="J71" s="359"/>
    </row>
    <row r="72" spans="5:10" x14ac:dyDescent="0.25">
      <c r="E72" s="359"/>
      <c r="F72" s="359"/>
      <c r="G72" s="359"/>
      <c r="H72" s="359"/>
      <c r="I72" s="359"/>
      <c r="J72" s="359"/>
    </row>
    <row r="73" spans="5:10" x14ac:dyDescent="0.25">
      <c r="E73" s="359"/>
      <c r="F73" s="359"/>
      <c r="G73" s="359"/>
      <c r="H73" s="359"/>
      <c r="I73" s="359"/>
      <c r="J73" s="359"/>
    </row>
    <row r="74" spans="5:10" x14ac:dyDescent="0.25">
      <c r="E74" s="359"/>
      <c r="F74" s="359"/>
      <c r="G74" s="359"/>
      <c r="H74" s="359"/>
      <c r="I74" s="359"/>
      <c r="J74" s="359"/>
    </row>
    <row r="75" spans="5:10" x14ac:dyDescent="0.25">
      <c r="E75" s="359"/>
      <c r="F75" s="359"/>
      <c r="G75" s="359"/>
      <c r="H75" s="359"/>
      <c r="I75" s="359"/>
      <c r="J75" s="359"/>
    </row>
    <row r="76" spans="5:10" x14ac:dyDescent="0.25">
      <c r="E76" s="359"/>
      <c r="F76" s="359"/>
      <c r="G76" s="359"/>
      <c r="H76" s="359"/>
      <c r="I76" s="359"/>
      <c r="J76" s="359"/>
    </row>
    <row r="77" spans="5:10" x14ac:dyDescent="0.25">
      <c r="E77" s="359"/>
      <c r="F77" s="359"/>
      <c r="G77" s="359"/>
      <c r="H77" s="359"/>
      <c r="I77" s="359"/>
      <c r="J77" s="359"/>
    </row>
    <row r="78" spans="5:10" x14ac:dyDescent="0.25">
      <c r="E78" s="359"/>
      <c r="F78" s="359"/>
      <c r="G78" s="359"/>
      <c r="H78" s="359"/>
      <c r="I78" s="359"/>
      <c r="J78" s="359"/>
    </row>
    <row r="79" spans="5:10" x14ac:dyDescent="0.25">
      <c r="E79" s="359"/>
      <c r="F79" s="359"/>
      <c r="G79" s="359"/>
      <c r="H79" s="359"/>
      <c r="I79" s="359"/>
      <c r="J79" s="359"/>
    </row>
    <row r="80" spans="5:10" x14ac:dyDescent="0.25">
      <c r="E80" s="359"/>
      <c r="F80" s="359"/>
      <c r="G80" s="359"/>
      <c r="H80" s="359"/>
      <c r="I80" s="359"/>
      <c r="J80" s="359"/>
    </row>
    <row r="81" spans="5:10" x14ac:dyDescent="0.25">
      <c r="E81" s="359"/>
      <c r="F81" s="359"/>
      <c r="G81" s="359"/>
      <c r="H81" s="359"/>
      <c r="I81" s="359"/>
      <c r="J81" s="359"/>
    </row>
    <row r="82" spans="5:10" x14ac:dyDescent="0.25">
      <c r="E82" s="359"/>
      <c r="F82" s="359"/>
      <c r="G82" s="359"/>
      <c r="H82" s="359"/>
      <c r="I82" s="359"/>
      <c r="J82" s="359"/>
    </row>
    <row r="83" spans="5:10" x14ac:dyDescent="0.25">
      <c r="E83" s="359"/>
      <c r="F83" s="359"/>
      <c r="G83" s="359"/>
      <c r="H83" s="359"/>
      <c r="I83" s="359"/>
      <c r="J83" s="359"/>
    </row>
    <row r="84" spans="5:10" x14ac:dyDescent="0.25">
      <c r="E84" s="359"/>
      <c r="F84" s="359"/>
      <c r="G84" s="359"/>
      <c r="H84" s="359"/>
      <c r="I84" s="359"/>
      <c r="J84" s="359"/>
    </row>
    <row r="85" spans="5:10" x14ac:dyDescent="0.25">
      <c r="E85" s="359"/>
      <c r="F85" s="359"/>
      <c r="G85" s="359"/>
      <c r="H85" s="359"/>
      <c r="I85" s="359"/>
      <c r="J85" s="359"/>
    </row>
    <row r="86" spans="5:10" x14ac:dyDescent="0.25">
      <c r="E86" s="359"/>
      <c r="F86" s="359"/>
      <c r="G86" s="359"/>
      <c r="H86" s="359"/>
      <c r="I86" s="359"/>
      <c r="J86" s="359"/>
    </row>
    <row r="87" spans="5:10" x14ac:dyDescent="0.25">
      <c r="E87" s="359"/>
      <c r="F87" s="359"/>
      <c r="G87" s="359"/>
      <c r="H87" s="359"/>
      <c r="I87" s="359"/>
      <c r="J87" s="359"/>
    </row>
    <row r="88" spans="5:10" x14ac:dyDescent="0.25">
      <c r="E88" s="359"/>
      <c r="F88" s="359"/>
      <c r="G88" s="359"/>
      <c r="H88" s="359"/>
      <c r="I88" s="359"/>
      <c r="J88" s="359"/>
    </row>
    <row r="89" spans="5:10" x14ac:dyDescent="0.25">
      <c r="E89" s="359"/>
      <c r="F89" s="359"/>
      <c r="G89" s="359"/>
      <c r="H89" s="359"/>
      <c r="I89" s="359"/>
      <c r="J89" s="359"/>
    </row>
    <row r="90" spans="5:10" x14ac:dyDescent="0.25">
      <c r="E90" s="359"/>
      <c r="F90" s="359"/>
      <c r="G90" s="359"/>
      <c r="H90" s="359"/>
      <c r="I90" s="359"/>
      <c r="J90" s="359"/>
    </row>
    <row r="91" spans="5:10" x14ac:dyDescent="0.25">
      <c r="E91" s="359"/>
      <c r="F91" s="359"/>
      <c r="G91" s="359"/>
      <c r="H91" s="359"/>
      <c r="I91" s="359"/>
      <c r="J91" s="359"/>
    </row>
    <row r="92" spans="5:10" x14ac:dyDescent="0.25">
      <c r="E92" s="359"/>
      <c r="F92" s="359"/>
      <c r="G92" s="359"/>
      <c r="H92" s="359"/>
      <c r="I92" s="359"/>
      <c r="J92" s="359"/>
    </row>
    <row r="93" spans="5:10" x14ac:dyDescent="0.25">
      <c r="E93" s="359"/>
      <c r="F93" s="359"/>
      <c r="G93" s="359"/>
      <c r="H93" s="359"/>
      <c r="I93" s="359"/>
      <c r="J93" s="359"/>
    </row>
    <row r="94" spans="5:10" x14ac:dyDescent="0.25">
      <c r="E94" s="359"/>
      <c r="F94" s="359"/>
      <c r="G94" s="359"/>
      <c r="H94" s="359"/>
      <c r="I94" s="359"/>
      <c r="J94" s="359"/>
    </row>
    <row r="95" spans="5:10" x14ac:dyDescent="0.25">
      <c r="E95" s="359"/>
      <c r="F95" s="359"/>
      <c r="G95" s="359"/>
      <c r="H95" s="359"/>
      <c r="I95" s="359"/>
      <c r="J95" s="359"/>
    </row>
    <row r="96" spans="5:10" x14ac:dyDescent="0.25">
      <c r="E96" s="359"/>
      <c r="F96" s="359"/>
      <c r="G96" s="359"/>
      <c r="H96" s="359"/>
      <c r="I96" s="359"/>
      <c r="J96" s="359"/>
    </row>
    <row r="97" spans="5:10" x14ac:dyDescent="0.25">
      <c r="E97" s="359"/>
      <c r="F97" s="359"/>
      <c r="G97" s="359"/>
      <c r="H97" s="359"/>
      <c r="I97" s="359"/>
      <c r="J97" s="359"/>
    </row>
    <row r="98" spans="5:10" x14ac:dyDescent="0.25">
      <c r="E98" s="359"/>
      <c r="F98" s="359"/>
      <c r="G98" s="359"/>
      <c r="H98" s="359"/>
      <c r="I98" s="359"/>
      <c r="J98" s="359"/>
    </row>
    <row r="99" spans="5:10" x14ac:dyDescent="0.25">
      <c r="E99" s="359"/>
      <c r="F99" s="359"/>
      <c r="G99" s="359"/>
      <c r="H99" s="359"/>
      <c r="I99" s="359"/>
      <c r="J99" s="359"/>
    </row>
    <row r="100" spans="5:10" x14ac:dyDescent="0.25">
      <c r="E100" s="359"/>
      <c r="F100" s="359"/>
      <c r="G100" s="359"/>
      <c r="H100" s="359"/>
      <c r="I100" s="359"/>
      <c r="J100" s="359"/>
    </row>
    <row r="101" spans="5:10" x14ac:dyDescent="0.25">
      <c r="E101" s="359"/>
      <c r="F101" s="359"/>
      <c r="G101" s="359"/>
      <c r="H101" s="359"/>
      <c r="I101" s="359"/>
      <c r="J101" s="359"/>
    </row>
    <row r="102" spans="5:10" x14ac:dyDescent="0.25">
      <c r="E102" s="359"/>
      <c r="F102" s="359"/>
      <c r="G102" s="359"/>
      <c r="H102" s="359"/>
      <c r="I102" s="359"/>
      <c r="J102" s="359"/>
    </row>
    <row r="103" spans="5:10" x14ac:dyDescent="0.25">
      <c r="E103" s="359"/>
      <c r="F103" s="359"/>
      <c r="G103" s="359"/>
      <c r="H103" s="359"/>
      <c r="I103" s="359"/>
      <c r="J103" s="359"/>
    </row>
    <row r="104" spans="5:10" x14ac:dyDescent="0.25">
      <c r="E104" s="359"/>
      <c r="F104" s="359"/>
      <c r="G104" s="359"/>
      <c r="H104" s="359"/>
      <c r="I104" s="359"/>
      <c r="J104" s="359"/>
    </row>
    <row r="105" spans="5:10" x14ac:dyDescent="0.25">
      <c r="E105" s="359"/>
      <c r="F105" s="359"/>
      <c r="G105" s="359"/>
      <c r="H105" s="359"/>
      <c r="I105" s="359"/>
      <c r="J105" s="359"/>
    </row>
    <row r="106" spans="5:10" x14ac:dyDescent="0.25">
      <c r="E106" s="359"/>
      <c r="F106" s="359"/>
      <c r="G106" s="359"/>
      <c r="H106" s="359"/>
      <c r="I106" s="359"/>
      <c r="J106" s="359"/>
    </row>
    <row r="107" spans="5:10" x14ac:dyDescent="0.25">
      <c r="E107" s="359"/>
      <c r="F107" s="359"/>
      <c r="G107" s="359"/>
      <c r="H107" s="359"/>
      <c r="I107" s="359"/>
      <c r="J107" s="359"/>
    </row>
    <row r="108" spans="5:10" x14ac:dyDescent="0.25">
      <c r="E108" s="359"/>
      <c r="F108" s="359"/>
      <c r="G108" s="359"/>
      <c r="H108" s="359"/>
      <c r="I108" s="359"/>
      <c r="J108" s="359"/>
    </row>
    <row r="109" spans="5:10" x14ac:dyDescent="0.25">
      <c r="E109" s="359"/>
      <c r="F109" s="359"/>
      <c r="G109" s="359"/>
      <c r="H109" s="359"/>
      <c r="I109" s="359"/>
      <c r="J109" s="359"/>
    </row>
    <row r="110" spans="5:10" x14ac:dyDescent="0.25">
      <c r="E110" s="359"/>
      <c r="F110" s="359"/>
      <c r="G110" s="359"/>
      <c r="H110" s="359"/>
      <c r="I110" s="359"/>
      <c r="J110" s="359"/>
    </row>
    <row r="111" spans="5:10" x14ac:dyDescent="0.25">
      <c r="E111" s="359"/>
      <c r="F111" s="359"/>
      <c r="G111" s="359"/>
      <c r="H111" s="359"/>
      <c r="I111" s="359"/>
      <c r="J111" s="359"/>
    </row>
    <row r="112" spans="5:10" x14ac:dyDescent="0.25">
      <c r="E112" s="359"/>
      <c r="F112" s="359"/>
      <c r="G112" s="359"/>
      <c r="H112" s="359"/>
      <c r="I112" s="359"/>
      <c r="J112" s="359"/>
    </row>
    <row r="113" spans="5:10" x14ac:dyDescent="0.25">
      <c r="E113" s="359"/>
      <c r="F113" s="359"/>
      <c r="G113" s="359"/>
      <c r="H113" s="359"/>
      <c r="I113" s="359"/>
      <c r="J113" s="359"/>
    </row>
    <row r="114" spans="5:10" x14ac:dyDescent="0.25">
      <c r="E114" s="359"/>
      <c r="F114" s="359"/>
      <c r="G114" s="359"/>
      <c r="H114" s="359"/>
      <c r="I114" s="359"/>
      <c r="J114" s="359"/>
    </row>
    <row r="115" spans="5:10" x14ac:dyDescent="0.25">
      <c r="E115" s="359"/>
      <c r="F115" s="359"/>
      <c r="G115" s="359"/>
      <c r="H115" s="359"/>
      <c r="I115" s="359"/>
      <c r="J115" s="359"/>
    </row>
    <row r="116" spans="5:10" x14ac:dyDescent="0.25">
      <c r="E116" s="359"/>
      <c r="F116" s="359"/>
      <c r="G116" s="359"/>
      <c r="H116" s="359"/>
      <c r="I116" s="359"/>
      <c r="J116" s="359"/>
    </row>
    <row r="117" spans="5:10" x14ac:dyDescent="0.25">
      <c r="E117" s="359"/>
      <c r="F117" s="359"/>
      <c r="G117" s="359"/>
      <c r="H117" s="359"/>
      <c r="I117" s="359"/>
      <c r="J117" s="359"/>
    </row>
    <row r="118" spans="5:10" x14ac:dyDescent="0.25">
      <c r="E118" s="359"/>
      <c r="F118" s="359"/>
      <c r="G118" s="359"/>
      <c r="H118" s="359"/>
      <c r="I118" s="359"/>
      <c r="J118" s="359"/>
    </row>
    <row r="119" spans="5:10" x14ac:dyDescent="0.25">
      <c r="E119" s="359"/>
      <c r="F119" s="359"/>
      <c r="G119" s="359"/>
      <c r="H119" s="359"/>
      <c r="I119" s="359"/>
      <c r="J119" s="359"/>
    </row>
    <row r="120" spans="5:10" x14ac:dyDescent="0.25">
      <c r="E120" s="359"/>
      <c r="F120" s="359"/>
      <c r="G120" s="359"/>
      <c r="H120" s="359"/>
      <c r="I120" s="359"/>
      <c r="J120" s="359"/>
    </row>
    <row r="121" spans="5:10" x14ac:dyDescent="0.25">
      <c r="E121" s="359"/>
      <c r="F121" s="359"/>
      <c r="G121" s="359"/>
      <c r="H121" s="359"/>
      <c r="I121" s="359"/>
      <c r="J121" s="359"/>
    </row>
    <row r="122" spans="5:10" x14ac:dyDescent="0.25">
      <c r="E122" s="359"/>
      <c r="F122" s="359"/>
      <c r="G122" s="359"/>
      <c r="H122" s="359"/>
      <c r="I122" s="359"/>
      <c r="J122" s="359"/>
    </row>
    <row r="123" spans="5:10" x14ac:dyDescent="0.25">
      <c r="E123" s="359"/>
      <c r="F123" s="359"/>
      <c r="G123" s="359"/>
      <c r="H123" s="359"/>
      <c r="I123" s="359"/>
      <c r="J123" s="359"/>
    </row>
    <row r="124" spans="5:10" x14ac:dyDescent="0.25">
      <c r="E124" s="359"/>
      <c r="F124" s="359"/>
      <c r="G124" s="359"/>
      <c r="H124" s="359"/>
      <c r="I124" s="359"/>
      <c r="J124" s="359"/>
    </row>
    <row r="125" spans="5:10" x14ac:dyDescent="0.25">
      <c r="E125" s="359"/>
      <c r="F125" s="359"/>
      <c r="G125" s="359"/>
      <c r="H125" s="359"/>
      <c r="I125" s="359"/>
      <c r="J125" s="359"/>
    </row>
    <row r="126" spans="5:10" x14ac:dyDescent="0.25">
      <c r="E126" s="359"/>
      <c r="F126" s="359"/>
      <c r="G126" s="359"/>
      <c r="H126" s="359"/>
      <c r="I126" s="359"/>
      <c r="J126" s="359"/>
    </row>
    <row r="127" spans="5:10" x14ac:dyDescent="0.25">
      <c r="E127" s="359"/>
      <c r="F127" s="359"/>
      <c r="G127" s="359"/>
      <c r="H127" s="359"/>
      <c r="I127" s="359"/>
      <c r="J127" s="359"/>
    </row>
    <row r="128" spans="5:10" x14ac:dyDescent="0.25">
      <c r="E128" s="359"/>
      <c r="F128" s="359"/>
      <c r="G128" s="359"/>
      <c r="H128" s="359"/>
      <c r="I128" s="359"/>
      <c r="J128" s="359"/>
    </row>
    <row r="129" spans="5:10" x14ac:dyDescent="0.25">
      <c r="E129" s="359"/>
      <c r="F129" s="359"/>
      <c r="G129" s="359"/>
      <c r="H129" s="359"/>
      <c r="I129" s="359"/>
      <c r="J129" s="359"/>
    </row>
    <row r="130" spans="5:10" x14ac:dyDescent="0.25">
      <c r="E130" s="359"/>
      <c r="F130" s="359"/>
      <c r="G130" s="359"/>
      <c r="H130" s="359"/>
      <c r="I130" s="359"/>
      <c r="J130" s="359"/>
    </row>
    <row r="131" spans="5:10" x14ac:dyDescent="0.25">
      <c r="E131" s="359"/>
      <c r="F131" s="359"/>
      <c r="G131" s="359"/>
      <c r="H131" s="359"/>
      <c r="I131" s="359"/>
      <c r="J131" s="359"/>
    </row>
    <row r="132" spans="5:10" x14ac:dyDescent="0.25">
      <c r="E132" s="359"/>
      <c r="F132" s="359"/>
      <c r="G132" s="359"/>
      <c r="H132" s="359"/>
      <c r="I132" s="359"/>
      <c r="J132" s="359"/>
    </row>
  </sheetData>
  <mergeCells count="292">
    <mergeCell ref="A1:G2"/>
    <mergeCell ref="H1:I1"/>
    <mergeCell ref="J1:J4"/>
    <mergeCell ref="N1:N4"/>
    <mergeCell ref="H2:I2"/>
    <mergeCell ref="A3:G4"/>
    <mergeCell ref="H3:I3"/>
    <mergeCell ref="H4:I4"/>
    <mergeCell ref="A5:J5"/>
    <mergeCell ref="A6:J7"/>
    <mergeCell ref="A8:D25"/>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 ref="G14:J14"/>
    <mergeCell ref="E21:F21"/>
    <mergeCell ref="G21:J21"/>
    <mergeCell ref="E22:F22"/>
    <mergeCell ref="G22:J22"/>
    <mergeCell ref="E23:F23"/>
    <mergeCell ref="G23:J23"/>
    <mergeCell ref="E18:F18"/>
    <mergeCell ref="G18:J18"/>
    <mergeCell ref="E19:F19"/>
    <mergeCell ref="G19:J19"/>
    <mergeCell ref="E20:F20"/>
    <mergeCell ref="G20:J20"/>
    <mergeCell ref="E24:F24"/>
    <mergeCell ref="G24:J24"/>
    <mergeCell ref="E25:F25"/>
    <mergeCell ref="G25:J25"/>
    <mergeCell ref="A26:A54"/>
    <mergeCell ref="B26:B38"/>
    <mergeCell ref="C26:D26"/>
    <mergeCell ref="E26:F26"/>
    <mergeCell ref="G26:J26"/>
    <mergeCell ref="C27:D27"/>
    <mergeCell ref="C30:D30"/>
    <mergeCell ref="E30:F30"/>
    <mergeCell ref="G30:J30"/>
    <mergeCell ref="C31:D31"/>
    <mergeCell ref="E31:F31"/>
    <mergeCell ref="G31:J31"/>
    <mergeCell ref="E27:F27"/>
    <mergeCell ref="G27:J27"/>
    <mergeCell ref="C28:D28"/>
    <mergeCell ref="E28:F28"/>
    <mergeCell ref="G28:J28"/>
    <mergeCell ref="C29:D29"/>
    <mergeCell ref="E29:F29"/>
    <mergeCell ref="G29:J29"/>
    <mergeCell ref="C34:D34"/>
    <mergeCell ref="E34:F34"/>
    <mergeCell ref="G34:J34"/>
    <mergeCell ref="C35:D35"/>
    <mergeCell ref="E35:F35"/>
    <mergeCell ref="G35:J35"/>
    <mergeCell ref="C32:D32"/>
    <mergeCell ref="E32:F32"/>
    <mergeCell ref="G32:J32"/>
    <mergeCell ref="C33:D33"/>
    <mergeCell ref="E33:F33"/>
    <mergeCell ref="G33:J33"/>
    <mergeCell ref="B39:B54"/>
    <mergeCell ref="C39:D39"/>
    <mergeCell ref="E39:F39"/>
    <mergeCell ref="G39:J39"/>
    <mergeCell ref="C40:D40"/>
    <mergeCell ref="E40:F40"/>
    <mergeCell ref="G40:J40"/>
    <mergeCell ref="C36:D36"/>
    <mergeCell ref="E36:F36"/>
    <mergeCell ref="G36:J36"/>
    <mergeCell ref="C37:D37"/>
    <mergeCell ref="E37:F37"/>
    <mergeCell ref="G37:J37"/>
    <mergeCell ref="C41:D41"/>
    <mergeCell ref="E41:F41"/>
    <mergeCell ref="G41:J41"/>
    <mergeCell ref="C42:D42"/>
    <mergeCell ref="E42:F42"/>
    <mergeCell ref="G42:J42"/>
    <mergeCell ref="C38:D38"/>
    <mergeCell ref="E38:F38"/>
    <mergeCell ref="G38:J38"/>
    <mergeCell ref="C45:D45"/>
    <mergeCell ref="E45:F45"/>
    <mergeCell ref="G45:J45"/>
    <mergeCell ref="C46:D46"/>
    <mergeCell ref="E46:F46"/>
    <mergeCell ref="G46:J46"/>
    <mergeCell ref="C43:D43"/>
    <mergeCell ref="E43:F43"/>
    <mergeCell ref="G43:J43"/>
    <mergeCell ref="C44:D44"/>
    <mergeCell ref="E44:F44"/>
    <mergeCell ref="G44:J44"/>
    <mergeCell ref="C49:D49"/>
    <mergeCell ref="E49:F49"/>
    <mergeCell ref="G49:J49"/>
    <mergeCell ref="C50:D50"/>
    <mergeCell ref="E50:F50"/>
    <mergeCell ref="G50:J50"/>
    <mergeCell ref="C47:D47"/>
    <mergeCell ref="E47:F47"/>
    <mergeCell ref="G47:J47"/>
    <mergeCell ref="C48:D48"/>
    <mergeCell ref="E48:F48"/>
    <mergeCell ref="G48:J48"/>
    <mergeCell ref="C53:D53"/>
    <mergeCell ref="E53:F53"/>
    <mergeCell ref="G53:J53"/>
    <mergeCell ref="C54:D54"/>
    <mergeCell ref="E54:F54"/>
    <mergeCell ref="G54:J54"/>
    <mergeCell ref="C51:D51"/>
    <mergeCell ref="E51:F51"/>
    <mergeCell ref="G51:J51"/>
    <mergeCell ref="C52:D52"/>
    <mergeCell ref="E52:F52"/>
    <mergeCell ref="G52:J52"/>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88:F88"/>
    <mergeCell ref="G88:J88"/>
    <mergeCell ref="E89:F89"/>
    <mergeCell ref="G89:J89"/>
    <mergeCell ref="E90:F90"/>
    <mergeCell ref="G90:J90"/>
    <mergeCell ref="E85:F85"/>
    <mergeCell ref="G85:J85"/>
    <mergeCell ref="E86:F86"/>
    <mergeCell ref="G86:J86"/>
    <mergeCell ref="E87:F87"/>
    <mergeCell ref="G87:J87"/>
    <mergeCell ref="E94:F94"/>
    <mergeCell ref="G94:J94"/>
    <mergeCell ref="E95:F95"/>
    <mergeCell ref="G95:J95"/>
    <mergeCell ref="E96:F96"/>
    <mergeCell ref="G96:J96"/>
    <mergeCell ref="E91:F91"/>
    <mergeCell ref="G91:J91"/>
    <mergeCell ref="E92:F92"/>
    <mergeCell ref="G92:J92"/>
    <mergeCell ref="E93:F93"/>
    <mergeCell ref="G93:J93"/>
    <mergeCell ref="E100:F100"/>
    <mergeCell ref="G100:J100"/>
    <mergeCell ref="E101:F101"/>
    <mergeCell ref="G101:J101"/>
    <mergeCell ref="E102:F102"/>
    <mergeCell ref="G102:J102"/>
    <mergeCell ref="E97:F97"/>
    <mergeCell ref="G97:J97"/>
    <mergeCell ref="E98:F98"/>
    <mergeCell ref="G98:J98"/>
    <mergeCell ref="E99:F99"/>
    <mergeCell ref="G99:J99"/>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24:F124"/>
    <mergeCell ref="G124:J124"/>
    <mergeCell ref="E125:F125"/>
    <mergeCell ref="G125:J125"/>
    <mergeCell ref="E126:F126"/>
    <mergeCell ref="G126:J126"/>
    <mergeCell ref="E121:F121"/>
    <mergeCell ref="G121:J121"/>
    <mergeCell ref="E122:F122"/>
    <mergeCell ref="G122:J122"/>
    <mergeCell ref="E123:F123"/>
    <mergeCell ref="G123:J123"/>
    <mergeCell ref="E130:F130"/>
    <mergeCell ref="G130:J130"/>
    <mergeCell ref="E131:F131"/>
    <mergeCell ref="G131:J131"/>
    <mergeCell ref="E132:F132"/>
    <mergeCell ref="G132:J132"/>
    <mergeCell ref="E127:F127"/>
    <mergeCell ref="G127:J127"/>
    <mergeCell ref="E128:F128"/>
    <mergeCell ref="G128:J128"/>
    <mergeCell ref="E129:F129"/>
    <mergeCell ref="G129:J1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2"/>
  <sheetViews>
    <sheetView tabSelected="1" topLeftCell="AI1" zoomScale="80" zoomScaleNormal="80" workbookViewId="0">
      <selection activeCell="AS9" sqref="AS9"/>
    </sheetView>
  </sheetViews>
  <sheetFormatPr baseColWidth="10" defaultColWidth="11.44140625" defaultRowHeight="13.8" x14ac:dyDescent="0.25"/>
  <cols>
    <col min="1" max="1" width="4" style="2" bestFit="1" customWidth="1"/>
    <col min="2" max="2" width="14.109375" style="2" customWidth="1"/>
    <col min="3" max="3" width="18.44140625" style="2" customWidth="1"/>
    <col min="4" max="4" width="19.886718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77"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64.44140625" style="1" customWidth="1"/>
    <col min="35" max="35" width="13" style="254" customWidth="1"/>
    <col min="36" max="36" width="15.6640625" style="254" customWidth="1"/>
    <col min="37" max="37" width="12.88671875" style="254" customWidth="1"/>
    <col min="38" max="38" width="43" style="1" customWidth="1"/>
    <col min="39" max="39" width="21" style="1" customWidth="1"/>
    <col min="40" max="16384" width="11.44140625" style="1"/>
  </cols>
  <sheetData>
    <row r="1" spans="1:71" x14ac:dyDescent="0.25">
      <c r="A1" s="441" t="s">
        <v>138</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2"/>
      <c r="AD1" s="442"/>
      <c r="AE1" s="442"/>
      <c r="AF1" s="442"/>
      <c r="AG1" s="442"/>
      <c r="AH1" s="442"/>
      <c r="AI1" s="442"/>
      <c r="AJ1" s="442"/>
      <c r="AK1" s="442"/>
      <c r="AL1" s="442"/>
      <c r="AM1" s="443"/>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x14ac:dyDescent="0.25">
      <c r="A2" s="444"/>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6"/>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253"/>
      <c r="AJ3" s="253"/>
      <c r="AK3" s="25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3.4" x14ac:dyDescent="0.25">
      <c r="A4" s="488" t="s">
        <v>42</v>
      </c>
      <c r="B4" s="489"/>
      <c r="C4" s="439" t="s">
        <v>279</v>
      </c>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7.5" customHeight="1" x14ac:dyDescent="0.25">
      <c r="A5" s="488" t="s">
        <v>124</v>
      </c>
      <c r="B5" s="489"/>
      <c r="C5" s="440" t="s">
        <v>349</v>
      </c>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c r="AM5" s="440"/>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30.75" customHeight="1" x14ac:dyDescent="0.25">
      <c r="A6" s="488" t="s">
        <v>43</v>
      </c>
      <c r="B6" s="489"/>
      <c r="C6" s="440" t="s">
        <v>350</v>
      </c>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47" t="s">
        <v>133</v>
      </c>
      <c r="B7" s="448"/>
      <c r="C7" s="449"/>
      <c r="D7" s="449"/>
      <c r="E7" s="449"/>
      <c r="F7" s="449"/>
      <c r="G7" s="449"/>
      <c r="H7" s="449"/>
      <c r="I7" s="449"/>
      <c r="J7" s="450"/>
      <c r="K7" s="451" t="s">
        <v>134</v>
      </c>
      <c r="L7" s="449"/>
      <c r="M7" s="449"/>
      <c r="N7" s="449"/>
      <c r="O7" s="449"/>
      <c r="P7" s="449"/>
      <c r="Q7" s="450"/>
      <c r="R7" s="451" t="s">
        <v>135</v>
      </c>
      <c r="S7" s="449"/>
      <c r="T7" s="449"/>
      <c r="U7" s="449"/>
      <c r="V7" s="449"/>
      <c r="W7" s="449"/>
      <c r="X7" s="449"/>
      <c r="Y7" s="449"/>
      <c r="Z7" s="450"/>
      <c r="AA7" s="451" t="s">
        <v>136</v>
      </c>
      <c r="AB7" s="449"/>
      <c r="AC7" s="449"/>
      <c r="AD7" s="449"/>
      <c r="AE7" s="449"/>
      <c r="AF7" s="449"/>
      <c r="AG7" s="450"/>
      <c r="AH7" s="451" t="s">
        <v>34</v>
      </c>
      <c r="AI7" s="449"/>
      <c r="AJ7" s="449"/>
      <c r="AK7" s="449"/>
      <c r="AL7" s="449"/>
      <c r="AM7" s="450"/>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x14ac:dyDescent="0.25">
      <c r="A8" s="490" t="s">
        <v>0</v>
      </c>
      <c r="B8" s="502" t="s">
        <v>2</v>
      </c>
      <c r="C8" s="493" t="s">
        <v>3</v>
      </c>
      <c r="D8" s="493" t="s">
        <v>41</v>
      </c>
      <c r="E8" s="492" t="s">
        <v>202</v>
      </c>
      <c r="F8" s="494" t="s">
        <v>1</v>
      </c>
      <c r="G8" s="136"/>
      <c r="H8" s="136"/>
      <c r="I8" s="492" t="s">
        <v>49</v>
      </c>
      <c r="J8" s="493" t="s">
        <v>129</v>
      </c>
      <c r="K8" s="499" t="s">
        <v>33</v>
      </c>
      <c r="L8" s="500" t="s">
        <v>5</v>
      </c>
      <c r="M8" s="492" t="s">
        <v>85</v>
      </c>
      <c r="N8" s="492" t="s">
        <v>90</v>
      </c>
      <c r="O8" s="501" t="s">
        <v>44</v>
      </c>
      <c r="P8" s="500" t="s">
        <v>5</v>
      </c>
      <c r="Q8" s="493" t="s">
        <v>47</v>
      </c>
      <c r="R8" s="496" t="s">
        <v>11</v>
      </c>
      <c r="S8" s="487" t="s">
        <v>151</v>
      </c>
      <c r="T8" s="492" t="s">
        <v>12</v>
      </c>
      <c r="U8" s="487" t="s">
        <v>8</v>
      </c>
      <c r="V8" s="487"/>
      <c r="W8" s="487"/>
      <c r="X8" s="487"/>
      <c r="Y8" s="487"/>
      <c r="Z8" s="487"/>
      <c r="AA8" s="498" t="s">
        <v>132</v>
      </c>
      <c r="AB8" s="498" t="s">
        <v>45</v>
      </c>
      <c r="AC8" s="498" t="s">
        <v>5</v>
      </c>
      <c r="AD8" s="498" t="s">
        <v>46</v>
      </c>
      <c r="AE8" s="498" t="s">
        <v>5</v>
      </c>
      <c r="AF8" s="498" t="s">
        <v>48</v>
      </c>
      <c r="AG8" s="496" t="s">
        <v>29</v>
      </c>
      <c r="AH8" s="487" t="s">
        <v>34</v>
      </c>
      <c r="AI8" s="487" t="s">
        <v>35</v>
      </c>
      <c r="AJ8" s="487" t="s">
        <v>36</v>
      </c>
      <c r="AK8" s="487" t="s">
        <v>37</v>
      </c>
      <c r="AL8" s="487" t="s">
        <v>357</v>
      </c>
      <c r="AM8" s="487"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70.2" x14ac:dyDescent="0.3">
      <c r="A9" s="491"/>
      <c r="B9" s="502"/>
      <c r="C9" s="487"/>
      <c r="D9" s="487"/>
      <c r="E9" s="499"/>
      <c r="F9" s="495"/>
      <c r="G9" s="136" t="s">
        <v>257</v>
      </c>
      <c r="H9" s="136" t="s">
        <v>203</v>
      </c>
      <c r="I9" s="493"/>
      <c r="J9" s="487"/>
      <c r="K9" s="493"/>
      <c r="L9" s="451"/>
      <c r="M9" s="493"/>
      <c r="N9" s="493"/>
      <c r="O9" s="451"/>
      <c r="P9" s="451"/>
      <c r="Q9" s="487"/>
      <c r="R9" s="497"/>
      <c r="S9" s="487"/>
      <c r="T9" s="493"/>
      <c r="U9" s="7" t="s">
        <v>13</v>
      </c>
      <c r="V9" s="7" t="s">
        <v>17</v>
      </c>
      <c r="W9" s="7" t="s">
        <v>28</v>
      </c>
      <c r="X9" s="7" t="s">
        <v>18</v>
      </c>
      <c r="Y9" s="7" t="s">
        <v>21</v>
      </c>
      <c r="Z9" s="7" t="s">
        <v>24</v>
      </c>
      <c r="AA9" s="498"/>
      <c r="AB9" s="498"/>
      <c r="AC9" s="498"/>
      <c r="AD9" s="498"/>
      <c r="AE9" s="498"/>
      <c r="AF9" s="498"/>
      <c r="AG9" s="497"/>
      <c r="AH9" s="487"/>
      <c r="AI9" s="487"/>
      <c r="AJ9" s="487"/>
      <c r="AK9" s="487"/>
      <c r="AL9" s="487"/>
      <c r="AM9" s="487"/>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40.4" x14ac:dyDescent="0.3">
      <c r="A10" s="461">
        <v>1</v>
      </c>
      <c r="B10" s="512" t="s">
        <v>128</v>
      </c>
      <c r="C10" s="512" t="s">
        <v>280</v>
      </c>
      <c r="D10" s="515" t="s">
        <v>281</v>
      </c>
      <c r="E10" s="196" t="str">
        <f>+DOFA!E13</f>
        <v>Insuficiente  Presupuesto para cumplir con el correcto funcionamiento del proceso de la entidad y metas del plan de desarrollo</v>
      </c>
      <c r="F10" s="486" t="s">
        <v>346</v>
      </c>
      <c r="G10" s="527" t="s">
        <v>282</v>
      </c>
      <c r="H10" s="486" t="s">
        <v>283</v>
      </c>
      <c r="I10" s="503" t="s">
        <v>117</v>
      </c>
      <c r="J10" s="506">
        <v>365</v>
      </c>
      <c r="K10" s="509" t="str">
        <f>IF(J10&lt;=0,"",IF(J10&lt;=2,"Muy Baja",IF(J10&lt;=24,"Baja",IF(J10&lt;=500,"Media",IF(J10&lt;=5000,"Alta","Muy Alta")))))</f>
        <v>Media</v>
      </c>
      <c r="L10" s="521">
        <f>IF(K10="","",IF(K10="Muy Baja",0.2,IF(K10="Baja",0.4,IF(K10="Media",0.6,IF(K10="Alta",0.8,IF(K10="Muy Alta",1,))))))</f>
        <v>0.6</v>
      </c>
      <c r="M10" s="524" t="s">
        <v>146</v>
      </c>
      <c r="N10" s="521" t="str">
        <f>IF(NOT(ISERROR(MATCH(M10,'Tabla Impacto'!$B$221:$B$223,0))),'Tabla Impacto'!$F$223&amp;"Por favor no seleccionar los criterios de impacto(Afectación Económica o presupuestal y Pérdida Reputacional)",M10)</f>
        <v xml:space="preserve">     El riesgo afecta la imagen de la entidad a nivel nacional, con efecto publicitarios sostenible a nivel país</v>
      </c>
      <c r="O10" s="509" t="str">
        <f>IF(OR(N10='Tabla Impacto'!$C$11,N10='Tabla Impacto'!$D$11),"Leve",IF(OR(N10='Tabla Impacto'!$C$12,N10='Tabla Impacto'!$D$12),"Menor",IF(OR(N10='Tabla Impacto'!$C$13,N10='Tabla Impacto'!$D$13),"Moderado",IF(OR(N10='Tabla Impacto'!$C$14,N10='Tabla Impacto'!$D$14),"Mayor",IF(OR(N10='Tabla Impacto'!$C$15,N10='Tabla Impacto'!$D$15),"Catastrófico","")))))</f>
        <v>Catastrófico</v>
      </c>
      <c r="P10" s="521">
        <f>IF(O10="","",IF(O10="Leve",0.2,IF(O10="Menor",0.4,IF(O10="Moderado",0.6,IF(O10="Mayor",0.8,IF(O10="Catastrófico",1,))))))</f>
        <v>1</v>
      </c>
      <c r="Q10" s="518"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Extremo</v>
      </c>
      <c r="R10" s="105">
        <v>1</v>
      </c>
      <c r="S10" s="106" t="s">
        <v>284</v>
      </c>
      <c r="T10" s="107" t="str">
        <f>IF(OR(U10="Preventivo",U10="Detectivo"),"Probabilidad",IF(U10="Correctivo","Impacto",""))</f>
        <v>Probabilidad</v>
      </c>
      <c r="U10" s="112" t="s">
        <v>14</v>
      </c>
      <c r="V10" s="112" t="s">
        <v>9</v>
      </c>
      <c r="W10" s="113" t="str">
        <f>IF(AND(U10="Preventivo",V10="Automático"),"50%",IF(AND(U10="Preventivo",V10="Manual"),"40%",IF(AND(U10="Detectivo",V10="Automático"),"40%",IF(AND(U10="Detectivo",V10="Manual"),"30%",IF(AND(U10="Correctivo",V10="Automático"),"35%",IF(AND(U10="Correctivo",V10="Manual"),"25%",""))))))</f>
        <v>40%</v>
      </c>
      <c r="X10" s="112" t="s">
        <v>19</v>
      </c>
      <c r="Y10" s="112" t="s">
        <v>22</v>
      </c>
      <c r="Z10" s="112" t="s">
        <v>113</v>
      </c>
      <c r="AA10" s="108">
        <f>IFERROR(IF(T10="Probabilidad",(L10-(+L10*W10)),IF(T10="Impacto",L10,"")),"")</f>
        <v>0.36</v>
      </c>
      <c r="AB10" s="116" t="str">
        <f>IFERROR(IF(AA10="","",IF(AA10&lt;=0.2,"Muy Baja",IF(AA10&lt;=0.4,"Baja",IF(AA10&lt;=0.6,"Media",IF(AA10&lt;=0.8,"Alta","Muy Alta"))))),"")</f>
        <v>Baja</v>
      </c>
      <c r="AC10" s="117">
        <f>+AA10</f>
        <v>0.36</v>
      </c>
      <c r="AD10" s="116" t="str">
        <f>IFERROR(IF(AE10="","",IF(AE10&lt;=0.2,"Leve",IF(AE10&lt;=0.4,"Menor",IF(AE10&lt;=0.6,"Moderado",IF(AE10&lt;=0.8,"Mayor","Catastrófico"))))),"")</f>
        <v>Catastrófico</v>
      </c>
      <c r="AE10" s="117">
        <f>IFERROR(IF(T10="Impacto",(P10-(+P10*W10)),IF(T10="Probabilidad",P10,"")),"")</f>
        <v>1</v>
      </c>
      <c r="AF10" s="118"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Extremo</v>
      </c>
      <c r="AG10" s="119" t="s">
        <v>130</v>
      </c>
      <c r="AH10" s="251" t="s">
        <v>344</v>
      </c>
      <c r="AI10" s="114" t="s">
        <v>287</v>
      </c>
      <c r="AJ10" s="255" t="s">
        <v>358</v>
      </c>
      <c r="AK10" s="255">
        <v>45726</v>
      </c>
      <c r="AL10" s="264" t="s">
        <v>370</v>
      </c>
      <c r="AM10" s="115" t="s">
        <v>40</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79.4" x14ac:dyDescent="0.25">
      <c r="A11" s="462"/>
      <c r="B11" s="513"/>
      <c r="C11" s="513"/>
      <c r="D11" s="516"/>
      <c r="E11" s="196" t="s">
        <v>342</v>
      </c>
      <c r="F11" s="486"/>
      <c r="G11" s="528"/>
      <c r="H11" s="486"/>
      <c r="I11" s="504"/>
      <c r="J11" s="507"/>
      <c r="K11" s="510"/>
      <c r="L11" s="522"/>
      <c r="M11" s="525"/>
      <c r="N11" s="522">
        <f>IF(NOT(ISERROR(MATCH(M11,_xlfn.ANCHORARRAY(F22),0))),L24&amp;"Por favor no seleccionar los criterios de impacto",M11)</f>
        <v>0</v>
      </c>
      <c r="O11" s="510"/>
      <c r="P11" s="522"/>
      <c r="Q11" s="519"/>
      <c r="R11" s="105">
        <v>2</v>
      </c>
      <c r="S11" s="106" t="s">
        <v>285</v>
      </c>
      <c r="T11" s="107" t="str">
        <f>IF(OR(U11="Preventivo",U11="Detectivo"),"Probabilidad",IF(U11="Correctivo","Impacto",""))</f>
        <v>Impacto</v>
      </c>
      <c r="U11" s="112" t="s">
        <v>16</v>
      </c>
      <c r="V11" s="112" t="s">
        <v>9</v>
      </c>
      <c r="W11" s="113" t="str">
        <f t="shared" ref="W11" si="0">IF(AND(U11="Preventivo",V11="Automático"),"50%",IF(AND(U11="Preventivo",V11="Manual"),"40%",IF(AND(U11="Detectivo",V11="Automático"),"40%",IF(AND(U11="Detectivo",V11="Manual"),"30%",IF(AND(U11="Correctivo",V11="Automático"),"35%",IF(AND(U11="Correctivo",V11="Manual"),"25%",""))))))</f>
        <v>25%</v>
      </c>
      <c r="X11" s="112" t="s">
        <v>20</v>
      </c>
      <c r="Y11" s="112" t="s">
        <v>22</v>
      </c>
      <c r="Z11" s="112" t="s">
        <v>113</v>
      </c>
      <c r="AA11" s="108">
        <f>IFERROR(IF(AND(T10="Probabilidad",T11="Probabilidad"),(AC10-(+AC10*W11)),IF(AND(T10="Impacto",T11="Probabilidad"),(L10-(+L10*W11)),IF(T11="Impacto",AC10,""))),"")</f>
        <v>0.36</v>
      </c>
      <c r="AB11" s="116" t="str">
        <f t="shared" ref="AB11" si="1">IFERROR(IF(AA11="","",IF(AA11&lt;=0.2,"Muy Baja",IF(AA11&lt;=0.4,"Baja",IF(AA11&lt;=0.6,"Media",IF(AA11&lt;=0.8,"Alta","Muy Alta"))))),"")</f>
        <v>Baja</v>
      </c>
      <c r="AC11" s="117">
        <f>+AA11</f>
        <v>0.36</v>
      </c>
      <c r="AD11" s="116" t="str">
        <f t="shared" ref="AD11" si="2">IFERROR(IF(AE11="","",IF(AE11&lt;=0.2,"Leve",IF(AE11&lt;=0.4,"Menor",IF(AE11&lt;=0.6,"Moderado",IF(AE11&lt;=0.8,"Mayor","Catastrófico"))))),"")</f>
        <v>Mayor</v>
      </c>
      <c r="AE11" s="117">
        <f>IFERROR(IF(AND(T10="Impacto",T11="Impacto"),(AE10-(+AE10*W11)),IF(AND(T10="Probabilidad",T11="Impacto"),(P10-(+P10*W11)),IF(T11="Probabilidad",AE10,""))),"")</f>
        <v>0.75</v>
      </c>
      <c r="AF11" s="118"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Alto</v>
      </c>
      <c r="AG11" s="119" t="s">
        <v>130</v>
      </c>
      <c r="AH11" s="252" t="s">
        <v>345</v>
      </c>
      <c r="AI11" s="109" t="s">
        <v>287</v>
      </c>
      <c r="AJ11" s="256" t="s">
        <v>358</v>
      </c>
      <c r="AK11" s="256">
        <v>45726</v>
      </c>
      <c r="AL11" s="252" t="s">
        <v>374</v>
      </c>
      <c r="AM11" s="110" t="s">
        <v>40</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53" customHeight="1" x14ac:dyDescent="0.25">
      <c r="A12" s="462"/>
      <c r="B12" s="513"/>
      <c r="C12" s="513"/>
      <c r="D12" s="516"/>
      <c r="E12" s="197" t="str">
        <f>+DOFA!E18</f>
        <v>Deterioro físico de los centros de Experiencia digital</v>
      </c>
      <c r="F12" s="486"/>
      <c r="G12" s="528"/>
      <c r="H12" s="486"/>
      <c r="I12" s="504"/>
      <c r="J12" s="507"/>
      <c r="K12" s="510"/>
      <c r="L12" s="522"/>
      <c r="M12" s="525"/>
      <c r="N12" s="522">
        <f>IF(NOT(ISERROR(MATCH(M12,_xlfn.ANCHORARRAY(F23),0))),L25&amp;"Por favor no seleccionar los criterios de impacto",M12)</f>
        <v>0</v>
      </c>
      <c r="O12" s="510"/>
      <c r="P12" s="522"/>
      <c r="Q12" s="519"/>
      <c r="R12" s="105">
        <v>3</v>
      </c>
      <c r="S12" s="198" t="s">
        <v>286</v>
      </c>
      <c r="T12" s="107" t="str">
        <f t="shared" ref="T12:T15" si="4">IF(OR(U12="Preventivo",U12="Detectivo"),"Probabilidad",IF(U12="Correctivo","Impacto",""))</f>
        <v>Impacto</v>
      </c>
      <c r="U12" s="112" t="s">
        <v>16</v>
      </c>
      <c r="V12" s="112" t="s">
        <v>9</v>
      </c>
      <c r="W12" s="113" t="str">
        <f t="shared" ref="W12:W15" si="5">IF(AND(U12="Preventivo",V12="Automático"),"50%",IF(AND(U12="Preventivo",V12="Manual"),"40%",IF(AND(U12="Detectivo",V12="Automático"),"40%",IF(AND(U12="Detectivo",V12="Manual"),"30%",IF(AND(U12="Correctivo",V12="Automático"),"35%",IF(AND(U12="Correctivo",V12="Manual"),"25%",""))))))</f>
        <v>25%</v>
      </c>
      <c r="X12" s="112" t="s">
        <v>20</v>
      </c>
      <c r="Y12" s="112" t="s">
        <v>22</v>
      </c>
      <c r="Z12" s="112" t="s">
        <v>113</v>
      </c>
      <c r="AA12" s="108">
        <f>IFERROR(IF(AND(T11="Probabilidad",T12="Probabilidad"),(AC11-(+AC11*W12)),IF(AND(T11="Impacto",T12="Probabilidad"),(AC10-(+AC10*W12)),IF(T12="Impacto",AC11,""))),"")</f>
        <v>0.36</v>
      </c>
      <c r="AB12" s="116" t="str">
        <f t="shared" ref="AB12:AB15" si="6">IFERROR(IF(AA12="","",IF(AA12&lt;=0.2,"Muy Baja",IF(AA12&lt;=0.4,"Baja",IF(AA12&lt;=0.6,"Media",IF(AA12&lt;=0.8,"Alta","Muy Alta"))))),"")</f>
        <v>Baja</v>
      </c>
      <c r="AC12" s="117">
        <f t="shared" ref="AC12:AC15" si="7">+AA12</f>
        <v>0.36</v>
      </c>
      <c r="AD12" s="116" t="str">
        <f t="shared" ref="AD12:AD15" si="8">IFERROR(IF(AE12="","",IF(AE12&lt;=0.2,"Leve",IF(AE12&lt;=0.4,"Menor",IF(AE12&lt;=0.6,"Moderado",IF(AE12&lt;=0.8,"Mayor","Catastrófico"))))),"")</f>
        <v>Moderado</v>
      </c>
      <c r="AE12" s="117">
        <f t="shared" ref="AE12:AE15" si="9">IFERROR(IF(AND(T11="Impacto",T12="Impacto"),(AE11-(+AE11*W12)),IF(AND(T11="Probabilidad",T12="Impacto"),(AE10-(+AE10*W12)),IF(T12="Probabilidad",AE11,""))),"")</f>
        <v>0.5625</v>
      </c>
      <c r="AF12" s="118" t="str">
        <f t="shared" ref="AF12:AF15" si="10">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19" t="s">
        <v>130</v>
      </c>
      <c r="AH12" s="252" t="s">
        <v>348</v>
      </c>
      <c r="AI12" s="109" t="s">
        <v>287</v>
      </c>
      <c r="AJ12" s="256" t="s">
        <v>358</v>
      </c>
      <c r="AK12" s="256">
        <v>45726</v>
      </c>
      <c r="AL12" s="252" t="s">
        <v>371</v>
      </c>
      <c r="AM12" s="110" t="s">
        <v>40</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5.6" x14ac:dyDescent="0.25">
      <c r="A13" s="462"/>
      <c r="B13" s="513"/>
      <c r="C13" s="513"/>
      <c r="D13" s="516"/>
      <c r="E13" s="197"/>
      <c r="F13" s="486"/>
      <c r="G13" s="528"/>
      <c r="H13" s="486"/>
      <c r="I13" s="504"/>
      <c r="J13" s="507"/>
      <c r="K13" s="510"/>
      <c r="L13" s="522"/>
      <c r="M13" s="525"/>
      <c r="N13" s="522">
        <f>IF(NOT(ISERROR(MATCH(M13,_xlfn.ANCHORARRAY(F24),0))),L26&amp;"Por favor no seleccionar los criterios de impacto",M13)</f>
        <v>0</v>
      </c>
      <c r="O13" s="510"/>
      <c r="P13" s="522"/>
      <c r="Q13" s="519"/>
      <c r="R13" s="105">
        <v>4</v>
      </c>
      <c r="S13" s="106"/>
      <c r="T13" s="107"/>
      <c r="U13" s="112"/>
      <c r="V13" s="112"/>
      <c r="W13" s="113"/>
      <c r="X13" s="112"/>
      <c r="Y13" s="112"/>
      <c r="Z13" s="112"/>
      <c r="AA13" s="108"/>
      <c r="AB13" s="116"/>
      <c r="AC13" s="117"/>
      <c r="AD13" s="116"/>
      <c r="AE13" s="117"/>
      <c r="AF13" s="118"/>
      <c r="AG13" s="119"/>
      <c r="AH13" s="252"/>
      <c r="AI13" s="109"/>
      <c r="AJ13" s="256"/>
      <c r="AK13" s="256"/>
      <c r="AL13" s="265"/>
      <c r="AM13" s="110"/>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5.6" x14ac:dyDescent="0.25">
      <c r="A14" s="462"/>
      <c r="B14" s="513"/>
      <c r="C14" s="513"/>
      <c r="D14" s="516"/>
      <c r="E14" s="137"/>
      <c r="F14" s="486"/>
      <c r="G14" s="528"/>
      <c r="H14" s="486"/>
      <c r="I14" s="504"/>
      <c r="J14" s="507"/>
      <c r="K14" s="510"/>
      <c r="L14" s="522"/>
      <c r="M14" s="525"/>
      <c r="N14" s="522">
        <f>IF(NOT(ISERROR(MATCH(M14,_xlfn.ANCHORARRAY(F25),0))),L27&amp;"Por favor no seleccionar los criterios de impacto",M14)</f>
        <v>0</v>
      </c>
      <c r="O14" s="510"/>
      <c r="P14" s="522"/>
      <c r="Q14" s="519"/>
      <c r="R14" s="105">
        <v>5</v>
      </c>
      <c r="S14" s="106"/>
      <c r="T14" s="107" t="str">
        <f t="shared" si="4"/>
        <v/>
      </c>
      <c r="U14" s="112"/>
      <c r="V14" s="112"/>
      <c r="W14" s="113" t="str">
        <f t="shared" si="5"/>
        <v/>
      </c>
      <c r="X14" s="112"/>
      <c r="Y14" s="112"/>
      <c r="Z14" s="112"/>
      <c r="AA14" s="108" t="str">
        <f t="shared" ref="AA14:AA15" si="11">IFERROR(IF(AND(T13="Probabilidad",T14="Probabilidad"),(AC13-(+AC13*W14)),IF(AND(T13="Impacto",T14="Probabilidad"),(AC12-(+AC12*W14)),IF(T14="Impacto",AC13,""))),"")</f>
        <v/>
      </c>
      <c r="AB14" s="116" t="str">
        <f t="shared" si="6"/>
        <v/>
      </c>
      <c r="AC14" s="117" t="str">
        <f t="shared" si="7"/>
        <v/>
      </c>
      <c r="AD14" s="116" t="str">
        <f t="shared" si="8"/>
        <v/>
      </c>
      <c r="AE14" s="117" t="str">
        <f t="shared" si="9"/>
        <v/>
      </c>
      <c r="AF14" s="118" t="str">
        <f t="shared" si="10"/>
        <v/>
      </c>
      <c r="AG14" s="119"/>
      <c r="AJ14" s="256"/>
      <c r="AK14" s="256"/>
      <c r="AL14" s="252"/>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5.6" x14ac:dyDescent="0.25">
      <c r="A15" s="463"/>
      <c r="B15" s="514"/>
      <c r="C15" s="514"/>
      <c r="D15" s="517"/>
      <c r="E15" s="137"/>
      <c r="F15" s="486"/>
      <c r="G15" s="529"/>
      <c r="H15" s="486"/>
      <c r="I15" s="505"/>
      <c r="J15" s="508"/>
      <c r="K15" s="511"/>
      <c r="L15" s="523"/>
      <c r="M15" s="526"/>
      <c r="N15" s="523">
        <f>IF(NOT(ISERROR(MATCH(M15,_xlfn.ANCHORARRAY(F26),0))),L28&amp;"Por favor no seleccionar los criterios de impacto",M15)</f>
        <v>0</v>
      </c>
      <c r="O15" s="511"/>
      <c r="P15" s="523"/>
      <c r="Q15" s="520"/>
      <c r="R15" s="105">
        <v>6</v>
      </c>
      <c r="S15" s="106"/>
      <c r="T15" s="107" t="str">
        <f t="shared" si="4"/>
        <v/>
      </c>
      <c r="U15" s="112"/>
      <c r="V15" s="112"/>
      <c r="W15" s="113" t="str">
        <f t="shared" si="5"/>
        <v/>
      </c>
      <c r="X15" s="112"/>
      <c r="Y15" s="112"/>
      <c r="Z15" s="112"/>
      <c r="AA15" s="108" t="str">
        <f t="shared" si="11"/>
        <v/>
      </c>
      <c r="AB15" s="116" t="str">
        <f t="shared" si="6"/>
        <v/>
      </c>
      <c r="AC15" s="117" t="str">
        <f t="shared" si="7"/>
        <v/>
      </c>
      <c r="AD15" s="116" t="str">
        <f t="shared" si="8"/>
        <v/>
      </c>
      <c r="AE15" s="117" t="str">
        <f t="shared" si="9"/>
        <v/>
      </c>
      <c r="AF15" s="118" t="str">
        <f t="shared" si="10"/>
        <v/>
      </c>
      <c r="AG15" s="119"/>
      <c r="AH15" s="109"/>
      <c r="AI15" s="109"/>
      <c r="AJ15" s="256"/>
      <c r="AK15" s="256"/>
      <c r="AL15" s="252"/>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s="273" customFormat="1" ht="160.5" customHeight="1" x14ac:dyDescent="0.3">
      <c r="A16" s="461">
        <v>2</v>
      </c>
      <c r="B16" s="464" t="s">
        <v>128</v>
      </c>
      <c r="C16" s="464" t="s">
        <v>363</v>
      </c>
      <c r="D16" s="479" t="s">
        <v>355</v>
      </c>
      <c r="E16" s="266" t="s">
        <v>365</v>
      </c>
      <c r="F16" s="486" t="s">
        <v>366</v>
      </c>
      <c r="G16" s="527" t="s">
        <v>356</v>
      </c>
      <c r="H16" s="267" t="s">
        <v>359</v>
      </c>
      <c r="I16" s="483" t="s">
        <v>117</v>
      </c>
      <c r="J16" s="470">
        <v>365</v>
      </c>
      <c r="K16" s="473" t="str">
        <f>IF(J16&lt;=0,"",IF(J16&lt;=2,"Muy Baja",IF(J16&lt;=24,"Baja",IF(J16&lt;=500,"Media",IF(J16&lt;=5000,"Alta","Muy Alta")))))</f>
        <v>Media</v>
      </c>
      <c r="L16" s="455">
        <f>IF(K16="","",IF(K16="Muy Baja",0.2,IF(K16="Baja",0.4,IF(K16="Media",0.6,IF(K16="Alta",0.8,IF(K16="Muy Alta",1,))))))</f>
        <v>0.6</v>
      </c>
      <c r="M16" s="476" t="s">
        <v>212</v>
      </c>
      <c r="N16" s="455" t="str">
        <f>IF(NOT(ISERROR(MATCH(M16,'Tabla Impacto'!$B$221:$B$223,0))),'Tabla Impacto'!$F$223&amp;"Por favor no seleccionar los criterios de impacto(Afectación Económica o presupuestal y Pérdida Reputacional)",M16)</f>
        <v xml:space="preserve">     Mayor a 10000 SMLMV</v>
      </c>
      <c r="O16" s="473" t="str">
        <f>IF(OR(N16='Tabla Impacto'!$C$11,N16='Tabla Impacto'!$D$11),"Leve",IF(OR(N16='Tabla Impacto'!$C$12,N16='Tabla Impacto'!$D$12),"Menor",IF(OR(N16='Tabla Impacto'!$C$13,N16='Tabla Impacto'!$D$13),"Moderado",IF(OR(N16='Tabla Impacto'!$C$14,N16='Tabla Impacto'!$D$14),"Mayor",IF(OR(N16='Tabla Impacto'!$C$15,N16='Tabla Impacto'!$D$15),"Catastrófico","")))))</f>
        <v>Catastrófico</v>
      </c>
      <c r="P16" s="455">
        <f>IF(O16="","",IF(O16="Leve",0.2,IF(O16="Menor",0.4,IF(O16="Moderado",0.6,IF(O16="Mayor",0.8,IF(O16="Catastrófico",1,))))))</f>
        <v>1</v>
      </c>
      <c r="Q16" s="458"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Extremo</v>
      </c>
      <c r="R16" s="268">
        <v>1</v>
      </c>
      <c r="S16" s="269" t="s">
        <v>360</v>
      </c>
      <c r="T16" s="270" t="str">
        <f>IF(OR(U16="Preventivo",U16="Detectivo"),"Probabilidad",IF(U16="Correctivo","Impacto",""))</f>
        <v>Probabilidad</v>
      </c>
      <c r="U16" s="112" t="s">
        <v>14</v>
      </c>
      <c r="V16" s="112" t="s">
        <v>9</v>
      </c>
      <c r="W16" s="113" t="str">
        <f>IF(AND(U16="Preventivo",V16="Automático"),"50%",IF(AND(U16="Preventivo",V16="Manual"),"40%",IF(AND(U16="Detectivo",V16="Automático"),"40%",IF(AND(U16="Detectivo",V16="Manual"),"30%",IF(AND(U16="Correctivo",V16="Automático"),"35%",IF(AND(U16="Correctivo",V16="Manual"),"25%",""))))))</f>
        <v>40%</v>
      </c>
      <c r="X16" s="112" t="s">
        <v>20</v>
      </c>
      <c r="Y16" s="112" t="s">
        <v>22</v>
      </c>
      <c r="Z16" s="112" t="s">
        <v>113</v>
      </c>
      <c r="AA16" s="271">
        <f>IFERROR(IF(T16="Probabilidad",(L16-(+L16*W16)),IF(T16="Impacto",L16,"")),"")</f>
        <v>0.36</v>
      </c>
      <c r="AB16" s="116" t="str">
        <f>IFERROR(IF(AA16="","",IF(AA16&lt;=0.2,"Muy Baja",IF(AA16&lt;=0.4,"Baja",IF(AA16&lt;=0.6,"Media",IF(AA16&lt;=0.8,"Alta","Muy Alta"))))),"")</f>
        <v>Baja</v>
      </c>
      <c r="AC16" s="117">
        <f>+AA16</f>
        <v>0.36</v>
      </c>
      <c r="AD16" s="116" t="str">
        <f>IFERROR(IF(AE16="","",IF(AE16&lt;=0.2,"Leve",IF(AE16&lt;=0.4,"Menor",IF(AE16&lt;=0.6,"Moderado",IF(AE16&lt;=0.8,"Mayor","Catastrófico"))))),"")</f>
        <v>Catastrófico</v>
      </c>
      <c r="AE16" s="117">
        <f>IFERROR(IF(T16="Impacto",(P16-(+P16*W16)),IF(T16="Probabilidad",P16,"")),"")</f>
        <v>1</v>
      </c>
      <c r="AF16" s="118" t="str">
        <f>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Extremo</v>
      </c>
      <c r="AG16" s="119"/>
      <c r="AH16" s="264" t="s">
        <v>367</v>
      </c>
      <c r="AI16" s="114" t="s">
        <v>287</v>
      </c>
      <c r="AJ16" s="255" t="s">
        <v>358</v>
      </c>
      <c r="AK16" s="255">
        <v>45726</v>
      </c>
      <c r="AL16" s="264" t="s">
        <v>372</v>
      </c>
      <c r="AM16" s="115" t="s">
        <v>40</v>
      </c>
      <c r="AN16" s="272"/>
      <c r="AO16" s="272"/>
      <c r="AP16" s="272"/>
      <c r="AQ16" s="272"/>
      <c r="AR16" s="272"/>
      <c r="AS16" s="272"/>
      <c r="AT16" s="272"/>
      <c r="AU16" s="272"/>
      <c r="AV16" s="272"/>
      <c r="AW16" s="272"/>
      <c r="AX16" s="272"/>
      <c r="AY16" s="272"/>
      <c r="AZ16" s="272"/>
      <c r="BA16" s="272"/>
      <c r="BB16" s="272"/>
      <c r="BC16" s="272"/>
      <c r="BD16" s="272"/>
      <c r="BE16" s="272"/>
      <c r="BF16" s="272"/>
      <c r="BG16" s="272"/>
      <c r="BH16" s="272"/>
      <c r="BI16" s="272"/>
      <c r="BJ16" s="272"/>
      <c r="BK16" s="272"/>
      <c r="BL16" s="272"/>
      <c r="BM16" s="272"/>
      <c r="BN16" s="272"/>
      <c r="BO16" s="272"/>
      <c r="BP16" s="272"/>
      <c r="BQ16" s="272"/>
      <c r="BR16" s="272"/>
      <c r="BS16" s="272"/>
    </row>
    <row r="17" spans="1:71" s="273" customFormat="1" ht="265.2" x14ac:dyDescent="0.3">
      <c r="A17" s="462"/>
      <c r="B17" s="465"/>
      <c r="C17" s="465"/>
      <c r="D17" s="480"/>
      <c r="E17" s="266" t="s">
        <v>364</v>
      </c>
      <c r="F17" s="486"/>
      <c r="G17" s="528"/>
      <c r="H17" s="257"/>
      <c r="I17" s="484"/>
      <c r="J17" s="471"/>
      <c r="K17" s="474"/>
      <c r="L17" s="456"/>
      <c r="M17" s="477"/>
      <c r="N17" s="456">
        <f>IF(NOT(ISERROR(MATCH(M17,_xlfn.ANCHORARRAY(F28),0))),L30&amp;"Por favor no seleccionar los criterios de impacto",M17)</f>
        <v>0</v>
      </c>
      <c r="O17" s="474"/>
      <c r="P17" s="456"/>
      <c r="Q17" s="459"/>
      <c r="R17" s="268">
        <v>2</v>
      </c>
      <c r="S17" s="269" t="s">
        <v>369</v>
      </c>
      <c r="T17" s="274" t="str">
        <f>IF(OR(U17="Preventivo",U17="Detectivo"),"Probabilidad",IF(U17="Correctivo","Impacto",""))</f>
        <v>Probabilidad</v>
      </c>
      <c r="U17" s="112" t="s">
        <v>14</v>
      </c>
      <c r="V17" s="112" t="s">
        <v>9</v>
      </c>
      <c r="W17" s="113" t="str">
        <f t="shared" ref="W17:W21" si="12">IF(AND(U17="Preventivo",V17="Automático"),"50%",IF(AND(U17="Preventivo",V17="Manual"),"40%",IF(AND(U17="Detectivo",V17="Automático"),"40%",IF(AND(U17="Detectivo",V17="Manual"),"30%",IF(AND(U17="Correctivo",V17="Automático"),"35%",IF(AND(U17="Correctivo",V17="Manual"),"25%",""))))))</f>
        <v>40%</v>
      </c>
      <c r="X17" s="112" t="s">
        <v>20</v>
      </c>
      <c r="Y17" s="112" t="s">
        <v>22</v>
      </c>
      <c r="Z17" s="112" t="s">
        <v>113</v>
      </c>
      <c r="AA17" s="271">
        <f>IFERROR(IF(AND(T16="Probabilidad",T17="Probabilidad"),(AC16-(+AC16*W17)),IF(AND(T16="Impacto",T17="Probabilidad"),(L16-(+L16*W17)),IF(T17="Impacto",AC16,""))),"")</f>
        <v>0.216</v>
      </c>
      <c r="AB17" s="116" t="str">
        <f t="shared" ref="AB17:AB21" si="13">IFERROR(IF(AA17="","",IF(AA17&lt;=0.2,"Muy Baja",IF(AA17&lt;=0.4,"Baja",IF(AA17&lt;=0.6,"Media",IF(AA17&lt;=0.8,"Alta","Muy Alta"))))),"")</f>
        <v>Baja</v>
      </c>
      <c r="AC17" s="117">
        <f>+AA17</f>
        <v>0.216</v>
      </c>
      <c r="AD17" s="116" t="str">
        <f t="shared" ref="AD17:AD21" si="14">IFERROR(IF(AE17="","",IF(AE17&lt;=0.2,"Leve",IF(AE17&lt;=0.4,"Menor",IF(AE17&lt;=0.6,"Moderado",IF(AE17&lt;=0.8,"Mayor","Catastrófico"))))),"")</f>
        <v>Catastrófico</v>
      </c>
      <c r="AE17" s="117">
        <f>IFERROR(IF(AND(T16="Impacto",T17="Impacto"),(AE16-(+AE16*W17)),IF(AND(T16="Probabilidad",T17="Impacto"),(P16-(+P16*W17)),IF(T17="Probabilidad",AE16,""))),"")</f>
        <v>1</v>
      </c>
      <c r="AF17" s="118" t="str">
        <f t="shared" ref="AF17:AF21" si="15">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Extremo</v>
      </c>
      <c r="AG17" s="119"/>
      <c r="AH17" s="264" t="s">
        <v>368</v>
      </c>
      <c r="AI17" s="114" t="s">
        <v>287</v>
      </c>
      <c r="AJ17" s="255" t="s">
        <v>358</v>
      </c>
      <c r="AK17" s="255">
        <v>45726</v>
      </c>
      <c r="AL17" s="264" t="s">
        <v>373</v>
      </c>
      <c r="AM17" s="115" t="s">
        <v>40</v>
      </c>
      <c r="AN17" s="272"/>
      <c r="AO17" s="272"/>
      <c r="AP17" s="272"/>
      <c r="AQ17" s="272"/>
      <c r="AR17" s="272"/>
      <c r="AS17" s="272"/>
      <c r="AT17" s="272"/>
      <c r="AU17" s="272"/>
      <c r="AV17" s="272"/>
      <c r="AW17" s="272"/>
      <c r="AX17" s="272"/>
      <c r="AY17" s="272"/>
      <c r="AZ17" s="272"/>
      <c r="BA17" s="272"/>
      <c r="BB17" s="272"/>
      <c r="BC17" s="272"/>
      <c r="BD17" s="272"/>
      <c r="BE17" s="272"/>
      <c r="BF17" s="272"/>
      <c r="BG17" s="272"/>
      <c r="BH17" s="272"/>
      <c r="BI17" s="272"/>
      <c r="BJ17" s="272"/>
      <c r="BK17" s="272"/>
      <c r="BL17" s="272"/>
      <c r="BM17" s="272"/>
      <c r="BN17" s="272"/>
      <c r="BO17" s="272"/>
      <c r="BP17" s="272"/>
      <c r="BQ17" s="272"/>
      <c r="BR17" s="272"/>
      <c r="BS17" s="272"/>
    </row>
    <row r="18" spans="1:71" s="273" customFormat="1" ht="18" customHeight="1" x14ac:dyDescent="0.3">
      <c r="A18" s="462"/>
      <c r="B18" s="465"/>
      <c r="C18" s="465"/>
      <c r="D18" s="480"/>
      <c r="E18" s="137"/>
      <c r="F18" s="486"/>
      <c r="G18" s="528"/>
      <c r="H18" s="257"/>
      <c r="I18" s="484"/>
      <c r="J18" s="471"/>
      <c r="K18" s="474"/>
      <c r="L18" s="456"/>
      <c r="M18" s="477"/>
      <c r="N18" s="456">
        <f>IF(NOT(ISERROR(MATCH(M18,_xlfn.ANCHORARRAY(F29),0))),L31&amp;"Por favor no seleccionar los criterios de impacto",M18)</f>
        <v>0</v>
      </c>
      <c r="O18" s="474"/>
      <c r="P18" s="456"/>
      <c r="Q18" s="459"/>
      <c r="R18" s="268">
        <v>3</v>
      </c>
      <c r="S18" s="275"/>
      <c r="T18" s="274" t="str">
        <f t="shared" ref="T18:T21" si="16">IF(OR(U18="Preventivo",U18="Detectivo"),"Probabilidad",IF(U18="Correctivo","Impacto",""))</f>
        <v/>
      </c>
      <c r="U18" s="112"/>
      <c r="V18" s="112"/>
      <c r="W18" s="113" t="str">
        <f t="shared" si="12"/>
        <v/>
      </c>
      <c r="X18" s="112"/>
      <c r="Y18" s="112"/>
      <c r="Z18" s="112"/>
      <c r="AA18" s="271" t="str">
        <f>IFERROR(IF(AND(T17="Probabilidad",T18="Probabilidad"),(AC17-(+AC17*W18)),IF(AND(T17="Impacto",T18="Probabilidad"),(AC16-(+AC16*W18)),IF(T18="Impacto",AC17,""))),"")</f>
        <v/>
      </c>
      <c r="AB18" s="116" t="str">
        <f t="shared" si="13"/>
        <v/>
      </c>
      <c r="AC18" s="117" t="str">
        <f t="shared" ref="AC18:AC21" si="17">+AA18</f>
        <v/>
      </c>
      <c r="AD18" s="116" t="str">
        <f t="shared" si="14"/>
        <v/>
      </c>
      <c r="AE18" s="117" t="str">
        <f t="shared" ref="AE18:AE21" si="18">IFERROR(IF(AND(T17="Impacto",T18="Impacto"),(AE17-(+AE17*W18)),IF(AND(T17="Probabilidad",T18="Impacto"),(AE16-(+AE16*W18)),IF(T18="Probabilidad",AE17,""))),"")</f>
        <v/>
      </c>
      <c r="AF18" s="118" t="str">
        <f t="shared" si="15"/>
        <v/>
      </c>
      <c r="AG18" s="119"/>
      <c r="AH18" s="114"/>
      <c r="AI18" s="114"/>
      <c r="AJ18" s="255"/>
      <c r="AK18" s="255"/>
      <c r="AL18" s="264"/>
      <c r="AM18" s="115"/>
      <c r="AN18" s="272"/>
      <c r="AO18" s="272"/>
      <c r="AP18" s="272"/>
      <c r="AQ18" s="272"/>
      <c r="AR18" s="272"/>
      <c r="AS18" s="272"/>
      <c r="AT18" s="272"/>
      <c r="AU18" s="272"/>
      <c r="AV18" s="272"/>
      <c r="AW18" s="272"/>
      <c r="AX18" s="272"/>
      <c r="AY18" s="272"/>
      <c r="AZ18" s="272"/>
      <c r="BA18" s="272"/>
      <c r="BB18" s="272"/>
      <c r="BC18" s="272"/>
      <c r="BD18" s="272"/>
      <c r="BE18" s="272"/>
      <c r="BF18" s="272"/>
      <c r="BG18" s="272"/>
      <c r="BH18" s="272"/>
      <c r="BI18" s="272"/>
      <c r="BJ18" s="272"/>
      <c r="BK18" s="272"/>
      <c r="BL18" s="272"/>
      <c r="BM18" s="272"/>
      <c r="BN18" s="272"/>
      <c r="BO18" s="272"/>
      <c r="BP18" s="272"/>
      <c r="BQ18" s="272"/>
      <c r="BR18" s="272"/>
      <c r="BS18" s="272"/>
    </row>
    <row r="19" spans="1:71" s="273" customFormat="1" ht="18" customHeight="1" x14ac:dyDescent="0.3">
      <c r="A19" s="462"/>
      <c r="B19" s="465"/>
      <c r="C19" s="465"/>
      <c r="D19" s="480"/>
      <c r="E19" s="137"/>
      <c r="F19" s="486"/>
      <c r="G19" s="528"/>
      <c r="H19" s="257"/>
      <c r="I19" s="484"/>
      <c r="J19" s="471"/>
      <c r="K19" s="474"/>
      <c r="L19" s="456"/>
      <c r="M19" s="477"/>
      <c r="N19" s="456">
        <f>IF(NOT(ISERROR(MATCH(M19,_xlfn.ANCHORARRAY(F30),0))),L32&amp;"Por favor no seleccionar los criterios de impacto",M19)</f>
        <v>0</v>
      </c>
      <c r="O19" s="474"/>
      <c r="P19" s="456"/>
      <c r="Q19" s="459"/>
      <c r="R19" s="268">
        <v>4</v>
      </c>
      <c r="S19" s="269"/>
      <c r="T19" s="274" t="str">
        <f t="shared" si="16"/>
        <v/>
      </c>
      <c r="U19" s="112"/>
      <c r="V19" s="112"/>
      <c r="W19" s="113" t="str">
        <f t="shared" si="12"/>
        <v/>
      </c>
      <c r="X19" s="112"/>
      <c r="Y19" s="112"/>
      <c r="Z19" s="112"/>
      <c r="AA19" s="271" t="str">
        <f t="shared" ref="AA19:AA21" si="19">IFERROR(IF(AND(T18="Probabilidad",T19="Probabilidad"),(AC18-(+AC18*W19)),IF(AND(T18="Impacto",T19="Probabilidad"),(AC17-(+AC17*W19)),IF(T19="Impacto",AC18,""))),"")</f>
        <v/>
      </c>
      <c r="AB19" s="116" t="str">
        <f t="shared" si="13"/>
        <v/>
      </c>
      <c r="AC19" s="117" t="str">
        <f t="shared" si="17"/>
        <v/>
      </c>
      <c r="AD19" s="116" t="str">
        <f t="shared" si="14"/>
        <v/>
      </c>
      <c r="AE19" s="117" t="str">
        <f t="shared" si="18"/>
        <v/>
      </c>
      <c r="AF19" s="118" t="str">
        <f t="shared" si="15"/>
        <v/>
      </c>
      <c r="AG19" s="119"/>
      <c r="AH19" s="114"/>
      <c r="AI19" s="114"/>
      <c r="AJ19" s="255"/>
      <c r="AK19" s="255"/>
      <c r="AL19" s="264"/>
      <c r="AM19" s="115"/>
      <c r="AN19" s="272"/>
      <c r="AO19" s="272"/>
      <c r="AP19" s="272"/>
      <c r="AQ19" s="272"/>
      <c r="AR19" s="272"/>
      <c r="AS19" s="272"/>
      <c r="AT19" s="272"/>
      <c r="AU19" s="272"/>
      <c r="AV19" s="272"/>
      <c r="AW19" s="272"/>
      <c r="AX19" s="272"/>
      <c r="AY19" s="272"/>
      <c r="AZ19" s="272"/>
      <c r="BA19" s="272"/>
      <c r="BB19" s="272"/>
      <c r="BC19" s="272"/>
      <c r="BD19" s="272"/>
      <c r="BE19" s="272"/>
      <c r="BF19" s="272"/>
      <c r="BG19" s="272"/>
      <c r="BH19" s="272"/>
      <c r="BI19" s="272"/>
      <c r="BJ19" s="272"/>
      <c r="BK19" s="272"/>
      <c r="BL19" s="272"/>
      <c r="BM19" s="272"/>
      <c r="BN19" s="272"/>
      <c r="BO19" s="272"/>
      <c r="BP19" s="272"/>
      <c r="BQ19" s="272"/>
      <c r="BR19" s="272"/>
      <c r="BS19" s="272"/>
    </row>
    <row r="20" spans="1:71" s="273" customFormat="1" ht="18" customHeight="1" x14ac:dyDescent="0.3">
      <c r="A20" s="462"/>
      <c r="B20" s="465"/>
      <c r="C20" s="465"/>
      <c r="D20" s="480"/>
      <c r="E20" s="137"/>
      <c r="F20" s="486"/>
      <c r="G20" s="528"/>
      <c r="H20" s="257"/>
      <c r="I20" s="484"/>
      <c r="J20" s="471"/>
      <c r="K20" s="474"/>
      <c r="L20" s="456"/>
      <c r="M20" s="477"/>
      <c r="N20" s="456">
        <f>IF(NOT(ISERROR(MATCH(M20,_xlfn.ANCHORARRAY(F31),0))),L33&amp;"Por favor no seleccionar los criterios de impacto",M20)</f>
        <v>0</v>
      </c>
      <c r="O20" s="474"/>
      <c r="P20" s="456"/>
      <c r="Q20" s="459"/>
      <c r="R20" s="268">
        <v>5</v>
      </c>
      <c r="S20" s="269"/>
      <c r="T20" s="274" t="str">
        <f t="shared" si="16"/>
        <v/>
      </c>
      <c r="U20" s="112"/>
      <c r="V20" s="112"/>
      <c r="W20" s="113" t="str">
        <f t="shared" si="12"/>
        <v/>
      </c>
      <c r="X20" s="112"/>
      <c r="Y20" s="112"/>
      <c r="Z20" s="112"/>
      <c r="AA20" s="271" t="str">
        <f t="shared" si="19"/>
        <v/>
      </c>
      <c r="AB20" s="116" t="str">
        <f t="shared" si="13"/>
        <v/>
      </c>
      <c r="AC20" s="117" t="str">
        <f t="shared" si="17"/>
        <v/>
      </c>
      <c r="AD20" s="116" t="str">
        <f t="shared" si="14"/>
        <v/>
      </c>
      <c r="AE20" s="117" t="str">
        <f t="shared" si="18"/>
        <v/>
      </c>
      <c r="AF20" s="118" t="str">
        <f t="shared" si="15"/>
        <v/>
      </c>
      <c r="AG20" s="119"/>
      <c r="AH20" s="114"/>
      <c r="AI20" s="114"/>
      <c r="AJ20" s="255"/>
      <c r="AK20" s="255"/>
      <c r="AL20" s="264"/>
      <c r="AM20" s="115"/>
      <c r="AN20" s="272"/>
      <c r="AO20" s="272"/>
      <c r="AP20" s="272"/>
      <c r="AQ20" s="272"/>
      <c r="AR20" s="272"/>
      <c r="AS20" s="272"/>
      <c r="AT20" s="272"/>
      <c r="AU20" s="272"/>
      <c r="AV20" s="272"/>
      <c r="AW20" s="272"/>
      <c r="AX20" s="272"/>
      <c r="AY20" s="272"/>
      <c r="AZ20" s="272"/>
      <c r="BA20" s="272"/>
      <c r="BB20" s="272"/>
      <c r="BC20" s="272"/>
      <c r="BD20" s="272"/>
      <c r="BE20" s="272"/>
      <c r="BF20" s="272"/>
      <c r="BG20" s="272"/>
      <c r="BH20" s="272"/>
      <c r="BI20" s="272"/>
      <c r="BJ20" s="272"/>
      <c r="BK20" s="272"/>
      <c r="BL20" s="272"/>
      <c r="BM20" s="272"/>
      <c r="BN20" s="272"/>
      <c r="BO20" s="272"/>
      <c r="BP20" s="272"/>
      <c r="BQ20" s="272"/>
      <c r="BR20" s="272"/>
      <c r="BS20" s="272"/>
    </row>
    <row r="21" spans="1:71" ht="18" customHeight="1" x14ac:dyDescent="0.25">
      <c r="A21" s="463"/>
      <c r="B21" s="466"/>
      <c r="C21" s="466"/>
      <c r="D21" s="481"/>
      <c r="E21" s="138"/>
      <c r="F21" s="486"/>
      <c r="G21" s="529"/>
      <c r="H21" s="139"/>
      <c r="I21" s="485"/>
      <c r="J21" s="472"/>
      <c r="K21" s="475"/>
      <c r="L21" s="457"/>
      <c r="M21" s="478"/>
      <c r="N21" s="457">
        <f>IF(NOT(ISERROR(MATCH(M21,_xlfn.ANCHORARRAY(F32),0))),L34&amp;"Por favor no seleccionar los criterios de impacto",M21)</f>
        <v>0</v>
      </c>
      <c r="O21" s="475"/>
      <c r="P21" s="457"/>
      <c r="Q21" s="460"/>
      <c r="R21" s="105">
        <v>6</v>
      </c>
      <c r="S21" s="106"/>
      <c r="T21" s="107" t="str">
        <f t="shared" si="16"/>
        <v/>
      </c>
      <c r="U21" s="112"/>
      <c r="V21" s="112"/>
      <c r="W21" s="113" t="str">
        <f t="shared" si="12"/>
        <v/>
      </c>
      <c r="X21" s="112"/>
      <c r="Y21" s="112"/>
      <c r="Z21" s="112"/>
      <c r="AA21" s="108" t="str">
        <f t="shared" si="19"/>
        <v/>
      </c>
      <c r="AB21" s="116" t="str">
        <f t="shared" si="13"/>
        <v/>
      </c>
      <c r="AC21" s="117" t="str">
        <f t="shared" si="17"/>
        <v/>
      </c>
      <c r="AD21" s="116" t="str">
        <f t="shared" si="14"/>
        <v/>
      </c>
      <c r="AE21" s="117" t="str">
        <f t="shared" si="18"/>
        <v/>
      </c>
      <c r="AF21" s="118" t="str">
        <f t="shared" si="15"/>
        <v/>
      </c>
      <c r="AG21" s="119"/>
      <c r="AH21" s="109"/>
      <c r="AI21" s="109"/>
      <c r="AJ21" s="256"/>
      <c r="AK21" s="256"/>
      <c r="AL21" s="252"/>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15.6" x14ac:dyDescent="0.25">
      <c r="A22" s="461">
        <v>3</v>
      </c>
      <c r="B22" s="464"/>
      <c r="C22" s="464"/>
      <c r="D22" s="479"/>
      <c r="E22" s="138"/>
      <c r="F22" s="482"/>
      <c r="G22" s="527"/>
      <c r="H22" s="139"/>
      <c r="I22" s="483"/>
      <c r="J22" s="470"/>
      <c r="K22" s="473" t="str">
        <f t="shared" ref="K22" si="20">IF(J22&lt;=0,"",IF(J22&lt;=2,"Muy Baja",IF(J22&lt;=24,"Baja",IF(J22&lt;=500,"Media",IF(J22&lt;=5000,"Alta","Muy Alta")))))</f>
        <v/>
      </c>
      <c r="L22" s="455" t="str">
        <f t="shared" ref="L22" si="21">IF(K22="","",IF(K22="Muy Baja",0.2,IF(K22="Baja",0.4,IF(K22="Media",0.6,IF(K22="Alta",0.8,IF(K22="Muy Alta",1,))))))</f>
        <v/>
      </c>
      <c r="M22" s="476"/>
      <c r="N22" s="455">
        <f>IF(NOT(ISERROR(MATCH(M22,'Tabla Impacto'!$B$221:$B$223,0))),'Tabla Impacto'!$F$223&amp;"Por favor no seleccionar los criterios de impacto(Afectación Económica o presupuestal y Pérdida Reputacional)",M22)</f>
        <v>0</v>
      </c>
      <c r="O22" s="473" t="str">
        <f>IF(OR(N22='Tabla Impacto'!$C$11,N22='Tabla Impacto'!$D$11),"Leve",IF(OR(N22='Tabla Impacto'!$C$12,N22='Tabla Impacto'!$D$12),"Menor",IF(OR(N22='Tabla Impacto'!$C$13,N22='Tabla Impacto'!$D$13),"Moderado",IF(OR(N22='Tabla Impacto'!$C$14,N22='Tabla Impacto'!$D$14),"Mayor",IF(OR(N22='Tabla Impacto'!$C$15,N22='Tabla Impacto'!$D$15),"Catastrófico","")))))</f>
        <v/>
      </c>
      <c r="P22" s="455" t="str">
        <f t="shared" ref="P22" si="22">IF(O22="","",IF(O22="Leve",0.2,IF(O22="Menor",0.4,IF(O22="Moderado",0.6,IF(O22="Mayor",0.8,IF(O22="Catastrófico",1,))))))</f>
        <v/>
      </c>
      <c r="Q22" s="458" t="str">
        <f t="shared" ref="Q22" si="2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105">
        <v>1</v>
      </c>
      <c r="S22" s="106"/>
      <c r="T22" s="107" t="str">
        <f>IF(OR(U22="Preventivo",U22="Detectivo"),"Probabilidad",IF(U22="Correctivo","Impacto",""))</f>
        <v/>
      </c>
      <c r="U22" s="112"/>
      <c r="V22" s="112"/>
      <c r="W22" s="113" t="str">
        <f>IF(AND(U22="Preventivo",V22="Automático"),"50%",IF(AND(U22="Preventivo",V22="Manual"),"40%",IF(AND(U22="Detectivo",V22="Automático"),"40%",IF(AND(U22="Detectivo",V22="Manual"),"30%",IF(AND(U22="Correctivo",V22="Automático"),"35%",IF(AND(U22="Correctivo",V22="Manual"),"25%",""))))))</f>
        <v/>
      </c>
      <c r="X22" s="112"/>
      <c r="Y22" s="112"/>
      <c r="Z22" s="112"/>
      <c r="AA22" s="108" t="str">
        <f>IFERROR(IF(T22="Probabilidad",(L22-(+L22*W22)),IF(T22="Impacto",L22,"")),"")</f>
        <v/>
      </c>
      <c r="AB22" s="116" t="str">
        <f>IFERROR(IF(AA22="","",IF(AA22&lt;=0.2,"Muy Baja",IF(AA22&lt;=0.4,"Baja",IF(AA22&lt;=0.6,"Media",IF(AA22&lt;=0.8,"Alta","Muy Alta"))))),"")</f>
        <v/>
      </c>
      <c r="AC22" s="117" t="str">
        <f>+AA22</f>
        <v/>
      </c>
      <c r="AD22" s="116" t="str">
        <f>IFERROR(IF(AE22="","",IF(AE22&lt;=0.2,"Leve",IF(AE22&lt;=0.4,"Menor",IF(AE22&lt;=0.6,"Moderado",IF(AE22&lt;=0.8,"Mayor","Catastrófico"))))),"")</f>
        <v/>
      </c>
      <c r="AE22" s="117" t="str">
        <f>IFERROR(IF(T22="Impacto",(P22-(+P22*W22)),IF(T22="Probabilidad",P22,"")),"")</f>
        <v/>
      </c>
      <c r="AF22" s="118"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119"/>
      <c r="AH22" s="109"/>
      <c r="AI22" s="109"/>
      <c r="AJ22" s="256"/>
      <c r="AK22" s="256"/>
      <c r="AL22" s="252"/>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15.6" x14ac:dyDescent="0.25">
      <c r="A23" s="462"/>
      <c r="B23" s="465"/>
      <c r="C23" s="465"/>
      <c r="D23" s="480"/>
      <c r="E23" s="138"/>
      <c r="F23" s="482"/>
      <c r="G23" s="528"/>
      <c r="H23" s="139"/>
      <c r="I23" s="484"/>
      <c r="J23" s="471"/>
      <c r="K23" s="474"/>
      <c r="L23" s="456"/>
      <c r="M23" s="477"/>
      <c r="N23" s="456">
        <f>IF(NOT(ISERROR(MATCH(M23,_xlfn.ANCHORARRAY(F34),0))),L36&amp;"Por favor no seleccionar los criterios de impacto",M23)</f>
        <v>0</v>
      </c>
      <c r="O23" s="474"/>
      <c r="P23" s="456"/>
      <c r="Q23" s="459"/>
      <c r="R23" s="105">
        <v>2</v>
      </c>
      <c r="S23" s="106"/>
      <c r="T23" s="107" t="str">
        <f>IF(OR(U23="Preventivo",U23="Detectivo"),"Probabilidad",IF(U23="Correctivo","Impacto",""))</f>
        <v/>
      </c>
      <c r="U23" s="112"/>
      <c r="V23" s="112"/>
      <c r="W23" s="113" t="str">
        <f t="shared" ref="W23:W27" si="24">IF(AND(U23="Preventivo",V23="Automático"),"50%",IF(AND(U23="Preventivo",V23="Manual"),"40%",IF(AND(U23="Detectivo",V23="Automático"),"40%",IF(AND(U23="Detectivo",V23="Manual"),"30%",IF(AND(U23="Correctivo",V23="Automático"),"35%",IF(AND(U23="Correctivo",V23="Manual"),"25%",""))))))</f>
        <v/>
      </c>
      <c r="X23" s="112"/>
      <c r="Y23" s="112"/>
      <c r="Z23" s="112"/>
      <c r="AA23" s="108" t="str">
        <f>IFERROR(IF(AND(T22="Probabilidad",T23="Probabilidad"),(AC22-(+AC22*W23)),IF(AND(T22="Impacto",T23="Probabilidad"),(L22-(+L22*W23)),IF(T23="Impacto",AC22,""))),"")</f>
        <v/>
      </c>
      <c r="AB23" s="116" t="str">
        <f t="shared" ref="AB23:AB27" si="25">IFERROR(IF(AA23="","",IF(AA23&lt;=0.2,"Muy Baja",IF(AA23&lt;=0.4,"Baja",IF(AA23&lt;=0.6,"Media",IF(AA23&lt;=0.8,"Alta","Muy Alta"))))),"")</f>
        <v/>
      </c>
      <c r="AC23" s="117" t="str">
        <f>+AA23</f>
        <v/>
      </c>
      <c r="AD23" s="116" t="str">
        <f t="shared" ref="AD23:AD27" si="26">IFERROR(IF(AE23="","",IF(AE23&lt;=0.2,"Leve",IF(AE23&lt;=0.4,"Menor",IF(AE23&lt;=0.6,"Moderado",IF(AE23&lt;=0.8,"Mayor","Catastrófico"))))),"")</f>
        <v/>
      </c>
      <c r="AE23" s="117" t="str">
        <f>IFERROR(IF(AND(T22="Impacto",T23="Impacto"),(AE22-(+AE22*W23)),IF(AND(T22="Probabilidad",T23="Impacto"),(P22-(+P22*W23)),IF(T23="Probabilidad",AE22,""))),"")</f>
        <v/>
      </c>
      <c r="AF23" s="118" t="str">
        <f t="shared" ref="AF23:AF27" si="2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19"/>
      <c r="AH23" s="109"/>
      <c r="AI23" s="109"/>
      <c r="AJ23" s="256"/>
      <c r="AK23" s="256"/>
      <c r="AL23" s="252"/>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15.6" x14ac:dyDescent="0.25">
      <c r="A24" s="462"/>
      <c r="B24" s="465"/>
      <c r="C24" s="465"/>
      <c r="D24" s="480"/>
      <c r="E24" s="138"/>
      <c r="F24" s="482"/>
      <c r="G24" s="528"/>
      <c r="H24" s="139"/>
      <c r="I24" s="484"/>
      <c r="J24" s="471"/>
      <c r="K24" s="474"/>
      <c r="L24" s="456"/>
      <c r="M24" s="477"/>
      <c r="N24" s="456">
        <f>IF(NOT(ISERROR(MATCH(M24,_xlfn.ANCHORARRAY(F35),0))),L37&amp;"Por favor no seleccionar los criterios de impacto",M24)</f>
        <v>0</v>
      </c>
      <c r="O24" s="474"/>
      <c r="P24" s="456"/>
      <c r="Q24" s="459"/>
      <c r="R24" s="105">
        <v>3</v>
      </c>
      <c r="S24" s="111"/>
      <c r="T24" s="107" t="str">
        <f t="shared" ref="T24:T27" si="28">IF(OR(U24="Preventivo",U24="Detectivo"),"Probabilidad",IF(U24="Correctivo","Impacto",""))</f>
        <v/>
      </c>
      <c r="U24" s="112"/>
      <c r="V24" s="112"/>
      <c r="W24" s="113" t="str">
        <f t="shared" si="24"/>
        <v/>
      </c>
      <c r="X24" s="112"/>
      <c r="Y24" s="112"/>
      <c r="Z24" s="112"/>
      <c r="AA24" s="108" t="str">
        <f>IFERROR(IF(AND(T23="Probabilidad",T24="Probabilidad"),(AC23-(+AC23*W24)),IF(AND(T23="Impacto",T24="Probabilidad"),(AC22-(+AC22*W24)),IF(T24="Impacto",AC23,""))),"")</f>
        <v/>
      </c>
      <c r="AB24" s="116" t="str">
        <f t="shared" si="25"/>
        <v/>
      </c>
      <c r="AC24" s="117" t="str">
        <f t="shared" ref="AC24:AC27" si="29">+AA24</f>
        <v/>
      </c>
      <c r="AD24" s="116" t="str">
        <f t="shared" si="26"/>
        <v/>
      </c>
      <c r="AE24" s="117" t="str">
        <f t="shared" ref="AE24:AE27" si="30">IFERROR(IF(AND(T23="Impacto",T24="Impacto"),(AE23-(+AE23*W24)),IF(AND(T23="Probabilidad",T24="Impacto"),(AE22-(+AE22*W24)),IF(T24="Probabilidad",AE23,""))),"")</f>
        <v/>
      </c>
      <c r="AF24" s="118" t="str">
        <f t="shared" si="27"/>
        <v/>
      </c>
      <c r="AG24" s="119"/>
      <c r="AH24" s="109"/>
      <c r="AI24" s="109"/>
      <c r="AJ24" s="256"/>
      <c r="AK24" s="256"/>
      <c r="AL24" s="252"/>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15.6" x14ac:dyDescent="0.25">
      <c r="A25" s="462"/>
      <c r="B25" s="465"/>
      <c r="C25" s="465"/>
      <c r="D25" s="480"/>
      <c r="E25" s="138"/>
      <c r="F25" s="482"/>
      <c r="G25" s="528"/>
      <c r="H25" s="139"/>
      <c r="I25" s="484"/>
      <c r="J25" s="471"/>
      <c r="K25" s="474"/>
      <c r="L25" s="456"/>
      <c r="M25" s="477"/>
      <c r="N25" s="456">
        <f>IF(NOT(ISERROR(MATCH(M25,_xlfn.ANCHORARRAY(F36),0))),L38&amp;"Por favor no seleccionar los criterios de impacto",M25)</f>
        <v>0</v>
      </c>
      <c r="O25" s="474"/>
      <c r="P25" s="456"/>
      <c r="Q25" s="459"/>
      <c r="R25" s="105">
        <v>4</v>
      </c>
      <c r="S25" s="106"/>
      <c r="T25" s="107" t="str">
        <f t="shared" si="28"/>
        <v/>
      </c>
      <c r="U25" s="112"/>
      <c r="V25" s="112"/>
      <c r="W25" s="113" t="str">
        <f t="shared" si="24"/>
        <v/>
      </c>
      <c r="X25" s="112"/>
      <c r="Y25" s="112"/>
      <c r="Z25" s="112"/>
      <c r="AA25" s="108" t="str">
        <f t="shared" ref="AA25:AA27" si="31">IFERROR(IF(AND(T24="Probabilidad",T25="Probabilidad"),(AC24-(+AC24*W25)),IF(AND(T24="Impacto",T25="Probabilidad"),(AC23-(+AC23*W25)),IF(T25="Impacto",AC24,""))),"")</f>
        <v/>
      </c>
      <c r="AB25" s="116" t="str">
        <f t="shared" si="25"/>
        <v/>
      </c>
      <c r="AC25" s="117" t="str">
        <f t="shared" si="29"/>
        <v/>
      </c>
      <c r="AD25" s="116" t="str">
        <f t="shared" si="26"/>
        <v/>
      </c>
      <c r="AE25" s="117" t="str">
        <f t="shared" si="30"/>
        <v/>
      </c>
      <c r="AF25" s="118" t="str">
        <f t="shared" si="27"/>
        <v/>
      </c>
      <c r="AG25" s="119"/>
      <c r="AH25" s="109"/>
      <c r="AI25" s="109"/>
      <c r="AJ25" s="256"/>
      <c r="AK25" s="256"/>
      <c r="AL25" s="252"/>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15.6" x14ac:dyDescent="0.25">
      <c r="A26" s="462"/>
      <c r="B26" s="465"/>
      <c r="C26" s="465"/>
      <c r="D26" s="480"/>
      <c r="E26" s="138"/>
      <c r="F26" s="482"/>
      <c r="G26" s="528"/>
      <c r="H26" s="139"/>
      <c r="I26" s="484"/>
      <c r="J26" s="471"/>
      <c r="K26" s="474"/>
      <c r="L26" s="456"/>
      <c r="M26" s="477"/>
      <c r="N26" s="456">
        <f>IF(NOT(ISERROR(MATCH(M26,_xlfn.ANCHORARRAY(F37),0))),L39&amp;"Por favor no seleccionar los criterios de impacto",M26)</f>
        <v>0</v>
      </c>
      <c r="O26" s="474"/>
      <c r="P26" s="456"/>
      <c r="Q26" s="459"/>
      <c r="R26" s="105">
        <v>5</v>
      </c>
      <c r="S26" s="106"/>
      <c r="T26" s="107" t="str">
        <f t="shared" si="28"/>
        <v/>
      </c>
      <c r="U26" s="112"/>
      <c r="V26" s="112"/>
      <c r="W26" s="113" t="str">
        <f t="shared" si="24"/>
        <v/>
      </c>
      <c r="X26" s="112"/>
      <c r="Y26" s="112"/>
      <c r="Z26" s="112"/>
      <c r="AA26" s="108" t="str">
        <f t="shared" si="31"/>
        <v/>
      </c>
      <c r="AB26" s="116" t="str">
        <f t="shared" si="25"/>
        <v/>
      </c>
      <c r="AC26" s="117" t="str">
        <f t="shared" si="29"/>
        <v/>
      </c>
      <c r="AD26" s="116" t="str">
        <f t="shared" si="26"/>
        <v/>
      </c>
      <c r="AE26" s="117" t="str">
        <f t="shared" si="30"/>
        <v/>
      </c>
      <c r="AF26" s="118" t="str">
        <f t="shared" si="27"/>
        <v/>
      </c>
      <c r="AG26" s="119"/>
      <c r="AH26" s="109"/>
      <c r="AI26" s="109"/>
      <c r="AJ26" s="256"/>
      <c r="AK26" s="256"/>
      <c r="AL26" s="252"/>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15.6" x14ac:dyDescent="0.25">
      <c r="A27" s="463"/>
      <c r="B27" s="466"/>
      <c r="C27" s="466"/>
      <c r="D27" s="481"/>
      <c r="E27" s="138"/>
      <c r="F27" s="482"/>
      <c r="G27" s="529"/>
      <c r="H27" s="139"/>
      <c r="I27" s="485"/>
      <c r="J27" s="472"/>
      <c r="K27" s="475"/>
      <c r="L27" s="457"/>
      <c r="M27" s="478"/>
      <c r="N27" s="457">
        <f>IF(NOT(ISERROR(MATCH(M27,_xlfn.ANCHORARRAY(F38),0))),L40&amp;"Por favor no seleccionar los criterios de impacto",M27)</f>
        <v>0</v>
      </c>
      <c r="O27" s="475"/>
      <c r="P27" s="457"/>
      <c r="Q27" s="460"/>
      <c r="R27" s="105">
        <v>6</v>
      </c>
      <c r="S27" s="106"/>
      <c r="T27" s="107" t="str">
        <f t="shared" si="28"/>
        <v/>
      </c>
      <c r="U27" s="112"/>
      <c r="V27" s="112"/>
      <c r="W27" s="113" t="str">
        <f t="shared" si="24"/>
        <v/>
      </c>
      <c r="X27" s="112"/>
      <c r="Y27" s="112"/>
      <c r="Z27" s="112"/>
      <c r="AA27" s="108" t="str">
        <f t="shared" si="31"/>
        <v/>
      </c>
      <c r="AB27" s="116" t="str">
        <f t="shared" si="25"/>
        <v/>
      </c>
      <c r="AC27" s="117" t="str">
        <f t="shared" si="29"/>
        <v/>
      </c>
      <c r="AD27" s="116" t="str">
        <f t="shared" si="26"/>
        <v/>
      </c>
      <c r="AE27" s="117" t="str">
        <f t="shared" si="30"/>
        <v/>
      </c>
      <c r="AF27" s="118" t="str">
        <f t="shared" si="27"/>
        <v/>
      </c>
      <c r="AG27" s="119"/>
      <c r="AH27" s="109"/>
      <c r="AI27" s="109"/>
      <c r="AJ27" s="256"/>
      <c r="AK27" s="256"/>
      <c r="AL27" s="252"/>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15.6" x14ac:dyDescent="0.25">
      <c r="A28" s="461">
        <v>4</v>
      </c>
      <c r="B28" s="464"/>
      <c r="C28" s="464"/>
      <c r="D28" s="479"/>
      <c r="E28" s="138"/>
      <c r="F28" s="482"/>
      <c r="G28" s="527"/>
      <c r="H28" s="139"/>
      <c r="I28" s="483"/>
      <c r="J28" s="470"/>
      <c r="K28" s="473" t="str">
        <f t="shared" ref="K28" si="32">IF(J28&lt;=0,"",IF(J28&lt;=2,"Muy Baja",IF(J28&lt;=24,"Baja",IF(J28&lt;=500,"Media",IF(J28&lt;=5000,"Alta","Muy Alta")))))</f>
        <v/>
      </c>
      <c r="L28" s="455" t="str">
        <f t="shared" ref="L28" si="33">IF(K28="","",IF(K28="Muy Baja",0.2,IF(K28="Baja",0.4,IF(K28="Media",0.6,IF(K28="Alta",0.8,IF(K28="Muy Alta",1,))))))</f>
        <v/>
      </c>
      <c r="M28" s="476"/>
      <c r="N28" s="455">
        <f>IF(NOT(ISERROR(MATCH(M28,'Tabla Impacto'!$B$221:$B$223,0))),'Tabla Impacto'!$F$223&amp;"Por favor no seleccionar los criterios de impacto(Afectación Económica o presupuestal y Pérdida Reputacional)",M28)</f>
        <v>0</v>
      </c>
      <c r="O28" s="473" t="str">
        <f>IF(OR(N28='Tabla Impacto'!$C$11,N28='Tabla Impacto'!$D$11),"Leve",IF(OR(N28='Tabla Impacto'!$C$12,N28='Tabla Impacto'!$D$12),"Menor",IF(OR(N28='Tabla Impacto'!$C$13,N28='Tabla Impacto'!$D$13),"Moderado",IF(OR(N28='Tabla Impacto'!$C$14,N28='Tabla Impacto'!$D$14),"Mayor",IF(OR(N28='Tabla Impacto'!$C$15,N28='Tabla Impacto'!$D$15),"Catastrófico","")))))</f>
        <v/>
      </c>
      <c r="P28" s="455" t="str">
        <f t="shared" ref="P28" si="34">IF(O28="","",IF(O28="Leve",0.2,IF(O28="Menor",0.4,IF(O28="Moderado",0.6,IF(O28="Mayor",0.8,IF(O28="Catastrófico",1,))))))</f>
        <v/>
      </c>
      <c r="Q28" s="458" t="str">
        <f t="shared" ref="Q28" si="35">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105">
        <v>1</v>
      </c>
      <c r="S28" s="106"/>
      <c r="T28" s="107" t="str">
        <f>IF(OR(U28="Preventivo",U28="Detectivo"),"Probabilidad",IF(U28="Correctivo","Impacto",""))</f>
        <v/>
      </c>
      <c r="U28" s="112"/>
      <c r="V28" s="112"/>
      <c r="W28" s="113" t="str">
        <f>IF(AND(U28="Preventivo",V28="Automático"),"50%",IF(AND(U28="Preventivo",V28="Manual"),"40%",IF(AND(U28="Detectivo",V28="Automático"),"40%",IF(AND(U28="Detectivo",V28="Manual"),"30%",IF(AND(U28="Correctivo",V28="Automático"),"35%",IF(AND(U28="Correctivo",V28="Manual"),"25%",""))))))</f>
        <v/>
      </c>
      <c r="X28" s="112"/>
      <c r="Y28" s="112"/>
      <c r="Z28" s="112"/>
      <c r="AA28" s="108" t="str">
        <f>IFERROR(IF(T28="Probabilidad",(L28-(+L28*W28)),IF(T28="Impacto",L28,"")),"")</f>
        <v/>
      </c>
      <c r="AB28" s="116" t="str">
        <f>IFERROR(IF(AA28="","",IF(AA28&lt;=0.2,"Muy Baja",IF(AA28&lt;=0.4,"Baja",IF(AA28&lt;=0.6,"Media",IF(AA28&lt;=0.8,"Alta","Muy Alta"))))),"")</f>
        <v/>
      </c>
      <c r="AC28" s="117" t="str">
        <f>+AA28</f>
        <v/>
      </c>
      <c r="AD28" s="116" t="str">
        <f>IFERROR(IF(AE28="","",IF(AE28&lt;=0.2,"Leve",IF(AE28&lt;=0.4,"Menor",IF(AE28&lt;=0.6,"Moderado",IF(AE28&lt;=0.8,"Mayor","Catastrófico"))))),"")</f>
        <v/>
      </c>
      <c r="AE28" s="117" t="str">
        <f>IFERROR(IF(T28="Impacto",(P28-(+P28*W28)),IF(T28="Probabilidad",P28,"")),"")</f>
        <v/>
      </c>
      <c r="AF28" s="118"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119"/>
      <c r="AH28" s="109"/>
      <c r="AI28" s="109"/>
      <c r="AJ28" s="256"/>
      <c r="AK28" s="256"/>
      <c r="AL28" s="252"/>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x14ac:dyDescent="0.25">
      <c r="A29" s="462"/>
      <c r="B29" s="465"/>
      <c r="C29" s="465"/>
      <c r="D29" s="480"/>
      <c r="E29" s="138"/>
      <c r="F29" s="482"/>
      <c r="G29" s="528"/>
      <c r="H29" s="139"/>
      <c r="I29" s="484"/>
      <c r="J29" s="471"/>
      <c r="K29" s="474"/>
      <c r="L29" s="456"/>
      <c r="M29" s="477"/>
      <c r="N29" s="456">
        <f>IF(NOT(ISERROR(MATCH(M29,_xlfn.ANCHORARRAY(F40),0))),L42&amp;"Por favor no seleccionar los criterios de impacto",M29)</f>
        <v>0</v>
      </c>
      <c r="O29" s="474"/>
      <c r="P29" s="456"/>
      <c r="Q29" s="459"/>
      <c r="R29" s="105">
        <v>2</v>
      </c>
      <c r="S29" s="106"/>
      <c r="T29" s="107" t="str">
        <f>IF(OR(U29="Preventivo",U29="Detectivo"),"Probabilidad",IF(U29="Correctivo","Impacto",""))</f>
        <v/>
      </c>
      <c r="U29" s="112"/>
      <c r="V29" s="112"/>
      <c r="W29" s="113" t="str">
        <f t="shared" ref="W29:W33" si="36">IF(AND(U29="Preventivo",V29="Automático"),"50%",IF(AND(U29="Preventivo",V29="Manual"),"40%",IF(AND(U29="Detectivo",V29="Automático"),"40%",IF(AND(U29="Detectivo",V29="Manual"),"30%",IF(AND(U29="Correctivo",V29="Automático"),"35%",IF(AND(U29="Correctivo",V29="Manual"),"25%",""))))))</f>
        <v/>
      </c>
      <c r="X29" s="112"/>
      <c r="Y29" s="112"/>
      <c r="Z29" s="112"/>
      <c r="AA29" s="108" t="str">
        <f>IFERROR(IF(AND(T28="Probabilidad",T29="Probabilidad"),(AC28-(+AC28*W29)),IF(AND(T28="Impacto",T29="Probabilidad"),(L28-(+L28*W29)),IF(T29="Impacto",AC28,""))),"")</f>
        <v/>
      </c>
      <c r="AB29" s="116" t="str">
        <f t="shared" ref="AB29:AB33" si="37">IFERROR(IF(AA29="","",IF(AA29&lt;=0.2,"Muy Baja",IF(AA29&lt;=0.4,"Baja",IF(AA29&lt;=0.6,"Media",IF(AA29&lt;=0.8,"Alta","Muy Alta"))))),"")</f>
        <v/>
      </c>
      <c r="AC29" s="117" t="str">
        <f>+AA29</f>
        <v/>
      </c>
      <c r="AD29" s="116" t="str">
        <f t="shared" ref="AD29:AD33" si="38">IFERROR(IF(AE29="","",IF(AE29&lt;=0.2,"Leve",IF(AE29&lt;=0.4,"Menor",IF(AE29&lt;=0.6,"Moderado",IF(AE29&lt;=0.8,"Mayor","Catastrófico"))))),"")</f>
        <v/>
      </c>
      <c r="AE29" s="117" t="str">
        <f>IFERROR(IF(AND(T28="Impacto",T29="Impacto"),(AE28-(+AE28*W29)),IF(AND(T28="Probabilidad",T29="Impacto"),(P28-(+P28*W29)),IF(T29="Probabilidad",AE28,""))),"")</f>
        <v/>
      </c>
      <c r="AF29" s="118" t="str">
        <f t="shared" ref="AF29:AF33" si="39">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19"/>
      <c r="AH29" s="109"/>
      <c r="AI29" s="109"/>
      <c r="AJ29" s="256"/>
      <c r="AK29" s="256"/>
      <c r="AL29" s="252"/>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15.6" x14ac:dyDescent="0.25">
      <c r="A30" s="462"/>
      <c r="B30" s="465"/>
      <c r="C30" s="465"/>
      <c r="D30" s="480"/>
      <c r="E30" s="138"/>
      <c r="F30" s="482"/>
      <c r="G30" s="528"/>
      <c r="H30" s="139"/>
      <c r="I30" s="484"/>
      <c r="J30" s="471"/>
      <c r="K30" s="474"/>
      <c r="L30" s="456"/>
      <c r="M30" s="477"/>
      <c r="N30" s="456">
        <f>IF(NOT(ISERROR(MATCH(M30,_xlfn.ANCHORARRAY(F41),0))),L43&amp;"Por favor no seleccionar los criterios de impacto",M30)</f>
        <v>0</v>
      </c>
      <c r="O30" s="474"/>
      <c r="P30" s="456"/>
      <c r="Q30" s="459"/>
      <c r="R30" s="105">
        <v>3</v>
      </c>
      <c r="S30" s="111"/>
      <c r="T30" s="107" t="str">
        <f t="shared" ref="T30:T33" si="40">IF(OR(U30="Preventivo",U30="Detectivo"),"Probabilidad",IF(U30="Correctivo","Impacto",""))</f>
        <v/>
      </c>
      <c r="U30" s="112"/>
      <c r="V30" s="112"/>
      <c r="W30" s="113" t="str">
        <f t="shared" si="36"/>
        <v/>
      </c>
      <c r="X30" s="112"/>
      <c r="Y30" s="112"/>
      <c r="Z30" s="112"/>
      <c r="AA30" s="108" t="str">
        <f>IFERROR(IF(AND(T29="Probabilidad",T30="Probabilidad"),(AC29-(+AC29*W30)),IF(AND(T29="Impacto",T30="Probabilidad"),(AC28-(+AC28*W30)),IF(T30="Impacto",AC29,""))),"")</f>
        <v/>
      </c>
      <c r="AB30" s="116" t="str">
        <f t="shared" si="37"/>
        <v/>
      </c>
      <c r="AC30" s="117" t="str">
        <f t="shared" ref="AC30:AC33" si="41">+AA30</f>
        <v/>
      </c>
      <c r="AD30" s="116" t="str">
        <f t="shared" si="38"/>
        <v/>
      </c>
      <c r="AE30" s="117" t="str">
        <f t="shared" ref="AE30:AE33" si="42">IFERROR(IF(AND(T29="Impacto",T30="Impacto"),(AE29-(+AE29*W30)),IF(AND(T29="Probabilidad",T30="Impacto"),(AE28-(+AE28*W30)),IF(T30="Probabilidad",AE29,""))),"")</f>
        <v/>
      </c>
      <c r="AF30" s="118" t="str">
        <f t="shared" si="39"/>
        <v/>
      </c>
      <c r="AG30" s="119"/>
      <c r="AH30" s="109"/>
      <c r="AI30" s="109"/>
      <c r="AJ30" s="256"/>
      <c r="AK30" s="256"/>
      <c r="AL30" s="252"/>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15.6" x14ac:dyDescent="0.25">
      <c r="A31" s="462"/>
      <c r="B31" s="465"/>
      <c r="C31" s="465"/>
      <c r="D31" s="480"/>
      <c r="E31" s="138"/>
      <c r="F31" s="482"/>
      <c r="G31" s="528"/>
      <c r="H31" s="139"/>
      <c r="I31" s="484"/>
      <c r="J31" s="471"/>
      <c r="K31" s="474"/>
      <c r="L31" s="456"/>
      <c r="M31" s="477"/>
      <c r="N31" s="456">
        <f>IF(NOT(ISERROR(MATCH(M31,_xlfn.ANCHORARRAY(F42),0))),L44&amp;"Por favor no seleccionar los criterios de impacto",M31)</f>
        <v>0</v>
      </c>
      <c r="O31" s="474"/>
      <c r="P31" s="456"/>
      <c r="Q31" s="459"/>
      <c r="R31" s="105">
        <v>4</v>
      </c>
      <c r="S31" s="106"/>
      <c r="T31" s="107" t="str">
        <f t="shared" si="40"/>
        <v/>
      </c>
      <c r="U31" s="112"/>
      <c r="V31" s="112"/>
      <c r="W31" s="113" t="str">
        <f t="shared" si="36"/>
        <v/>
      </c>
      <c r="X31" s="112"/>
      <c r="Y31" s="112"/>
      <c r="Z31" s="112"/>
      <c r="AA31" s="108" t="str">
        <f t="shared" ref="AA31:AA33" si="43">IFERROR(IF(AND(T30="Probabilidad",T31="Probabilidad"),(AC30-(+AC30*W31)),IF(AND(T30="Impacto",T31="Probabilidad"),(AC29-(+AC29*W31)),IF(T31="Impacto",AC30,""))),"")</f>
        <v/>
      </c>
      <c r="AB31" s="116" t="str">
        <f t="shared" si="37"/>
        <v/>
      </c>
      <c r="AC31" s="117" t="str">
        <f t="shared" si="41"/>
        <v/>
      </c>
      <c r="AD31" s="116" t="str">
        <f t="shared" si="38"/>
        <v/>
      </c>
      <c r="AE31" s="117" t="str">
        <f t="shared" si="42"/>
        <v/>
      </c>
      <c r="AF31" s="118" t="str">
        <f t="shared" si="39"/>
        <v/>
      </c>
      <c r="AG31" s="119"/>
      <c r="AH31" s="109"/>
      <c r="AI31" s="109"/>
      <c r="AJ31" s="256"/>
      <c r="AK31" s="256"/>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x14ac:dyDescent="0.25">
      <c r="A32" s="462"/>
      <c r="B32" s="465"/>
      <c r="C32" s="465"/>
      <c r="D32" s="480"/>
      <c r="E32" s="138"/>
      <c r="F32" s="482"/>
      <c r="G32" s="528"/>
      <c r="H32" s="139"/>
      <c r="I32" s="484"/>
      <c r="J32" s="471"/>
      <c r="K32" s="474"/>
      <c r="L32" s="456"/>
      <c r="M32" s="477"/>
      <c r="N32" s="456">
        <f>IF(NOT(ISERROR(MATCH(M32,_xlfn.ANCHORARRAY(F43),0))),L45&amp;"Por favor no seleccionar los criterios de impacto",M32)</f>
        <v>0</v>
      </c>
      <c r="O32" s="474"/>
      <c r="P32" s="456"/>
      <c r="Q32" s="459"/>
      <c r="R32" s="105">
        <v>5</v>
      </c>
      <c r="S32" s="106"/>
      <c r="T32" s="107" t="str">
        <f t="shared" si="40"/>
        <v/>
      </c>
      <c r="U32" s="112"/>
      <c r="V32" s="112"/>
      <c r="W32" s="113" t="str">
        <f t="shared" si="36"/>
        <v/>
      </c>
      <c r="X32" s="112"/>
      <c r="Y32" s="112"/>
      <c r="Z32" s="112"/>
      <c r="AA32" s="108" t="str">
        <f t="shared" si="43"/>
        <v/>
      </c>
      <c r="AB32" s="116" t="str">
        <f t="shared" si="37"/>
        <v/>
      </c>
      <c r="AC32" s="117" t="str">
        <f t="shared" si="41"/>
        <v/>
      </c>
      <c r="AD32" s="116" t="str">
        <f t="shared" si="38"/>
        <v/>
      </c>
      <c r="AE32" s="117" t="str">
        <f t="shared" si="42"/>
        <v/>
      </c>
      <c r="AF32" s="118" t="str">
        <f t="shared" si="39"/>
        <v/>
      </c>
      <c r="AG32" s="119"/>
      <c r="AH32" s="109"/>
      <c r="AI32" s="109"/>
      <c r="AJ32" s="256"/>
      <c r="AK32" s="256"/>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15.6" x14ac:dyDescent="0.25">
      <c r="A33" s="463"/>
      <c r="B33" s="466"/>
      <c r="C33" s="466"/>
      <c r="D33" s="481"/>
      <c r="E33" s="138"/>
      <c r="F33" s="482"/>
      <c r="G33" s="529"/>
      <c r="H33" s="139"/>
      <c r="I33" s="485"/>
      <c r="J33" s="472"/>
      <c r="K33" s="475"/>
      <c r="L33" s="457"/>
      <c r="M33" s="478"/>
      <c r="N33" s="457">
        <f>IF(NOT(ISERROR(MATCH(M33,_xlfn.ANCHORARRAY(F44),0))),L46&amp;"Por favor no seleccionar los criterios de impacto",M33)</f>
        <v>0</v>
      </c>
      <c r="O33" s="475"/>
      <c r="P33" s="457"/>
      <c r="Q33" s="460"/>
      <c r="R33" s="105">
        <v>6</v>
      </c>
      <c r="S33" s="106"/>
      <c r="T33" s="107" t="str">
        <f t="shared" si="40"/>
        <v/>
      </c>
      <c r="U33" s="112"/>
      <c r="V33" s="112"/>
      <c r="W33" s="113" t="str">
        <f t="shared" si="36"/>
        <v/>
      </c>
      <c r="X33" s="112"/>
      <c r="Y33" s="112"/>
      <c r="Z33" s="112"/>
      <c r="AA33" s="108" t="str">
        <f t="shared" si="43"/>
        <v/>
      </c>
      <c r="AB33" s="116" t="str">
        <f t="shared" si="37"/>
        <v/>
      </c>
      <c r="AC33" s="117" t="str">
        <f t="shared" si="41"/>
        <v/>
      </c>
      <c r="AD33" s="116" t="str">
        <f t="shared" si="38"/>
        <v/>
      </c>
      <c r="AE33" s="117" t="str">
        <f t="shared" si="42"/>
        <v/>
      </c>
      <c r="AF33" s="118" t="str">
        <f t="shared" si="39"/>
        <v/>
      </c>
      <c r="AG33" s="119"/>
      <c r="AH33" s="109"/>
      <c r="AI33" s="109"/>
      <c r="AJ33" s="256"/>
      <c r="AK33" s="256"/>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15.6" x14ac:dyDescent="0.25">
      <c r="A34" s="461">
        <v>5</v>
      </c>
      <c r="B34" s="464"/>
      <c r="C34" s="464"/>
      <c r="D34" s="479"/>
      <c r="E34" s="138"/>
      <c r="F34" s="482"/>
      <c r="G34" s="527"/>
      <c r="H34" s="139"/>
      <c r="I34" s="483"/>
      <c r="J34" s="470"/>
      <c r="K34" s="473" t="str">
        <f t="shared" ref="K34" si="44">IF(J34&lt;=0,"",IF(J34&lt;=2,"Muy Baja",IF(J34&lt;=24,"Baja",IF(J34&lt;=500,"Media",IF(J34&lt;=5000,"Alta","Muy Alta")))))</f>
        <v/>
      </c>
      <c r="L34" s="455" t="str">
        <f t="shared" ref="L34" si="45">IF(K34="","",IF(K34="Muy Baja",0.2,IF(K34="Baja",0.4,IF(K34="Media",0.6,IF(K34="Alta",0.8,IF(K34="Muy Alta",1,))))))</f>
        <v/>
      </c>
      <c r="M34" s="476"/>
      <c r="N34" s="455">
        <f>IF(NOT(ISERROR(MATCH(M34,'Tabla Impacto'!$B$221:$B$223,0))),'Tabla Impacto'!$F$223&amp;"Por favor no seleccionar los criterios de impacto(Afectación Económica o presupuestal y Pérdida Reputacional)",M34)</f>
        <v>0</v>
      </c>
      <c r="O34" s="473" t="str">
        <f>IF(OR(N34='Tabla Impacto'!$C$11,N34='Tabla Impacto'!$D$11),"Leve",IF(OR(N34='Tabla Impacto'!$C$12,N34='Tabla Impacto'!$D$12),"Menor",IF(OR(N34='Tabla Impacto'!$C$13,N34='Tabla Impacto'!$D$13),"Moderado",IF(OR(N34='Tabla Impacto'!$C$14,N34='Tabla Impacto'!$D$14),"Mayor",IF(OR(N34='Tabla Impacto'!$C$15,N34='Tabla Impacto'!$D$15),"Catastrófico","")))))</f>
        <v/>
      </c>
      <c r="P34" s="455" t="str">
        <f t="shared" ref="P34" si="46">IF(O34="","",IF(O34="Leve",0.2,IF(O34="Menor",0.4,IF(O34="Moderado",0.6,IF(O34="Mayor",0.8,IF(O34="Catastrófico",1,))))))</f>
        <v/>
      </c>
      <c r="Q34" s="458" t="str">
        <f t="shared" ref="Q34" si="47">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105">
        <v>1</v>
      </c>
      <c r="S34" s="106"/>
      <c r="T34" s="107" t="str">
        <f>IF(OR(U34="Preventivo",U34="Detectivo"),"Probabilidad",IF(U34="Correctivo","Impacto",""))</f>
        <v/>
      </c>
      <c r="U34" s="112"/>
      <c r="V34" s="112"/>
      <c r="W34" s="113" t="str">
        <f>IF(AND(U34="Preventivo",V34="Automático"),"50%",IF(AND(U34="Preventivo",V34="Manual"),"40%",IF(AND(U34="Detectivo",V34="Automático"),"40%",IF(AND(U34="Detectivo",V34="Manual"),"30%",IF(AND(U34="Correctivo",V34="Automático"),"35%",IF(AND(U34="Correctivo",V34="Manual"),"25%",""))))))</f>
        <v/>
      </c>
      <c r="X34" s="112"/>
      <c r="Y34" s="112"/>
      <c r="Z34" s="112"/>
      <c r="AA34" s="108" t="str">
        <f>IFERROR(IF(T34="Probabilidad",(L34-(+L34*W34)),IF(T34="Impacto",L34,"")),"")</f>
        <v/>
      </c>
      <c r="AB34" s="116" t="str">
        <f>IFERROR(IF(AA34="","",IF(AA34&lt;=0.2,"Muy Baja",IF(AA34&lt;=0.4,"Baja",IF(AA34&lt;=0.6,"Media",IF(AA34&lt;=0.8,"Alta","Muy Alta"))))),"")</f>
        <v/>
      </c>
      <c r="AC34" s="117" t="str">
        <f>+AA34</f>
        <v/>
      </c>
      <c r="AD34" s="116" t="str">
        <f>IFERROR(IF(AE34="","",IF(AE34&lt;=0.2,"Leve",IF(AE34&lt;=0.4,"Menor",IF(AE34&lt;=0.6,"Moderado",IF(AE34&lt;=0.8,"Mayor","Catastrófico"))))),"")</f>
        <v/>
      </c>
      <c r="AE34" s="117" t="str">
        <f>IFERROR(IF(T34="Impacto",(P34-(+P34*W34)),IF(T34="Probabilidad",P34,"")),"")</f>
        <v/>
      </c>
      <c r="AF34" s="118"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19"/>
      <c r="AH34" s="109"/>
      <c r="AI34" s="109"/>
      <c r="AJ34" s="256"/>
      <c r="AK34" s="256"/>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15.6" x14ac:dyDescent="0.25">
      <c r="A35" s="462"/>
      <c r="B35" s="465"/>
      <c r="C35" s="465"/>
      <c r="D35" s="480"/>
      <c r="E35" s="138"/>
      <c r="F35" s="482"/>
      <c r="G35" s="528"/>
      <c r="H35" s="139"/>
      <c r="I35" s="484"/>
      <c r="J35" s="471"/>
      <c r="K35" s="474"/>
      <c r="L35" s="456"/>
      <c r="M35" s="477"/>
      <c r="N35" s="456">
        <f>IF(NOT(ISERROR(MATCH(M35,_xlfn.ANCHORARRAY(F46),0))),L48&amp;"Por favor no seleccionar los criterios de impacto",M35)</f>
        <v>0</v>
      </c>
      <c r="O35" s="474"/>
      <c r="P35" s="456"/>
      <c r="Q35" s="459"/>
      <c r="R35" s="105">
        <v>2</v>
      </c>
      <c r="S35" s="106"/>
      <c r="T35" s="107" t="str">
        <f>IF(OR(U35="Preventivo",U35="Detectivo"),"Probabilidad",IF(U35="Correctivo","Impacto",""))</f>
        <v/>
      </c>
      <c r="U35" s="112"/>
      <c r="V35" s="112"/>
      <c r="W35" s="113" t="str">
        <f t="shared" ref="W35:W39" si="48">IF(AND(U35="Preventivo",V35="Automático"),"50%",IF(AND(U35="Preventivo",V35="Manual"),"40%",IF(AND(U35="Detectivo",V35="Automático"),"40%",IF(AND(U35="Detectivo",V35="Manual"),"30%",IF(AND(U35="Correctivo",V35="Automático"),"35%",IF(AND(U35="Correctivo",V35="Manual"),"25%",""))))))</f>
        <v/>
      </c>
      <c r="X35" s="112"/>
      <c r="Y35" s="112"/>
      <c r="Z35" s="112"/>
      <c r="AA35" s="108" t="str">
        <f>IFERROR(IF(AND(T34="Probabilidad",T35="Probabilidad"),(AC34-(+AC34*W35)),IF(AND(T34="Impacto",T35="Probabilidad"),(L34-(+L34*W35)),IF(T35="Impacto",AC34,""))),"")</f>
        <v/>
      </c>
      <c r="AB35" s="116" t="str">
        <f t="shared" ref="AB35:AB39" si="49">IFERROR(IF(AA35="","",IF(AA35&lt;=0.2,"Muy Baja",IF(AA35&lt;=0.4,"Baja",IF(AA35&lt;=0.6,"Media",IF(AA35&lt;=0.8,"Alta","Muy Alta"))))),"")</f>
        <v/>
      </c>
      <c r="AC35" s="117" t="str">
        <f>+AA35</f>
        <v/>
      </c>
      <c r="AD35" s="116" t="str">
        <f t="shared" ref="AD35:AD39" si="50">IFERROR(IF(AE35="","",IF(AE35&lt;=0.2,"Leve",IF(AE35&lt;=0.4,"Menor",IF(AE35&lt;=0.6,"Moderado",IF(AE35&lt;=0.8,"Mayor","Catastrófico"))))),"")</f>
        <v/>
      </c>
      <c r="AE35" s="117" t="str">
        <f>IFERROR(IF(AND(T34="Impacto",T35="Impacto"),(AE34-(+AE34*W35)),IF(AND(T34="Probabilidad",T35="Impacto"),(P34-(+P34*W35)),IF(T35="Probabilidad",AE34,""))),"")</f>
        <v/>
      </c>
      <c r="AF35" s="118" t="str">
        <f t="shared" ref="AF35:AF39" si="51">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19"/>
      <c r="AH35" s="109"/>
      <c r="AI35" s="109"/>
      <c r="AJ35" s="256"/>
      <c r="AK35" s="256"/>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15.6" x14ac:dyDescent="0.25">
      <c r="A36" s="462"/>
      <c r="B36" s="465"/>
      <c r="C36" s="465"/>
      <c r="D36" s="480"/>
      <c r="E36" s="138"/>
      <c r="F36" s="482"/>
      <c r="G36" s="528"/>
      <c r="H36" s="139"/>
      <c r="I36" s="484"/>
      <c r="J36" s="471"/>
      <c r="K36" s="474"/>
      <c r="L36" s="456"/>
      <c r="M36" s="477"/>
      <c r="N36" s="456">
        <f>IF(NOT(ISERROR(MATCH(M36,_xlfn.ANCHORARRAY(F47),0))),L49&amp;"Por favor no seleccionar los criterios de impacto",M36)</f>
        <v>0</v>
      </c>
      <c r="O36" s="474"/>
      <c r="P36" s="456"/>
      <c r="Q36" s="459"/>
      <c r="R36" s="105">
        <v>3</v>
      </c>
      <c r="S36" s="111"/>
      <c r="T36" s="107" t="str">
        <f t="shared" ref="T36:T39" si="52">IF(OR(U36="Preventivo",U36="Detectivo"),"Probabilidad",IF(U36="Correctivo","Impacto",""))</f>
        <v/>
      </c>
      <c r="U36" s="112"/>
      <c r="V36" s="112"/>
      <c r="W36" s="113" t="str">
        <f t="shared" si="48"/>
        <v/>
      </c>
      <c r="X36" s="112"/>
      <c r="Y36" s="112"/>
      <c r="Z36" s="112"/>
      <c r="AA36" s="108" t="str">
        <f>IFERROR(IF(AND(T35="Probabilidad",T36="Probabilidad"),(AC35-(+AC35*W36)),IF(AND(T35="Impacto",T36="Probabilidad"),(AC34-(+AC34*W36)),IF(T36="Impacto",AC35,""))),"")</f>
        <v/>
      </c>
      <c r="AB36" s="116" t="str">
        <f t="shared" si="49"/>
        <v/>
      </c>
      <c r="AC36" s="117" t="str">
        <f t="shared" ref="AC36:AC39" si="53">+AA36</f>
        <v/>
      </c>
      <c r="AD36" s="116" t="str">
        <f t="shared" si="50"/>
        <v/>
      </c>
      <c r="AE36" s="117" t="str">
        <f t="shared" ref="AE36:AE39" si="54">IFERROR(IF(AND(T35="Impacto",T36="Impacto"),(AE35-(+AE35*W36)),IF(AND(T35="Probabilidad",T36="Impacto"),(AE34-(+AE34*W36)),IF(T36="Probabilidad",AE35,""))),"")</f>
        <v/>
      </c>
      <c r="AF36" s="118" t="str">
        <f t="shared" si="51"/>
        <v/>
      </c>
      <c r="AG36" s="119"/>
      <c r="AH36" s="109"/>
      <c r="AI36" s="109"/>
      <c r="AJ36" s="256"/>
      <c r="AK36" s="256"/>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15.6" x14ac:dyDescent="0.25">
      <c r="A37" s="462"/>
      <c r="B37" s="465"/>
      <c r="C37" s="465"/>
      <c r="D37" s="480"/>
      <c r="E37" s="138"/>
      <c r="F37" s="482"/>
      <c r="G37" s="528"/>
      <c r="H37" s="139"/>
      <c r="I37" s="484"/>
      <c r="J37" s="471"/>
      <c r="K37" s="474"/>
      <c r="L37" s="456"/>
      <c r="M37" s="477"/>
      <c r="N37" s="456">
        <f>IF(NOT(ISERROR(MATCH(M37,_xlfn.ANCHORARRAY(F48),0))),L50&amp;"Por favor no seleccionar los criterios de impacto",M37)</f>
        <v>0</v>
      </c>
      <c r="O37" s="474"/>
      <c r="P37" s="456"/>
      <c r="Q37" s="459"/>
      <c r="R37" s="105">
        <v>4</v>
      </c>
      <c r="S37" s="106"/>
      <c r="T37" s="107" t="str">
        <f t="shared" si="52"/>
        <v/>
      </c>
      <c r="U37" s="112"/>
      <c r="V37" s="112"/>
      <c r="W37" s="113" t="str">
        <f t="shared" si="48"/>
        <v/>
      </c>
      <c r="X37" s="112"/>
      <c r="Y37" s="112"/>
      <c r="Z37" s="112"/>
      <c r="AA37" s="108" t="str">
        <f t="shared" ref="AA37:AA39" si="55">IFERROR(IF(AND(T36="Probabilidad",T37="Probabilidad"),(AC36-(+AC36*W37)),IF(AND(T36="Impacto",T37="Probabilidad"),(AC35-(+AC35*W37)),IF(T37="Impacto",AC36,""))),"")</f>
        <v/>
      </c>
      <c r="AB37" s="116" t="str">
        <f t="shared" si="49"/>
        <v/>
      </c>
      <c r="AC37" s="117" t="str">
        <f t="shared" si="53"/>
        <v/>
      </c>
      <c r="AD37" s="116" t="str">
        <f t="shared" si="50"/>
        <v/>
      </c>
      <c r="AE37" s="117" t="str">
        <f t="shared" si="54"/>
        <v/>
      </c>
      <c r="AF37" s="118" t="str">
        <f t="shared" si="51"/>
        <v/>
      </c>
      <c r="AG37" s="119"/>
      <c r="AH37" s="109"/>
      <c r="AI37" s="109"/>
      <c r="AJ37" s="256"/>
      <c r="AK37" s="256"/>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15.6" x14ac:dyDescent="0.25">
      <c r="A38" s="462"/>
      <c r="B38" s="465"/>
      <c r="C38" s="465"/>
      <c r="D38" s="480"/>
      <c r="E38" s="138"/>
      <c r="F38" s="482"/>
      <c r="G38" s="528"/>
      <c r="H38" s="139"/>
      <c r="I38" s="484"/>
      <c r="J38" s="471"/>
      <c r="K38" s="474"/>
      <c r="L38" s="456"/>
      <c r="M38" s="477"/>
      <c r="N38" s="456">
        <f>IF(NOT(ISERROR(MATCH(M38,_xlfn.ANCHORARRAY(F49),0))),L51&amp;"Por favor no seleccionar los criterios de impacto",M38)</f>
        <v>0</v>
      </c>
      <c r="O38" s="474"/>
      <c r="P38" s="456"/>
      <c r="Q38" s="459"/>
      <c r="R38" s="105">
        <v>5</v>
      </c>
      <c r="S38" s="106"/>
      <c r="T38" s="107" t="str">
        <f t="shared" si="52"/>
        <v/>
      </c>
      <c r="U38" s="112"/>
      <c r="V38" s="112"/>
      <c r="W38" s="113" t="str">
        <f t="shared" si="48"/>
        <v/>
      </c>
      <c r="X38" s="112"/>
      <c r="Y38" s="112"/>
      <c r="Z38" s="112"/>
      <c r="AA38" s="108" t="str">
        <f t="shared" si="55"/>
        <v/>
      </c>
      <c r="AB38" s="116" t="str">
        <f t="shared" si="49"/>
        <v/>
      </c>
      <c r="AC38" s="117" t="str">
        <f t="shared" si="53"/>
        <v/>
      </c>
      <c r="AD38" s="116" t="str">
        <f t="shared" si="50"/>
        <v/>
      </c>
      <c r="AE38" s="117" t="str">
        <f t="shared" si="54"/>
        <v/>
      </c>
      <c r="AF38" s="118" t="str">
        <f t="shared" si="51"/>
        <v/>
      </c>
      <c r="AG38" s="119"/>
      <c r="AH38" s="109"/>
      <c r="AI38" s="109"/>
      <c r="AJ38" s="256"/>
      <c r="AK38" s="256"/>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15.6" x14ac:dyDescent="0.25">
      <c r="A39" s="463"/>
      <c r="B39" s="466"/>
      <c r="C39" s="466"/>
      <c r="D39" s="481"/>
      <c r="E39" s="138"/>
      <c r="F39" s="482"/>
      <c r="G39" s="529"/>
      <c r="H39" s="139"/>
      <c r="I39" s="485"/>
      <c r="J39" s="472"/>
      <c r="K39" s="475"/>
      <c r="L39" s="457"/>
      <c r="M39" s="478"/>
      <c r="N39" s="457">
        <f>IF(NOT(ISERROR(MATCH(M39,_xlfn.ANCHORARRAY(F50),0))),L52&amp;"Por favor no seleccionar los criterios de impacto",M39)</f>
        <v>0</v>
      </c>
      <c r="O39" s="475"/>
      <c r="P39" s="457"/>
      <c r="Q39" s="460"/>
      <c r="R39" s="105">
        <v>6</v>
      </c>
      <c r="S39" s="106"/>
      <c r="T39" s="107" t="str">
        <f t="shared" si="52"/>
        <v/>
      </c>
      <c r="U39" s="112"/>
      <c r="V39" s="112"/>
      <c r="W39" s="113" t="str">
        <f t="shared" si="48"/>
        <v/>
      </c>
      <c r="X39" s="112"/>
      <c r="Y39" s="112"/>
      <c r="Z39" s="112"/>
      <c r="AA39" s="108" t="str">
        <f t="shared" si="55"/>
        <v/>
      </c>
      <c r="AB39" s="116" t="str">
        <f t="shared" si="49"/>
        <v/>
      </c>
      <c r="AC39" s="117" t="str">
        <f t="shared" si="53"/>
        <v/>
      </c>
      <c r="AD39" s="116" t="str">
        <f t="shared" si="50"/>
        <v/>
      </c>
      <c r="AE39" s="117" t="str">
        <f t="shared" si="54"/>
        <v/>
      </c>
      <c r="AF39" s="118" t="str">
        <f t="shared" si="51"/>
        <v/>
      </c>
      <c r="AG39" s="119"/>
      <c r="AH39" s="109"/>
      <c r="AI39" s="109"/>
      <c r="AJ39" s="256"/>
      <c r="AK39" s="256"/>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15.6" x14ac:dyDescent="0.25">
      <c r="A40" s="461">
        <v>6</v>
      </c>
      <c r="B40" s="464"/>
      <c r="C40" s="464"/>
      <c r="D40" s="479"/>
      <c r="E40" s="138"/>
      <c r="F40" s="482"/>
      <c r="G40" s="527"/>
      <c r="H40" s="139"/>
      <c r="I40" s="483"/>
      <c r="J40" s="470"/>
      <c r="K40" s="473" t="str">
        <f t="shared" ref="K40" si="56">IF(J40&lt;=0,"",IF(J40&lt;=2,"Muy Baja",IF(J40&lt;=24,"Baja",IF(J40&lt;=500,"Media",IF(J40&lt;=5000,"Alta","Muy Alta")))))</f>
        <v/>
      </c>
      <c r="L40" s="455" t="str">
        <f t="shared" ref="L40" si="57">IF(K40="","",IF(K40="Muy Baja",0.2,IF(K40="Baja",0.4,IF(K40="Media",0.6,IF(K40="Alta",0.8,IF(K40="Muy Alta",1,))))))</f>
        <v/>
      </c>
      <c r="M40" s="476"/>
      <c r="N40" s="455">
        <f>IF(NOT(ISERROR(MATCH(M40,'Tabla Impacto'!$B$221:$B$223,0))),'Tabla Impacto'!$F$223&amp;"Por favor no seleccionar los criterios de impacto(Afectación Económica o presupuestal y Pérdida Reputacional)",M40)</f>
        <v>0</v>
      </c>
      <c r="O40" s="473" t="str">
        <f>IF(OR(N40='Tabla Impacto'!$C$11,N40='Tabla Impacto'!$D$11),"Leve",IF(OR(N40='Tabla Impacto'!$C$12,N40='Tabla Impacto'!$D$12),"Menor",IF(OR(N40='Tabla Impacto'!$C$13,N40='Tabla Impacto'!$D$13),"Moderado",IF(OR(N40='Tabla Impacto'!$C$14,N40='Tabla Impacto'!$D$14),"Mayor",IF(OR(N40='Tabla Impacto'!$C$15,N40='Tabla Impacto'!$D$15),"Catastrófico","")))))</f>
        <v/>
      </c>
      <c r="P40" s="455" t="str">
        <f t="shared" ref="P40" si="58">IF(O40="","",IF(O40="Leve",0.2,IF(O40="Menor",0.4,IF(O40="Moderado",0.6,IF(O40="Mayor",0.8,IF(O40="Catastrófico",1,))))))</f>
        <v/>
      </c>
      <c r="Q40" s="458" t="str">
        <f t="shared" ref="Q40" si="59">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105">
        <v>1</v>
      </c>
      <c r="S40" s="106"/>
      <c r="T40" s="107" t="str">
        <f>IF(OR(U40="Preventivo",U40="Detectivo"),"Probabilidad",IF(U40="Correctivo","Impacto",""))</f>
        <v/>
      </c>
      <c r="U40" s="112"/>
      <c r="V40" s="112"/>
      <c r="W40" s="113" t="str">
        <f>IF(AND(U40="Preventivo",V40="Automático"),"50%",IF(AND(U40="Preventivo",V40="Manual"),"40%",IF(AND(U40="Detectivo",V40="Automático"),"40%",IF(AND(U40="Detectivo",V40="Manual"),"30%",IF(AND(U40="Correctivo",V40="Automático"),"35%",IF(AND(U40="Correctivo",V40="Manual"),"25%",""))))))</f>
        <v/>
      </c>
      <c r="X40" s="112"/>
      <c r="Y40" s="112"/>
      <c r="Z40" s="112"/>
      <c r="AA40" s="108" t="str">
        <f>IFERROR(IF(T40="Probabilidad",(L40-(+L40*W40)),IF(T40="Impacto",L40,"")),"")</f>
        <v/>
      </c>
      <c r="AB40" s="116" t="str">
        <f>IFERROR(IF(AA40="","",IF(AA40&lt;=0.2,"Muy Baja",IF(AA40&lt;=0.4,"Baja",IF(AA40&lt;=0.6,"Media",IF(AA40&lt;=0.8,"Alta","Muy Alta"))))),"")</f>
        <v/>
      </c>
      <c r="AC40" s="117" t="str">
        <f>+AA40</f>
        <v/>
      </c>
      <c r="AD40" s="116" t="str">
        <f>IFERROR(IF(AE40="","",IF(AE40&lt;=0.2,"Leve",IF(AE40&lt;=0.4,"Menor",IF(AE40&lt;=0.6,"Moderado",IF(AE40&lt;=0.8,"Mayor","Catastrófico"))))),"")</f>
        <v/>
      </c>
      <c r="AE40" s="117" t="str">
        <f>IFERROR(IF(T40="Impacto",(P40-(+P40*W40)),IF(T40="Probabilidad",P40,"")),"")</f>
        <v/>
      </c>
      <c r="AF40" s="118"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119"/>
      <c r="AH40" s="109"/>
      <c r="AI40" s="109"/>
      <c r="AJ40" s="256"/>
      <c r="AK40" s="256"/>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15.6" x14ac:dyDescent="0.25">
      <c r="A41" s="462"/>
      <c r="B41" s="465"/>
      <c r="C41" s="465"/>
      <c r="D41" s="480"/>
      <c r="E41" s="138"/>
      <c r="F41" s="482"/>
      <c r="G41" s="528"/>
      <c r="H41" s="139"/>
      <c r="I41" s="484"/>
      <c r="J41" s="471"/>
      <c r="K41" s="474"/>
      <c r="L41" s="456"/>
      <c r="M41" s="477"/>
      <c r="N41" s="456">
        <f>IF(NOT(ISERROR(MATCH(M41,_xlfn.ANCHORARRAY(F52),0))),L54&amp;"Por favor no seleccionar los criterios de impacto",M41)</f>
        <v>0</v>
      </c>
      <c r="O41" s="474"/>
      <c r="P41" s="456"/>
      <c r="Q41" s="459"/>
      <c r="R41" s="105">
        <v>2</v>
      </c>
      <c r="S41" s="106"/>
      <c r="T41" s="107" t="str">
        <f>IF(OR(U41="Preventivo",U41="Detectivo"),"Probabilidad",IF(U41="Correctivo","Impacto",""))</f>
        <v/>
      </c>
      <c r="U41" s="112"/>
      <c r="V41" s="112"/>
      <c r="W41" s="113" t="str">
        <f t="shared" ref="W41:W45" si="60">IF(AND(U41="Preventivo",V41="Automático"),"50%",IF(AND(U41="Preventivo",V41="Manual"),"40%",IF(AND(U41="Detectivo",V41="Automático"),"40%",IF(AND(U41="Detectivo",V41="Manual"),"30%",IF(AND(U41="Correctivo",V41="Automático"),"35%",IF(AND(U41="Correctivo",V41="Manual"),"25%",""))))))</f>
        <v/>
      </c>
      <c r="X41" s="112"/>
      <c r="Y41" s="112"/>
      <c r="Z41" s="112"/>
      <c r="AA41" s="108" t="str">
        <f>IFERROR(IF(AND(T40="Probabilidad",T41="Probabilidad"),(AC40-(+AC40*W41)),IF(AND(T40="Impacto",T41="Probabilidad"),(L40-(+L40*W41)),IF(T41="Impacto",AC40,""))),"")</f>
        <v/>
      </c>
      <c r="AB41" s="116" t="str">
        <f t="shared" ref="AB41:AB45" si="61">IFERROR(IF(AA41="","",IF(AA41&lt;=0.2,"Muy Baja",IF(AA41&lt;=0.4,"Baja",IF(AA41&lt;=0.6,"Media",IF(AA41&lt;=0.8,"Alta","Muy Alta"))))),"")</f>
        <v/>
      </c>
      <c r="AC41" s="117" t="str">
        <f>+AA41</f>
        <v/>
      </c>
      <c r="AD41" s="116" t="str">
        <f t="shared" ref="AD41:AD45" si="62">IFERROR(IF(AE41="","",IF(AE41&lt;=0.2,"Leve",IF(AE41&lt;=0.4,"Menor",IF(AE41&lt;=0.6,"Moderado",IF(AE41&lt;=0.8,"Mayor","Catastrófico"))))),"")</f>
        <v/>
      </c>
      <c r="AE41" s="117" t="str">
        <f>IFERROR(IF(AND(T40="Impacto",T41="Impacto"),(AE40-(+AE40*W41)),IF(AND(T40="Probabilidad",T41="Impacto"),(P40-(+P40*W41)),IF(T41="Probabilidad",AE40,""))),"")</f>
        <v/>
      </c>
      <c r="AF41" s="118" t="str">
        <f t="shared" ref="AF41:AF45" si="63">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19"/>
      <c r="AH41" s="109"/>
      <c r="AI41" s="109"/>
      <c r="AJ41" s="256"/>
      <c r="AK41" s="256"/>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15.6" x14ac:dyDescent="0.25">
      <c r="A42" s="462"/>
      <c r="B42" s="465"/>
      <c r="C42" s="465"/>
      <c r="D42" s="480"/>
      <c r="E42" s="138"/>
      <c r="F42" s="482"/>
      <c r="G42" s="528"/>
      <c r="H42" s="139"/>
      <c r="I42" s="484"/>
      <c r="J42" s="471"/>
      <c r="K42" s="474"/>
      <c r="L42" s="456"/>
      <c r="M42" s="477"/>
      <c r="N42" s="456">
        <f>IF(NOT(ISERROR(MATCH(M42,_xlfn.ANCHORARRAY(F53),0))),L55&amp;"Por favor no seleccionar los criterios de impacto",M42)</f>
        <v>0</v>
      </c>
      <c r="O42" s="474"/>
      <c r="P42" s="456"/>
      <c r="Q42" s="459"/>
      <c r="R42" s="105">
        <v>3</v>
      </c>
      <c r="S42" s="111"/>
      <c r="T42" s="107" t="str">
        <f t="shared" ref="T42:T45" si="64">IF(OR(U42="Preventivo",U42="Detectivo"),"Probabilidad",IF(U42="Correctivo","Impacto",""))</f>
        <v/>
      </c>
      <c r="U42" s="112"/>
      <c r="V42" s="112"/>
      <c r="W42" s="113" t="str">
        <f t="shared" si="60"/>
        <v/>
      </c>
      <c r="X42" s="112"/>
      <c r="Y42" s="112"/>
      <c r="Z42" s="112"/>
      <c r="AA42" s="108" t="str">
        <f>IFERROR(IF(AND(T41="Probabilidad",T42="Probabilidad"),(AC41-(+AC41*W42)),IF(AND(T41="Impacto",T42="Probabilidad"),(AC40-(+AC40*W42)),IF(T42="Impacto",AC41,""))),"")</f>
        <v/>
      </c>
      <c r="AB42" s="116" t="str">
        <f t="shared" si="61"/>
        <v/>
      </c>
      <c r="AC42" s="117" t="str">
        <f t="shared" ref="AC42:AC45" si="65">+AA42</f>
        <v/>
      </c>
      <c r="AD42" s="116" t="str">
        <f t="shared" si="62"/>
        <v/>
      </c>
      <c r="AE42" s="117" t="str">
        <f t="shared" ref="AE42:AE45" si="66">IFERROR(IF(AND(T41="Impacto",T42="Impacto"),(AE41-(+AE41*W42)),IF(AND(T41="Probabilidad",T42="Impacto"),(AE40-(+AE40*W42)),IF(T42="Probabilidad",AE41,""))),"")</f>
        <v/>
      </c>
      <c r="AF42" s="118" t="str">
        <f t="shared" si="63"/>
        <v/>
      </c>
      <c r="AG42" s="119"/>
      <c r="AH42" s="109"/>
      <c r="AI42" s="109"/>
      <c r="AJ42" s="256"/>
      <c r="AK42" s="256"/>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15.6" x14ac:dyDescent="0.25">
      <c r="A43" s="462"/>
      <c r="B43" s="465"/>
      <c r="C43" s="465"/>
      <c r="D43" s="480"/>
      <c r="E43" s="138"/>
      <c r="F43" s="482"/>
      <c r="G43" s="528"/>
      <c r="H43" s="139"/>
      <c r="I43" s="484"/>
      <c r="J43" s="471"/>
      <c r="K43" s="474"/>
      <c r="L43" s="456"/>
      <c r="M43" s="477"/>
      <c r="N43" s="456">
        <f>IF(NOT(ISERROR(MATCH(M43,_xlfn.ANCHORARRAY(F54),0))),L56&amp;"Por favor no seleccionar los criterios de impacto",M43)</f>
        <v>0</v>
      </c>
      <c r="O43" s="474"/>
      <c r="P43" s="456"/>
      <c r="Q43" s="459"/>
      <c r="R43" s="105">
        <v>4</v>
      </c>
      <c r="S43" s="106"/>
      <c r="T43" s="107" t="str">
        <f t="shared" si="64"/>
        <v/>
      </c>
      <c r="U43" s="112"/>
      <c r="V43" s="112"/>
      <c r="W43" s="113" t="str">
        <f t="shared" si="60"/>
        <v/>
      </c>
      <c r="X43" s="112"/>
      <c r="Y43" s="112"/>
      <c r="Z43" s="112"/>
      <c r="AA43" s="108" t="str">
        <f t="shared" ref="AA43:AA45" si="67">IFERROR(IF(AND(T42="Probabilidad",T43="Probabilidad"),(AC42-(+AC42*W43)),IF(AND(T42="Impacto",T43="Probabilidad"),(AC41-(+AC41*W43)),IF(T43="Impacto",AC42,""))),"")</f>
        <v/>
      </c>
      <c r="AB43" s="116" t="str">
        <f t="shared" si="61"/>
        <v/>
      </c>
      <c r="AC43" s="117" t="str">
        <f t="shared" si="65"/>
        <v/>
      </c>
      <c r="AD43" s="116" t="str">
        <f t="shared" si="62"/>
        <v/>
      </c>
      <c r="AE43" s="117" t="str">
        <f t="shared" si="66"/>
        <v/>
      </c>
      <c r="AF43" s="118" t="str">
        <f t="shared" si="63"/>
        <v/>
      </c>
      <c r="AG43" s="119"/>
      <c r="AH43" s="109"/>
      <c r="AI43" s="109"/>
      <c r="AJ43" s="256"/>
      <c r="AK43" s="256"/>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15.6" x14ac:dyDescent="0.25">
      <c r="A44" s="462"/>
      <c r="B44" s="465"/>
      <c r="C44" s="465"/>
      <c r="D44" s="480"/>
      <c r="E44" s="138"/>
      <c r="F44" s="482"/>
      <c r="G44" s="528"/>
      <c r="H44" s="139"/>
      <c r="I44" s="484"/>
      <c r="J44" s="471"/>
      <c r="K44" s="474"/>
      <c r="L44" s="456"/>
      <c r="M44" s="477"/>
      <c r="N44" s="456">
        <f>IF(NOT(ISERROR(MATCH(M44,_xlfn.ANCHORARRAY(F55),0))),L57&amp;"Por favor no seleccionar los criterios de impacto",M44)</f>
        <v>0</v>
      </c>
      <c r="O44" s="474"/>
      <c r="P44" s="456"/>
      <c r="Q44" s="459"/>
      <c r="R44" s="105">
        <v>5</v>
      </c>
      <c r="S44" s="106"/>
      <c r="T44" s="107" t="str">
        <f t="shared" si="64"/>
        <v/>
      </c>
      <c r="U44" s="112"/>
      <c r="V44" s="112"/>
      <c r="W44" s="113" t="str">
        <f t="shared" si="60"/>
        <v/>
      </c>
      <c r="X44" s="112"/>
      <c r="Y44" s="112"/>
      <c r="Z44" s="112"/>
      <c r="AA44" s="108" t="str">
        <f t="shared" si="67"/>
        <v/>
      </c>
      <c r="AB44" s="116" t="str">
        <f t="shared" si="61"/>
        <v/>
      </c>
      <c r="AC44" s="117" t="str">
        <f t="shared" si="65"/>
        <v/>
      </c>
      <c r="AD44" s="116" t="str">
        <f t="shared" si="62"/>
        <v/>
      </c>
      <c r="AE44" s="117" t="str">
        <f t="shared" si="66"/>
        <v/>
      </c>
      <c r="AF44" s="118" t="str">
        <f t="shared" si="63"/>
        <v/>
      </c>
      <c r="AG44" s="119"/>
      <c r="AH44" s="109"/>
      <c r="AI44" s="109"/>
      <c r="AJ44" s="256"/>
      <c r="AK44" s="256"/>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15.6" x14ac:dyDescent="0.25">
      <c r="A45" s="463"/>
      <c r="B45" s="466"/>
      <c r="C45" s="466"/>
      <c r="D45" s="481"/>
      <c r="E45" s="138"/>
      <c r="F45" s="482"/>
      <c r="G45" s="529"/>
      <c r="H45" s="139"/>
      <c r="I45" s="485"/>
      <c r="J45" s="472"/>
      <c r="K45" s="475"/>
      <c r="L45" s="457"/>
      <c r="M45" s="478"/>
      <c r="N45" s="457">
        <f>IF(NOT(ISERROR(MATCH(M45,_xlfn.ANCHORARRAY(F56),0))),L58&amp;"Por favor no seleccionar los criterios de impacto",M45)</f>
        <v>0</v>
      </c>
      <c r="O45" s="475"/>
      <c r="P45" s="457"/>
      <c r="Q45" s="460"/>
      <c r="R45" s="105">
        <v>6</v>
      </c>
      <c r="S45" s="106"/>
      <c r="T45" s="107" t="str">
        <f t="shared" si="64"/>
        <v/>
      </c>
      <c r="U45" s="112"/>
      <c r="V45" s="112"/>
      <c r="W45" s="113" t="str">
        <f t="shared" si="60"/>
        <v/>
      </c>
      <c r="X45" s="112"/>
      <c r="Y45" s="112"/>
      <c r="Z45" s="112"/>
      <c r="AA45" s="108" t="str">
        <f t="shared" si="67"/>
        <v/>
      </c>
      <c r="AB45" s="116" t="str">
        <f t="shared" si="61"/>
        <v/>
      </c>
      <c r="AC45" s="117" t="str">
        <f t="shared" si="65"/>
        <v/>
      </c>
      <c r="AD45" s="116" t="str">
        <f t="shared" si="62"/>
        <v/>
      </c>
      <c r="AE45" s="117" t="str">
        <f t="shared" si="66"/>
        <v/>
      </c>
      <c r="AF45" s="118" t="str">
        <f t="shared" si="63"/>
        <v/>
      </c>
      <c r="AG45" s="119"/>
      <c r="AH45" s="109"/>
      <c r="AI45" s="109"/>
      <c r="AJ45" s="256"/>
      <c r="AK45" s="256"/>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15.6" x14ac:dyDescent="0.25">
      <c r="A46" s="461">
        <v>7</v>
      </c>
      <c r="B46" s="464"/>
      <c r="C46" s="464"/>
      <c r="D46" s="464"/>
      <c r="E46" s="121"/>
      <c r="F46" s="468"/>
      <c r="G46" s="527"/>
      <c r="H46" s="124"/>
      <c r="I46" s="464"/>
      <c r="J46" s="470"/>
      <c r="K46" s="473" t="str">
        <f t="shared" ref="K46" si="68">IF(J46&lt;=0,"",IF(J46&lt;=2,"Muy Baja",IF(J46&lt;=24,"Baja",IF(J46&lt;=500,"Media",IF(J46&lt;=5000,"Alta","Muy Alta")))))</f>
        <v/>
      </c>
      <c r="L46" s="455" t="str">
        <f t="shared" ref="L46" si="69">IF(K46="","",IF(K46="Muy Baja",0.2,IF(K46="Baja",0.4,IF(K46="Media",0.6,IF(K46="Alta",0.8,IF(K46="Muy Alta",1,))))))</f>
        <v/>
      </c>
      <c r="M46" s="476"/>
      <c r="N46" s="455">
        <f>IF(NOT(ISERROR(MATCH(M46,'Tabla Impacto'!$B$221:$B$223,0))),'Tabla Impacto'!$F$223&amp;"Por favor no seleccionar los criterios de impacto(Afectación Económica o presupuestal y Pérdida Reputacional)",M46)</f>
        <v>0</v>
      </c>
      <c r="O46" s="473" t="str">
        <f>IF(OR(N46='Tabla Impacto'!$C$11,N46='Tabla Impacto'!$D$11),"Leve",IF(OR(N46='Tabla Impacto'!$C$12,N46='Tabla Impacto'!$D$12),"Menor",IF(OR(N46='Tabla Impacto'!$C$13,N46='Tabla Impacto'!$D$13),"Moderado",IF(OR(N46='Tabla Impacto'!$C$14,N46='Tabla Impacto'!$D$14),"Mayor",IF(OR(N46='Tabla Impacto'!$C$15,N46='Tabla Impacto'!$D$15),"Catastrófico","")))))</f>
        <v/>
      </c>
      <c r="P46" s="455" t="str">
        <f t="shared" ref="P46" si="70">IF(O46="","",IF(O46="Leve",0.2,IF(O46="Menor",0.4,IF(O46="Moderado",0.6,IF(O46="Mayor",0.8,IF(O46="Catastrófico",1,))))))</f>
        <v/>
      </c>
      <c r="Q46" s="458" t="str">
        <f t="shared" ref="Q46" si="71">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105">
        <v>1</v>
      </c>
      <c r="S46" s="106"/>
      <c r="T46" s="107" t="str">
        <f>IF(OR(U46="Preventivo",U46="Detectivo"),"Probabilidad",IF(U46="Correctivo","Impacto",""))</f>
        <v/>
      </c>
      <c r="U46" s="112"/>
      <c r="V46" s="112"/>
      <c r="W46" s="113" t="str">
        <f>IF(AND(U46="Preventivo",V46="Automático"),"50%",IF(AND(U46="Preventivo",V46="Manual"),"40%",IF(AND(U46="Detectivo",V46="Automático"),"40%",IF(AND(U46="Detectivo",V46="Manual"),"30%",IF(AND(U46="Correctivo",V46="Automático"),"35%",IF(AND(U46="Correctivo",V46="Manual"),"25%",""))))))</f>
        <v/>
      </c>
      <c r="X46" s="112"/>
      <c r="Y46" s="112"/>
      <c r="Z46" s="112"/>
      <c r="AA46" s="108" t="str">
        <f>IFERROR(IF(T46="Probabilidad",(L46-(+L46*W46)),IF(T46="Impacto",L46,"")),"")</f>
        <v/>
      </c>
      <c r="AB46" s="116" t="str">
        <f>IFERROR(IF(AA46="","",IF(AA46&lt;=0.2,"Muy Baja",IF(AA46&lt;=0.4,"Baja",IF(AA46&lt;=0.6,"Media",IF(AA46&lt;=0.8,"Alta","Muy Alta"))))),"")</f>
        <v/>
      </c>
      <c r="AC46" s="117" t="str">
        <f>+AA46</f>
        <v/>
      </c>
      <c r="AD46" s="116" t="str">
        <f>IFERROR(IF(AE46="","",IF(AE46&lt;=0.2,"Leve",IF(AE46&lt;=0.4,"Menor",IF(AE46&lt;=0.6,"Moderado",IF(AE46&lt;=0.8,"Mayor","Catastrófico"))))),"")</f>
        <v/>
      </c>
      <c r="AE46" s="117" t="str">
        <f>IFERROR(IF(T46="Impacto",(P46-(+P46*W46)),IF(T46="Probabilidad",P46,"")),"")</f>
        <v/>
      </c>
      <c r="AF46" s="118"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19"/>
      <c r="AH46" s="109"/>
      <c r="AI46" s="109"/>
      <c r="AJ46" s="256"/>
      <c r="AK46" s="256"/>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15.6" x14ac:dyDescent="0.25">
      <c r="A47" s="462"/>
      <c r="B47" s="465"/>
      <c r="C47" s="465"/>
      <c r="D47" s="465"/>
      <c r="E47" s="121"/>
      <c r="F47" s="468"/>
      <c r="G47" s="528"/>
      <c r="H47" s="124"/>
      <c r="I47" s="465"/>
      <c r="J47" s="471"/>
      <c r="K47" s="474"/>
      <c r="L47" s="456"/>
      <c r="M47" s="477"/>
      <c r="N47" s="456">
        <f>IF(NOT(ISERROR(MATCH(M47,_xlfn.ANCHORARRAY(F58),0))),L60&amp;"Por favor no seleccionar los criterios de impacto",M47)</f>
        <v>0</v>
      </c>
      <c r="O47" s="474"/>
      <c r="P47" s="456"/>
      <c r="Q47" s="459"/>
      <c r="R47" s="105">
        <v>2</v>
      </c>
      <c r="S47" s="106"/>
      <c r="T47" s="107" t="str">
        <f>IF(OR(U47="Preventivo",U47="Detectivo"),"Probabilidad",IF(U47="Correctivo","Impacto",""))</f>
        <v/>
      </c>
      <c r="U47" s="112"/>
      <c r="V47" s="112"/>
      <c r="W47" s="113" t="str">
        <f t="shared" ref="W47:W51" si="72">IF(AND(U47="Preventivo",V47="Automático"),"50%",IF(AND(U47="Preventivo",V47="Manual"),"40%",IF(AND(U47="Detectivo",V47="Automático"),"40%",IF(AND(U47="Detectivo",V47="Manual"),"30%",IF(AND(U47="Correctivo",V47="Automático"),"35%",IF(AND(U47="Correctivo",V47="Manual"),"25%",""))))))</f>
        <v/>
      </c>
      <c r="X47" s="112"/>
      <c r="Y47" s="112"/>
      <c r="Z47" s="112"/>
      <c r="AA47" s="108" t="str">
        <f>IFERROR(IF(AND(T46="Probabilidad",T47="Probabilidad"),(AC46-(+AC46*W47)),IF(AND(T46="Impacto",T47="Probabilidad"),(L46-(+L46*W47)),IF(T47="Impacto",AC46,""))),"")</f>
        <v/>
      </c>
      <c r="AB47" s="116" t="str">
        <f t="shared" ref="AB47:AB51" si="73">IFERROR(IF(AA47="","",IF(AA47&lt;=0.2,"Muy Baja",IF(AA47&lt;=0.4,"Baja",IF(AA47&lt;=0.6,"Media",IF(AA47&lt;=0.8,"Alta","Muy Alta"))))),"")</f>
        <v/>
      </c>
      <c r="AC47" s="117" t="str">
        <f>+AA47</f>
        <v/>
      </c>
      <c r="AD47" s="116" t="str">
        <f t="shared" ref="AD47:AD51" si="74">IFERROR(IF(AE47="","",IF(AE47&lt;=0.2,"Leve",IF(AE47&lt;=0.4,"Menor",IF(AE47&lt;=0.6,"Moderado",IF(AE47&lt;=0.8,"Mayor","Catastrófico"))))),"")</f>
        <v/>
      </c>
      <c r="AE47" s="117" t="str">
        <f>IFERROR(IF(AND(T46="Impacto",T47="Impacto"),(AE46-(+AE46*W47)),IF(AND(T46="Probabilidad",T47="Impacto"),(P46-(+P46*W47)),IF(T47="Probabilidad",AE46,""))),"")</f>
        <v/>
      </c>
      <c r="AF47" s="118" t="str">
        <f t="shared" ref="AF47:AF51" si="75">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19"/>
      <c r="AH47" s="109"/>
      <c r="AI47" s="109"/>
      <c r="AJ47" s="256"/>
      <c r="AK47" s="256"/>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15.6" x14ac:dyDescent="0.25">
      <c r="A48" s="462"/>
      <c r="B48" s="465"/>
      <c r="C48" s="465"/>
      <c r="D48" s="465"/>
      <c r="E48" s="121"/>
      <c r="F48" s="468"/>
      <c r="G48" s="528"/>
      <c r="H48" s="124"/>
      <c r="I48" s="465"/>
      <c r="J48" s="471"/>
      <c r="K48" s="474"/>
      <c r="L48" s="456"/>
      <c r="M48" s="477"/>
      <c r="N48" s="456">
        <f>IF(NOT(ISERROR(MATCH(M48,_xlfn.ANCHORARRAY(F59),0))),L61&amp;"Por favor no seleccionar los criterios de impacto",M48)</f>
        <v>0</v>
      </c>
      <c r="O48" s="474"/>
      <c r="P48" s="456"/>
      <c r="Q48" s="459"/>
      <c r="R48" s="105">
        <v>3</v>
      </c>
      <c r="S48" s="111"/>
      <c r="T48" s="107" t="str">
        <f t="shared" ref="T48:T51" si="76">IF(OR(U48="Preventivo",U48="Detectivo"),"Probabilidad",IF(U48="Correctivo","Impacto",""))</f>
        <v/>
      </c>
      <c r="U48" s="112"/>
      <c r="V48" s="112"/>
      <c r="W48" s="113" t="str">
        <f t="shared" si="72"/>
        <v/>
      </c>
      <c r="X48" s="112"/>
      <c r="Y48" s="112"/>
      <c r="Z48" s="112"/>
      <c r="AA48" s="108" t="str">
        <f>IFERROR(IF(AND(T47="Probabilidad",T48="Probabilidad"),(AC47-(+AC47*W48)),IF(AND(T47="Impacto",T48="Probabilidad"),(AC46-(+AC46*W48)),IF(T48="Impacto",AC47,""))),"")</f>
        <v/>
      </c>
      <c r="AB48" s="116" t="str">
        <f t="shared" si="73"/>
        <v/>
      </c>
      <c r="AC48" s="117" t="str">
        <f t="shared" ref="AC48:AC51" si="77">+AA48</f>
        <v/>
      </c>
      <c r="AD48" s="116" t="str">
        <f t="shared" si="74"/>
        <v/>
      </c>
      <c r="AE48" s="117" t="str">
        <f t="shared" ref="AE48:AE51" si="78">IFERROR(IF(AND(T47="Impacto",T48="Impacto"),(AE47-(+AE47*W48)),IF(AND(T47="Probabilidad",T48="Impacto"),(AE46-(+AE46*W48)),IF(T48="Probabilidad",AE47,""))),"")</f>
        <v/>
      </c>
      <c r="AF48" s="118" t="str">
        <f t="shared" si="75"/>
        <v/>
      </c>
      <c r="AG48" s="119"/>
      <c r="AH48" s="109"/>
      <c r="AI48" s="109"/>
      <c r="AJ48" s="256"/>
      <c r="AK48" s="256"/>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15.6" x14ac:dyDescent="0.25">
      <c r="A49" s="462"/>
      <c r="B49" s="465"/>
      <c r="C49" s="465"/>
      <c r="D49" s="465"/>
      <c r="E49" s="121"/>
      <c r="F49" s="468"/>
      <c r="G49" s="528"/>
      <c r="H49" s="124"/>
      <c r="I49" s="465"/>
      <c r="J49" s="471"/>
      <c r="K49" s="474"/>
      <c r="L49" s="456"/>
      <c r="M49" s="477"/>
      <c r="N49" s="456">
        <f>IF(NOT(ISERROR(MATCH(M49,_xlfn.ANCHORARRAY(F60),0))),L62&amp;"Por favor no seleccionar los criterios de impacto",M49)</f>
        <v>0</v>
      </c>
      <c r="O49" s="474"/>
      <c r="P49" s="456"/>
      <c r="Q49" s="459"/>
      <c r="R49" s="105">
        <v>4</v>
      </c>
      <c r="S49" s="106"/>
      <c r="T49" s="107" t="str">
        <f t="shared" si="76"/>
        <v/>
      </c>
      <c r="U49" s="112"/>
      <c r="V49" s="112"/>
      <c r="W49" s="113" t="str">
        <f t="shared" si="72"/>
        <v/>
      </c>
      <c r="X49" s="112"/>
      <c r="Y49" s="112"/>
      <c r="Z49" s="112"/>
      <c r="AA49" s="108" t="str">
        <f t="shared" ref="AA49:AA51" si="79">IFERROR(IF(AND(T48="Probabilidad",T49="Probabilidad"),(AC48-(+AC48*W49)),IF(AND(T48="Impacto",T49="Probabilidad"),(AC47-(+AC47*W49)),IF(T49="Impacto",AC48,""))),"")</f>
        <v/>
      </c>
      <c r="AB49" s="116" t="str">
        <f t="shared" si="73"/>
        <v/>
      </c>
      <c r="AC49" s="117" t="str">
        <f t="shared" si="77"/>
        <v/>
      </c>
      <c r="AD49" s="116" t="str">
        <f t="shared" si="74"/>
        <v/>
      </c>
      <c r="AE49" s="117" t="str">
        <f t="shared" si="78"/>
        <v/>
      </c>
      <c r="AF49" s="118" t="str">
        <f t="shared" si="75"/>
        <v/>
      </c>
      <c r="AG49" s="119"/>
      <c r="AH49" s="109"/>
      <c r="AI49" s="109"/>
      <c r="AJ49" s="256"/>
      <c r="AK49" s="256"/>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15.6" x14ac:dyDescent="0.25">
      <c r="A50" s="462"/>
      <c r="B50" s="465"/>
      <c r="C50" s="465"/>
      <c r="D50" s="465"/>
      <c r="E50" s="121"/>
      <c r="F50" s="468"/>
      <c r="G50" s="528"/>
      <c r="H50" s="124"/>
      <c r="I50" s="465"/>
      <c r="J50" s="471"/>
      <c r="K50" s="474"/>
      <c r="L50" s="456"/>
      <c r="M50" s="477"/>
      <c r="N50" s="456">
        <f>IF(NOT(ISERROR(MATCH(M50,_xlfn.ANCHORARRAY(F61),0))),L63&amp;"Por favor no seleccionar los criterios de impacto",M50)</f>
        <v>0</v>
      </c>
      <c r="O50" s="474"/>
      <c r="P50" s="456"/>
      <c r="Q50" s="459"/>
      <c r="R50" s="105">
        <v>5</v>
      </c>
      <c r="S50" s="106"/>
      <c r="T50" s="107" t="str">
        <f t="shared" si="76"/>
        <v/>
      </c>
      <c r="U50" s="112"/>
      <c r="V50" s="112"/>
      <c r="W50" s="113" t="str">
        <f t="shared" si="72"/>
        <v/>
      </c>
      <c r="X50" s="112"/>
      <c r="Y50" s="112"/>
      <c r="Z50" s="112"/>
      <c r="AA50" s="108" t="str">
        <f t="shared" si="79"/>
        <v/>
      </c>
      <c r="AB50" s="116" t="str">
        <f t="shared" si="73"/>
        <v/>
      </c>
      <c r="AC50" s="117" t="str">
        <f t="shared" si="77"/>
        <v/>
      </c>
      <c r="AD50" s="116" t="str">
        <f t="shared" si="74"/>
        <v/>
      </c>
      <c r="AE50" s="117" t="str">
        <f t="shared" si="78"/>
        <v/>
      </c>
      <c r="AF50" s="118" t="str">
        <f t="shared" si="75"/>
        <v/>
      </c>
      <c r="AG50" s="119"/>
      <c r="AH50" s="109"/>
      <c r="AI50" s="109"/>
      <c r="AJ50" s="256"/>
      <c r="AK50" s="256"/>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15.6" x14ac:dyDescent="0.25">
      <c r="A51" s="463"/>
      <c r="B51" s="466"/>
      <c r="C51" s="466"/>
      <c r="D51" s="466"/>
      <c r="E51" s="122"/>
      <c r="F51" s="469"/>
      <c r="G51" s="529"/>
      <c r="H51" s="125"/>
      <c r="I51" s="466"/>
      <c r="J51" s="472"/>
      <c r="K51" s="475"/>
      <c r="L51" s="457"/>
      <c r="M51" s="478"/>
      <c r="N51" s="457">
        <f>IF(NOT(ISERROR(MATCH(M51,_xlfn.ANCHORARRAY(F62),0))),L64&amp;"Por favor no seleccionar los criterios de impacto",M51)</f>
        <v>0</v>
      </c>
      <c r="O51" s="475"/>
      <c r="P51" s="457"/>
      <c r="Q51" s="460"/>
      <c r="R51" s="105">
        <v>6</v>
      </c>
      <c r="S51" s="106"/>
      <c r="T51" s="107" t="str">
        <f t="shared" si="76"/>
        <v/>
      </c>
      <c r="U51" s="112"/>
      <c r="V51" s="112"/>
      <c r="W51" s="113" t="str">
        <f t="shared" si="72"/>
        <v/>
      </c>
      <c r="X51" s="112"/>
      <c r="Y51" s="112"/>
      <c r="Z51" s="112"/>
      <c r="AA51" s="108" t="str">
        <f t="shared" si="79"/>
        <v/>
      </c>
      <c r="AB51" s="116" t="str">
        <f t="shared" si="73"/>
        <v/>
      </c>
      <c r="AC51" s="117" t="str">
        <f t="shared" si="77"/>
        <v/>
      </c>
      <c r="AD51" s="116" t="str">
        <f t="shared" si="74"/>
        <v/>
      </c>
      <c r="AE51" s="117" t="str">
        <f t="shared" si="78"/>
        <v/>
      </c>
      <c r="AF51" s="118" t="str">
        <f t="shared" si="75"/>
        <v/>
      </c>
      <c r="AG51" s="119"/>
      <c r="AH51" s="109"/>
      <c r="AI51" s="109"/>
      <c r="AJ51" s="256"/>
      <c r="AK51" s="256"/>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15.6" x14ac:dyDescent="0.25">
      <c r="A52" s="461">
        <v>8</v>
      </c>
      <c r="B52" s="464"/>
      <c r="C52" s="464"/>
      <c r="D52" s="464"/>
      <c r="E52" s="120"/>
      <c r="F52" s="467"/>
      <c r="G52" s="527"/>
      <c r="H52" s="123"/>
      <c r="I52" s="464"/>
      <c r="J52" s="470"/>
      <c r="K52" s="473" t="str">
        <f t="shared" ref="K52" si="80">IF(J52&lt;=0,"",IF(J52&lt;=2,"Muy Baja",IF(J52&lt;=24,"Baja",IF(J52&lt;=500,"Media",IF(J52&lt;=5000,"Alta","Muy Alta")))))</f>
        <v/>
      </c>
      <c r="L52" s="455" t="str">
        <f t="shared" ref="L52" si="81">IF(K52="","",IF(K52="Muy Baja",0.2,IF(K52="Baja",0.4,IF(K52="Media",0.6,IF(K52="Alta",0.8,IF(K52="Muy Alta",1,))))))</f>
        <v/>
      </c>
      <c r="M52" s="476"/>
      <c r="N52" s="455">
        <f>IF(NOT(ISERROR(MATCH(M52,'Tabla Impacto'!$B$221:$B$223,0))),'Tabla Impacto'!$F$223&amp;"Por favor no seleccionar los criterios de impacto(Afectación Económica o presupuestal y Pérdida Reputacional)",M52)</f>
        <v>0</v>
      </c>
      <c r="O52" s="473" t="str">
        <f>IF(OR(N52='Tabla Impacto'!$C$11,N52='Tabla Impacto'!$D$11),"Leve",IF(OR(N52='Tabla Impacto'!$C$12,N52='Tabla Impacto'!$D$12),"Menor",IF(OR(N52='Tabla Impacto'!$C$13,N52='Tabla Impacto'!$D$13),"Moderado",IF(OR(N52='Tabla Impacto'!$C$14,N52='Tabla Impacto'!$D$14),"Mayor",IF(OR(N52='Tabla Impacto'!$C$15,N52='Tabla Impacto'!$D$15),"Catastrófico","")))))</f>
        <v/>
      </c>
      <c r="P52" s="455" t="str">
        <f t="shared" ref="P52" si="82">IF(O52="","",IF(O52="Leve",0.2,IF(O52="Menor",0.4,IF(O52="Moderado",0.6,IF(O52="Mayor",0.8,IF(O52="Catastrófico",1,))))))</f>
        <v/>
      </c>
      <c r="Q52" s="458"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105">
        <v>1</v>
      </c>
      <c r="S52" s="106"/>
      <c r="T52" s="107" t="str">
        <f>IF(OR(U52="Preventivo",U52="Detectivo"),"Probabilidad",IF(U52="Correctivo","Impacto",""))</f>
        <v/>
      </c>
      <c r="U52" s="112"/>
      <c r="V52" s="112"/>
      <c r="W52" s="113" t="str">
        <f>IF(AND(U52="Preventivo",V52="Automático"),"50%",IF(AND(U52="Preventivo",V52="Manual"),"40%",IF(AND(U52="Detectivo",V52="Automático"),"40%",IF(AND(U52="Detectivo",V52="Manual"),"30%",IF(AND(U52="Correctivo",V52="Automático"),"35%",IF(AND(U52="Correctivo",V52="Manual"),"25%",""))))))</f>
        <v/>
      </c>
      <c r="X52" s="112"/>
      <c r="Y52" s="112"/>
      <c r="Z52" s="112"/>
      <c r="AA52" s="108" t="str">
        <f>IFERROR(IF(T52="Probabilidad",(L52-(+L52*W52)),IF(T52="Impacto",L52,"")),"")</f>
        <v/>
      </c>
      <c r="AB52" s="116" t="str">
        <f>IFERROR(IF(AA52="","",IF(AA52&lt;=0.2,"Muy Baja",IF(AA52&lt;=0.4,"Baja",IF(AA52&lt;=0.6,"Media",IF(AA52&lt;=0.8,"Alta","Muy Alta"))))),"")</f>
        <v/>
      </c>
      <c r="AC52" s="117" t="str">
        <f>+AA52</f>
        <v/>
      </c>
      <c r="AD52" s="116" t="str">
        <f>IFERROR(IF(AE52="","",IF(AE52&lt;=0.2,"Leve",IF(AE52&lt;=0.4,"Menor",IF(AE52&lt;=0.6,"Moderado",IF(AE52&lt;=0.8,"Mayor","Catastrófico"))))),"")</f>
        <v/>
      </c>
      <c r="AE52" s="117" t="str">
        <f>IFERROR(IF(T52="Impacto",(P52-(+P52*W52)),IF(T52="Probabilidad",P52,"")),"")</f>
        <v/>
      </c>
      <c r="AF52" s="118"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119"/>
      <c r="AH52" s="109"/>
      <c r="AI52" s="109"/>
      <c r="AJ52" s="256"/>
      <c r="AK52" s="256"/>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15.6" x14ac:dyDescent="0.25">
      <c r="A53" s="462"/>
      <c r="B53" s="465"/>
      <c r="C53" s="465"/>
      <c r="D53" s="465"/>
      <c r="E53" s="121"/>
      <c r="F53" s="468"/>
      <c r="G53" s="528"/>
      <c r="H53" s="124"/>
      <c r="I53" s="465"/>
      <c r="J53" s="471"/>
      <c r="K53" s="474"/>
      <c r="L53" s="456"/>
      <c r="M53" s="477"/>
      <c r="N53" s="456">
        <f>IF(NOT(ISERROR(MATCH(M53,_xlfn.ANCHORARRAY(F64),0))),L66&amp;"Por favor no seleccionar los criterios de impacto",M53)</f>
        <v>0</v>
      </c>
      <c r="O53" s="474"/>
      <c r="P53" s="456"/>
      <c r="Q53" s="459"/>
      <c r="R53" s="105">
        <v>2</v>
      </c>
      <c r="S53" s="106"/>
      <c r="T53" s="107" t="str">
        <f>IF(OR(U53="Preventivo",U53="Detectivo"),"Probabilidad",IF(U53="Correctivo","Impacto",""))</f>
        <v/>
      </c>
      <c r="U53" s="112"/>
      <c r="V53" s="112"/>
      <c r="W53" s="113" t="str">
        <f t="shared" ref="W53:W57" si="84">IF(AND(U53="Preventivo",V53="Automático"),"50%",IF(AND(U53="Preventivo",V53="Manual"),"40%",IF(AND(U53="Detectivo",V53="Automático"),"40%",IF(AND(U53="Detectivo",V53="Manual"),"30%",IF(AND(U53="Correctivo",V53="Automático"),"35%",IF(AND(U53="Correctivo",V53="Manual"),"25%",""))))))</f>
        <v/>
      </c>
      <c r="X53" s="112"/>
      <c r="Y53" s="112"/>
      <c r="Z53" s="112"/>
      <c r="AA53" s="108" t="str">
        <f>IFERROR(IF(AND(T52="Probabilidad",T53="Probabilidad"),(AC52-(+AC52*W53)),IF(AND(T52="Impacto",T53="Probabilidad"),(L52-(+L52*W53)),IF(T53="Impacto",AC52,""))),"")</f>
        <v/>
      </c>
      <c r="AB53" s="116" t="str">
        <f t="shared" ref="AB53:AB57" si="85">IFERROR(IF(AA53="","",IF(AA53&lt;=0.2,"Muy Baja",IF(AA53&lt;=0.4,"Baja",IF(AA53&lt;=0.6,"Media",IF(AA53&lt;=0.8,"Alta","Muy Alta"))))),"")</f>
        <v/>
      </c>
      <c r="AC53" s="117" t="str">
        <f>+AA53</f>
        <v/>
      </c>
      <c r="AD53" s="116" t="str">
        <f t="shared" ref="AD53:AD57" si="86">IFERROR(IF(AE53="","",IF(AE53&lt;=0.2,"Leve",IF(AE53&lt;=0.4,"Menor",IF(AE53&lt;=0.6,"Moderado",IF(AE53&lt;=0.8,"Mayor","Catastrófico"))))),"")</f>
        <v/>
      </c>
      <c r="AE53" s="117" t="str">
        <f>IFERROR(IF(AND(T52="Impacto",T53="Impacto"),(AE52-(+AE52*W53)),IF(AND(T52="Probabilidad",T53="Impacto"),(P52-(+P52*W53)),IF(T53="Probabilidad",AE52,""))),"")</f>
        <v/>
      </c>
      <c r="AF53" s="118" t="str">
        <f t="shared" ref="AF53:AF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19"/>
      <c r="AH53" s="109"/>
      <c r="AI53" s="109"/>
      <c r="AJ53" s="256"/>
      <c r="AK53" s="256"/>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15.6" x14ac:dyDescent="0.25">
      <c r="A54" s="462"/>
      <c r="B54" s="465"/>
      <c r="C54" s="465"/>
      <c r="D54" s="465"/>
      <c r="E54" s="121"/>
      <c r="F54" s="468"/>
      <c r="G54" s="528"/>
      <c r="H54" s="124"/>
      <c r="I54" s="465"/>
      <c r="J54" s="471"/>
      <c r="K54" s="474"/>
      <c r="L54" s="456"/>
      <c r="M54" s="477"/>
      <c r="N54" s="456">
        <f>IF(NOT(ISERROR(MATCH(M54,_xlfn.ANCHORARRAY(F65),0))),L67&amp;"Por favor no seleccionar los criterios de impacto",M54)</f>
        <v>0</v>
      </c>
      <c r="O54" s="474"/>
      <c r="P54" s="456"/>
      <c r="Q54" s="459"/>
      <c r="R54" s="105">
        <v>3</v>
      </c>
      <c r="S54" s="111"/>
      <c r="T54" s="107" t="str">
        <f t="shared" ref="T54:T57" si="88">IF(OR(U54="Preventivo",U54="Detectivo"),"Probabilidad",IF(U54="Correctivo","Impacto",""))</f>
        <v/>
      </c>
      <c r="U54" s="112"/>
      <c r="V54" s="112"/>
      <c r="W54" s="113" t="str">
        <f t="shared" si="84"/>
        <v/>
      </c>
      <c r="X54" s="112"/>
      <c r="Y54" s="112"/>
      <c r="Z54" s="112"/>
      <c r="AA54" s="108" t="str">
        <f>IFERROR(IF(AND(T53="Probabilidad",T54="Probabilidad"),(AC53-(+AC53*W54)),IF(AND(T53="Impacto",T54="Probabilidad"),(AC52-(+AC52*W54)),IF(T54="Impacto",AC53,""))),"")</f>
        <v/>
      </c>
      <c r="AB54" s="116" t="str">
        <f t="shared" si="85"/>
        <v/>
      </c>
      <c r="AC54" s="117" t="str">
        <f t="shared" ref="AC54:AC57" si="89">+AA54</f>
        <v/>
      </c>
      <c r="AD54" s="116" t="str">
        <f t="shared" si="86"/>
        <v/>
      </c>
      <c r="AE54" s="117" t="str">
        <f t="shared" ref="AE54:AE57" si="90">IFERROR(IF(AND(T53="Impacto",T54="Impacto"),(AE53-(+AE53*W54)),IF(AND(T53="Probabilidad",T54="Impacto"),(AE52-(+AE52*W54)),IF(T54="Probabilidad",AE53,""))),"")</f>
        <v/>
      </c>
      <c r="AF54" s="118" t="str">
        <f t="shared" si="87"/>
        <v/>
      </c>
      <c r="AG54" s="119"/>
      <c r="AH54" s="109"/>
      <c r="AI54" s="109"/>
      <c r="AJ54" s="256"/>
      <c r="AK54" s="256"/>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15.6" x14ac:dyDescent="0.25">
      <c r="A55" s="462"/>
      <c r="B55" s="465"/>
      <c r="C55" s="465"/>
      <c r="D55" s="465"/>
      <c r="E55" s="121"/>
      <c r="F55" s="468"/>
      <c r="G55" s="528"/>
      <c r="H55" s="124"/>
      <c r="I55" s="465"/>
      <c r="J55" s="471"/>
      <c r="K55" s="474"/>
      <c r="L55" s="456"/>
      <c r="M55" s="477"/>
      <c r="N55" s="456">
        <f>IF(NOT(ISERROR(MATCH(M55,_xlfn.ANCHORARRAY(F66),0))),L68&amp;"Por favor no seleccionar los criterios de impacto",M55)</f>
        <v>0</v>
      </c>
      <c r="O55" s="474"/>
      <c r="P55" s="456"/>
      <c r="Q55" s="459"/>
      <c r="R55" s="105">
        <v>4</v>
      </c>
      <c r="S55" s="106"/>
      <c r="T55" s="107" t="str">
        <f t="shared" si="88"/>
        <v/>
      </c>
      <c r="U55" s="112"/>
      <c r="V55" s="112"/>
      <c r="W55" s="113" t="str">
        <f t="shared" si="84"/>
        <v/>
      </c>
      <c r="X55" s="112"/>
      <c r="Y55" s="112"/>
      <c r="Z55" s="112"/>
      <c r="AA55" s="108" t="str">
        <f t="shared" ref="AA55:AA57" si="91">IFERROR(IF(AND(T54="Probabilidad",T55="Probabilidad"),(AC54-(+AC54*W55)),IF(AND(T54="Impacto",T55="Probabilidad"),(AC53-(+AC53*W55)),IF(T55="Impacto",AC54,""))),"")</f>
        <v/>
      </c>
      <c r="AB55" s="116" t="str">
        <f t="shared" si="85"/>
        <v/>
      </c>
      <c r="AC55" s="117" t="str">
        <f t="shared" si="89"/>
        <v/>
      </c>
      <c r="AD55" s="116" t="str">
        <f t="shared" si="86"/>
        <v/>
      </c>
      <c r="AE55" s="117" t="str">
        <f t="shared" si="90"/>
        <v/>
      </c>
      <c r="AF55" s="118" t="str">
        <f t="shared" si="87"/>
        <v/>
      </c>
      <c r="AG55" s="119"/>
      <c r="AH55" s="109"/>
      <c r="AI55" s="109"/>
      <c r="AJ55" s="256"/>
      <c r="AK55" s="256"/>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15.6" x14ac:dyDescent="0.25">
      <c r="A56" s="462"/>
      <c r="B56" s="465"/>
      <c r="C56" s="465"/>
      <c r="D56" s="465"/>
      <c r="E56" s="121"/>
      <c r="F56" s="468"/>
      <c r="G56" s="528"/>
      <c r="H56" s="124"/>
      <c r="I56" s="465"/>
      <c r="J56" s="471"/>
      <c r="K56" s="474"/>
      <c r="L56" s="456"/>
      <c r="M56" s="477"/>
      <c r="N56" s="456">
        <f>IF(NOT(ISERROR(MATCH(M56,_xlfn.ANCHORARRAY(F67),0))),L69&amp;"Por favor no seleccionar los criterios de impacto",M56)</f>
        <v>0</v>
      </c>
      <c r="O56" s="474"/>
      <c r="P56" s="456"/>
      <c r="Q56" s="459"/>
      <c r="R56" s="105">
        <v>5</v>
      </c>
      <c r="S56" s="106"/>
      <c r="T56" s="107" t="str">
        <f t="shared" si="88"/>
        <v/>
      </c>
      <c r="U56" s="112"/>
      <c r="V56" s="112"/>
      <c r="W56" s="113" t="str">
        <f t="shared" si="84"/>
        <v/>
      </c>
      <c r="X56" s="112"/>
      <c r="Y56" s="112"/>
      <c r="Z56" s="112"/>
      <c r="AA56" s="108" t="str">
        <f t="shared" si="91"/>
        <v/>
      </c>
      <c r="AB56" s="116" t="str">
        <f t="shared" si="85"/>
        <v/>
      </c>
      <c r="AC56" s="117" t="str">
        <f t="shared" si="89"/>
        <v/>
      </c>
      <c r="AD56" s="116" t="str">
        <f t="shared" si="86"/>
        <v/>
      </c>
      <c r="AE56" s="117" t="str">
        <f t="shared" si="90"/>
        <v/>
      </c>
      <c r="AF56" s="118" t="str">
        <f t="shared" si="87"/>
        <v/>
      </c>
      <c r="AG56" s="119"/>
      <c r="AH56" s="109"/>
      <c r="AI56" s="109"/>
      <c r="AJ56" s="256"/>
      <c r="AK56" s="256"/>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15.6" x14ac:dyDescent="0.25">
      <c r="A57" s="463"/>
      <c r="B57" s="466"/>
      <c r="C57" s="466"/>
      <c r="D57" s="466"/>
      <c r="E57" s="122"/>
      <c r="F57" s="469"/>
      <c r="G57" s="529"/>
      <c r="H57" s="125"/>
      <c r="I57" s="466"/>
      <c r="J57" s="472"/>
      <c r="K57" s="475"/>
      <c r="L57" s="457"/>
      <c r="M57" s="478"/>
      <c r="N57" s="457">
        <f>IF(NOT(ISERROR(MATCH(M57,_xlfn.ANCHORARRAY(F68),0))),L70&amp;"Por favor no seleccionar los criterios de impacto",M57)</f>
        <v>0</v>
      </c>
      <c r="O57" s="475"/>
      <c r="P57" s="457"/>
      <c r="Q57" s="460"/>
      <c r="R57" s="105">
        <v>6</v>
      </c>
      <c r="S57" s="106"/>
      <c r="T57" s="107" t="str">
        <f t="shared" si="88"/>
        <v/>
      </c>
      <c r="U57" s="112"/>
      <c r="V57" s="112"/>
      <c r="W57" s="113" t="str">
        <f t="shared" si="84"/>
        <v/>
      </c>
      <c r="X57" s="112"/>
      <c r="Y57" s="112"/>
      <c r="Z57" s="112"/>
      <c r="AA57" s="108" t="str">
        <f t="shared" si="91"/>
        <v/>
      </c>
      <c r="AB57" s="116" t="str">
        <f t="shared" si="85"/>
        <v/>
      </c>
      <c r="AC57" s="117" t="str">
        <f t="shared" si="89"/>
        <v/>
      </c>
      <c r="AD57" s="116" t="str">
        <f t="shared" si="86"/>
        <v/>
      </c>
      <c r="AE57" s="117" t="str">
        <f t="shared" si="90"/>
        <v/>
      </c>
      <c r="AF57" s="118" t="str">
        <f t="shared" si="87"/>
        <v/>
      </c>
      <c r="AG57" s="119"/>
      <c r="AH57" s="109"/>
      <c r="AI57" s="109"/>
      <c r="AJ57" s="256"/>
      <c r="AK57" s="256"/>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15.6" x14ac:dyDescent="0.25">
      <c r="A58" s="461">
        <v>9</v>
      </c>
      <c r="B58" s="464"/>
      <c r="C58" s="464"/>
      <c r="D58" s="464"/>
      <c r="E58" s="120"/>
      <c r="F58" s="467"/>
      <c r="G58" s="527"/>
      <c r="H58" s="123"/>
      <c r="I58" s="464"/>
      <c r="J58" s="470"/>
      <c r="K58" s="473" t="str">
        <f t="shared" ref="K58" si="92">IF(J58&lt;=0,"",IF(J58&lt;=2,"Muy Baja",IF(J58&lt;=24,"Baja",IF(J58&lt;=500,"Media",IF(J58&lt;=5000,"Alta","Muy Alta")))))</f>
        <v/>
      </c>
      <c r="L58" s="455" t="str">
        <f t="shared" ref="L58" si="93">IF(K58="","",IF(K58="Muy Baja",0.2,IF(K58="Baja",0.4,IF(K58="Media",0.6,IF(K58="Alta",0.8,IF(K58="Muy Alta",1,))))))</f>
        <v/>
      </c>
      <c r="M58" s="476"/>
      <c r="N58" s="455">
        <f>IF(NOT(ISERROR(MATCH(M58,'Tabla Impacto'!$B$221:$B$223,0))),'Tabla Impacto'!$F$223&amp;"Por favor no seleccionar los criterios de impacto(Afectación Económica o presupuestal y Pérdida Reputacional)",M58)</f>
        <v>0</v>
      </c>
      <c r="O58" s="473" t="str">
        <f>IF(OR(N58='Tabla Impacto'!$C$11,N58='Tabla Impacto'!$D$11),"Leve",IF(OR(N58='Tabla Impacto'!$C$12,N58='Tabla Impacto'!$D$12),"Menor",IF(OR(N58='Tabla Impacto'!$C$13,N58='Tabla Impacto'!$D$13),"Moderado",IF(OR(N58='Tabla Impacto'!$C$14,N58='Tabla Impacto'!$D$14),"Mayor",IF(OR(N58='Tabla Impacto'!$C$15,N58='Tabla Impacto'!$D$15),"Catastrófico","")))))</f>
        <v/>
      </c>
      <c r="P58" s="455" t="str">
        <f t="shared" ref="P58" si="94">IF(O58="","",IF(O58="Leve",0.2,IF(O58="Menor",0.4,IF(O58="Moderado",0.6,IF(O58="Mayor",0.8,IF(O58="Catastrófico",1,))))))</f>
        <v/>
      </c>
      <c r="Q58" s="458" t="str">
        <f t="shared" ref="Q58" si="95">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105">
        <v>1</v>
      </c>
      <c r="S58" s="106"/>
      <c r="T58" s="107" t="str">
        <f>IF(OR(U58="Preventivo",U58="Detectivo"),"Probabilidad",IF(U58="Correctivo","Impacto",""))</f>
        <v/>
      </c>
      <c r="U58" s="112"/>
      <c r="V58" s="112"/>
      <c r="W58" s="113" t="str">
        <f>IF(AND(U58="Preventivo",V58="Automático"),"50%",IF(AND(U58="Preventivo",V58="Manual"),"40%",IF(AND(U58="Detectivo",V58="Automático"),"40%",IF(AND(U58="Detectivo",V58="Manual"),"30%",IF(AND(U58="Correctivo",V58="Automático"),"35%",IF(AND(U58="Correctivo",V58="Manual"),"25%",""))))))</f>
        <v/>
      </c>
      <c r="X58" s="112"/>
      <c r="Y58" s="112"/>
      <c r="Z58" s="112"/>
      <c r="AA58" s="108" t="str">
        <f>IFERROR(IF(T58="Probabilidad",(L58-(+L58*W58)),IF(T58="Impacto",L58,"")),"")</f>
        <v/>
      </c>
      <c r="AB58" s="116" t="str">
        <f>IFERROR(IF(AA58="","",IF(AA58&lt;=0.2,"Muy Baja",IF(AA58&lt;=0.4,"Baja",IF(AA58&lt;=0.6,"Media",IF(AA58&lt;=0.8,"Alta","Muy Alta"))))),"")</f>
        <v/>
      </c>
      <c r="AC58" s="117" t="str">
        <f>+AA58</f>
        <v/>
      </c>
      <c r="AD58" s="116" t="str">
        <f>IFERROR(IF(AE58="","",IF(AE58&lt;=0.2,"Leve",IF(AE58&lt;=0.4,"Menor",IF(AE58&lt;=0.6,"Moderado",IF(AE58&lt;=0.8,"Mayor","Catastrófico"))))),"")</f>
        <v/>
      </c>
      <c r="AE58" s="117" t="str">
        <f>IFERROR(IF(T58="Impacto",(P58-(+P58*W58)),IF(T58="Probabilidad",P58,"")),"")</f>
        <v/>
      </c>
      <c r="AF58" s="118"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119"/>
      <c r="AH58" s="109"/>
      <c r="AI58" s="109"/>
      <c r="AJ58" s="256"/>
      <c r="AK58" s="256"/>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15.6" x14ac:dyDescent="0.25">
      <c r="A59" s="462"/>
      <c r="B59" s="465"/>
      <c r="C59" s="465"/>
      <c r="D59" s="465"/>
      <c r="E59" s="121"/>
      <c r="F59" s="468"/>
      <c r="G59" s="528"/>
      <c r="H59" s="124"/>
      <c r="I59" s="465"/>
      <c r="J59" s="471"/>
      <c r="K59" s="474"/>
      <c r="L59" s="456"/>
      <c r="M59" s="477"/>
      <c r="N59" s="456">
        <f>IF(NOT(ISERROR(MATCH(M59,_xlfn.ANCHORARRAY(F70),0))),L72&amp;"Por favor no seleccionar los criterios de impacto",M59)</f>
        <v>0</v>
      </c>
      <c r="O59" s="474"/>
      <c r="P59" s="456"/>
      <c r="Q59" s="459"/>
      <c r="R59" s="105">
        <v>2</v>
      </c>
      <c r="S59" s="106"/>
      <c r="T59" s="107" t="str">
        <f>IF(OR(U59="Preventivo",U59="Detectivo"),"Probabilidad",IF(U59="Correctivo","Impacto",""))</f>
        <v/>
      </c>
      <c r="U59" s="112"/>
      <c r="V59" s="112"/>
      <c r="W59" s="113" t="str">
        <f t="shared" ref="W59:W63" si="96">IF(AND(U59="Preventivo",V59="Automático"),"50%",IF(AND(U59="Preventivo",V59="Manual"),"40%",IF(AND(U59="Detectivo",V59="Automático"),"40%",IF(AND(U59="Detectivo",V59="Manual"),"30%",IF(AND(U59="Correctivo",V59="Automático"),"35%",IF(AND(U59="Correctivo",V59="Manual"),"25%",""))))))</f>
        <v/>
      </c>
      <c r="X59" s="112"/>
      <c r="Y59" s="112"/>
      <c r="Z59" s="112"/>
      <c r="AA59" s="108" t="str">
        <f>IFERROR(IF(AND(T58="Probabilidad",T59="Probabilidad"),(AC58-(+AC58*W59)),IF(AND(T58="Impacto",T59="Probabilidad"),(L58-(+L58*W59)),IF(T59="Impacto",AC58,""))),"")</f>
        <v/>
      </c>
      <c r="AB59" s="116" t="str">
        <f t="shared" ref="AB59:AB63" si="97">IFERROR(IF(AA59="","",IF(AA59&lt;=0.2,"Muy Baja",IF(AA59&lt;=0.4,"Baja",IF(AA59&lt;=0.6,"Media",IF(AA59&lt;=0.8,"Alta","Muy Alta"))))),"")</f>
        <v/>
      </c>
      <c r="AC59" s="117" t="str">
        <f>+AA59</f>
        <v/>
      </c>
      <c r="AD59" s="116" t="str">
        <f t="shared" ref="AD59:AD63" si="98">IFERROR(IF(AE59="","",IF(AE59&lt;=0.2,"Leve",IF(AE59&lt;=0.4,"Menor",IF(AE59&lt;=0.6,"Moderado",IF(AE59&lt;=0.8,"Mayor","Catastrófico"))))),"")</f>
        <v/>
      </c>
      <c r="AE59" s="117" t="str">
        <f>IFERROR(IF(AND(T58="Impacto",T59="Impacto"),(AE58-(+AE58*W59)),IF(AND(T58="Probabilidad",T59="Impacto"),(P58-(+P58*W59)),IF(T59="Probabilidad",AE58,""))),"")</f>
        <v/>
      </c>
      <c r="AF59" s="118" t="str">
        <f t="shared" ref="AF59:AF63" si="99">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19"/>
      <c r="AH59" s="109"/>
      <c r="AI59" s="109"/>
      <c r="AJ59" s="256"/>
      <c r="AK59" s="256"/>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15.6" x14ac:dyDescent="0.25">
      <c r="A60" s="462"/>
      <c r="B60" s="465"/>
      <c r="C60" s="465"/>
      <c r="D60" s="465"/>
      <c r="E60" s="121"/>
      <c r="F60" s="468"/>
      <c r="G60" s="528"/>
      <c r="H60" s="124"/>
      <c r="I60" s="465"/>
      <c r="J60" s="471"/>
      <c r="K60" s="474"/>
      <c r="L60" s="456"/>
      <c r="M60" s="477"/>
      <c r="N60" s="456">
        <f>IF(NOT(ISERROR(MATCH(M60,_xlfn.ANCHORARRAY(F71),0))),L73&amp;"Por favor no seleccionar los criterios de impacto",M60)</f>
        <v>0</v>
      </c>
      <c r="O60" s="474"/>
      <c r="P60" s="456"/>
      <c r="Q60" s="459"/>
      <c r="R60" s="105">
        <v>3</v>
      </c>
      <c r="S60" s="111"/>
      <c r="T60" s="107" t="str">
        <f t="shared" ref="T60:T63" si="100">IF(OR(U60="Preventivo",U60="Detectivo"),"Probabilidad",IF(U60="Correctivo","Impacto",""))</f>
        <v/>
      </c>
      <c r="U60" s="112"/>
      <c r="V60" s="112"/>
      <c r="W60" s="113" t="str">
        <f t="shared" si="96"/>
        <v/>
      </c>
      <c r="X60" s="112"/>
      <c r="Y60" s="112"/>
      <c r="Z60" s="112"/>
      <c r="AA60" s="108" t="str">
        <f>IFERROR(IF(AND(T59="Probabilidad",T60="Probabilidad"),(AC59-(+AC59*W60)),IF(AND(T59="Impacto",T60="Probabilidad"),(AC58-(+AC58*W60)),IF(T60="Impacto",AC59,""))),"")</f>
        <v/>
      </c>
      <c r="AB60" s="116" t="str">
        <f t="shared" si="97"/>
        <v/>
      </c>
      <c r="AC60" s="117" t="str">
        <f t="shared" ref="AC60:AC63" si="101">+AA60</f>
        <v/>
      </c>
      <c r="AD60" s="116" t="str">
        <f t="shared" si="98"/>
        <v/>
      </c>
      <c r="AE60" s="117" t="str">
        <f t="shared" ref="AE60:AE63" si="102">IFERROR(IF(AND(T59="Impacto",T60="Impacto"),(AE59-(+AE59*W60)),IF(AND(T59="Probabilidad",T60="Impacto"),(AE58-(+AE58*W60)),IF(T60="Probabilidad",AE59,""))),"")</f>
        <v/>
      </c>
      <c r="AF60" s="118" t="str">
        <f t="shared" si="99"/>
        <v/>
      </c>
      <c r="AG60" s="119"/>
      <c r="AH60" s="109"/>
      <c r="AI60" s="109"/>
      <c r="AJ60" s="256"/>
      <c r="AK60" s="256"/>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15.6" x14ac:dyDescent="0.25">
      <c r="A61" s="462"/>
      <c r="B61" s="465"/>
      <c r="C61" s="465"/>
      <c r="D61" s="465"/>
      <c r="E61" s="121"/>
      <c r="F61" s="468"/>
      <c r="G61" s="528"/>
      <c r="H61" s="124"/>
      <c r="I61" s="465"/>
      <c r="J61" s="471"/>
      <c r="K61" s="474"/>
      <c r="L61" s="456"/>
      <c r="M61" s="477"/>
      <c r="N61" s="456">
        <f>IF(NOT(ISERROR(MATCH(M61,_xlfn.ANCHORARRAY(F72),0))),L74&amp;"Por favor no seleccionar los criterios de impacto",M61)</f>
        <v>0</v>
      </c>
      <c r="O61" s="474"/>
      <c r="P61" s="456"/>
      <c r="Q61" s="459"/>
      <c r="R61" s="105">
        <v>4</v>
      </c>
      <c r="S61" s="106"/>
      <c r="T61" s="107" t="str">
        <f t="shared" si="100"/>
        <v/>
      </c>
      <c r="U61" s="112"/>
      <c r="V61" s="112"/>
      <c r="W61" s="113" t="str">
        <f t="shared" si="96"/>
        <v/>
      </c>
      <c r="X61" s="112"/>
      <c r="Y61" s="112"/>
      <c r="Z61" s="112"/>
      <c r="AA61" s="108" t="str">
        <f t="shared" ref="AA61:AA63" si="103">IFERROR(IF(AND(T60="Probabilidad",T61="Probabilidad"),(AC60-(+AC60*W61)),IF(AND(T60="Impacto",T61="Probabilidad"),(AC59-(+AC59*W61)),IF(T61="Impacto",AC60,""))),"")</f>
        <v/>
      </c>
      <c r="AB61" s="116" t="str">
        <f t="shared" si="97"/>
        <v/>
      </c>
      <c r="AC61" s="117" t="str">
        <f t="shared" si="101"/>
        <v/>
      </c>
      <c r="AD61" s="116" t="str">
        <f t="shared" si="98"/>
        <v/>
      </c>
      <c r="AE61" s="117" t="str">
        <f t="shared" si="102"/>
        <v/>
      </c>
      <c r="AF61" s="118" t="str">
        <f t="shared" si="99"/>
        <v/>
      </c>
      <c r="AG61" s="119"/>
      <c r="AH61" s="109"/>
      <c r="AI61" s="109"/>
      <c r="AJ61" s="256"/>
      <c r="AK61" s="256"/>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15.6" x14ac:dyDescent="0.25">
      <c r="A62" s="462"/>
      <c r="B62" s="465"/>
      <c r="C62" s="465"/>
      <c r="D62" s="465"/>
      <c r="E62" s="121"/>
      <c r="F62" s="468"/>
      <c r="G62" s="528"/>
      <c r="H62" s="124"/>
      <c r="I62" s="465"/>
      <c r="J62" s="471"/>
      <c r="K62" s="474"/>
      <c r="L62" s="456"/>
      <c r="M62" s="477"/>
      <c r="N62" s="456">
        <f>IF(NOT(ISERROR(MATCH(M62,_xlfn.ANCHORARRAY(F73),0))),L75&amp;"Por favor no seleccionar los criterios de impacto",M62)</f>
        <v>0</v>
      </c>
      <c r="O62" s="474"/>
      <c r="P62" s="456"/>
      <c r="Q62" s="459"/>
      <c r="R62" s="105">
        <v>5</v>
      </c>
      <c r="S62" s="106"/>
      <c r="T62" s="107" t="str">
        <f t="shared" si="100"/>
        <v/>
      </c>
      <c r="U62" s="112"/>
      <c r="V62" s="112"/>
      <c r="W62" s="113" t="str">
        <f t="shared" si="96"/>
        <v/>
      </c>
      <c r="X62" s="112"/>
      <c r="Y62" s="112"/>
      <c r="Z62" s="112"/>
      <c r="AA62" s="108" t="str">
        <f t="shared" si="103"/>
        <v/>
      </c>
      <c r="AB62" s="116" t="str">
        <f t="shared" si="97"/>
        <v/>
      </c>
      <c r="AC62" s="117" t="str">
        <f t="shared" si="101"/>
        <v/>
      </c>
      <c r="AD62" s="116" t="str">
        <f t="shared" si="98"/>
        <v/>
      </c>
      <c r="AE62" s="117" t="str">
        <f t="shared" si="102"/>
        <v/>
      </c>
      <c r="AF62" s="118" t="str">
        <f t="shared" si="99"/>
        <v/>
      </c>
      <c r="AG62" s="119"/>
      <c r="AH62" s="109"/>
      <c r="AI62" s="109"/>
      <c r="AJ62" s="256"/>
      <c r="AK62" s="256"/>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15.6" x14ac:dyDescent="0.25">
      <c r="A63" s="463"/>
      <c r="B63" s="466"/>
      <c r="C63" s="466"/>
      <c r="D63" s="466"/>
      <c r="E63" s="122"/>
      <c r="F63" s="469"/>
      <c r="G63" s="529"/>
      <c r="H63" s="125"/>
      <c r="I63" s="466"/>
      <c r="J63" s="472"/>
      <c r="K63" s="475"/>
      <c r="L63" s="457"/>
      <c r="M63" s="478"/>
      <c r="N63" s="457">
        <f>IF(NOT(ISERROR(MATCH(M63,_xlfn.ANCHORARRAY(F74),0))),L76&amp;"Por favor no seleccionar los criterios de impacto",M63)</f>
        <v>0</v>
      </c>
      <c r="O63" s="475"/>
      <c r="P63" s="457"/>
      <c r="Q63" s="460"/>
      <c r="R63" s="105">
        <v>6</v>
      </c>
      <c r="S63" s="106"/>
      <c r="T63" s="107" t="str">
        <f t="shared" si="100"/>
        <v/>
      </c>
      <c r="U63" s="112"/>
      <c r="V63" s="112"/>
      <c r="W63" s="113" t="str">
        <f t="shared" si="96"/>
        <v/>
      </c>
      <c r="X63" s="112"/>
      <c r="Y63" s="112"/>
      <c r="Z63" s="112"/>
      <c r="AA63" s="108" t="str">
        <f t="shared" si="103"/>
        <v/>
      </c>
      <c r="AB63" s="116" t="str">
        <f t="shared" si="97"/>
        <v/>
      </c>
      <c r="AC63" s="117" t="str">
        <f t="shared" si="101"/>
        <v/>
      </c>
      <c r="AD63" s="116" t="str">
        <f t="shared" si="98"/>
        <v/>
      </c>
      <c r="AE63" s="117" t="str">
        <f t="shared" si="102"/>
        <v/>
      </c>
      <c r="AF63" s="118" t="str">
        <f t="shared" si="99"/>
        <v/>
      </c>
      <c r="AG63" s="119"/>
      <c r="AH63" s="109"/>
      <c r="AI63" s="109"/>
      <c r="AJ63" s="256"/>
      <c r="AK63" s="256"/>
      <c r="AL63" s="109"/>
      <c r="AM63" s="110"/>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row>
    <row r="64" spans="1:71" ht="15.6" x14ac:dyDescent="0.25">
      <c r="A64" s="461">
        <v>10</v>
      </c>
      <c r="B64" s="464"/>
      <c r="C64" s="464"/>
      <c r="D64" s="464"/>
      <c r="E64" s="120"/>
      <c r="F64" s="467"/>
      <c r="G64" s="527"/>
      <c r="H64" s="123"/>
      <c r="I64" s="464"/>
      <c r="J64" s="470"/>
      <c r="K64" s="473" t="str">
        <f t="shared" ref="K64" si="104">IF(J64&lt;=0,"",IF(J64&lt;=2,"Muy Baja",IF(J64&lt;=24,"Baja",IF(J64&lt;=500,"Media",IF(J64&lt;=5000,"Alta","Muy Alta")))))</f>
        <v/>
      </c>
      <c r="L64" s="455" t="str">
        <f t="shared" ref="L64" si="105">IF(K64="","",IF(K64="Muy Baja",0.2,IF(K64="Baja",0.4,IF(K64="Media",0.6,IF(K64="Alta",0.8,IF(K64="Muy Alta",1,))))))</f>
        <v/>
      </c>
      <c r="M64" s="476"/>
      <c r="N64" s="455">
        <f>IF(NOT(ISERROR(MATCH(M64,'Tabla Impacto'!$B$221:$B$223,0))),'Tabla Impacto'!$F$223&amp;"Por favor no seleccionar los criterios de impacto(Afectación Económica o presupuestal y Pérdida Reputacional)",M64)</f>
        <v>0</v>
      </c>
      <c r="O64" s="473" t="str">
        <f>IF(OR(N64='Tabla Impacto'!$C$11,N64='Tabla Impacto'!$D$11),"Leve",IF(OR(N64='Tabla Impacto'!$C$12,N64='Tabla Impacto'!$D$12),"Menor",IF(OR(N64='Tabla Impacto'!$C$13,N64='Tabla Impacto'!$D$13),"Moderado",IF(OR(N64='Tabla Impacto'!$C$14,N64='Tabla Impacto'!$D$14),"Mayor",IF(OR(N64='Tabla Impacto'!$C$15,N64='Tabla Impacto'!$D$15),"Catastrófico","")))))</f>
        <v/>
      </c>
      <c r="P64" s="455" t="str">
        <f t="shared" ref="P64" si="106">IF(O64="","",IF(O64="Leve",0.2,IF(O64="Menor",0.4,IF(O64="Moderado",0.6,IF(O64="Mayor",0.8,IF(O64="Catastrófico",1,))))))</f>
        <v/>
      </c>
      <c r="Q64" s="458" t="str">
        <f t="shared" ref="Q64" si="107">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105">
        <v>1</v>
      </c>
      <c r="S64" s="106"/>
      <c r="T64" s="107" t="str">
        <f>IF(OR(U64="Preventivo",U64="Detectivo"),"Probabilidad",IF(U64="Correctivo","Impacto",""))</f>
        <v/>
      </c>
      <c r="U64" s="112"/>
      <c r="V64" s="112"/>
      <c r="W64" s="113" t="str">
        <f>IF(AND(U64="Preventivo",V64="Automático"),"50%",IF(AND(U64="Preventivo",V64="Manual"),"40%",IF(AND(U64="Detectivo",V64="Automático"),"40%",IF(AND(U64="Detectivo",V64="Manual"),"30%",IF(AND(U64="Correctivo",V64="Automático"),"35%",IF(AND(U64="Correctivo",V64="Manual"),"25%",""))))))</f>
        <v/>
      </c>
      <c r="X64" s="112"/>
      <c r="Y64" s="112"/>
      <c r="Z64" s="112"/>
      <c r="AA64" s="108" t="str">
        <f>IFERROR(IF(T64="Probabilidad",(L64-(+L64*W64)),IF(T64="Impacto",L64,"")),"")</f>
        <v/>
      </c>
      <c r="AB64" s="116" t="str">
        <f>IFERROR(IF(AA64="","",IF(AA64&lt;=0.2,"Muy Baja",IF(AA64&lt;=0.4,"Baja",IF(AA64&lt;=0.6,"Media",IF(AA64&lt;=0.8,"Alta","Muy Alta"))))),"")</f>
        <v/>
      </c>
      <c r="AC64" s="117" t="str">
        <f>+AA64</f>
        <v/>
      </c>
      <c r="AD64" s="116" t="str">
        <f>IFERROR(IF(AE64="","",IF(AE64&lt;=0.2,"Leve",IF(AE64&lt;=0.4,"Menor",IF(AE64&lt;=0.6,"Moderado",IF(AE64&lt;=0.8,"Mayor","Catastrófico"))))),"")</f>
        <v/>
      </c>
      <c r="AE64" s="117" t="str">
        <f>IFERROR(IF(T64="Impacto",(P64-(+P64*W64)),IF(T64="Probabilidad",P64,"")),"")</f>
        <v/>
      </c>
      <c r="AF64" s="118"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119"/>
      <c r="AH64" s="109"/>
      <c r="AI64" s="109"/>
      <c r="AJ64" s="256"/>
      <c r="AK64" s="256"/>
      <c r="AL64" s="109"/>
      <c r="AM64" s="110"/>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row>
    <row r="65" spans="1:39" ht="15.6" x14ac:dyDescent="0.25">
      <c r="A65" s="462"/>
      <c r="B65" s="465"/>
      <c r="C65" s="465"/>
      <c r="D65" s="465"/>
      <c r="E65" s="121"/>
      <c r="F65" s="468"/>
      <c r="G65" s="528"/>
      <c r="H65" s="124"/>
      <c r="I65" s="465"/>
      <c r="J65" s="471"/>
      <c r="K65" s="474"/>
      <c r="L65" s="456"/>
      <c r="M65" s="477"/>
      <c r="N65" s="456">
        <f>IF(NOT(ISERROR(MATCH(M65,_xlfn.ANCHORARRAY(F76),0))),L78&amp;"Por favor no seleccionar los criterios de impacto",M65)</f>
        <v>0</v>
      </c>
      <c r="O65" s="474"/>
      <c r="P65" s="456"/>
      <c r="Q65" s="459"/>
      <c r="R65" s="105">
        <v>2</v>
      </c>
      <c r="S65" s="106"/>
      <c r="T65" s="107" t="str">
        <f>IF(OR(U65="Preventivo",U65="Detectivo"),"Probabilidad",IF(U65="Correctivo","Impacto",""))</f>
        <v/>
      </c>
      <c r="U65" s="112"/>
      <c r="V65" s="112"/>
      <c r="W65" s="113" t="str">
        <f t="shared" ref="W65:W69" si="108">IF(AND(U65="Preventivo",V65="Automático"),"50%",IF(AND(U65="Preventivo",V65="Manual"),"40%",IF(AND(U65="Detectivo",V65="Automático"),"40%",IF(AND(U65="Detectivo",V65="Manual"),"30%",IF(AND(U65="Correctivo",V65="Automático"),"35%",IF(AND(U65="Correctivo",V65="Manual"),"25%",""))))))</f>
        <v/>
      </c>
      <c r="X65" s="112"/>
      <c r="Y65" s="112"/>
      <c r="Z65" s="112"/>
      <c r="AA65" s="108" t="str">
        <f>IFERROR(IF(AND(T64="Probabilidad",T65="Probabilidad"),(AC64-(+AC64*W65)),IF(AND(T64="Impacto",T65="Probabilidad"),(L64-(+L64*W65)),IF(T65="Impacto",AC64,""))),"")</f>
        <v/>
      </c>
      <c r="AB65" s="116" t="str">
        <f t="shared" ref="AB65:AB69" si="109">IFERROR(IF(AA65="","",IF(AA65&lt;=0.2,"Muy Baja",IF(AA65&lt;=0.4,"Baja",IF(AA65&lt;=0.6,"Media",IF(AA65&lt;=0.8,"Alta","Muy Alta"))))),"")</f>
        <v/>
      </c>
      <c r="AC65" s="117" t="str">
        <f>+AA65</f>
        <v/>
      </c>
      <c r="AD65" s="116" t="str">
        <f t="shared" ref="AD65:AD69" si="110">IFERROR(IF(AE65="","",IF(AE65&lt;=0.2,"Leve",IF(AE65&lt;=0.4,"Menor",IF(AE65&lt;=0.6,"Moderado",IF(AE65&lt;=0.8,"Mayor","Catastrófico"))))),"")</f>
        <v/>
      </c>
      <c r="AE65" s="117" t="str">
        <f>IFERROR(IF(AND(T64="Impacto",T65="Impacto"),(AE64-(+AE64*W65)),IF(AND(T64="Probabilidad",T65="Impacto"),(P64-(+P64*W65)),IF(T65="Probabilidad",AE64,""))),"")</f>
        <v/>
      </c>
      <c r="AF65" s="118" t="str">
        <f t="shared" ref="AF65:AF69" si="111">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19"/>
      <c r="AH65" s="109"/>
      <c r="AI65" s="109"/>
      <c r="AJ65" s="256"/>
      <c r="AK65" s="256"/>
      <c r="AL65" s="109"/>
      <c r="AM65" s="110"/>
    </row>
    <row r="66" spans="1:39" ht="15.6" x14ac:dyDescent="0.25">
      <c r="A66" s="462"/>
      <c r="B66" s="465"/>
      <c r="C66" s="465"/>
      <c r="D66" s="465"/>
      <c r="E66" s="121"/>
      <c r="F66" s="468"/>
      <c r="G66" s="528"/>
      <c r="H66" s="124"/>
      <c r="I66" s="465"/>
      <c r="J66" s="471"/>
      <c r="K66" s="474"/>
      <c r="L66" s="456"/>
      <c r="M66" s="477"/>
      <c r="N66" s="456">
        <f>IF(NOT(ISERROR(MATCH(M66,_xlfn.ANCHORARRAY(F77),0))),L79&amp;"Por favor no seleccionar los criterios de impacto",M66)</f>
        <v>0</v>
      </c>
      <c r="O66" s="474"/>
      <c r="P66" s="456"/>
      <c r="Q66" s="459"/>
      <c r="R66" s="105">
        <v>3</v>
      </c>
      <c r="S66" s="111"/>
      <c r="T66" s="107" t="str">
        <f t="shared" ref="T66:T69" si="112">IF(OR(U66="Preventivo",U66="Detectivo"),"Probabilidad",IF(U66="Correctivo","Impacto",""))</f>
        <v/>
      </c>
      <c r="U66" s="112"/>
      <c r="V66" s="112"/>
      <c r="W66" s="113" t="str">
        <f t="shared" si="108"/>
        <v/>
      </c>
      <c r="X66" s="112"/>
      <c r="Y66" s="112"/>
      <c r="Z66" s="112"/>
      <c r="AA66" s="108" t="str">
        <f>IFERROR(IF(AND(T65="Probabilidad",T66="Probabilidad"),(AC65-(+AC65*W66)),IF(AND(T65="Impacto",T66="Probabilidad"),(AC64-(+AC64*W66)),IF(T66="Impacto",AC65,""))),"")</f>
        <v/>
      </c>
      <c r="AB66" s="116" t="str">
        <f t="shared" si="109"/>
        <v/>
      </c>
      <c r="AC66" s="117" t="str">
        <f t="shared" ref="AC66:AC69" si="113">+AA66</f>
        <v/>
      </c>
      <c r="AD66" s="116" t="str">
        <f t="shared" si="110"/>
        <v/>
      </c>
      <c r="AE66" s="117" t="str">
        <f t="shared" ref="AE66:AE69" si="114">IFERROR(IF(AND(T65="Impacto",T66="Impacto"),(AE65-(+AE65*W66)),IF(AND(T65="Probabilidad",T66="Impacto"),(AE64-(+AE64*W66)),IF(T66="Probabilidad",AE65,""))),"")</f>
        <v/>
      </c>
      <c r="AF66" s="118" t="str">
        <f t="shared" si="111"/>
        <v/>
      </c>
      <c r="AG66" s="119"/>
      <c r="AH66" s="109"/>
      <c r="AI66" s="109"/>
      <c r="AJ66" s="256"/>
      <c r="AK66" s="256"/>
      <c r="AL66" s="109"/>
      <c r="AM66" s="110"/>
    </row>
    <row r="67" spans="1:39" ht="15.6" x14ac:dyDescent="0.25">
      <c r="A67" s="462"/>
      <c r="B67" s="465"/>
      <c r="C67" s="465"/>
      <c r="D67" s="465"/>
      <c r="E67" s="121"/>
      <c r="F67" s="468"/>
      <c r="G67" s="528"/>
      <c r="H67" s="124"/>
      <c r="I67" s="465"/>
      <c r="J67" s="471"/>
      <c r="K67" s="474"/>
      <c r="L67" s="456"/>
      <c r="M67" s="477"/>
      <c r="N67" s="456">
        <f>IF(NOT(ISERROR(MATCH(M67,_xlfn.ANCHORARRAY(F78),0))),L80&amp;"Por favor no seleccionar los criterios de impacto",M67)</f>
        <v>0</v>
      </c>
      <c r="O67" s="474"/>
      <c r="P67" s="456"/>
      <c r="Q67" s="459"/>
      <c r="R67" s="105">
        <v>4</v>
      </c>
      <c r="S67" s="106"/>
      <c r="T67" s="107" t="str">
        <f t="shared" si="112"/>
        <v/>
      </c>
      <c r="U67" s="112"/>
      <c r="V67" s="112"/>
      <c r="W67" s="113" t="str">
        <f t="shared" si="108"/>
        <v/>
      </c>
      <c r="X67" s="112"/>
      <c r="Y67" s="112"/>
      <c r="Z67" s="112"/>
      <c r="AA67" s="108" t="str">
        <f t="shared" ref="AA67:AA69" si="115">IFERROR(IF(AND(T66="Probabilidad",T67="Probabilidad"),(AC66-(+AC66*W67)),IF(AND(T66="Impacto",T67="Probabilidad"),(AC65-(+AC65*W67)),IF(T67="Impacto",AC66,""))),"")</f>
        <v/>
      </c>
      <c r="AB67" s="116" t="str">
        <f t="shared" si="109"/>
        <v/>
      </c>
      <c r="AC67" s="117" t="str">
        <f t="shared" si="113"/>
        <v/>
      </c>
      <c r="AD67" s="116" t="str">
        <f t="shared" si="110"/>
        <v/>
      </c>
      <c r="AE67" s="117" t="str">
        <f t="shared" si="114"/>
        <v/>
      </c>
      <c r="AF67" s="118" t="str">
        <f t="shared" si="111"/>
        <v/>
      </c>
      <c r="AG67" s="119"/>
      <c r="AH67" s="109"/>
      <c r="AI67" s="109"/>
      <c r="AJ67" s="256"/>
      <c r="AK67" s="256"/>
      <c r="AL67" s="109"/>
      <c r="AM67" s="110"/>
    </row>
    <row r="68" spans="1:39" ht="15.6" x14ac:dyDescent="0.25">
      <c r="A68" s="462"/>
      <c r="B68" s="465"/>
      <c r="C68" s="465"/>
      <c r="D68" s="465"/>
      <c r="E68" s="121"/>
      <c r="F68" s="468"/>
      <c r="G68" s="528"/>
      <c r="H68" s="124"/>
      <c r="I68" s="465"/>
      <c r="J68" s="471"/>
      <c r="K68" s="474"/>
      <c r="L68" s="456"/>
      <c r="M68" s="477"/>
      <c r="N68" s="456">
        <f>IF(NOT(ISERROR(MATCH(M68,_xlfn.ANCHORARRAY(F79),0))),L81&amp;"Por favor no seleccionar los criterios de impacto",M68)</f>
        <v>0</v>
      </c>
      <c r="O68" s="474"/>
      <c r="P68" s="456"/>
      <c r="Q68" s="459"/>
      <c r="R68" s="105">
        <v>5</v>
      </c>
      <c r="S68" s="106"/>
      <c r="T68" s="107" t="str">
        <f t="shared" si="112"/>
        <v/>
      </c>
      <c r="U68" s="112"/>
      <c r="V68" s="112"/>
      <c r="W68" s="113" t="str">
        <f t="shared" si="108"/>
        <v/>
      </c>
      <c r="X68" s="112"/>
      <c r="Y68" s="112"/>
      <c r="Z68" s="112"/>
      <c r="AA68" s="108" t="str">
        <f t="shared" si="115"/>
        <v/>
      </c>
      <c r="AB68" s="116" t="str">
        <f t="shared" si="109"/>
        <v/>
      </c>
      <c r="AC68" s="117" t="str">
        <f t="shared" si="113"/>
        <v/>
      </c>
      <c r="AD68" s="116" t="str">
        <f t="shared" si="110"/>
        <v/>
      </c>
      <c r="AE68" s="117" t="str">
        <f t="shared" si="114"/>
        <v/>
      </c>
      <c r="AF68" s="118" t="str">
        <f t="shared" si="111"/>
        <v/>
      </c>
      <c r="AG68" s="119"/>
      <c r="AH68" s="109"/>
      <c r="AI68" s="109"/>
      <c r="AJ68" s="256"/>
      <c r="AK68" s="256"/>
      <c r="AL68" s="109"/>
      <c r="AM68" s="110"/>
    </row>
    <row r="69" spans="1:39" ht="15.6" x14ac:dyDescent="0.25">
      <c r="A69" s="463"/>
      <c r="B69" s="466"/>
      <c r="C69" s="466"/>
      <c r="D69" s="466"/>
      <c r="E69" s="122"/>
      <c r="F69" s="469"/>
      <c r="G69" s="529"/>
      <c r="H69" s="125"/>
      <c r="I69" s="466"/>
      <c r="J69" s="472"/>
      <c r="K69" s="475"/>
      <c r="L69" s="457"/>
      <c r="M69" s="478"/>
      <c r="N69" s="457">
        <f>IF(NOT(ISERROR(MATCH(M69,_xlfn.ANCHORARRAY(F80),0))),L82&amp;"Por favor no seleccionar los criterios de impacto",M69)</f>
        <v>0</v>
      </c>
      <c r="O69" s="475"/>
      <c r="P69" s="457"/>
      <c r="Q69" s="460"/>
      <c r="R69" s="105">
        <v>6</v>
      </c>
      <c r="S69" s="106"/>
      <c r="T69" s="107" t="str">
        <f t="shared" si="112"/>
        <v/>
      </c>
      <c r="U69" s="112"/>
      <c r="V69" s="112"/>
      <c r="W69" s="113" t="str">
        <f t="shared" si="108"/>
        <v/>
      </c>
      <c r="X69" s="112"/>
      <c r="Y69" s="112"/>
      <c r="Z69" s="112"/>
      <c r="AA69" s="108" t="str">
        <f t="shared" si="115"/>
        <v/>
      </c>
      <c r="AB69" s="116" t="str">
        <f t="shared" si="109"/>
        <v/>
      </c>
      <c r="AC69" s="117" t="str">
        <f t="shared" si="113"/>
        <v/>
      </c>
      <c r="AD69" s="116" t="str">
        <f t="shared" si="110"/>
        <v/>
      </c>
      <c r="AE69" s="117" t="str">
        <f t="shared" si="114"/>
        <v/>
      </c>
      <c r="AF69" s="118" t="str">
        <f t="shared" si="111"/>
        <v/>
      </c>
      <c r="AG69" s="119"/>
      <c r="AH69" s="109"/>
      <c r="AI69" s="109"/>
      <c r="AJ69" s="256"/>
      <c r="AK69" s="256"/>
      <c r="AL69" s="109"/>
      <c r="AM69" s="110"/>
    </row>
    <row r="70" spans="1:39" x14ac:dyDescent="0.25">
      <c r="A70" s="6"/>
      <c r="B70" s="452" t="s">
        <v>125</v>
      </c>
      <c r="C70" s="453"/>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4"/>
    </row>
    <row r="72" spans="1:39" x14ac:dyDescent="0.25">
      <c r="A72" s="1"/>
      <c r="B72" s="24" t="s">
        <v>137</v>
      </c>
      <c r="C72" s="1"/>
      <c r="D72" s="1"/>
      <c r="E72" s="1"/>
      <c r="I72" s="1"/>
    </row>
  </sheetData>
  <dataConsolidate/>
  <mergeCells count="196">
    <mergeCell ref="G16:G21"/>
    <mergeCell ref="G22:G27"/>
    <mergeCell ref="G28:G33"/>
    <mergeCell ref="G34:G39"/>
    <mergeCell ref="G40:G45"/>
    <mergeCell ref="G46:G51"/>
    <mergeCell ref="G52:G57"/>
    <mergeCell ref="G58:G63"/>
    <mergeCell ref="G64:G69"/>
    <mergeCell ref="I10:I15"/>
    <mergeCell ref="J10:J15"/>
    <mergeCell ref="K10:K15"/>
    <mergeCell ref="A10:A15"/>
    <mergeCell ref="B10:B15"/>
    <mergeCell ref="C10:C15"/>
    <mergeCell ref="D10:D15"/>
    <mergeCell ref="F10:F15"/>
    <mergeCell ref="Q10:Q15"/>
    <mergeCell ref="L10:L15"/>
    <mergeCell ref="M10:M15"/>
    <mergeCell ref="N10:N15"/>
    <mergeCell ref="O10:O15"/>
    <mergeCell ref="P10:P15"/>
    <mergeCell ref="H10:H15"/>
    <mergeCell ref="G10:G15"/>
    <mergeCell ref="AC8:AC9"/>
    <mergeCell ref="J8:J9"/>
    <mergeCell ref="K8:K9"/>
    <mergeCell ref="L8:L9"/>
    <mergeCell ref="O8:O9"/>
    <mergeCell ref="P8:P9"/>
    <mergeCell ref="B8:B9"/>
    <mergeCell ref="Q8:Q9"/>
    <mergeCell ref="M8:M9"/>
    <mergeCell ref="N8:N9"/>
    <mergeCell ref="T8:T9"/>
    <mergeCell ref="U8:Z8"/>
    <mergeCell ref="E8:E9"/>
    <mergeCell ref="D16:D21"/>
    <mergeCell ref="F16:F21"/>
    <mergeCell ref="AH8:AH9"/>
    <mergeCell ref="AM8:AM9"/>
    <mergeCell ref="AL8:AL9"/>
    <mergeCell ref="AK8:AK9"/>
    <mergeCell ref="AJ8:AJ9"/>
    <mergeCell ref="AI8:AI9"/>
    <mergeCell ref="A4:B4"/>
    <mergeCell ref="A5:B5"/>
    <mergeCell ref="A6:B6"/>
    <mergeCell ref="A8:A9"/>
    <mergeCell ref="I8:I9"/>
    <mergeCell ref="F8:F9"/>
    <mergeCell ref="D8:D9"/>
    <mergeCell ref="C8:C9"/>
    <mergeCell ref="AG8:AG9"/>
    <mergeCell ref="R8:R9"/>
    <mergeCell ref="AF8:AF9"/>
    <mergeCell ref="AE8:AE9"/>
    <mergeCell ref="AA8:AA9"/>
    <mergeCell ref="S8:S9"/>
    <mergeCell ref="AD8:AD9"/>
    <mergeCell ref="AB8:AB9"/>
    <mergeCell ref="N16:N21"/>
    <mergeCell ref="O16:O21"/>
    <mergeCell ref="P16:P21"/>
    <mergeCell ref="Q16:Q21"/>
    <mergeCell ref="A22:A27"/>
    <mergeCell ref="B22:B27"/>
    <mergeCell ref="C22:C27"/>
    <mergeCell ref="D22:D27"/>
    <mergeCell ref="F22:F27"/>
    <mergeCell ref="I22:I27"/>
    <mergeCell ref="J22:J27"/>
    <mergeCell ref="K22:K27"/>
    <mergeCell ref="L22:L27"/>
    <mergeCell ref="M22:M27"/>
    <mergeCell ref="N22:N27"/>
    <mergeCell ref="O22:O27"/>
    <mergeCell ref="I16:I21"/>
    <mergeCell ref="J16:J21"/>
    <mergeCell ref="K16:K21"/>
    <mergeCell ref="L16:L21"/>
    <mergeCell ref="M16:M21"/>
    <mergeCell ref="A16:A21"/>
    <mergeCell ref="B16:B21"/>
    <mergeCell ref="C16:C21"/>
    <mergeCell ref="P22:P27"/>
    <mergeCell ref="Q22:Q27"/>
    <mergeCell ref="A28:A33"/>
    <mergeCell ref="B28:B33"/>
    <mergeCell ref="C28:C33"/>
    <mergeCell ref="D28:D33"/>
    <mergeCell ref="F28:F33"/>
    <mergeCell ref="I28:I33"/>
    <mergeCell ref="J28:J33"/>
    <mergeCell ref="K28:K33"/>
    <mergeCell ref="L28:L33"/>
    <mergeCell ref="M28:M33"/>
    <mergeCell ref="N28:N33"/>
    <mergeCell ref="O28:O33"/>
    <mergeCell ref="P28:P33"/>
    <mergeCell ref="Q28:Q33"/>
    <mergeCell ref="P34:P39"/>
    <mergeCell ref="Q34:Q39"/>
    <mergeCell ref="P40:P45"/>
    <mergeCell ref="Q40:Q45"/>
    <mergeCell ref="M46:M51"/>
    <mergeCell ref="N46:N51"/>
    <mergeCell ref="O46:O51"/>
    <mergeCell ref="A34:A39"/>
    <mergeCell ref="B34:B39"/>
    <mergeCell ref="C34:C39"/>
    <mergeCell ref="A40:A45"/>
    <mergeCell ref="B40:B45"/>
    <mergeCell ref="C40:C45"/>
    <mergeCell ref="D40:D45"/>
    <mergeCell ref="F40:F45"/>
    <mergeCell ref="I40:I45"/>
    <mergeCell ref="D34:D39"/>
    <mergeCell ref="F34:F39"/>
    <mergeCell ref="M40:M45"/>
    <mergeCell ref="N40:N45"/>
    <mergeCell ref="O40:O45"/>
    <mergeCell ref="I34:I39"/>
    <mergeCell ref="J34:J39"/>
    <mergeCell ref="K34:K39"/>
    <mergeCell ref="L34:L39"/>
    <mergeCell ref="M34:M39"/>
    <mergeCell ref="J40:J45"/>
    <mergeCell ref="K40:K45"/>
    <mergeCell ref="L40:L45"/>
    <mergeCell ref="N34:N39"/>
    <mergeCell ref="O34:O39"/>
    <mergeCell ref="A52:A57"/>
    <mergeCell ref="B52:B57"/>
    <mergeCell ref="C52:C57"/>
    <mergeCell ref="D52:D57"/>
    <mergeCell ref="F52:F57"/>
    <mergeCell ref="A46:A51"/>
    <mergeCell ref="B46:B51"/>
    <mergeCell ref="C46:C51"/>
    <mergeCell ref="D46:D51"/>
    <mergeCell ref="F46:F51"/>
    <mergeCell ref="F58:F63"/>
    <mergeCell ref="I58:I63"/>
    <mergeCell ref="J58:J63"/>
    <mergeCell ref="K58:K63"/>
    <mergeCell ref="L58:L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B70:AM70"/>
    <mergeCell ref="P58:P63"/>
    <mergeCell ref="Q58:Q63"/>
    <mergeCell ref="A64:A69"/>
    <mergeCell ref="B64:B69"/>
    <mergeCell ref="C64:C69"/>
    <mergeCell ref="D64:D69"/>
    <mergeCell ref="F64:F69"/>
    <mergeCell ref="I64:I69"/>
    <mergeCell ref="J64:J69"/>
    <mergeCell ref="K64:K69"/>
    <mergeCell ref="L64:L69"/>
    <mergeCell ref="M64:M69"/>
    <mergeCell ref="N64:N69"/>
    <mergeCell ref="O64:O69"/>
    <mergeCell ref="P64:P69"/>
    <mergeCell ref="Q64:Q69"/>
    <mergeCell ref="M58:M63"/>
    <mergeCell ref="N58:N63"/>
    <mergeCell ref="O58:O63"/>
    <mergeCell ref="A58:A63"/>
    <mergeCell ref="B58:B63"/>
    <mergeCell ref="C58:C63"/>
    <mergeCell ref="D58:D63"/>
    <mergeCell ref="C4:AM4"/>
    <mergeCell ref="C5:AM5"/>
    <mergeCell ref="C6:AM6"/>
    <mergeCell ref="A1:AM2"/>
    <mergeCell ref="A7:J7"/>
    <mergeCell ref="K7:Q7"/>
    <mergeCell ref="R7:Z7"/>
    <mergeCell ref="AA7:AG7"/>
    <mergeCell ref="AH7:AM7"/>
  </mergeCells>
  <conditionalFormatting sqref="K10 K16 K22 K28 K34 K40 K46 K52 K58 K64">
    <cfRule type="cellIs" dxfId="32" priority="645" operator="equal">
      <formula>"Muy Baja"</formula>
    </cfRule>
    <cfRule type="cellIs" dxfId="31" priority="644" operator="equal">
      <formula>"Baja"</formula>
    </cfRule>
    <cfRule type="cellIs" dxfId="30" priority="643" operator="equal">
      <formula>"Media"</formula>
    </cfRule>
    <cfRule type="cellIs" dxfId="29" priority="642" operator="equal">
      <formula>"Alta"</formula>
    </cfRule>
    <cfRule type="cellIs" dxfId="28" priority="641" operator="equal">
      <formula>"Muy Alta"</formula>
    </cfRule>
  </conditionalFormatting>
  <conditionalFormatting sqref="N10:N69">
    <cfRule type="containsText" dxfId="27" priority="323" operator="containsText" text="❌">
      <formula>NOT(ISERROR(SEARCH("❌",N10)))</formula>
    </cfRule>
  </conditionalFormatting>
  <conditionalFormatting sqref="O10 O16 O22 O28 O34 O40 O46 O52 O58 O64">
    <cfRule type="cellIs" dxfId="26" priority="640" operator="equal">
      <formula>"Leve"</formula>
    </cfRule>
    <cfRule type="cellIs" dxfId="25" priority="639" operator="equal">
      <formula>"Menor"</formula>
    </cfRule>
    <cfRule type="cellIs" dxfId="24" priority="638" operator="equal">
      <formula>"Moderado"</formula>
    </cfRule>
    <cfRule type="cellIs" dxfId="23" priority="637" operator="equal">
      <formula>"Mayor"</formula>
    </cfRule>
    <cfRule type="cellIs" dxfId="22" priority="636" operator="equal">
      <formula>"Catastrófico"</formula>
    </cfRule>
  </conditionalFormatting>
  <conditionalFormatting sqref="Q10">
    <cfRule type="cellIs" dxfId="21" priority="635" operator="equal">
      <formula>"Bajo"</formula>
    </cfRule>
    <cfRule type="cellIs" dxfId="20" priority="634" operator="equal">
      <formula>"Moderado"</formula>
    </cfRule>
    <cfRule type="cellIs" dxfId="19" priority="633" operator="equal">
      <formula>"Alto"</formula>
    </cfRule>
    <cfRule type="cellIs" dxfId="18" priority="632" operator="equal">
      <formula>"Extremo"</formula>
    </cfRule>
  </conditionalFormatting>
  <conditionalFormatting sqref="Q16 Q22 Q28 Q34 Q40 Q46 Q52 Q58 Q64">
    <cfRule type="cellIs" dxfId="17" priority="562" operator="equal">
      <formula>"Extremo"</formula>
    </cfRule>
    <cfRule type="cellIs" dxfId="16" priority="563" operator="equal">
      <formula>"Alto"</formula>
    </cfRule>
    <cfRule type="cellIs" dxfId="15" priority="564" operator="equal">
      <formula>"Moderado"</formula>
    </cfRule>
    <cfRule type="cellIs" dxfId="14" priority="565" operator="equal">
      <formula>"Bajo"</formula>
    </cfRule>
  </conditionalFormatting>
  <conditionalFormatting sqref="AB10:AB69">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D10:AD69">
    <cfRule type="cellIs" dxfId="8" priority="9" operator="equal">
      <formula>"Leve"</formula>
    </cfRule>
    <cfRule type="cellIs" dxfId="7" priority="8" operator="equal">
      <formula>"Menor"</formula>
    </cfRule>
    <cfRule type="cellIs" dxfId="6" priority="7" operator="equal">
      <formula>"Moderado"</formula>
    </cfRule>
    <cfRule type="cellIs" dxfId="5" priority="6" operator="equal">
      <formula>"Mayor"</formula>
    </cfRule>
    <cfRule type="cellIs" dxfId="4" priority="5" operator="equal">
      <formula>"Catastrófico"</formula>
    </cfRule>
  </conditionalFormatting>
  <conditionalFormatting sqref="AF10:AF69">
    <cfRule type="cellIs" dxfId="3" priority="4" operator="equal">
      <formula>"Bajo"</formula>
    </cfRule>
    <cfRule type="cellIs" dxfId="2" priority="3" operator="equal">
      <formula>"Moderado"</formula>
    </cfRule>
    <cfRule type="cellIs" dxfId="1" priority="2" operator="equal">
      <formula>"Alto"</formula>
    </cfRule>
    <cfRule type="cellIs" dxfId="0" priority="1" operator="equal">
      <formula>"Extremo"</formula>
    </cfRule>
  </conditionalFormatting>
  <dataValidations count="1">
    <dataValidation type="list" allowBlank="1" showInputMessage="1" showErrorMessage="1" sqref="G10:G69" xr:uid="{5E4A85C9-33AF-4EE4-871B-B3783A6BD720}">
      <formula1>"Gestión, FISCAL,"</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277E5D62-FFFE-4058-B9E2-0E6D2F666783}">
          <x14:formula1>
            <xm:f>'Tabla Valoración controles'!$D$4:$D$6</xm:f>
          </x14:formula1>
          <xm:sqref>U10:U69</xm:sqref>
        </x14:dataValidation>
        <x14:dataValidation type="list" allowBlank="1" showInputMessage="1" showErrorMessage="1" xr:uid="{9857DF5C-C40E-4D85-923B-9A6CF0118512}">
          <x14:formula1>
            <xm:f>'Tabla Valoración controles'!$D$7:$D$8</xm:f>
          </x14:formula1>
          <xm:sqref>V10:V69</xm:sqref>
        </x14:dataValidation>
        <x14:dataValidation type="list" allowBlank="1" showInputMessage="1" showErrorMessage="1" xr:uid="{6C5B21B8-1289-4670-8F36-EF1F10918837}">
          <x14:formula1>
            <xm:f>'Tabla Valoración controles'!$D$9:$D$10</xm:f>
          </x14:formula1>
          <xm:sqref>X10:X69</xm:sqref>
        </x14:dataValidation>
        <x14:dataValidation type="list" allowBlank="1" showInputMessage="1" showErrorMessage="1" xr:uid="{92E47864-CEFB-4FBC-B625-0275D9AF2AB7}">
          <x14:formula1>
            <xm:f>'Tabla Valoración controles'!$D$11:$D$12</xm:f>
          </x14:formula1>
          <xm:sqref>Y10:Y69</xm:sqref>
        </x14:dataValidation>
        <x14:dataValidation type="list" allowBlank="1" showInputMessage="1" showErrorMessage="1" xr:uid="{EB45632A-96F5-435B-97CA-E9A1E490A703}">
          <x14:formula1>
            <xm:f>'Opciones Tratamiento'!$B$9:$B$10</xm:f>
          </x14:formula1>
          <xm:sqref>AM10:AM14 AM67:AM68 AM19:AM20 AM22:AM23 AM25:AM26 AM28:AM29 AM31:AM32 AM34:AM35 AM37:AM38 AM40:AM41 AM43:AM44 AM46:AM47 AM49:AM50 AM52:AM53 AM55:AM56 AM58:AM59 AM61:AM62 AM64:AM65 AM16:AM17</xm:sqref>
        </x14:dataValidation>
        <x14:dataValidation type="list" allowBlank="1" showInputMessage="1" showErrorMessage="1" xr:uid="{B623BAEF-409A-4C69-A3C2-579E756D435A}">
          <x14:formula1>
            <xm:f>'Tabla Valoración controles'!$D$13:$D$14</xm:f>
          </x14:formula1>
          <xm:sqref>Z10:Z69</xm:sqref>
        </x14:dataValidation>
        <x14:dataValidation type="list" allowBlank="1" showInputMessage="1" showErrorMessage="1" xr:uid="{25C873AA-7C58-491F-A30D-B94DB99F7C26}">
          <x14:formula1>
            <xm:f>'Opciones Tratamiento'!$B$13:$B$19</xm:f>
          </x14:formula1>
          <xm:sqref>I10:I69</xm:sqref>
        </x14:dataValidation>
        <x14:dataValidation type="list" allowBlank="1" showInputMessage="1" showErrorMessage="1" xr:uid="{DC2461B9-FEFC-4EA8-8999-A02D6239156B}">
          <x14:formula1>
            <xm:f>'Opciones Tratamiento'!$E$2:$E$4</xm:f>
          </x14:formula1>
          <xm:sqref>B10:B69</xm:sqref>
        </x14:dataValidation>
        <x14:dataValidation type="list" allowBlank="1" showInputMessage="1" showErrorMessage="1" xr:uid="{5B125912-ADF9-47F0-8A41-75270F5CEF18}">
          <x14:formula1>
            <xm:f>'Opciones Tratamiento'!$B$2:$B$5</xm:f>
          </x14:formula1>
          <xm:sqref>AG10:AG16 AG18:AG22 AG24:AG28 AG30:AG34 AG36:AG40 AG42:AG46 AG48:AG52 AG54:AG58 AG60:AG64 AG66:AG69</xm:sqref>
        </x14:dataValidation>
        <x14:dataValidation type="list" allowBlank="1" showInputMessage="1" showErrorMessage="1" xr:uid="{7FDD86B6-B903-4424-A5F5-282C96970155}">
          <x14:formula1>
            <xm:f>'Tabla Impacto'!$F$210:$F$221</xm:f>
          </x14:formula1>
          <xm:sqref>M10:M69</xm:sqref>
        </x14:dataValidation>
        <x14:dataValidation type="custom" allowBlank="1" showInputMessage="1" showErrorMessage="1" error="Recuerde que las acciones se generan bajo la medida de mitigar el riesgo" xr:uid="{AEA10512-6177-4C97-B2BB-428EA2230BAA}">
          <x14:formula1>
            <xm:f>IF(OR(AG10='Opciones Tratamiento'!$B$2,AG10='Opciones Tratamiento'!$B$3,AG10='Opciones Tratamiento'!$B$4),ISBLANK(AG10),ISTEXT(AG10))</xm:f>
          </x14:formula1>
          <xm:sqref>AJ10:AJ69</xm:sqref>
        </x14:dataValidation>
        <x14:dataValidation type="custom" allowBlank="1" showInputMessage="1" showErrorMessage="1" error="Recuerde que las acciones se generan bajo la medida de mitigar el riesgo" xr:uid="{3494C5FC-DF0A-4FDA-9EEF-BC1E3F782453}">
          <x14:formula1>
            <xm:f>IF(OR(AG10='Opciones Tratamiento'!$B$2,AG10='Opciones Tratamiento'!$B$3,AG10='Opciones Tratamiento'!$B$4),ISBLANK(AG10),ISTEXT(AG10))</xm:f>
          </x14:formula1>
          <xm:sqref>AK10:AK69</xm:sqref>
        </x14:dataValidation>
        <x14:dataValidation type="custom" allowBlank="1" showInputMessage="1" showErrorMessage="1" error="Recuerde que las acciones se generan bajo la medida de mitigar el riesgo" xr:uid="{0B14E2B4-186E-40A8-9D36-7055363034DD}">
          <x14:formula1>
            <xm:f>IF(OR(AG10='Opciones Tratamiento'!$B$2,AG10='Opciones Tratamiento'!$B$3,AG10='Opciones Tratamiento'!$B$4),ISBLANK(AG10),ISTEXT(AG10))</xm:f>
          </x14:formula1>
          <xm:sqref>AL10:AL12 AL14:AL69</xm:sqref>
        </x14:dataValidation>
        <x14:dataValidation type="list" allowBlank="1" showInputMessage="1" showErrorMessage="1" xr:uid="{3C9B1919-EB57-4F54-B00B-3127DB177861}">
          <x14:formula1>
            <xm:f>'C:\Users\HOME\Downloads\[Formato Matriz de Riesgos 2021 (1).xlsx]Opciones Tratamiento'!#REF!</xm:f>
          </x14:formula1>
          <xm:sqref>AG65 AG17 AG23 AG29 AG35 AG41 AG47 AG53 AG59</xm:sqref>
        </x14:dataValidation>
        <x14:dataValidation type="custom" allowBlank="1" showInputMessage="1" showErrorMessage="1" error="Recuerde que las acciones se generan bajo la medida de mitigar el riesgo" xr:uid="{755DF108-DF01-4BE8-9C4A-BE584665889A}">
          <x14:formula1>
            <xm:f>IF(OR(AG10='Opciones Tratamiento'!$B$2,AG10='Opciones Tratamiento'!$B$3,AG10='Opciones Tratamiento'!$B$4),ISBLANK(AG10),ISTEXT(AG10))</xm:f>
          </x14:formula1>
          <xm:sqref>AH10:AH12 AH15:AH69</xm:sqref>
        </x14:dataValidation>
        <x14:dataValidation type="custom" allowBlank="1" showInputMessage="1" showErrorMessage="1" error="Recuerde que las acciones se generan bajo la medida de mitigar el riesgo" xr:uid="{B270B98E-6C48-4730-BABC-1E2611507E8F}">
          <x14:formula1>
            <xm:f>IF(OR(AG14='Opciones Tratamiento'!$B$2,AG14='Opciones Tratamiento'!$B$3,AG14='Opciones Tratamiento'!$B$4),ISBLANK(AG14),ISTEXT(AG14))</xm:f>
          </x14:formula1>
          <xm:sqref>AH13</xm:sqref>
        </x14:dataValidation>
        <x14:dataValidation type="custom" allowBlank="1" showInputMessage="1" showErrorMessage="1" error="Recuerde que las acciones se generan bajo la medida de mitigar el riesgo" xr:uid="{6AC832D1-F238-42BB-89B1-D92E1123E791}">
          <x14:formula1>
            <xm:f>IF(OR(AG10='Opciones Tratamiento'!$B$2,AG10='Opciones Tratamiento'!$B$3,AG10='Opciones Tratamiento'!$B$4),ISBLANK(AG10),ISTEXT(AG10))</xm:f>
          </x14:formula1>
          <xm:sqref>AI10:AI12 AI15:AI69</xm:sqref>
        </x14:dataValidation>
        <x14:dataValidation type="custom" allowBlank="1" showInputMessage="1" showErrorMessage="1" error="Recuerde que las acciones se generan bajo la medida de mitigar el riesgo" xr:uid="{DD865D60-AE2A-4276-95BA-EB681E0F44C3}">
          <x14:formula1>
            <xm:f>IF(OR(AG14='Opciones Tratamiento'!$B$2,AG14='Opciones Tratamiento'!$B$3,AG14='Opciones Tratamiento'!$B$4),ISBLANK(AG14),ISTEXT(AG14))</xm:f>
          </x14:formula1>
          <xm:sqref>AI13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X40" sqref="X40:Y41"/>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615" t="s">
        <v>149</v>
      </c>
      <c r="C2" s="615"/>
      <c r="D2" s="615"/>
      <c r="E2" s="615"/>
      <c r="F2" s="615"/>
      <c r="G2" s="615"/>
      <c r="H2" s="615"/>
      <c r="I2" s="615"/>
      <c r="J2" s="583" t="s">
        <v>2</v>
      </c>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615"/>
      <c r="C3" s="615"/>
      <c r="D3" s="615"/>
      <c r="E3" s="615"/>
      <c r="F3" s="615"/>
      <c r="G3" s="615"/>
      <c r="H3" s="615"/>
      <c r="I3" s="615"/>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615"/>
      <c r="C4" s="615"/>
      <c r="D4" s="615"/>
      <c r="E4" s="615"/>
      <c r="F4" s="615"/>
      <c r="G4" s="615"/>
      <c r="H4" s="615"/>
      <c r="I4" s="615"/>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30" t="s">
        <v>4</v>
      </c>
      <c r="C6" s="530"/>
      <c r="D6" s="531"/>
      <c r="E6" s="568" t="s">
        <v>110</v>
      </c>
      <c r="F6" s="569"/>
      <c r="G6" s="569"/>
      <c r="H6" s="569"/>
      <c r="I6" s="570"/>
      <c r="J6" s="579" t="str">
        <f>IF(AND('Mapa final'!$K$10="Muy Alta",'Mapa final'!$O$10="Leve"),CONCATENATE("R",'Mapa final'!$A$10),"")</f>
        <v/>
      </c>
      <c r="K6" s="580"/>
      <c r="L6" s="580" t="str">
        <f>IF(AND('Mapa final'!$K$16="Muy Alta",'Mapa final'!$O$16="Leve"),CONCATENATE("R",'Mapa final'!$A$16),"")</f>
        <v/>
      </c>
      <c r="M6" s="580"/>
      <c r="N6" s="580" t="str">
        <f>IF(AND('Mapa final'!$K$22="Muy Alta",'Mapa final'!$O$22="Leve"),CONCATENATE("R",'Mapa final'!$A$22),"")</f>
        <v/>
      </c>
      <c r="O6" s="582"/>
      <c r="P6" s="579" t="str">
        <f>IF(AND('Mapa final'!$K$10="Muy Alta",'Mapa final'!$O$10="Menor"),CONCATENATE("R",'Mapa final'!$A$10),"")</f>
        <v/>
      </c>
      <c r="Q6" s="580"/>
      <c r="R6" s="580" t="str">
        <f>IF(AND('Mapa final'!$K$16="Muy Alta",'Mapa final'!$O$16="Menor"),CONCATENATE("R",'Mapa final'!$A$16),"")</f>
        <v/>
      </c>
      <c r="S6" s="580"/>
      <c r="T6" s="580" t="str">
        <f>IF(AND('Mapa final'!$K$22="Muy Alta",'Mapa final'!$O$22="Menor"),CONCATENATE("R",'Mapa final'!$A$22),"")</f>
        <v/>
      </c>
      <c r="U6" s="582"/>
      <c r="V6" s="579" t="str">
        <f>IF(AND('Mapa final'!$K$10="Muy Alta",'Mapa final'!$O$10="Moderado"),CONCATENATE("R",'Mapa final'!$A$10),"")</f>
        <v/>
      </c>
      <c r="W6" s="580"/>
      <c r="X6" s="580" t="str">
        <f>IF(AND('Mapa final'!$K$16="Muy Alta",'Mapa final'!$O$16="Moderado"),CONCATENATE("R",'Mapa final'!$A$16),"")</f>
        <v/>
      </c>
      <c r="Y6" s="580"/>
      <c r="Z6" s="580" t="str">
        <f>IF(AND('Mapa final'!$K$22="Muy Alta",'Mapa final'!$O$22="Moderado"),CONCATENATE("R",'Mapa final'!$A$22),"")</f>
        <v/>
      </c>
      <c r="AA6" s="582"/>
      <c r="AB6" s="579" t="str">
        <f>IF(AND('Mapa final'!$K$10="Muy Alta",'Mapa final'!$O$10="Mayor"),CONCATENATE("R",'Mapa final'!$A$10),"")</f>
        <v/>
      </c>
      <c r="AC6" s="580"/>
      <c r="AD6" s="580" t="str">
        <f>IF(AND('Mapa final'!$K$16="Muy Alta",'Mapa final'!$O$16="Mayor"),CONCATENATE("R",'Mapa final'!$A$16),"")</f>
        <v/>
      </c>
      <c r="AE6" s="580"/>
      <c r="AF6" s="580" t="str">
        <f>IF(AND('Mapa final'!$K$22="Muy Alta",'Mapa final'!$O$22="Mayor"),CONCATENATE("R",'Mapa final'!$A$22),"")</f>
        <v/>
      </c>
      <c r="AG6" s="582"/>
      <c r="AH6" s="594" t="str">
        <f>IF(AND('Mapa final'!$K$10="Muy Alta",'Mapa final'!$O$10="Catastrófico"),CONCATENATE("R",'Mapa final'!$A$10),"")</f>
        <v/>
      </c>
      <c r="AI6" s="595"/>
      <c r="AJ6" s="595" t="str">
        <f>IF(AND('Mapa final'!$K$16="Muy Alta",'Mapa final'!$O$16="Catastrófico"),CONCATENATE("R",'Mapa final'!$A$16),"")</f>
        <v/>
      </c>
      <c r="AK6" s="595"/>
      <c r="AL6" s="595" t="str">
        <f>IF(AND('Mapa final'!$K$22="Muy Alta",'Mapa final'!$O$22="Catastrófico"),CONCATENATE("R",'Mapa final'!$A$22),"")</f>
        <v/>
      </c>
      <c r="AM6" s="596"/>
      <c r="AO6" s="532" t="s">
        <v>77</v>
      </c>
      <c r="AP6" s="533"/>
      <c r="AQ6" s="533"/>
      <c r="AR6" s="533"/>
      <c r="AS6" s="533"/>
      <c r="AT6" s="53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30"/>
      <c r="C7" s="530"/>
      <c r="D7" s="531"/>
      <c r="E7" s="571"/>
      <c r="F7" s="572"/>
      <c r="G7" s="572"/>
      <c r="H7" s="572"/>
      <c r="I7" s="573"/>
      <c r="J7" s="581"/>
      <c r="K7" s="577"/>
      <c r="L7" s="577"/>
      <c r="M7" s="577"/>
      <c r="N7" s="577"/>
      <c r="O7" s="578"/>
      <c r="P7" s="581"/>
      <c r="Q7" s="577"/>
      <c r="R7" s="577"/>
      <c r="S7" s="577"/>
      <c r="T7" s="577"/>
      <c r="U7" s="578"/>
      <c r="V7" s="581"/>
      <c r="W7" s="577"/>
      <c r="X7" s="577"/>
      <c r="Y7" s="577"/>
      <c r="Z7" s="577"/>
      <c r="AA7" s="578"/>
      <c r="AB7" s="581"/>
      <c r="AC7" s="577"/>
      <c r="AD7" s="577"/>
      <c r="AE7" s="577"/>
      <c r="AF7" s="577"/>
      <c r="AG7" s="578"/>
      <c r="AH7" s="588"/>
      <c r="AI7" s="589"/>
      <c r="AJ7" s="589"/>
      <c r="AK7" s="589"/>
      <c r="AL7" s="589"/>
      <c r="AM7" s="590"/>
      <c r="AN7" s="67"/>
      <c r="AO7" s="535"/>
      <c r="AP7" s="536"/>
      <c r="AQ7" s="536"/>
      <c r="AR7" s="536"/>
      <c r="AS7" s="536"/>
      <c r="AT7" s="53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30"/>
      <c r="C8" s="530"/>
      <c r="D8" s="531"/>
      <c r="E8" s="571"/>
      <c r="F8" s="572"/>
      <c r="G8" s="572"/>
      <c r="H8" s="572"/>
      <c r="I8" s="573"/>
      <c r="J8" s="581" t="str">
        <f>IF(AND('Mapa final'!$K$28="Muy Alta",'Mapa final'!$O$28="Leve"),CONCATENATE("R",'Mapa final'!$A$28),"")</f>
        <v/>
      </c>
      <c r="K8" s="577"/>
      <c r="L8" s="577" t="str">
        <f>IF(AND('Mapa final'!$K$34="Muy Alta",'Mapa final'!$O$34="Leve"),CONCATENATE("R",'Mapa final'!$A$34),"")</f>
        <v/>
      </c>
      <c r="M8" s="577"/>
      <c r="N8" s="577" t="str">
        <f>IF(AND('Mapa final'!$K$40="Muy Alta",'Mapa final'!$O$40="Leve"),CONCATENATE("R",'Mapa final'!$A$40),"")</f>
        <v/>
      </c>
      <c r="O8" s="578"/>
      <c r="P8" s="581" t="str">
        <f>IF(AND('Mapa final'!$K$28="Muy Alta",'Mapa final'!$O$28="Menor"),CONCATENATE("R",'Mapa final'!$A$28),"")</f>
        <v/>
      </c>
      <c r="Q8" s="577"/>
      <c r="R8" s="577" t="str">
        <f>IF(AND('Mapa final'!$K$34="Muy Alta",'Mapa final'!$O$34="Menor"),CONCATENATE("R",'Mapa final'!$A$34),"")</f>
        <v/>
      </c>
      <c r="S8" s="577"/>
      <c r="T8" s="577" t="str">
        <f>IF(AND('Mapa final'!$K$40="Muy Alta",'Mapa final'!$O$40="Menor"),CONCATENATE("R",'Mapa final'!$A$40),"")</f>
        <v/>
      </c>
      <c r="U8" s="578"/>
      <c r="V8" s="581" t="str">
        <f>IF(AND('Mapa final'!$K$28="Muy Alta",'Mapa final'!$O$28="Moderado"),CONCATENATE("R",'Mapa final'!$A$28),"")</f>
        <v/>
      </c>
      <c r="W8" s="577"/>
      <c r="X8" s="577" t="str">
        <f>IF(AND('Mapa final'!$K$34="Muy Alta",'Mapa final'!$O$34="Moderado"),CONCATENATE("R",'Mapa final'!$A$34),"")</f>
        <v/>
      </c>
      <c r="Y8" s="577"/>
      <c r="Z8" s="577" t="str">
        <f>IF(AND('Mapa final'!$K$40="Muy Alta",'Mapa final'!$O$40="Moderado"),CONCATENATE("R",'Mapa final'!$A$40),"")</f>
        <v/>
      </c>
      <c r="AA8" s="578"/>
      <c r="AB8" s="581" t="str">
        <f>IF(AND('Mapa final'!$K$28="Muy Alta",'Mapa final'!$O$28="Mayor"),CONCATENATE("R",'Mapa final'!$A$28),"")</f>
        <v/>
      </c>
      <c r="AC8" s="577"/>
      <c r="AD8" s="577" t="str">
        <f>IF(AND('Mapa final'!$K$34="Muy Alta",'Mapa final'!$O$34="Mayor"),CONCATENATE("R",'Mapa final'!$A$34),"")</f>
        <v/>
      </c>
      <c r="AE8" s="577"/>
      <c r="AF8" s="577" t="str">
        <f>IF(AND('Mapa final'!$K$40="Muy Alta",'Mapa final'!$O$40="Mayor"),CONCATENATE("R",'Mapa final'!$A$40),"")</f>
        <v/>
      </c>
      <c r="AG8" s="578"/>
      <c r="AH8" s="588" t="str">
        <f>IF(AND('Mapa final'!$K$28="Muy Alta",'Mapa final'!$O$28="Catastrófico"),CONCATENATE("R",'Mapa final'!$A$28),"")</f>
        <v/>
      </c>
      <c r="AI8" s="589"/>
      <c r="AJ8" s="589" t="str">
        <f>IF(AND('Mapa final'!$K$34="Muy Alta",'Mapa final'!$O$34="Catastrófico"),CONCATENATE("R",'Mapa final'!$A$34),"")</f>
        <v/>
      </c>
      <c r="AK8" s="589"/>
      <c r="AL8" s="589" t="str">
        <f>IF(AND('Mapa final'!$K$40="Muy Alta",'Mapa final'!$O$40="Catastrófico"),CONCATENATE("R",'Mapa final'!$A$40),"")</f>
        <v/>
      </c>
      <c r="AM8" s="590"/>
      <c r="AN8" s="67"/>
      <c r="AO8" s="535"/>
      <c r="AP8" s="536"/>
      <c r="AQ8" s="536"/>
      <c r="AR8" s="536"/>
      <c r="AS8" s="536"/>
      <c r="AT8" s="53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30"/>
      <c r="C9" s="530"/>
      <c r="D9" s="531"/>
      <c r="E9" s="571"/>
      <c r="F9" s="572"/>
      <c r="G9" s="572"/>
      <c r="H9" s="572"/>
      <c r="I9" s="573"/>
      <c r="J9" s="581"/>
      <c r="K9" s="577"/>
      <c r="L9" s="577"/>
      <c r="M9" s="577"/>
      <c r="N9" s="577"/>
      <c r="O9" s="578"/>
      <c r="P9" s="581"/>
      <c r="Q9" s="577"/>
      <c r="R9" s="577"/>
      <c r="S9" s="577"/>
      <c r="T9" s="577"/>
      <c r="U9" s="578"/>
      <c r="V9" s="581"/>
      <c r="W9" s="577"/>
      <c r="X9" s="577"/>
      <c r="Y9" s="577"/>
      <c r="Z9" s="577"/>
      <c r="AA9" s="578"/>
      <c r="AB9" s="581"/>
      <c r="AC9" s="577"/>
      <c r="AD9" s="577"/>
      <c r="AE9" s="577"/>
      <c r="AF9" s="577"/>
      <c r="AG9" s="578"/>
      <c r="AH9" s="588"/>
      <c r="AI9" s="589"/>
      <c r="AJ9" s="589"/>
      <c r="AK9" s="589"/>
      <c r="AL9" s="589"/>
      <c r="AM9" s="590"/>
      <c r="AN9" s="67"/>
      <c r="AO9" s="535"/>
      <c r="AP9" s="536"/>
      <c r="AQ9" s="536"/>
      <c r="AR9" s="536"/>
      <c r="AS9" s="536"/>
      <c r="AT9" s="53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30"/>
      <c r="C10" s="530"/>
      <c r="D10" s="531"/>
      <c r="E10" s="571"/>
      <c r="F10" s="572"/>
      <c r="G10" s="572"/>
      <c r="H10" s="572"/>
      <c r="I10" s="573"/>
      <c r="J10" s="581" t="str">
        <f>IF(AND('Mapa final'!$K$46="Muy Alta",'Mapa final'!$O$46="Leve"),CONCATENATE("R",'Mapa final'!$A$46),"")</f>
        <v/>
      </c>
      <c r="K10" s="577"/>
      <c r="L10" s="577" t="str">
        <f>IF(AND('Mapa final'!$K$52="Muy Alta",'Mapa final'!$O$52="Leve"),CONCATENATE("R",'Mapa final'!$A$52),"")</f>
        <v/>
      </c>
      <c r="M10" s="577"/>
      <c r="N10" s="577" t="str">
        <f>IF(AND('Mapa final'!$K$58="Muy Alta",'Mapa final'!$O$58="Leve"),CONCATENATE("R",'Mapa final'!$A$58),"")</f>
        <v/>
      </c>
      <c r="O10" s="578"/>
      <c r="P10" s="581" t="str">
        <f>IF(AND('Mapa final'!$K$46="Muy Alta",'Mapa final'!$O$46="Menor"),CONCATENATE("R",'Mapa final'!$A$46),"")</f>
        <v/>
      </c>
      <c r="Q10" s="577"/>
      <c r="R10" s="577" t="str">
        <f>IF(AND('Mapa final'!$K$52="Muy Alta",'Mapa final'!$O$52="Menor"),CONCATENATE("R",'Mapa final'!$A$52),"")</f>
        <v/>
      </c>
      <c r="S10" s="577"/>
      <c r="T10" s="577" t="str">
        <f>IF(AND('Mapa final'!$K$58="Muy Alta",'Mapa final'!$O$58="Menor"),CONCATENATE("R",'Mapa final'!$A$58),"")</f>
        <v/>
      </c>
      <c r="U10" s="578"/>
      <c r="V10" s="581" t="str">
        <f>IF(AND('Mapa final'!$K$46="Muy Alta",'Mapa final'!$O$46="Moderado"),CONCATENATE("R",'Mapa final'!$A$46),"")</f>
        <v/>
      </c>
      <c r="W10" s="577"/>
      <c r="X10" s="577" t="str">
        <f>IF(AND('Mapa final'!$K$52="Muy Alta",'Mapa final'!$O$52="Moderado"),CONCATENATE("R",'Mapa final'!$A$52),"")</f>
        <v/>
      </c>
      <c r="Y10" s="577"/>
      <c r="Z10" s="577" t="str">
        <f>IF(AND('Mapa final'!$K$58="Muy Alta",'Mapa final'!$O$58="Moderado"),CONCATENATE("R",'Mapa final'!$A$58),"")</f>
        <v/>
      </c>
      <c r="AA10" s="578"/>
      <c r="AB10" s="581" t="str">
        <f>IF(AND('Mapa final'!$K$46="Muy Alta",'Mapa final'!$O$46="Mayor"),CONCATENATE("R",'Mapa final'!$A$46),"")</f>
        <v/>
      </c>
      <c r="AC10" s="577"/>
      <c r="AD10" s="577" t="str">
        <f>IF(AND('Mapa final'!$K$52="Muy Alta",'Mapa final'!$O$52="Mayor"),CONCATENATE("R",'Mapa final'!$A$52),"")</f>
        <v/>
      </c>
      <c r="AE10" s="577"/>
      <c r="AF10" s="577" t="str">
        <f>IF(AND('Mapa final'!$K$58="Muy Alta",'Mapa final'!$O$58="Mayor"),CONCATENATE("R",'Mapa final'!$A$58),"")</f>
        <v/>
      </c>
      <c r="AG10" s="578"/>
      <c r="AH10" s="588" t="str">
        <f>IF(AND('Mapa final'!$K$46="Muy Alta",'Mapa final'!$O$46="Catastrófico"),CONCATENATE("R",'Mapa final'!$A$46),"")</f>
        <v/>
      </c>
      <c r="AI10" s="589"/>
      <c r="AJ10" s="589" t="str">
        <f>IF(AND('Mapa final'!$K$52="Muy Alta",'Mapa final'!$O$52="Catastrófico"),CONCATENATE("R",'Mapa final'!$A$52),"")</f>
        <v/>
      </c>
      <c r="AK10" s="589"/>
      <c r="AL10" s="589" t="str">
        <f>IF(AND('Mapa final'!$K$58="Muy Alta",'Mapa final'!$O$58="Catastrófico"),CONCATENATE("R",'Mapa final'!$A$58),"")</f>
        <v/>
      </c>
      <c r="AM10" s="590"/>
      <c r="AN10" s="67"/>
      <c r="AO10" s="535"/>
      <c r="AP10" s="536"/>
      <c r="AQ10" s="536"/>
      <c r="AR10" s="536"/>
      <c r="AS10" s="536"/>
      <c r="AT10" s="53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30"/>
      <c r="C11" s="530"/>
      <c r="D11" s="531"/>
      <c r="E11" s="571"/>
      <c r="F11" s="572"/>
      <c r="G11" s="572"/>
      <c r="H11" s="572"/>
      <c r="I11" s="573"/>
      <c r="J11" s="581"/>
      <c r="K11" s="577"/>
      <c r="L11" s="577"/>
      <c r="M11" s="577"/>
      <c r="N11" s="577"/>
      <c r="O11" s="578"/>
      <c r="P11" s="581"/>
      <c r="Q11" s="577"/>
      <c r="R11" s="577"/>
      <c r="S11" s="577"/>
      <c r="T11" s="577"/>
      <c r="U11" s="578"/>
      <c r="V11" s="581"/>
      <c r="W11" s="577"/>
      <c r="X11" s="577"/>
      <c r="Y11" s="577"/>
      <c r="Z11" s="577"/>
      <c r="AA11" s="578"/>
      <c r="AB11" s="581"/>
      <c r="AC11" s="577"/>
      <c r="AD11" s="577"/>
      <c r="AE11" s="577"/>
      <c r="AF11" s="577"/>
      <c r="AG11" s="578"/>
      <c r="AH11" s="588"/>
      <c r="AI11" s="589"/>
      <c r="AJ11" s="589"/>
      <c r="AK11" s="589"/>
      <c r="AL11" s="589"/>
      <c r="AM11" s="590"/>
      <c r="AN11" s="67"/>
      <c r="AO11" s="535"/>
      <c r="AP11" s="536"/>
      <c r="AQ11" s="536"/>
      <c r="AR11" s="536"/>
      <c r="AS11" s="536"/>
      <c r="AT11" s="53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30"/>
      <c r="C12" s="530"/>
      <c r="D12" s="531"/>
      <c r="E12" s="571"/>
      <c r="F12" s="572"/>
      <c r="G12" s="572"/>
      <c r="H12" s="572"/>
      <c r="I12" s="573"/>
      <c r="J12" s="581" t="str">
        <f>IF(AND('Mapa final'!$K$64="Muy Alta",'Mapa final'!$O$64="Leve"),CONCATENATE("R",'Mapa final'!$A$64),"")</f>
        <v/>
      </c>
      <c r="K12" s="577"/>
      <c r="L12" s="577" t="str">
        <f>IF(AND('Mapa final'!$K$70="Muy Alta",'Mapa final'!$O$70="Leve"),CONCATENATE("R",'Mapa final'!$A$70),"")</f>
        <v/>
      </c>
      <c r="M12" s="577"/>
      <c r="N12" s="577" t="str">
        <f>IF(AND('Mapa final'!$K$76="Muy Alta",'Mapa final'!$O$76="Leve"),CONCATENATE("R",'Mapa final'!$A$76),"")</f>
        <v/>
      </c>
      <c r="O12" s="578"/>
      <c r="P12" s="581" t="str">
        <f>IF(AND('Mapa final'!$K$64="Muy Alta",'Mapa final'!$O$64="Menor"),CONCATENATE("R",'Mapa final'!$A$64),"")</f>
        <v/>
      </c>
      <c r="Q12" s="577"/>
      <c r="R12" s="577" t="str">
        <f>IF(AND('Mapa final'!$K$70="Muy Alta",'Mapa final'!$O$70="Menor"),CONCATENATE("R",'Mapa final'!$A$70),"")</f>
        <v/>
      </c>
      <c r="S12" s="577"/>
      <c r="T12" s="577" t="str">
        <f>IF(AND('Mapa final'!$K$76="Muy Alta",'Mapa final'!$O$76="Menor"),CONCATENATE("R",'Mapa final'!$A$76),"")</f>
        <v/>
      </c>
      <c r="U12" s="578"/>
      <c r="V12" s="581" t="str">
        <f>IF(AND('Mapa final'!$K$64="Muy Alta",'Mapa final'!$O$64="Moderado"),CONCATENATE("R",'Mapa final'!$A$64),"")</f>
        <v/>
      </c>
      <c r="W12" s="577"/>
      <c r="X12" s="577" t="str">
        <f>IF(AND('Mapa final'!$K$70="Muy Alta",'Mapa final'!$O$70="Moderado"),CONCATENATE("R",'Mapa final'!$A$70),"")</f>
        <v/>
      </c>
      <c r="Y12" s="577"/>
      <c r="Z12" s="577" t="str">
        <f>IF(AND('Mapa final'!$K$76="Muy Alta",'Mapa final'!$O$76="Moderado"),CONCATENATE("R",'Mapa final'!$A$76),"")</f>
        <v/>
      </c>
      <c r="AA12" s="578"/>
      <c r="AB12" s="581" t="str">
        <f>IF(AND('Mapa final'!$K$64="Muy Alta",'Mapa final'!$O$64="Mayor"),CONCATENATE("R",'Mapa final'!$A$64),"")</f>
        <v/>
      </c>
      <c r="AC12" s="577"/>
      <c r="AD12" s="577" t="str">
        <f>IF(AND('Mapa final'!$K$70="Muy Alta",'Mapa final'!$O$70="Mayor"),CONCATENATE("R",'Mapa final'!$A$70),"")</f>
        <v/>
      </c>
      <c r="AE12" s="577"/>
      <c r="AF12" s="577" t="str">
        <f>IF(AND('Mapa final'!$K$76="Muy Alta",'Mapa final'!$O$76="Mayor"),CONCATENATE("R",'Mapa final'!$A$76),"")</f>
        <v/>
      </c>
      <c r="AG12" s="578"/>
      <c r="AH12" s="588" t="str">
        <f>IF(AND('Mapa final'!$K$64="Muy Alta",'Mapa final'!$O$64="Catastrófico"),CONCATENATE("R",'Mapa final'!$A$64),"")</f>
        <v/>
      </c>
      <c r="AI12" s="589"/>
      <c r="AJ12" s="589" t="str">
        <f>IF(AND('Mapa final'!$K$70="Muy Alta",'Mapa final'!$O$70="Catastrófico"),CONCATENATE("R",'Mapa final'!$A$70),"")</f>
        <v/>
      </c>
      <c r="AK12" s="589"/>
      <c r="AL12" s="589" t="str">
        <f>IF(AND('Mapa final'!$K$76="Muy Alta",'Mapa final'!$O$76="Catastrófico"),CONCATENATE("R",'Mapa final'!$A$76),"")</f>
        <v/>
      </c>
      <c r="AM12" s="590"/>
      <c r="AN12" s="67"/>
      <c r="AO12" s="535"/>
      <c r="AP12" s="536"/>
      <c r="AQ12" s="536"/>
      <c r="AR12" s="536"/>
      <c r="AS12" s="536"/>
      <c r="AT12" s="53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30"/>
      <c r="C13" s="530"/>
      <c r="D13" s="531"/>
      <c r="E13" s="574"/>
      <c r="F13" s="575"/>
      <c r="G13" s="575"/>
      <c r="H13" s="575"/>
      <c r="I13" s="576"/>
      <c r="J13" s="581"/>
      <c r="K13" s="577"/>
      <c r="L13" s="577"/>
      <c r="M13" s="577"/>
      <c r="N13" s="577"/>
      <c r="O13" s="578"/>
      <c r="P13" s="581"/>
      <c r="Q13" s="577"/>
      <c r="R13" s="577"/>
      <c r="S13" s="577"/>
      <c r="T13" s="577"/>
      <c r="U13" s="578"/>
      <c r="V13" s="581"/>
      <c r="W13" s="577"/>
      <c r="X13" s="577"/>
      <c r="Y13" s="577"/>
      <c r="Z13" s="577"/>
      <c r="AA13" s="578"/>
      <c r="AB13" s="581"/>
      <c r="AC13" s="577"/>
      <c r="AD13" s="577"/>
      <c r="AE13" s="577"/>
      <c r="AF13" s="577"/>
      <c r="AG13" s="578"/>
      <c r="AH13" s="591"/>
      <c r="AI13" s="592"/>
      <c r="AJ13" s="592"/>
      <c r="AK13" s="592"/>
      <c r="AL13" s="592"/>
      <c r="AM13" s="593"/>
      <c r="AN13" s="67"/>
      <c r="AO13" s="538"/>
      <c r="AP13" s="539"/>
      <c r="AQ13" s="539"/>
      <c r="AR13" s="539"/>
      <c r="AS13" s="539"/>
      <c r="AT13" s="540"/>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30"/>
      <c r="C14" s="530"/>
      <c r="D14" s="531"/>
      <c r="E14" s="568" t="s">
        <v>109</v>
      </c>
      <c r="F14" s="569"/>
      <c r="G14" s="569"/>
      <c r="H14" s="569"/>
      <c r="I14" s="569"/>
      <c r="J14" s="603" t="str">
        <f>IF(AND('Mapa final'!$K$10="Alta",'Mapa final'!$O$10="Leve"),CONCATENATE("R",'Mapa final'!$A$10),"")</f>
        <v/>
      </c>
      <c r="K14" s="604"/>
      <c r="L14" s="604" t="str">
        <f>IF(AND('Mapa final'!$K$16="Alta",'Mapa final'!$O$16="Leve"),CONCATENATE("R",'Mapa final'!$A$16),"")</f>
        <v/>
      </c>
      <c r="M14" s="604"/>
      <c r="N14" s="604" t="str">
        <f>IF(AND('Mapa final'!$K$22="Alta",'Mapa final'!$O$22="Leve"),CONCATENATE("R",'Mapa final'!$A$22),"")</f>
        <v/>
      </c>
      <c r="O14" s="605"/>
      <c r="P14" s="603" t="str">
        <f>IF(AND('Mapa final'!$K$10="Alta",'Mapa final'!$O$10="Menor"),CONCATENATE("R",'Mapa final'!$A$10),"")</f>
        <v/>
      </c>
      <c r="Q14" s="604"/>
      <c r="R14" s="604" t="str">
        <f>IF(AND('Mapa final'!$K$16="Alta",'Mapa final'!$O$16="Menor"),CONCATENATE("R",'Mapa final'!$A$16),"")</f>
        <v/>
      </c>
      <c r="S14" s="604"/>
      <c r="T14" s="604" t="str">
        <f>IF(AND('Mapa final'!$K$22="Alta",'Mapa final'!$O$22="Menor"),CONCATENATE("R",'Mapa final'!$A$22),"")</f>
        <v/>
      </c>
      <c r="U14" s="605"/>
      <c r="V14" s="579" t="str">
        <f>IF(AND('Mapa final'!$K$10="Alta",'Mapa final'!$O$10="Moderado"),CONCATENATE("R",'Mapa final'!$A$10),"")</f>
        <v/>
      </c>
      <c r="W14" s="580"/>
      <c r="X14" s="580" t="str">
        <f>IF(AND('Mapa final'!$K$16="Alta",'Mapa final'!$O$16="Moderado"),CONCATENATE("R",'Mapa final'!$A$16),"")</f>
        <v/>
      </c>
      <c r="Y14" s="580"/>
      <c r="Z14" s="580" t="str">
        <f>IF(AND('Mapa final'!$K$22="Alta",'Mapa final'!$O$22="Moderado"),CONCATENATE("R",'Mapa final'!$A$22),"")</f>
        <v/>
      </c>
      <c r="AA14" s="582"/>
      <c r="AB14" s="579" t="str">
        <f>IF(AND('Mapa final'!$K$10="Alta",'Mapa final'!$O$10="Mayor"),CONCATENATE("R",'Mapa final'!$A$10),"")</f>
        <v/>
      </c>
      <c r="AC14" s="580"/>
      <c r="AD14" s="580" t="str">
        <f>IF(AND('Mapa final'!$K$16="Alta",'Mapa final'!$O$16="Mayor"),CONCATENATE("R",'Mapa final'!$A$16),"")</f>
        <v/>
      </c>
      <c r="AE14" s="580"/>
      <c r="AF14" s="580" t="str">
        <f>IF(AND('Mapa final'!$K$22="Alta",'Mapa final'!$O$22="Mayor"),CONCATENATE("R",'Mapa final'!$A$22),"")</f>
        <v/>
      </c>
      <c r="AG14" s="582"/>
      <c r="AH14" s="594" t="str">
        <f>IF(AND('Mapa final'!$K$10="Alta",'Mapa final'!$O$10="Catastrófico"),CONCATENATE("R",'Mapa final'!$A$10),"")</f>
        <v/>
      </c>
      <c r="AI14" s="595"/>
      <c r="AJ14" s="595" t="str">
        <f>IF(AND('Mapa final'!$K$16="Alta",'Mapa final'!$O$16="Catastrófico"),CONCATENATE("R",'Mapa final'!$A$16),"")</f>
        <v/>
      </c>
      <c r="AK14" s="595"/>
      <c r="AL14" s="595" t="str">
        <f>IF(AND('Mapa final'!$K$22="Alta",'Mapa final'!$O$22="Catastrófico"),CONCATENATE("R",'Mapa final'!$A$22),"")</f>
        <v/>
      </c>
      <c r="AM14" s="596"/>
      <c r="AN14" s="67"/>
      <c r="AO14" s="541" t="s">
        <v>78</v>
      </c>
      <c r="AP14" s="542"/>
      <c r="AQ14" s="542"/>
      <c r="AR14" s="542"/>
      <c r="AS14" s="542"/>
      <c r="AT14" s="543"/>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30"/>
      <c r="C15" s="530"/>
      <c r="D15" s="531"/>
      <c r="E15" s="571"/>
      <c r="F15" s="572"/>
      <c r="G15" s="572"/>
      <c r="H15" s="572"/>
      <c r="I15" s="572"/>
      <c r="J15" s="597"/>
      <c r="K15" s="598"/>
      <c r="L15" s="598"/>
      <c r="M15" s="598"/>
      <c r="N15" s="598"/>
      <c r="O15" s="599"/>
      <c r="P15" s="597"/>
      <c r="Q15" s="598"/>
      <c r="R15" s="598"/>
      <c r="S15" s="598"/>
      <c r="T15" s="598"/>
      <c r="U15" s="599"/>
      <c r="V15" s="581"/>
      <c r="W15" s="577"/>
      <c r="X15" s="577"/>
      <c r="Y15" s="577"/>
      <c r="Z15" s="577"/>
      <c r="AA15" s="578"/>
      <c r="AB15" s="581"/>
      <c r="AC15" s="577"/>
      <c r="AD15" s="577"/>
      <c r="AE15" s="577"/>
      <c r="AF15" s="577"/>
      <c r="AG15" s="578"/>
      <c r="AH15" s="588"/>
      <c r="AI15" s="589"/>
      <c r="AJ15" s="589"/>
      <c r="AK15" s="589"/>
      <c r="AL15" s="589"/>
      <c r="AM15" s="590"/>
      <c r="AN15" s="67"/>
      <c r="AO15" s="544"/>
      <c r="AP15" s="545"/>
      <c r="AQ15" s="545"/>
      <c r="AR15" s="545"/>
      <c r="AS15" s="545"/>
      <c r="AT15" s="546"/>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30"/>
      <c r="C16" s="530"/>
      <c r="D16" s="531"/>
      <c r="E16" s="571"/>
      <c r="F16" s="572"/>
      <c r="G16" s="572"/>
      <c r="H16" s="572"/>
      <c r="I16" s="572"/>
      <c r="J16" s="597" t="str">
        <f>IF(AND('Mapa final'!$K$28="Alta",'Mapa final'!$O$28="Leve"),CONCATENATE("R",'Mapa final'!$A$28),"")</f>
        <v/>
      </c>
      <c r="K16" s="598"/>
      <c r="L16" s="598" t="str">
        <f>IF(AND('Mapa final'!$K$34="Alta",'Mapa final'!$O$34="Leve"),CONCATENATE("R",'Mapa final'!$A$34),"")</f>
        <v/>
      </c>
      <c r="M16" s="598"/>
      <c r="N16" s="598" t="str">
        <f>IF(AND('Mapa final'!$K$40="Alta",'Mapa final'!$O$40="Leve"),CONCATENATE("R",'Mapa final'!$A$40),"")</f>
        <v/>
      </c>
      <c r="O16" s="599"/>
      <c r="P16" s="597" t="str">
        <f>IF(AND('Mapa final'!$K$28="Alta",'Mapa final'!$O$28="Menor"),CONCATENATE("R",'Mapa final'!$A$28),"")</f>
        <v/>
      </c>
      <c r="Q16" s="598"/>
      <c r="R16" s="598" t="str">
        <f>IF(AND('Mapa final'!$K$34="Alta",'Mapa final'!$O$34="Menor"),CONCATENATE("R",'Mapa final'!$A$34),"")</f>
        <v/>
      </c>
      <c r="S16" s="598"/>
      <c r="T16" s="598" t="str">
        <f>IF(AND('Mapa final'!$K$40="Alta",'Mapa final'!$O$40="Menor"),CONCATENATE("R",'Mapa final'!$A$40),"")</f>
        <v/>
      </c>
      <c r="U16" s="599"/>
      <c r="V16" s="581" t="str">
        <f>IF(AND('Mapa final'!$K$28="Alta",'Mapa final'!$O$28="Moderado"),CONCATENATE("R",'Mapa final'!$A$28),"")</f>
        <v/>
      </c>
      <c r="W16" s="577"/>
      <c r="X16" s="577" t="str">
        <f>IF(AND('Mapa final'!$K$34="Alta",'Mapa final'!$O$34="Moderado"),CONCATENATE("R",'Mapa final'!$A$34),"")</f>
        <v/>
      </c>
      <c r="Y16" s="577"/>
      <c r="Z16" s="577" t="str">
        <f>IF(AND('Mapa final'!$K$40="Alta",'Mapa final'!$O$40="Moderado"),CONCATENATE("R",'Mapa final'!$A$40),"")</f>
        <v/>
      </c>
      <c r="AA16" s="578"/>
      <c r="AB16" s="581" t="str">
        <f>IF(AND('Mapa final'!$K$28="Alta",'Mapa final'!$O$28="Mayor"),CONCATENATE("R",'Mapa final'!$A$28),"")</f>
        <v/>
      </c>
      <c r="AC16" s="577"/>
      <c r="AD16" s="577" t="str">
        <f>IF(AND('Mapa final'!$K$34="Alta",'Mapa final'!$O$34="Mayor"),CONCATENATE("R",'Mapa final'!$A$34),"")</f>
        <v/>
      </c>
      <c r="AE16" s="577"/>
      <c r="AF16" s="577" t="str">
        <f>IF(AND('Mapa final'!$K$40="Alta",'Mapa final'!$O$40="Mayor"),CONCATENATE("R",'Mapa final'!$A$40),"")</f>
        <v/>
      </c>
      <c r="AG16" s="578"/>
      <c r="AH16" s="588" t="str">
        <f>IF(AND('Mapa final'!$K$28="Alta",'Mapa final'!$O$28="Catastrófico"),CONCATENATE("R",'Mapa final'!$A$28),"")</f>
        <v/>
      </c>
      <c r="AI16" s="589"/>
      <c r="AJ16" s="589" t="str">
        <f>IF(AND('Mapa final'!$K$34="Alta",'Mapa final'!$O$34="Catastrófico"),CONCATENATE("R",'Mapa final'!$A$34),"")</f>
        <v/>
      </c>
      <c r="AK16" s="589"/>
      <c r="AL16" s="589" t="str">
        <f>IF(AND('Mapa final'!$K$40="Alta",'Mapa final'!$O$40="Catastrófico"),CONCATENATE("R",'Mapa final'!$A$40),"")</f>
        <v/>
      </c>
      <c r="AM16" s="590"/>
      <c r="AN16" s="67"/>
      <c r="AO16" s="544"/>
      <c r="AP16" s="545"/>
      <c r="AQ16" s="545"/>
      <c r="AR16" s="545"/>
      <c r="AS16" s="545"/>
      <c r="AT16" s="546"/>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30"/>
      <c r="C17" s="530"/>
      <c r="D17" s="531"/>
      <c r="E17" s="571"/>
      <c r="F17" s="572"/>
      <c r="G17" s="572"/>
      <c r="H17" s="572"/>
      <c r="I17" s="572"/>
      <c r="J17" s="597"/>
      <c r="K17" s="598"/>
      <c r="L17" s="598"/>
      <c r="M17" s="598"/>
      <c r="N17" s="598"/>
      <c r="O17" s="599"/>
      <c r="P17" s="597"/>
      <c r="Q17" s="598"/>
      <c r="R17" s="598"/>
      <c r="S17" s="598"/>
      <c r="T17" s="598"/>
      <c r="U17" s="599"/>
      <c r="V17" s="581"/>
      <c r="W17" s="577"/>
      <c r="X17" s="577"/>
      <c r="Y17" s="577"/>
      <c r="Z17" s="577"/>
      <c r="AA17" s="578"/>
      <c r="AB17" s="581"/>
      <c r="AC17" s="577"/>
      <c r="AD17" s="577"/>
      <c r="AE17" s="577"/>
      <c r="AF17" s="577"/>
      <c r="AG17" s="578"/>
      <c r="AH17" s="588"/>
      <c r="AI17" s="589"/>
      <c r="AJ17" s="589"/>
      <c r="AK17" s="589"/>
      <c r="AL17" s="589"/>
      <c r="AM17" s="590"/>
      <c r="AN17" s="67"/>
      <c r="AO17" s="544"/>
      <c r="AP17" s="545"/>
      <c r="AQ17" s="545"/>
      <c r="AR17" s="545"/>
      <c r="AS17" s="545"/>
      <c r="AT17" s="546"/>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30"/>
      <c r="C18" s="530"/>
      <c r="D18" s="531"/>
      <c r="E18" s="571"/>
      <c r="F18" s="572"/>
      <c r="G18" s="572"/>
      <c r="H18" s="572"/>
      <c r="I18" s="572"/>
      <c r="J18" s="597" t="str">
        <f>IF(AND('Mapa final'!$K$46="Alta",'Mapa final'!$O$46="Leve"),CONCATENATE("R",'Mapa final'!$A$46),"")</f>
        <v/>
      </c>
      <c r="K18" s="598"/>
      <c r="L18" s="598" t="str">
        <f>IF(AND('Mapa final'!$K$52="Alta",'Mapa final'!$O$52="Leve"),CONCATENATE("R",'Mapa final'!$A$52),"")</f>
        <v/>
      </c>
      <c r="M18" s="598"/>
      <c r="N18" s="598" t="str">
        <f>IF(AND('Mapa final'!$K$58="Alta",'Mapa final'!$O$58="Leve"),CONCATENATE("R",'Mapa final'!$A$58),"")</f>
        <v/>
      </c>
      <c r="O18" s="599"/>
      <c r="P18" s="597" t="str">
        <f>IF(AND('Mapa final'!$K$46="Alta",'Mapa final'!$O$46="Menor"),CONCATENATE("R",'Mapa final'!$A$46),"")</f>
        <v/>
      </c>
      <c r="Q18" s="598"/>
      <c r="R18" s="598" t="str">
        <f>IF(AND('Mapa final'!$K$52="Alta",'Mapa final'!$O$52="Menor"),CONCATENATE("R",'Mapa final'!$A$52),"")</f>
        <v/>
      </c>
      <c r="S18" s="598"/>
      <c r="T18" s="598" t="str">
        <f>IF(AND('Mapa final'!$K$58="Alta",'Mapa final'!$O$58="Menor"),CONCATENATE("R",'Mapa final'!$A$58),"")</f>
        <v/>
      </c>
      <c r="U18" s="599"/>
      <c r="V18" s="581" t="str">
        <f>IF(AND('Mapa final'!$K$46="Alta",'Mapa final'!$O$46="Moderado"),CONCATENATE("R",'Mapa final'!$A$46),"")</f>
        <v/>
      </c>
      <c r="W18" s="577"/>
      <c r="X18" s="577" t="str">
        <f>IF(AND('Mapa final'!$K$52="Alta",'Mapa final'!$O$52="Moderado"),CONCATENATE("R",'Mapa final'!$A$52),"")</f>
        <v/>
      </c>
      <c r="Y18" s="577"/>
      <c r="Z18" s="577" t="str">
        <f>IF(AND('Mapa final'!$K$58="Alta",'Mapa final'!$O$58="Moderado"),CONCATENATE("R",'Mapa final'!$A$58),"")</f>
        <v/>
      </c>
      <c r="AA18" s="578"/>
      <c r="AB18" s="581" t="str">
        <f>IF(AND('Mapa final'!$K$46="Alta",'Mapa final'!$O$46="Mayor"),CONCATENATE("R",'Mapa final'!$A$46),"")</f>
        <v/>
      </c>
      <c r="AC18" s="577"/>
      <c r="AD18" s="577" t="str">
        <f>IF(AND('Mapa final'!$K$52="Alta",'Mapa final'!$O$52="Mayor"),CONCATENATE("R",'Mapa final'!$A$52),"")</f>
        <v/>
      </c>
      <c r="AE18" s="577"/>
      <c r="AF18" s="577" t="str">
        <f>IF(AND('Mapa final'!$K$58="Alta",'Mapa final'!$O$58="Mayor"),CONCATENATE("R",'Mapa final'!$A$58),"")</f>
        <v/>
      </c>
      <c r="AG18" s="578"/>
      <c r="AH18" s="588" t="str">
        <f>IF(AND('Mapa final'!$K$46="Alta",'Mapa final'!$O$46="Catastrófico"),CONCATENATE("R",'Mapa final'!$A$46),"")</f>
        <v/>
      </c>
      <c r="AI18" s="589"/>
      <c r="AJ18" s="589" t="str">
        <f>IF(AND('Mapa final'!$K$52="Alta",'Mapa final'!$O$52="Catastrófico"),CONCATENATE("R",'Mapa final'!$A$52),"")</f>
        <v/>
      </c>
      <c r="AK18" s="589"/>
      <c r="AL18" s="589" t="str">
        <f>IF(AND('Mapa final'!$K$58="Alta",'Mapa final'!$O$58="Catastrófico"),CONCATENATE("R",'Mapa final'!$A$58),"")</f>
        <v/>
      </c>
      <c r="AM18" s="590"/>
      <c r="AN18" s="67"/>
      <c r="AO18" s="544"/>
      <c r="AP18" s="545"/>
      <c r="AQ18" s="545"/>
      <c r="AR18" s="545"/>
      <c r="AS18" s="545"/>
      <c r="AT18" s="546"/>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30"/>
      <c r="C19" s="530"/>
      <c r="D19" s="531"/>
      <c r="E19" s="571"/>
      <c r="F19" s="572"/>
      <c r="G19" s="572"/>
      <c r="H19" s="572"/>
      <c r="I19" s="572"/>
      <c r="J19" s="597"/>
      <c r="K19" s="598"/>
      <c r="L19" s="598"/>
      <c r="M19" s="598"/>
      <c r="N19" s="598"/>
      <c r="O19" s="599"/>
      <c r="P19" s="597"/>
      <c r="Q19" s="598"/>
      <c r="R19" s="598"/>
      <c r="S19" s="598"/>
      <c r="T19" s="598"/>
      <c r="U19" s="599"/>
      <c r="V19" s="581"/>
      <c r="W19" s="577"/>
      <c r="X19" s="577"/>
      <c r="Y19" s="577"/>
      <c r="Z19" s="577"/>
      <c r="AA19" s="578"/>
      <c r="AB19" s="581"/>
      <c r="AC19" s="577"/>
      <c r="AD19" s="577"/>
      <c r="AE19" s="577"/>
      <c r="AF19" s="577"/>
      <c r="AG19" s="578"/>
      <c r="AH19" s="588"/>
      <c r="AI19" s="589"/>
      <c r="AJ19" s="589"/>
      <c r="AK19" s="589"/>
      <c r="AL19" s="589"/>
      <c r="AM19" s="590"/>
      <c r="AN19" s="67"/>
      <c r="AO19" s="544"/>
      <c r="AP19" s="545"/>
      <c r="AQ19" s="545"/>
      <c r="AR19" s="545"/>
      <c r="AS19" s="545"/>
      <c r="AT19" s="546"/>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30"/>
      <c r="C20" s="530"/>
      <c r="D20" s="531"/>
      <c r="E20" s="571"/>
      <c r="F20" s="572"/>
      <c r="G20" s="572"/>
      <c r="H20" s="572"/>
      <c r="I20" s="572"/>
      <c r="J20" s="597" t="str">
        <f>IF(AND('Mapa final'!$K$64="Alta",'Mapa final'!$O$64="Leve"),CONCATENATE("R",'Mapa final'!$A$64),"")</f>
        <v/>
      </c>
      <c r="K20" s="598"/>
      <c r="L20" s="598" t="str">
        <f>IF(AND('Mapa final'!$K$70="Alta",'Mapa final'!$O$70="Leve"),CONCATENATE("R",'Mapa final'!$A$70),"")</f>
        <v/>
      </c>
      <c r="M20" s="598"/>
      <c r="N20" s="598" t="str">
        <f>IF(AND('Mapa final'!$K$76="Alta",'Mapa final'!$O$76="Leve"),CONCATENATE("R",'Mapa final'!$A$76),"")</f>
        <v/>
      </c>
      <c r="O20" s="599"/>
      <c r="P20" s="597" t="str">
        <f>IF(AND('Mapa final'!$K$64="Alta",'Mapa final'!$O$64="Menor"),CONCATENATE("R",'Mapa final'!$A$64),"")</f>
        <v/>
      </c>
      <c r="Q20" s="598"/>
      <c r="R20" s="598" t="str">
        <f>IF(AND('Mapa final'!$K$70="Alta",'Mapa final'!$O$70="Menor"),CONCATENATE("R",'Mapa final'!$A$70),"")</f>
        <v/>
      </c>
      <c r="S20" s="598"/>
      <c r="T20" s="598" t="str">
        <f>IF(AND('Mapa final'!$K$76="Alta",'Mapa final'!$O$76="Menor"),CONCATENATE("R",'Mapa final'!$A$76),"")</f>
        <v/>
      </c>
      <c r="U20" s="599"/>
      <c r="V20" s="581" t="str">
        <f>IF(AND('Mapa final'!$K$64="Alta",'Mapa final'!$O$64="Moderado"),CONCATENATE("R",'Mapa final'!$A$64),"")</f>
        <v/>
      </c>
      <c r="W20" s="577"/>
      <c r="X20" s="577" t="str">
        <f>IF(AND('Mapa final'!$K$70="Alta",'Mapa final'!$O$70="Moderado"),CONCATENATE("R",'Mapa final'!$A$70),"")</f>
        <v/>
      </c>
      <c r="Y20" s="577"/>
      <c r="Z20" s="577" t="str">
        <f>IF(AND('Mapa final'!$K$76="Alta",'Mapa final'!$O$76="Moderado"),CONCATENATE("R",'Mapa final'!$A$76),"")</f>
        <v/>
      </c>
      <c r="AA20" s="578"/>
      <c r="AB20" s="581" t="str">
        <f>IF(AND('Mapa final'!$K$64="Alta",'Mapa final'!$O$64="Mayor"),CONCATENATE("R",'Mapa final'!$A$64),"")</f>
        <v/>
      </c>
      <c r="AC20" s="577"/>
      <c r="AD20" s="577" t="str">
        <f>IF(AND('Mapa final'!$K$70="Alta",'Mapa final'!$O$70="Mayor"),CONCATENATE("R",'Mapa final'!$A$70),"")</f>
        <v/>
      </c>
      <c r="AE20" s="577"/>
      <c r="AF20" s="577" t="str">
        <f>IF(AND('Mapa final'!$K$76="Alta",'Mapa final'!$O$76="Mayor"),CONCATENATE("R",'Mapa final'!$A$76),"")</f>
        <v/>
      </c>
      <c r="AG20" s="578"/>
      <c r="AH20" s="588" t="str">
        <f>IF(AND('Mapa final'!$K$64="Alta",'Mapa final'!$O$64="Catastrófico"),CONCATENATE("R",'Mapa final'!$A$64),"")</f>
        <v/>
      </c>
      <c r="AI20" s="589"/>
      <c r="AJ20" s="589" t="str">
        <f>IF(AND('Mapa final'!$K$70="Alta",'Mapa final'!$O$70="Catastrófico"),CONCATENATE("R",'Mapa final'!$A$70),"")</f>
        <v/>
      </c>
      <c r="AK20" s="589"/>
      <c r="AL20" s="589" t="str">
        <f>IF(AND('Mapa final'!$K$76="Alta",'Mapa final'!$O$76="Catastrófico"),CONCATENATE("R",'Mapa final'!$A$76),"")</f>
        <v/>
      </c>
      <c r="AM20" s="590"/>
      <c r="AN20" s="67"/>
      <c r="AO20" s="544"/>
      <c r="AP20" s="545"/>
      <c r="AQ20" s="545"/>
      <c r="AR20" s="545"/>
      <c r="AS20" s="545"/>
      <c r="AT20" s="546"/>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30"/>
      <c r="C21" s="530"/>
      <c r="D21" s="531"/>
      <c r="E21" s="574"/>
      <c r="F21" s="575"/>
      <c r="G21" s="575"/>
      <c r="H21" s="575"/>
      <c r="I21" s="575"/>
      <c r="J21" s="600"/>
      <c r="K21" s="601"/>
      <c r="L21" s="601"/>
      <c r="M21" s="601"/>
      <c r="N21" s="601"/>
      <c r="O21" s="602"/>
      <c r="P21" s="600"/>
      <c r="Q21" s="601"/>
      <c r="R21" s="601"/>
      <c r="S21" s="601"/>
      <c r="T21" s="601"/>
      <c r="U21" s="602"/>
      <c r="V21" s="585"/>
      <c r="W21" s="586"/>
      <c r="X21" s="586"/>
      <c r="Y21" s="586"/>
      <c r="Z21" s="586"/>
      <c r="AA21" s="587"/>
      <c r="AB21" s="585"/>
      <c r="AC21" s="586"/>
      <c r="AD21" s="586"/>
      <c r="AE21" s="586"/>
      <c r="AF21" s="586"/>
      <c r="AG21" s="587"/>
      <c r="AH21" s="591"/>
      <c r="AI21" s="592"/>
      <c r="AJ21" s="592"/>
      <c r="AK21" s="592"/>
      <c r="AL21" s="592"/>
      <c r="AM21" s="593"/>
      <c r="AN21" s="67"/>
      <c r="AO21" s="547"/>
      <c r="AP21" s="548"/>
      <c r="AQ21" s="548"/>
      <c r="AR21" s="548"/>
      <c r="AS21" s="548"/>
      <c r="AT21" s="549"/>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30"/>
      <c r="C22" s="530"/>
      <c r="D22" s="531"/>
      <c r="E22" s="568" t="s">
        <v>111</v>
      </c>
      <c r="F22" s="569"/>
      <c r="G22" s="569"/>
      <c r="H22" s="569"/>
      <c r="I22" s="570"/>
      <c r="J22" s="603" t="str">
        <f>IF(AND('Mapa final'!$K$10="Media",'Mapa final'!$O$10="Leve"),CONCATENATE("R",'Mapa final'!$A$10),"")</f>
        <v/>
      </c>
      <c r="K22" s="604"/>
      <c r="L22" s="604" t="str">
        <f>IF(AND('Mapa final'!$K$16="Media",'Mapa final'!$O$16="Leve"),CONCATENATE("R",'Mapa final'!$A$16),"")</f>
        <v/>
      </c>
      <c r="M22" s="604"/>
      <c r="N22" s="604" t="str">
        <f>IF(AND('Mapa final'!$K$22="Media",'Mapa final'!$O$22="Leve"),CONCATENATE("R",'Mapa final'!$A$22),"")</f>
        <v/>
      </c>
      <c r="O22" s="605"/>
      <c r="P22" s="603" t="str">
        <f>IF(AND('Mapa final'!$K$10="Media",'Mapa final'!$O$10="Menor"),CONCATENATE("R",'Mapa final'!$A$10),"")</f>
        <v/>
      </c>
      <c r="Q22" s="604"/>
      <c r="R22" s="604" t="str">
        <f>IF(AND('Mapa final'!$K$16="Media",'Mapa final'!$O$16="Menor"),CONCATENATE("R",'Mapa final'!$A$16),"")</f>
        <v/>
      </c>
      <c r="S22" s="604"/>
      <c r="T22" s="604" t="str">
        <f>IF(AND('Mapa final'!$K$22="Media",'Mapa final'!$O$22="Menor"),CONCATENATE("R",'Mapa final'!$A$22),"")</f>
        <v/>
      </c>
      <c r="U22" s="605"/>
      <c r="V22" s="603" t="str">
        <f>IF(AND('Mapa final'!$K$10="Media",'Mapa final'!$O$10="Moderado"),CONCATENATE("R",'Mapa final'!$A$10),"")</f>
        <v/>
      </c>
      <c r="W22" s="604"/>
      <c r="X22" s="604" t="str">
        <f>IF(AND('Mapa final'!$K$16="Media",'Mapa final'!$O$16="Moderado"),CONCATENATE("R",'Mapa final'!$A$16),"")</f>
        <v/>
      </c>
      <c r="Y22" s="604"/>
      <c r="Z22" s="604" t="str">
        <f>IF(AND('Mapa final'!$K$22="Media",'Mapa final'!$O$22="Moderado"),CONCATENATE("R",'Mapa final'!$A$22),"")</f>
        <v/>
      </c>
      <c r="AA22" s="605"/>
      <c r="AB22" s="579" t="str">
        <f>IF(AND('Mapa final'!$K$10="Media",'Mapa final'!$O$10="Mayor"),CONCATENATE("R",'Mapa final'!$A$10),"")</f>
        <v/>
      </c>
      <c r="AC22" s="580"/>
      <c r="AD22" s="580" t="str">
        <f>IF(AND('Mapa final'!$K$16="Media",'Mapa final'!$O$16="Mayor"),CONCATENATE("R",'Mapa final'!$A$16),"")</f>
        <v/>
      </c>
      <c r="AE22" s="580"/>
      <c r="AF22" s="580" t="str">
        <f>IF(AND('Mapa final'!$K$22="Media",'Mapa final'!$O$22="Mayor"),CONCATENATE("R",'Mapa final'!$A$22),"")</f>
        <v/>
      </c>
      <c r="AG22" s="582"/>
      <c r="AH22" s="594" t="str">
        <f>IF(AND('Mapa final'!$K$10="Media",'Mapa final'!$O$10="Catastrófico"),CONCATENATE("R",'Mapa final'!$A$10),"")</f>
        <v>R1</v>
      </c>
      <c r="AI22" s="595"/>
      <c r="AJ22" s="595" t="str">
        <f>IF(AND('Mapa final'!$K$16="Media",'Mapa final'!$O$16="Catastrófico"),CONCATENATE("R",'Mapa final'!$A$16),"")</f>
        <v>R2</v>
      </c>
      <c r="AK22" s="595"/>
      <c r="AL22" s="595" t="str">
        <f>IF(AND('Mapa final'!$K$22="Media",'Mapa final'!$O$22="Catastrófico"),CONCATENATE("R",'Mapa final'!$A$22),"")</f>
        <v/>
      </c>
      <c r="AM22" s="596"/>
      <c r="AN22" s="67"/>
      <c r="AO22" s="550" t="s">
        <v>79</v>
      </c>
      <c r="AP22" s="551"/>
      <c r="AQ22" s="551"/>
      <c r="AR22" s="551"/>
      <c r="AS22" s="551"/>
      <c r="AT22" s="552"/>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30"/>
      <c r="C23" s="530"/>
      <c r="D23" s="531"/>
      <c r="E23" s="571"/>
      <c r="F23" s="572"/>
      <c r="G23" s="572"/>
      <c r="H23" s="572"/>
      <c r="I23" s="573"/>
      <c r="J23" s="597"/>
      <c r="K23" s="598"/>
      <c r="L23" s="598"/>
      <c r="M23" s="598"/>
      <c r="N23" s="598"/>
      <c r="O23" s="599"/>
      <c r="P23" s="597"/>
      <c r="Q23" s="598"/>
      <c r="R23" s="598"/>
      <c r="S23" s="598"/>
      <c r="T23" s="598"/>
      <c r="U23" s="599"/>
      <c r="V23" s="597"/>
      <c r="W23" s="598"/>
      <c r="X23" s="598"/>
      <c r="Y23" s="598"/>
      <c r="Z23" s="598"/>
      <c r="AA23" s="599"/>
      <c r="AB23" s="581"/>
      <c r="AC23" s="577"/>
      <c r="AD23" s="577"/>
      <c r="AE23" s="577"/>
      <c r="AF23" s="577"/>
      <c r="AG23" s="578"/>
      <c r="AH23" s="588"/>
      <c r="AI23" s="589"/>
      <c r="AJ23" s="589"/>
      <c r="AK23" s="589"/>
      <c r="AL23" s="589"/>
      <c r="AM23" s="590"/>
      <c r="AN23" s="67"/>
      <c r="AO23" s="553"/>
      <c r="AP23" s="554"/>
      <c r="AQ23" s="554"/>
      <c r="AR23" s="554"/>
      <c r="AS23" s="554"/>
      <c r="AT23" s="555"/>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30"/>
      <c r="C24" s="530"/>
      <c r="D24" s="531"/>
      <c r="E24" s="571"/>
      <c r="F24" s="572"/>
      <c r="G24" s="572"/>
      <c r="H24" s="572"/>
      <c r="I24" s="573"/>
      <c r="J24" s="597" t="str">
        <f>IF(AND('Mapa final'!$K$28="Media",'Mapa final'!$O$28="Leve"),CONCATENATE("R",'Mapa final'!$A$28),"")</f>
        <v/>
      </c>
      <c r="K24" s="598"/>
      <c r="L24" s="598" t="str">
        <f>IF(AND('Mapa final'!$K$34="Media",'Mapa final'!$O$34="Leve"),CONCATENATE("R",'Mapa final'!$A$34),"")</f>
        <v/>
      </c>
      <c r="M24" s="598"/>
      <c r="N24" s="598" t="str">
        <f>IF(AND('Mapa final'!$K$40="Media",'Mapa final'!$O$40="Leve"),CONCATENATE("R",'Mapa final'!$A$40),"")</f>
        <v/>
      </c>
      <c r="O24" s="599"/>
      <c r="P24" s="597" t="str">
        <f>IF(AND('Mapa final'!$K$28="Media",'Mapa final'!$O$28="Menor"),CONCATENATE("R",'Mapa final'!$A$28),"")</f>
        <v/>
      </c>
      <c r="Q24" s="598"/>
      <c r="R24" s="598" t="str">
        <f>IF(AND('Mapa final'!$K$34="Media",'Mapa final'!$O$34="Menor"),CONCATENATE("R",'Mapa final'!$A$34),"")</f>
        <v/>
      </c>
      <c r="S24" s="598"/>
      <c r="T24" s="598" t="str">
        <f>IF(AND('Mapa final'!$K$40="Media",'Mapa final'!$O$40="Menor"),CONCATENATE("R",'Mapa final'!$A$40),"")</f>
        <v/>
      </c>
      <c r="U24" s="599"/>
      <c r="V24" s="597" t="str">
        <f>IF(AND('Mapa final'!$K$28="Media",'Mapa final'!$O$28="Moderado"),CONCATENATE("R",'Mapa final'!$A$28),"")</f>
        <v/>
      </c>
      <c r="W24" s="598"/>
      <c r="X24" s="598" t="str">
        <f>IF(AND('Mapa final'!$K$34="Media",'Mapa final'!$O$34="Moderado"),CONCATENATE("R",'Mapa final'!$A$34),"")</f>
        <v/>
      </c>
      <c r="Y24" s="598"/>
      <c r="Z24" s="598" t="str">
        <f>IF(AND('Mapa final'!$K$40="Media",'Mapa final'!$O$40="Moderado"),CONCATENATE("R",'Mapa final'!$A$40),"")</f>
        <v/>
      </c>
      <c r="AA24" s="599"/>
      <c r="AB24" s="581" t="str">
        <f>IF(AND('Mapa final'!$K$28="Media",'Mapa final'!$O$28="Mayor"),CONCATENATE("R",'Mapa final'!$A$28),"")</f>
        <v/>
      </c>
      <c r="AC24" s="577"/>
      <c r="AD24" s="577" t="str">
        <f>IF(AND('Mapa final'!$K$34="Media",'Mapa final'!$O$34="Mayor"),CONCATENATE("R",'Mapa final'!$A$34),"")</f>
        <v/>
      </c>
      <c r="AE24" s="577"/>
      <c r="AF24" s="577" t="str">
        <f>IF(AND('Mapa final'!$K$40="Media",'Mapa final'!$O$40="Mayor"),CONCATENATE("R",'Mapa final'!$A$40),"")</f>
        <v/>
      </c>
      <c r="AG24" s="578"/>
      <c r="AH24" s="588" t="str">
        <f>IF(AND('Mapa final'!$K$28="Media",'Mapa final'!$O$28="Catastrófico"),CONCATENATE("R",'Mapa final'!$A$28),"")</f>
        <v/>
      </c>
      <c r="AI24" s="589"/>
      <c r="AJ24" s="589" t="str">
        <f>IF(AND('Mapa final'!$K$34="Media",'Mapa final'!$O$34="Catastrófico"),CONCATENATE("R",'Mapa final'!$A$34),"")</f>
        <v/>
      </c>
      <c r="AK24" s="589"/>
      <c r="AL24" s="589" t="str">
        <f>IF(AND('Mapa final'!$K$40="Media",'Mapa final'!$O$40="Catastrófico"),CONCATENATE("R",'Mapa final'!$A$40),"")</f>
        <v/>
      </c>
      <c r="AM24" s="590"/>
      <c r="AN24" s="67"/>
      <c r="AO24" s="553"/>
      <c r="AP24" s="554"/>
      <c r="AQ24" s="554"/>
      <c r="AR24" s="554"/>
      <c r="AS24" s="554"/>
      <c r="AT24" s="555"/>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30"/>
      <c r="C25" s="530"/>
      <c r="D25" s="531"/>
      <c r="E25" s="571"/>
      <c r="F25" s="572"/>
      <c r="G25" s="572"/>
      <c r="H25" s="572"/>
      <c r="I25" s="573"/>
      <c r="J25" s="597"/>
      <c r="K25" s="598"/>
      <c r="L25" s="598"/>
      <c r="M25" s="598"/>
      <c r="N25" s="598"/>
      <c r="O25" s="599"/>
      <c r="P25" s="597"/>
      <c r="Q25" s="598"/>
      <c r="R25" s="598"/>
      <c r="S25" s="598"/>
      <c r="T25" s="598"/>
      <c r="U25" s="599"/>
      <c r="V25" s="597"/>
      <c r="W25" s="598"/>
      <c r="X25" s="598"/>
      <c r="Y25" s="598"/>
      <c r="Z25" s="598"/>
      <c r="AA25" s="599"/>
      <c r="AB25" s="581"/>
      <c r="AC25" s="577"/>
      <c r="AD25" s="577"/>
      <c r="AE25" s="577"/>
      <c r="AF25" s="577"/>
      <c r="AG25" s="578"/>
      <c r="AH25" s="588"/>
      <c r="AI25" s="589"/>
      <c r="AJ25" s="589"/>
      <c r="AK25" s="589"/>
      <c r="AL25" s="589"/>
      <c r="AM25" s="590"/>
      <c r="AN25" s="67"/>
      <c r="AO25" s="553"/>
      <c r="AP25" s="554"/>
      <c r="AQ25" s="554"/>
      <c r="AR25" s="554"/>
      <c r="AS25" s="554"/>
      <c r="AT25" s="555"/>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30"/>
      <c r="C26" s="530"/>
      <c r="D26" s="531"/>
      <c r="E26" s="571"/>
      <c r="F26" s="572"/>
      <c r="G26" s="572"/>
      <c r="H26" s="572"/>
      <c r="I26" s="573"/>
      <c r="J26" s="597" t="str">
        <f>IF(AND('Mapa final'!$K$46="Media",'Mapa final'!$O$46="Leve"),CONCATENATE("R",'Mapa final'!$A$46),"")</f>
        <v/>
      </c>
      <c r="K26" s="598"/>
      <c r="L26" s="598" t="str">
        <f>IF(AND('Mapa final'!$K$52="Media",'Mapa final'!$O$52="Leve"),CONCATENATE("R",'Mapa final'!$A$52),"")</f>
        <v/>
      </c>
      <c r="M26" s="598"/>
      <c r="N26" s="598" t="str">
        <f>IF(AND('Mapa final'!$K$58="Media",'Mapa final'!$O$58="Leve"),CONCATENATE("R",'Mapa final'!$A$58),"")</f>
        <v/>
      </c>
      <c r="O26" s="599"/>
      <c r="P26" s="597" t="str">
        <f>IF(AND('Mapa final'!$K$46="Media",'Mapa final'!$O$46="Menor"),CONCATENATE("R",'Mapa final'!$A$46),"")</f>
        <v/>
      </c>
      <c r="Q26" s="598"/>
      <c r="R26" s="598" t="str">
        <f>IF(AND('Mapa final'!$K$52="Media",'Mapa final'!$O$52="Menor"),CONCATENATE("R",'Mapa final'!$A$52),"")</f>
        <v/>
      </c>
      <c r="S26" s="598"/>
      <c r="T26" s="598" t="str">
        <f>IF(AND('Mapa final'!$K$58="Media",'Mapa final'!$O$58="Menor"),CONCATENATE("R",'Mapa final'!$A$58),"")</f>
        <v/>
      </c>
      <c r="U26" s="599"/>
      <c r="V26" s="597" t="str">
        <f>IF(AND('Mapa final'!$K$46="Media",'Mapa final'!$O$46="Moderado"),CONCATENATE("R",'Mapa final'!$A$46),"")</f>
        <v/>
      </c>
      <c r="W26" s="598"/>
      <c r="X26" s="598" t="str">
        <f>IF(AND('Mapa final'!$K$52="Media",'Mapa final'!$O$52="Moderado"),CONCATENATE("R",'Mapa final'!$A$52),"")</f>
        <v/>
      </c>
      <c r="Y26" s="598"/>
      <c r="Z26" s="598" t="str">
        <f>IF(AND('Mapa final'!$K$58="Media",'Mapa final'!$O$58="Moderado"),CONCATENATE("R",'Mapa final'!$A$58),"")</f>
        <v/>
      </c>
      <c r="AA26" s="599"/>
      <c r="AB26" s="581" t="str">
        <f>IF(AND('Mapa final'!$K$46="Media",'Mapa final'!$O$46="Mayor"),CONCATENATE("R",'Mapa final'!$A$46),"")</f>
        <v/>
      </c>
      <c r="AC26" s="577"/>
      <c r="AD26" s="577" t="str">
        <f>IF(AND('Mapa final'!$K$52="Media",'Mapa final'!$O$52="Mayor"),CONCATENATE("R",'Mapa final'!$A$52),"")</f>
        <v/>
      </c>
      <c r="AE26" s="577"/>
      <c r="AF26" s="577" t="str">
        <f>IF(AND('Mapa final'!$K$58="Media",'Mapa final'!$O$58="Mayor"),CONCATENATE("R",'Mapa final'!$A$58),"")</f>
        <v/>
      </c>
      <c r="AG26" s="578"/>
      <c r="AH26" s="588" t="str">
        <f>IF(AND('Mapa final'!$K$46="Media",'Mapa final'!$O$46="Catastrófico"),CONCATENATE("R",'Mapa final'!$A$46),"")</f>
        <v/>
      </c>
      <c r="AI26" s="589"/>
      <c r="AJ26" s="589" t="str">
        <f>IF(AND('Mapa final'!$K$52="Media",'Mapa final'!$O$52="Catastrófico"),CONCATENATE("R",'Mapa final'!$A$52),"")</f>
        <v/>
      </c>
      <c r="AK26" s="589"/>
      <c r="AL26" s="589" t="str">
        <f>IF(AND('Mapa final'!$K$58="Media",'Mapa final'!$O$58="Catastrófico"),CONCATENATE("R",'Mapa final'!$A$58),"")</f>
        <v/>
      </c>
      <c r="AM26" s="590"/>
      <c r="AN26" s="67"/>
      <c r="AO26" s="553"/>
      <c r="AP26" s="554"/>
      <c r="AQ26" s="554"/>
      <c r="AR26" s="554"/>
      <c r="AS26" s="554"/>
      <c r="AT26" s="555"/>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30"/>
      <c r="C27" s="530"/>
      <c r="D27" s="531"/>
      <c r="E27" s="571"/>
      <c r="F27" s="572"/>
      <c r="G27" s="572"/>
      <c r="H27" s="572"/>
      <c r="I27" s="573"/>
      <c r="J27" s="597"/>
      <c r="K27" s="598"/>
      <c r="L27" s="598"/>
      <c r="M27" s="598"/>
      <c r="N27" s="598"/>
      <c r="O27" s="599"/>
      <c r="P27" s="597"/>
      <c r="Q27" s="598"/>
      <c r="R27" s="598"/>
      <c r="S27" s="598"/>
      <c r="T27" s="598"/>
      <c r="U27" s="599"/>
      <c r="V27" s="597"/>
      <c r="W27" s="598"/>
      <c r="X27" s="598"/>
      <c r="Y27" s="598"/>
      <c r="Z27" s="598"/>
      <c r="AA27" s="599"/>
      <c r="AB27" s="581"/>
      <c r="AC27" s="577"/>
      <c r="AD27" s="577"/>
      <c r="AE27" s="577"/>
      <c r="AF27" s="577"/>
      <c r="AG27" s="578"/>
      <c r="AH27" s="588"/>
      <c r="AI27" s="589"/>
      <c r="AJ27" s="589"/>
      <c r="AK27" s="589"/>
      <c r="AL27" s="589"/>
      <c r="AM27" s="590"/>
      <c r="AN27" s="67"/>
      <c r="AO27" s="553"/>
      <c r="AP27" s="554"/>
      <c r="AQ27" s="554"/>
      <c r="AR27" s="554"/>
      <c r="AS27" s="554"/>
      <c r="AT27" s="555"/>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30"/>
      <c r="C28" s="530"/>
      <c r="D28" s="531"/>
      <c r="E28" s="571"/>
      <c r="F28" s="572"/>
      <c r="G28" s="572"/>
      <c r="H28" s="572"/>
      <c r="I28" s="573"/>
      <c r="J28" s="597" t="str">
        <f>IF(AND('Mapa final'!$K$64="Media",'Mapa final'!$O$64="Leve"),CONCATENATE("R",'Mapa final'!$A$64),"")</f>
        <v/>
      </c>
      <c r="K28" s="598"/>
      <c r="L28" s="598" t="str">
        <f>IF(AND('Mapa final'!$K$70="Media",'Mapa final'!$O$70="Leve"),CONCATENATE("R",'Mapa final'!$A$70),"")</f>
        <v/>
      </c>
      <c r="M28" s="598"/>
      <c r="N28" s="598" t="str">
        <f>IF(AND('Mapa final'!$K$76="Media",'Mapa final'!$O$76="Leve"),CONCATENATE("R",'Mapa final'!$A$76),"")</f>
        <v/>
      </c>
      <c r="O28" s="599"/>
      <c r="P28" s="597" t="str">
        <f>IF(AND('Mapa final'!$K$64="Media",'Mapa final'!$O$64="Menor"),CONCATENATE("R",'Mapa final'!$A$64),"")</f>
        <v/>
      </c>
      <c r="Q28" s="598"/>
      <c r="R28" s="598" t="str">
        <f>IF(AND('Mapa final'!$K$70="Media",'Mapa final'!$O$70="Menor"),CONCATENATE("R",'Mapa final'!$A$70),"")</f>
        <v/>
      </c>
      <c r="S28" s="598"/>
      <c r="T28" s="598" t="str">
        <f>IF(AND('Mapa final'!$K$76="Media",'Mapa final'!$O$76="Menor"),CONCATENATE("R",'Mapa final'!$A$76),"")</f>
        <v/>
      </c>
      <c r="U28" s="599"/>
      <c r="V28" s="597" t="str">
        <f>IF(AND('Mapa final'!$K$64="Media",'Mapa final'!$O$64="Moderado"),CONCATENATE("R",'Mapa final'!$A$64),"")</f>
        <v/>
      </c>
      <c r="W28" s="598"/>
      <c r="X28" s="598" t="str">
        <f>IF(AND('Mapa final'!$K$70="Media",'Mapa final'!$O$70="Moderado"),CONCATENATE("R",'Mapa final'!$A$70),"")</f>
        <v/>
      </c>
      <c r="Y28" s="598"/>
      <c r="Z28" s="598" t="str">
        <f>IF(AND('Mapa final'!$K$76="Media",'Mapa final'!$O$76="Moderado"),CONCATENATE("R",'Mapa final'!$A$76),"")</f>
        <v/>
      </c>
      <c r="AA28" s="599"/>
      <c r="AB28" s="581" t="str">
        <f>IF(AND('Mapa final'!$K$64="Media",'Mapa final'!$O$64="Mayor"),CONCATENATE("R",'Mapa final'!$A$64),"")</f>
        <v/>
      </c>
      <c r="AC28" s="577"/>
      <c r="AD28" s="577" t="str">
        <f>IF(AND('Mapa final'!$K$70="Media",'Mapa final'!$O$70="Mayor"),CONCATENATE("R",'Mapa final'!$A$70),"")</f>
        <v/>
      </c>
      <c r="AE28" s="577"/>
      <c r="AF28" s="577" t="str">
        <f>IF(AND('Mapa final'!$K$76="Media",'Mapa final'!$O$76="Mayor"),CONCATENATE("R",'Mapa final'!$A$76),"")</f>
        <v/>
      </c>
      <c r="AG28" s="578"/>
      <c r="AH28" s="588" t="str">
        <f>IF(AND('Mapa final'!$K$64="Media",'Mapa final'!$O$64="Catastrófico"),CONCATENATE("R",'Mapa final'!$A$64),"")</f>
        <v/>
      </c>
      <c r="AI28" s="589"/>
      <c r="AJ28" s="589" t="str">
        <f>IF(AND('Mapa final'!$K$70="Media",'Mapa final'!$O$70="Catastrófico"),CONCATENATE("R",'Mapa final'!$A$70),"")</f>
        <v/>
      </c>
      <c r="AK28" s="589"/>
      <c r="AL28" s="589" t="str">
        <f>IF(AND('Mapa final'!$K$76="Media",'Mapa final'!$O$76="Catastrófico"),CONCATENATE("R",'Mapa final'!$A$76),"")</f>
        <v/>
      </c>
      <c r="AM28" s="590"/>
      <c r="AN28" s="67"/>
      <c r="AO28" s="553"/>
      <c r="AP28" s="554"/>
      <c r="AQ28" s="554"/>
      <c r="AR28" s="554"/>
      <c r="AS28" s="554"/>
      <c r="AT28" s="555"/>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30"/>
      <c r="C29" s="530"/>
      <c r="D29" s="531"/>
      <c r="E29" s="574"/>
      <c r="F29" s="575"/>
      <c r="G29" s="575"/>
      <c r="H29" s="575"/>
      <c r="I29" s="576"/>
      <c r="J29" s="597"/>
      <c r="K29" s="598"/>
      <c r="L29" s="598"/>
      <c r="M29" s="598"/>
      <c r="N29" s="598"/>
      <c r="O29" s="599"/>
      <c r="P29" s="600"/>
      <c r="Q29" s="601"/>
      <c r="R29" s="601"/>
      <c r="S29" s="601"/>
      <c r="T29" s="601"/>
      <c r="U29" s="602"/>
      <c r="V29" s="600"/>
      <c r="W29" s="601"/>
      <c r="X29" s="601"/>
      <c r="Y29" s="601"/>
      <c r="Z29" s="601"/>
      <c r="AA29" s="602"/>
      <c r="AB29" s="585"/>
      <c r="AC29" s="586"/>
      <c r="AD29" s="586"/>
      <c r="AE29" s="586"/>
      <c r="AF29" s="586"/>
      <c r="AG29" s="587"/>
      <c r="AH29" s="591"/>
      <c r="AI29" s="592"/>
      <c r="AJ29" s="592"/>
      <c r="AK29" s="592"/>
      <c r="AL29" s="592"/>
      <c r="AM29" s="593"/>
      <c r="AN29" s="67"/>
      <c r="AO29" s="556"/>
      <c r="AP29" s="557"/>
      <c r="AQ29" s="557"/>
      <c r="AR29" s="557"/>
      <c r="AS29" s="557"/>
      <c r="AT29" s="558"/>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30"/>
      <c r="C30" s="530"/>
      <c r="D30" s="531"/>
      <c r="E30" s="568" t="s">
        <v>108</v>
      </c>
      <c r="F30" s="569"/>
      <c r="G30" s="569"/>
      <c r="H30" s="569"/>
      <c r="I30" s="569"/>
      <c r="J30" s="612" t="str">
        <f>IF(AND('Mapa final'!$K$10="Baja",'Mapa final'!$O$10="Leve"),CONCATENATE("R",'Mapa final'!$A$10),"")</f>
        <v/>
      </c>
      <c r="K30" s="613"/>
      <c r="L30" s="613" t="str">
        <f>IF(AND('Mapa final'!$K$16="Baja",'Mapa final'!$O$16="Leve"),CONCATENATE("R",'Mapa final'!$A$16),"")</f>
        <v/>
      </c>
      <c r="M30" s="613"/>
      <c r="N30" s="613" t="str">
        <f>IF(AND('Mapa final'!$K$22="Baja",'Mapa final'!$O$22="Leve"),CONCATENATE("R",'Mapa final'!$A$22),"")</f>
        <v/>
      </c>
      <c r="O30" s="614"/>
      <c r="P30" s="604" t="str">
        <f>IF(AND('Mapa final'!$K$10="Baja",'Mapa final'!$O$10="Menor"),CONCATENATE("R",'Mapa final'!$A$10),"")</f>
        <v/>
      </c>
      <c r="Q30" s="604"/>
      <c r="R30" s="604" t="str">
        <f>IF(AND('Mapa final'!$K$16="Baja",'Mapa final'!$O$16="Menor"),CONCATENATE("R",'Mapa final'!$A$16),"")</f>
        <v/>
      </c>
      <c r="S30" s="604"/>
      <c r="T30" s="604" t="str">
        <f>IF(AND('Mapa final'!$K$22="Baja",'Mapa final'!$O$22="Menor"),CONCATENATE("R",'Mapa final'!$A$22),"")</f>
        <v/>
      </c>
      <c r="U30" s="605"/>
      <c r="V30" s="603" t="str">
        <f>IF(AND('Mapa final'!$K$10="Baja",'Mapa final'!$O$10="Moderado"),CONCATENATE("R",'Mapa final'!$A$10),"")</f>
        <v/>
      </c>
      <c r="W30" s="604"/>
      <c r="X30" s="604" t="str">
        <f>IF(AND('Mapa final'!$K$16="Baja",'Mapa final'!$O$16="Moderado"),CONCATENATE("R",'Mapa final'!$A$16),"")</f>
        <v/>
      </c>
      <c r="Y30" s="604"/>
      <c r="Z30" s="604" t="str">
        <f>IF(AND('Mapa final'!$K$22="Baja",'Mapa final'!$O$22="Moderado"),CONCATENATE("R",'Mapa final'!$A$22),"")</f>
        <v/>
      </c>
      <c r="AA30" s="605"/>
      <c r="AB30" s="579" t="str">
        <f>IF(AND('Mapa final'!$K$10="Baja",'Mapa final'!$O$10="Mayor"),CONCATENATE("R",'Mapa final'!$A$10),"")</f>
        <v/>
      </c>
      <c r="AC30" s="580"/>
      <c r="AD30" s="580" t="str">
        <f>IF(AND('Mapa final'!$K$16="Baja",'Mapa final'!$O$16="Mayor"),CONCATENATE("R",'Mapa final'!$A$16),"")</f>
        <v/>
      </c>
      <c r="AE30" s="580"/>
      <c r="AF30" s="580" t="str">
        <f>IF(AND('Mapa final'!$K$22="Baja",'Mapa final'!$O$22="Mayor"),CONCATENATE("R",'Mapa final'!$A$22),"")</f>
        <v/>
      </c>
      <c r="AG30" s="582"/>
      <c r="AH30" s="594" t="str">
        <f>IF(AND('Mapa final'!$K$10="Baja",'Mapa final'!$O$10="Catastrófico"),CONCATENATE("R",'Mapa final'!$A$10),"")</f>
        <v/>
      </c>
      <c r="AI30" s="595"/>
      <c r="AJ30" s="595" t="str">
        <f>IF(AND('Mapa final'!$K$16="Baja",'Mapa final'!$O$16="Catastrófico"),CONCATENATE("R",'Mapa final'!$A$16),"")</f>
        <v/>
      </c>
      <c r="AK30" s="595"/>
      <c r="AL30" s="595" t="str">
        <f>IF(AND('Mapa final'!$K$22="Baja",'Mapa final'!$O$22="Catastrófico"),CONCATENATE("R",'Mapa final'!$A$22),"")</f>
        <v/>
      </c>
      <c r="AM30" s="596"/>
      <c r="AN30" s="67"/>
      <c r="AO30" s="559" t="s">
        <v>80</v>
      </c>
      <c r="AP30" s="560"/>
      <c r="AQ30" s="560"/>
      <c r="AR30" s="560"/>
      <c r="AS30" s="560"/>
      <c r="AT30" s="56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30"/>
      <c r="C31" s="530"/>
      <c r="D31" s="531"/>
      <c r="E31" s="571"/>
      <c r="F31" s="572"/>
      <c r="G31" s="572"/>
      <c r="H31" s="572"/>
      <c r="I31" s="572"/>
      <c r="J31" s="608"/>
      <c r="K31" s="606"/>
      <c r="L31" s="606"/>
      <c r="M31" s="606"/>
      <c r="N31" s="606"/>
      <c r="O31" s="607"/>
      <c r="P31" s="598"/>
      <c r="Q31" s="598"/>
      <c r="R31" s="598"/>
      <c r="S31" s="598"/>
      <c r="T31" s="598"/>
      <c r="U31" s="599"/>
      <c r="V31" s="597"/>
      <c r="W31" s="598"/>
      <c r="X31" s="598"/>
      <c r="Y31" s="598"/>
      <c r="Z31" s="598"/>
      <c r="AA31" s="599"/>
      <c r="AB31" s="581"/>
      <c r="AC31" s="577"/>
      <c r="AD31" s="577"/>
      <c r="AE31" s="577"/>
      <c r="AF31" s="577"/>
      <c r="AG31" s="578"/>
      <c r="AH31" s="588"/>
      <c r="AI31" s="589"/>
      <c r="AJ31" s="589"/>
      <c r="AK31" s="589"/>
      <c r="AL31" s="589"/>
      <c r="AM31" s="590"/>
      <c r="AN31" s="67"/>
      <c r="AO31" s="562"/>
      <c r="AP31" s="563"/>
      <c r="AQ31" s="563"/>
      <c r="AR31" s="563"/>
      <c r="AS31" s="563"/>
      <c r="AT31" s="564"/>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30"/>
      <c r="C32" s="530"/>
      <c r="D32" s="531"/>
      <c r="E32" s="571"/>
      <c r="F32" s="572"/>
      <c r="G32" s="572"/>
      <c r="H32" s="572"/>
      <c r="I32" s="572"/>
      <c r="J32" s="608" t="str">
        <f>IF(AND('Mapa final'!$K$28="Baja",'Mapa final'!$O$28="Leve"),CONCATENATE("R",'Mapa final'!$A$28),"")</f>
        <v/>
      </c>
      <c r="K32" s="606"/>
      <c r="L32" s="606" t="str">
        <f>IF(AND('Mapa final'!$K$34="Baja",'Mapa final'!$O$34="Leve"),CONCATENATE("R",'Mapa final'!$A$34),"")</f>
        <v/>
      </c>
      <c r="M32" s="606"/>
      <c r="N32" s="606" t="str">
        <f>IF(AND('Mapa final'!$K$40="Baja",'Mapa final'!$O$40="Leve"),CONCATENATE("R",'Mapa final'!$A$40),"")</f>
        <v/>
      </c>
      <c r="O32" s="607"/>
      <c r="P32" s="598" t="str">
        <f>IF(AND('Mapa final'!$K$28="Baja",'Mapa final'!$O$28="Menor"),CONCATENATE("R",'Mapa final'!$A$28),"")</f>
        <v/>
      </c>
      <c r="Q32" s="598"/>
      <c r="R32" s="598" t="str">
        <f>IF(AND('Mapa final'!$K$34="Baja",'Mapa final'!$O$34="Menor"),CONCATENATE("R",'Mapa final'!$A$34),"")</f>
        <v/>
      </c>
      <c r="S32" s="598"/>
      <c r="T32" s="598" t="str">
        <f>IF(AND('Mapa final'!$K$40="Baja",'Mapa final'!$O$40="Menor"),CONCATENATE("R",'Mapa final'!$A$40),"")</f>
        <v/>
      </c>
      <c r="U32" s="599"/>
      <c r="V32" s="597" t="str">
        <f>IF(AND('Mapa final'!$K$28="Baja",'Mapa final'!$O$28="Moderado"),CONCATENATE("R",'Mapa final'!$A$28),"")</f>
        <v/>
      </c>
      <c r="W32" s="598"/>
      <c r="X32" s="598" t="str">
        <f>IF(AND('Mapa final'!$K$34="Baja",'Mapa final'!$O$34="Moderado"),CONCATENATE("R",'Mapa final'!$A$34),"")</f>
        <v/>
      </c>
      <c r="Y32" s="598"/>
      <c r="Z32" s="598" t="str">
        <f>IF(AND('Mapa final'!$K$40="Baja",'Mapa final'!$O$40="Moderado"),CONCATENATE("R",'Mapa final'!$A$40),"")</f>
        <v/>
      </c>
      <c r="AA32" s="599"/>
      <c r="AB32" s="581" t="str">
        <f>IF(AND('Mapa final'!$K$28="Baja",'Mapa final'!$O$28="Mayor"),CONCATENATE("R",'Mapa final'!$A$28),"")</f>
        <v/>
      </c>
      <c r="AC32" s="577"/>
      <c r="AD32" s="577" t="str">
        <f>IF(AND('Mapa final'!$K$34="Baja",'Mapa final'!$O$34="Mayor"),CONCATENATE("R",'Mapa final'!$A$34),"")</f>
        <v/>
      </c>
      <c r="AE32" s="577"/>
      <c r="AF32" s="577" t="str">
        <f>IF(AND('Mapa final'!$K$40="Baja",'Mapa final'!$O$40="Mayor"),CONCATENATE("R",'Mapa final'!$A$40),"")</f>
        <v/>
      </c>
      <c r="AG32" s="578"/>
      <c r="AH32" s="588" t="str">
        <f>IF(AND('Mapa final'!$K$28="Baja",'Mapa final'!$O$28="Catastrófico"),CONCATENATE("R",'Mapa final'!$A$28),"")</f>
        <v/>
      </c>
      <c r="AI32" s="589"/>
      <c r="AJ32" s="589" t="str">
        <f>IF(AND('Mapa final'!$K$34="Baja",'Mapa final'!$O$34="Catastrófico"),CONCATENATE("R",'Mapa final'!$A$34),"")</f>
        <v/>
      </c>
      <c r="AK32" s="589"/>
      <c r="AL32" s="589" t="str">
        <f>IF(AND('Mapa final'!$K$40="Baja",'Mapa final'!$O$40="Catastrófico"),CONCATENATE("R",'Mapa final'!$A$40),"")</f>
        <v/>
      </c>
      <c r="AM32" s="590"/>
      <c r="AN32" s="67"/>
      <c r="AO32" s="562"/>
      <c r="AP32" s="563"/>
      <c r="AQ32" s="563"/>
      <c r="AR32" s="563"/>
      <c r="AS32" s="563"/>
      <c r="AT32" s="564"/>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30"/>
      <c r="C33" s="530"/>
      <c r="D33" s="531"/>
      <c r="E33" s="571"/>
      <c r="F33" s="572"/>
      <c r="G33" s="572"/>
      <c r="H33" s="572"/>
      <c r="I33" s="572"/>
      <c r="J33" s="608"/>
      <c r="K33" s="606"/>
      <c r="L33" s="606"/>
      <c r="M33" s="606"/>
      <c r="N33" s="606"/>
      <c r="O33" s="607"/>
      <c r="P33" s="598"/>
      <c r="Q33" s="598"/>
      <c r="R33" s="598"/>
      <c r="S33" s="598"/>
      <c r="T33" s="598"/>
      <c r="U33" s="599"/>
      <c r="V33" s="597"/>
      <c r="W33" s="598"/>
      <c r="X33" s="598"/>
      <c r="Y33" s="598"/>
      <c r="Z33" s="598"/>
      <c r="AA33" s="599"/>
      <c r="AB33" s="581"/>
      <c r="AC33" s="577"/>
      <c r="AD33" s="577"/>
      <c r="AE33" s="577"/>
      <c r="AF33" s="577"/>
      <c r="AG33" s="578"/>
      <c r="AH33" s="588"/>
      <c r="AI33" s="589"/>
      <c r="AJ33" s="589"/>
      <c r="AK33" s="589"/>
      <c r="AL33" s="589"/>
      <c r="AM33" s="590"/>
      <c r="AN33" s="67"/>
      <c r="AO33" s="562"/>
      <c r="AP33" s="563"/>
      <c r="AQ33" s="563"/>
      <c r="AR33" s="563"/>
      <c r="AS33" s="563"/>
      <c r="AT33" s="564"/>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30"/>
      <c r="C34" s="530"/>
      <c r="D34" s="531"/>
      <c r="E34" s="571"/>
      <c r="F34" s="572"/>
      <c r="G34" s="572"/>
      <c r="H34" s="572"/>
      <c r="I34" s="572"/>
      <c r="J34" s="608" t="str">
        <f>IF(AND('Mapa final'!$K$46="Baja",'Mapa final'!$O$46="Leve"),CONCATENATE("R",'Mapa final'!$A$46),"")</f>
        <v/>
      </c>
      <c r="K34" s="606"/>
      <c r="L34" s="606" t="str">
        <f>IF(AND('Mapa final'!$K$52="Baja",'Mapa final'!$O$52="Leve"),CONCATENATE("R",'Mapa final'!$A$52),"")</f>
        <v/>
      </c>
      <c r="M34" s="606"/>
      <c r="N34" s="606" t="str">
        <f>IF(AND('Mapa final'!$K$58="Baja",'Mapa final'!$O$58="Leve"),CONCATENATE("R",'Mapa final'!$A$58),"")</f>
        <v/>
      </c>
      <c r="O34" s="607"/>
      <c r="P34" s="598" t="str">
        <f>IF(AND('Mapa final'!$K$46="Baja",'Mapa final'!$O$46="Menor"),CONCATENATE("R",'Mapa final'!$A$46),"")</f>
        <v/>
      </c>
      <c r="Q34" s="598"/>
      <c r="R34" s="598" t="str">
        <f>IF(AND('Mapa final'!$K$52="Baja",'Mapa final'!$O$52="Menor"),CONCATENATE("R",'Mapa final'!$A$52),"")</f>
        <v/>
      </c>
      <c r="S34" s="598"/>
      <c r="T34" s="598" t="str">
        <f>IF(AND('Mapa final'!$K$58="Baja",'Mapa final'!$O$58="Menor"),CONCATENATE("R",'Mapa final'!$A$58),"")</f>
        <v/>
      </c>
      <c r="U34" s="599"/>
      <c r="V34" s="597" t="str">
        <f>IF(AND('Mapa final'!$K$46="Baja",'Mapa final'!$O$46="Moderado"),CONCATENATE("R",'Mapa final'!$A$46),"")</f>
        <v/>
      </c>
      <c r="W34" s="598"/>
      <c r="X34" s="598" t="str">
        <f>IF(AND('Mapa final'!$K$52="Baja",'Mapa final'!$O$52="Moderado"),CONCATENATE("R",'Mapa final'!$A$52),"")</f>
        <v/>
      </c>
      <c r="Y34" s="598"/>
      <c r="Z34" s="598" t="str">
        <f>IF(AND('Mapa final'!$K$58="Baja",'Mapa final'!$O$58="Moderado"),CONCATENATE("R",'Mapa final'!$A$58),"")</f>
        <v/>
      </c>
      <c r="AA34" s="599"/>
      <c r="AB34" s="581" t="str">
        <f>IF(AND('Mapa final'!$K$46="Baja",'Mapa final'!$O$46="Mayor"),CONCATENATE("R",'Mapa final'!$A$46),"")</f>
        <v/>
      </c>
      <c r="AC34" s="577"/>
      <c r="AD34" s="577" t="str">
        <f>IF(AND('Mapa final'!$K$52="Baja",'Mapa final'!$O$52="Mayor"),CONCATENATE("R",'Mapa final'!$A$52),"")</f>
        <v/>
      </c>
      <c r="AE34" s="577"/>
      <c r="AF34" s="577" t="str">
        <f>IF(AND('Mapa final'!$K$58="Baja",'Mapa final'!$O$58="Mayor"),CONCATENATE("R",'Mapa final'!$A$58),"")</f>
        <v/>
      </c>
      <c r="AG34" s="578"/>
      <c r="AH34" s="588" t="str">
        <f>IF(AND('Mapa final'!$K$46="Baja",'Mapa final'!$O$46="Catastrófico"),CONCATENATE("R",'Mapa final'!$A$46),"")</f>
        <v/>
      </c>
      <c r="AI34" s="589"/>
      <c r="AJ34" s="589" t="str">
        <f>IF(AND('Mapa final'!$K$52="Baja",'Mapa final'!$O$52="Catastrófico"),CONCATENATE("R",'Mapa final'!$A$52),"")</f>
        <v/>
      </c>
      <c r="AK34" s="589"/>
      <c r="AL34" s="589" t="str">
        <f>IF(AND('Mapa final'!$K$58="Baja",'Mapa final'!$O$58="Catastrófico"),CONCATENATE("R",'Mapa final'!$A$58),"")</f>
        <v/>
      </c>
      <c r="AM34" s="590"/>
      <c r="AN34" s="67"/>
      <c r="AO34" s="562"/>
      <c r="AP34" s="563"/>
      <c r="AQ34" s="563"/>
      <c r="AR34" s="563"/>
      <c r="AS34" s="563"/>
      <c r="AT34" s="564"/>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30"/>
      <c r="C35" s="530"/>
      <c r="D35" s="531"/>
      <c r="E35" s="571"/>
      <c r="F35" s="572"/>
      <c r="G35" s="572"/>
      <c r="H35" s="572"/>
      <c r="I35" s="572"/>
      <c r="J35" s="608"/>
      <c r="K35" s="606"/>
      <c r="L35" s="606"/>
      <c r="M35" s="606"/>
      <c r="N35" s="606"/>
      <c r="O35" s="607"/>
      <c r="P35" s="598"/>
      <c r="Q35" s="598"/>
      <c r="R35" s="598"/>
      <c r="S35" s="598"/>
      <c r="T35" s="598"/>
      <c r="U35" s="599"/>
      <c r="V35" s="597"/>
      <c r="W35" s="598"/>
      <c r="X35" s="598"/>
      <c r="Y35" s="598"/>
      <c r="Z35" s="598"/>
      <c r="AA35" s="599"/>
      <c r="AB35" s="581"/>
      <c r="AC35" s="577"/>
      <c r="AD35" s="577"/>
      <c r="AE35" s="577"/>
      <c r="AF35" s="577"/>
      <c r="AG35" s="578"/>
      <c r="AH35" s="588"/>
      <c r="AI35" s="589"/>
      <c r="AJ35" s="589"/>
      <c r="AK35" s="589"/>
      <c r="AL35" s="589"/>
      <c r="AM35" s="590"/>
      <c r="AN35" s="67"/>
      <c r="AO35" s="562"/>
      <c r="AP35" s="563"/>
      <c r="AQ35" s="563"/>
      <c r="AR35" s="563"/>
      <c r="AS35" s="563"/>
      <c r="AT35" s="56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30"/>
      <c r="C36" s="530"/>
      <c r="D36" s="531"/>
      <c r="E36" s="571"/>
      <c r="F36" s="572"/>
      <c r="G36" s="572"/>
      <c r="H36" s="572"/>
      <c r="I36" s="572"/>
      <c r="J36" s="608" t="str">
        <f>IF(AND('Mapa final'!$K$64="Baja",'Mapa final'!$O$64="Leve"),CONCATENATE("R",'Mapa final'!$A$64),"")</f>
        <v/>
      </c>
      <c r="K36" s="606"/>
      <c r="L36" s="606" t="str">
        <f>IF(AND('Mapa final'!$K$70="Baja",'Mapa final'!$O$70="Leve"),CONCATENATE("R",'Mapa final'!$A$70),"")</f>
        <v/>
      </c>
      <c r="M36" s="606"/>
      <c r="N36" s="606" t="str">
        <f>IF(AND('Mapa final'!$K$76="Baja",'Mapa final'!$O$76="Leve"),CONCATENATE("R",'Mapa final'!$A$76),"")</f>
        <v/>
      </c>
      <c r="O36" s="607"/>
      <c r="P36" s="598" t="str">
        <f>IF(AND('Mapa final'!$K$64="Baja",'Mapa final'!$O$64="Menor"),CONCATENATE("R",'Mapa final'!$A$64),"")</f>
        <v/>
      </c>
      <c r="Q36" s="598"/>
      <c r="R36" s="598" t="str">
        <f>IF(AND('Mapa final'!$K$70="Baja",'Mapa final'!$O$70="Menor"),CONCATENATE("R",'Mapa final'!$A$70),"")</f>
        <v/>
      </c>
      <c r="S36" s="598"/>
      <c r="T36" s="598" t="str">
        <f>IF(AND('Mapa final'!$K$76="Baja",'Mapa final'!$O$76="Menor"),CONCATENATE("R",'Mapa final'!$A$76),"")</f>
        <v/>
      </c>
      <c r="U36" s="599"/>
      <c r="V36" s="597" t="str">
        <f>IF(AND('Mapa final'!$K$64="Baja",'Mapa final'!$O$64="Moderado"),CONCATENATE("R",'Mapa final'!$A$64),"")</f>
        <v/>
      </c>
      <c r="W36" s="598"/>
      <c r="X36" s="598" t="str">
        <f>IF(AND('Mapa final'!$K$70="Baja",'Mapa final'!$O$70="Moderado"),CONCATENATE("R",'Mapa final'!$A$70),"")</f>
        <v/>
      </c>
      <c r="Y36" s="598"/>
      <c r="Z36" s="598" t="str">
        <f>IF(AND('Mapa final'!$K$76="Baja",'Mapa final'!$O$76="Moderado"),CONCATENATE("R",'Mapa final'!$A$76),"")</f>
        <v/>
      </c>
      <c r="AA36" s="599"/>
      <c r="AB36" s="581" t="str">
        <f>IF(AND('Mapa final'!$K$64="Baja",'Mapa final'!$O$64="Mayor"),CONCATENATE("R",'Mapa final'!$A$64),"")</f>
        <v/>
      </c>
      <c r="AC36" s="577"/>
      <c r="AD36" s="577" t="str">
        <f>IF(AND('Mapa final'!$K$70="Baja",'Mapa final'!$O$70="Mayor"),CONCATENATE("R",'Mapa final'!$A$70),"")</f>
        <v/>
      </c>
      <c r="AE36" s="577"/>
      <c r="AF36" s="577" t="str">
        <f>IF(AND('Mapa final'!$K$76="Baja",'Mapa final'!$O$76="Mayor"),CONCATENATE("R",'Mapa final'!$A$76),"")</f>
        <v/>
      </c>
      <c r="AG36" s="578"/>
      <c r="AH36" s="588" t="str">
        <f>IF(AND('Mapa final'!$K$64="Baja",'Mapa final'!$O$64="Catastrófico"),CONCATENATE("R",'Mapa final'!$A$64),"")</f>
        <v/>
      </c>
      <c r="AI36" s="589"/>
      <c r="AJ36" s="589" t="str">
        <f>IF(AND('Mapa final'!$K$70="Baja",'Mapa final'!$O$70="Catastrófico"),CONCATENATE("R",'Mapa final'!$A$70),"")</f>
        <v/>
      </c>
      <c r="AK36" s="589"/>
      <c r="AL36" s="589" t="str">
        <f>IF(AND('Mapa final'!$K$76="Baja",'Mapa final'!$O$76="Catastrófico"),CONCATENATE("R",'Mapa final'!$A$76),"")</f>
        <v/>
      </c>
      <c r="AM36" s="590"/>
      <c r="AN36" s="67"/>
      <c r="AO36" s="562"/>
      <c r="AP36" s="563"/>
      <c r="AQ36" s="563"/>
      <c r="AR36" s="563"/>
      <c r="AS36" s="563"/>
      <c r="AT36" s="564"/>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30"/>
      <c r="C37" s="530"/>
      <c r="D37" s="531"/>
      <c r="E37" s="574"/>
      <c r="F37" s="575"/>
      <c r="G37" s="575"/>
      <c r="H37" s="575"/>
      <c r="I37" s="575"/>
      <c r="J37" s="609"/>
      <c r="K37" s="610"/>
      <c r="L37" s="610"/>
      <c r="M37" s="610"/>
      <c r="N37" s="610"/>
      <c r="O37" s="611"/>
      <c r="P37" s="601"/>
      <c r="Q37" s="601"/>
      <c r="R37" s="601"/>
      <c r="S37" s="601"/>
      <c r="T37" s="601"/>
      <c r="U37" s="602"/>
      <c r="V37" s="600"/>
      <c r="W37" s="601"/>
      <c r="X37" s="601"/>
      <c r="Y37" s="601"/>
      <c r="Z37" s="601"/>
      <c r="AA37" s="602"/>
      <c r="AB37" s="585"/>
      <c r="AC37" s="586"/>
      <c r="AD37" s="586"/>
      <c r="AE37" s="586"/>
      <c r="AF37" s="586"/>
      <c r="AG37" s="587"/>
      <c r="AH37" s="591"/>
      <c r="AI37" s="592"/>
      <c r="AJ37" s="592"/>
      <c r="AK37" s="592"/>
      <c r="AL37" s="592"/>
      <c r="AM37" s="593"/>
      <c r="AN37" s="67"/>
      <c r="AO37" s="565"/>
      <c r="AP37" s="566"/>
      <c r="AQ37" s="566"/>
      <c r="AR37" s="566"/>
      <c r="AS37" s="566"/>
      <c r="AT37" s="5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30"/>
      <c r="C38" s="530"/>
      <c r="D38" s="531"/>
      <c r="E38" s="568" t="s">
        <v>107</v>
      </c>
      <c r="F38" s="569"/>
      <c r="G38" s="569"/>
      <c r="H38" s="569"/>
      <c r="I38" s="570"/>
      <c r="J38" s="612" t="str">
        <f>IF(AND('Mapa final'!$K$10="Muy Baja",'Mapa final'!$O$10="Leve"),CONCATENATE("R",'Mapa final'!$A$10),"")</f>
        <v/>
      </c>
      <c r="K38" s="613"/>
      <c r="L38" s="613" t="str">
        <f>IF(AND('Mapa final'!$K$16="Muy Baja",'Mapa final'!$O$16="Leve"),CONCATENATE("R",'Mapa final'!$A$16),"")</f>
        <v/>
      </c>
      <c r="M38" s="613"/>
      <c r="N38" s="613" t="str">
        <f>IF(AND('Mapa final'!$K$22="Muy Baja",'Mapa final'!$O$22="Leve"),CONCATENATE("R",'Mapa final'!$A$22),"")</f>
        <v/>
      </c>
      <c r="O38" s="614"/>
      <c r="P38" s="612" t="str">
        <f>IF(AND('Mapa final'!$K$10="Muy Baja",'Mapa final'!$O$10="Menor"),CONCATENATE("R",'Mapa final'!$A$10),"")</f>
        <v/>
      </c>
      <c r="Q38" s="613"/>
      <c r="R38" s="613" t="str">
        <f>IF(AND('Mapa final'!$K$16="Muy Baja",'Mapa final'!$O$16="Menor"),CONCATENATE("R",'Mapa final'!$A$16),"")</f>
        <v/>
      </c>
      <c r="S38" s="613"/>
      <c r="T38" s="613" t="str">
        <f>IF(AND('Mapa final'!$K$22="Muy Baja",'Mapa final'!$O$22="Menor"),CONCATENATE("R",'Mapa final'!$A$22),"")</f>
        <v/>
      </c>
      <c r="U38" s="614"/>
      <c r="V38" s="603" t="str">
        <f>IF(AND('Mapa final'!$K$10="Muy Baja",'Mapa final'!$O$10="Moderado"),CONCATENATE("R",'Mapa final'!$A$10),"")</f>
        <v/>
      </c>
      <c r="W38" s="604"/>
      <c r="X38" s="604" t="str">
        <f>IF(AND('Mapa final'!$K$16="Muy Baja",'Mapa final'!$O$16="Moderado"),CONCATENATE("R",'Mapa final'!$A$16),"")</f>
        <v/>
      </c>
      <c r="Y38" s="604"/>
      <c r="Z38" s="604" t="str">
        <f>IF(AND('Mapa final'!$K$22="Muy Baja",'Mapa final'!$O$22="Moderado"),CONCATENATE("R",'Mapa final'!$A$22),"")</f>
        <v/>
      </c>
      <c r="AA38" s="605"/>
      <c r="AB38" s="579" t="str">
        <f>IF(AND('Mapa final'!$K$10="Muy Baja",'Mapa final'!$O$10="Mayor"),CONCATENATE("R",'Mapa final'!$A$10),"")</f>
        <v/>
      </c>
      <c r="AC38" s="580"/>
      <c r="AD38" s="580" t="str">
        <f>IF(AND('Mapa final'!$K$16="Muy Baja",'Mapa final'!$O$16="Mayor"),CONCATENATE("R",'Mapa final'!$A$16),"")</f>
        <v/>
      </c>
      <c r="AE38" s="580"/>
      <c r="AF38" s="580" t="str">
        <f>IF(AND('Mapa final'!$K$22="Muy Baja",'Mapa final'!$O$22="Mayor"),CONCATENATE("R",'Mapa final'!$A$22),"")</f>
        <v/>
      </c>
      <c r="AG38" s="582"/>
      <c r="AH38" s="594" t="str">
        <f>IF(AND('Mapa final'!$K$10="Muy Baja",'Mapa final'!$O$10="Catastrófico"),CONCATENATE("R",'Mapa final'!$A$10),"")</f>
        <v/>
      </c>
      <c r="AI38" s="595"/>
      <c r="AJ38" s="595" t="str">
        <f>IF(AND('Mapa final'!$K$16="Muy Baja",'Mapa final'!$O$16="Catastrófico"),CONCATENATE("R",'Mapa final'!$A$16),"")</f>
        <v/>
      </c>
      <c r="AK38" s="595"/>
      <c r="AL38" s="595" t="str">
        <f>IF(AND('Mapa final'!$K$22="Muy Baja",'Mapa final'!$O$22="Catastrófico"),CONCATENATE("R",'Mapa final'!$A$22),"")</f>
        <v/>
      </c>
      <c r="AM38" s="596"/>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30"/>
      <c r="C39" s="530"/>
      <c r="D39" s="531"/>
      <c r="E39" s="571"/>
      <c r="F39" s="572"/>
      <c r="G39" s="572"/>
      <c r="H39" s="572"/>
      <c r="I39" s="573"/>
      <c r="J39" s="608"/>
      <c r="K39" s="606"/>
      <c r="L39" s="606"/>
      <c r="M39" s="606"/>
      <c r="N39" s="606"/>
      <c r="O39" s="607"/>
      <c r="P39" s="608"/>
      <c r="Q39" s="606"/>
      <c r="R39" s="606"/>
      <c r="S39" s="606"/>
      <c r="T39" s="606"/>
      <c r="U39" s="607"/>
      <c r="V39" s="597"/>
      <c r="W39" s="598"/>
      <c r="X39" s="598"/>
      <c r="Y39" s="598"/>
      <c r="Z39" s="598"/>
      <c r="AA39" s="599"/>
      <c r="AB39" s="581"/>
      <c r="AC39" s="577"/>
      <c r="AD39" s="577"/>
      <c r="AE39" s="577"/>
      <c r="AF39" s="577"/>
      <c r="AG39" s="578"/>
      <c r="AH39" s="588"/>
      <c r="AI39" s="589"/>
      <c r="AJ39" s="589"/>
      <c r="AK39" s="589"/>
      <c r="AL39" s="589"/>
      <c r="AM39" s="590"/>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30"/>
      <c r="C40" s="530"/>
      <c r="D40" s="531"/>
      <c r="E40" s="571"/>
      <c r="F40" s="572"/>
      <c r="G40" s="572"/>
      <c r="H40" s="572"/>
      <c r="I40" s="573"/>
      <c r="J40" s="608" t="str">
        <f>IF(AND('Mapa final'!$K$28="Muy Baja",'Mapa final'!$O$28="Leve"),CONCATENATE("R",'Mapa final'!$A$28),"")</f>
        <v/>
      </c>
      <c r="K40" s="606"/>
      <c r="L40" s="606" t="str">
        <f>IF(AND('Mapa final'!$K$34="Muy Baja",'Mapa final'!$O$34="Leve"),CONCATENATE("R",'Mapa final'!$A$34),"")</f>
        <v/>
      </c>
      <c r="M40" s="606"/>
      <c r="N40" s="606" t="str">
        <f>IF(AND('Mapa final'!$K$40="Muy Baja",'Mapa final'!$O$40="Leve"),CONCATENATE("R",'Mapa final'!$A$40),"")</f>
        <v/>
      </c>
      <c r="O40" s="607"/>
      <c r="P40" s="608" t="str">
        <f>IF(AND('Mapa final'!$K$28="Muy Baja",'Mapa final'!$O$28="Menor"),CONCATENATE("R",'Mapa final'!$A$28),"")</f>
        <v/>
      </c>
      <c r="Q40" s="606"/>
      <c r="R40" s="606" t="str">
        <f>IF(AND('Mapa final'!$K$34="Muy Baja",'Mapa final'!$O$34="Menor"),CONCATENATE("R",'Mapa final'!$A$34),"")</f>
        <v/>
      </c>
      <c r="S40" s="606"/>
      <c r="T40" s="606" t="str">
        <f>IF(AND('Mapa final'!$K$40="Muy Baja",'Mapa final'!$O$40="Menor"),CONCATENATE("R",'Mapa final'!$A$40),"")</f>
        <v/>
      </c>
      <c r="U40" s="607"/>
      <c r="V40" s="597" t="str">
        <f>IF(AND('Mapa final'!$K$28="Muy Baja",'Mapa final'!$O$28="Moderado"),CONCATENATE("R",'Mapa final'!$A$28),"")</f>
        <v/>
      </c>
      <c r="W40" s="598"/>
      <c r="X40" s="598" t="str">
        <f>IF(AND('Mapa final'!$K$34="Muy Baja",'Mapa final'!$O$34="Moderado"),CONCATENATE("R",'Mapa final'!$A$34),"")</f>
        <v/>
      </c>
      <c r="Y40" s="598"/>
      <c r="Z40" s="598" t="str">
        <f>IF(AND('Mapa final'!$K$40="Muy Baja",'Mapa final'!$O$40="Moderado"),CONCATENATE("R",'Mapa final'!$A$40),"")</f>
        <v/>
      </c>
      <c r="AA40" s="599"/>
      <c r="AB40" s="581" t="str">
        <f>IF(AND('Mapa final'!$K$28="Muy Baja",'Mapa final'!$O$28="Mayor"),CONCATENATE("R",'Mapa final'!$A$28),"")</f>
        <v/>
      </c>
      <c r="AC40" s="577"/>
      <c r="AD40" s="577" t="str">
        <f>IF(AND('Mapa final'!$K$34="Muy Baja",'Mapa final'!$O$34="Mayor"),CONCATENATE("R",'Mapa final'!$A$34),"")</f>
        <v/>
      </c>
      <c r="AE40" s="577"/>
      <c r="AF40" s="577" t="str">
        <f>IF(AND('Mapa final'!$K$40="Muy Baja",'Mapa final'!$O$40="Mayor"),CONCATENATE("R",'Mapa final'!$A$40),"")</f>
        <v/>
      </c>
      <c r="AG40" s="578"/>
      <c r="AH40" s="588" t="str">
        <f>IF(AND('Mapa final'!$K$28="Muy Baja",'Mapa final'!$O$28="Catastrófico"),CONCATENATE("R",'Mapa final'!$A$28),"")</f>
        <v/>
      </c>
      <c r="AI40" s="589"/>
      <c r="AJ40" s="589" t="str">
        <f>IF(AND('Mapa final'!$K$34="Muy Baja",'Mapa final'!$O$34="Catastrófico"),CONCATENATE("R",'Mapa final'!$A$34),"")</f>
        <v/>
      </c>
      <c r="AK40" s="589"/>
      <c r="AL40" s="589" t="str">
        <f>IF(AND('Mapa final'!$K$40="Muy Baja",'Mapa final'!$O$40="Catastrófico"),CONCATENATE("R",'Mapa final'!$A$40),"")</f>
        <v/>
      </c>
      <c r="AM40" s="590"/>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30"/>
      <c r="C41" s="530"/>
      <c r="D41" s="531"/>
      <c r="E41" s="571"/>
      <c r="F41" s="572"/>
      <c r="G41" s="572"/>
      <c r="H41" s="572"/>
      <c r="I41" s="573"/>
      <c r="J41" s="608"/>
      <c r="K41" s="606"/>
      <c r="L41" s="606"/>
      <c r="M41" s="606"/>
      <c r="N41" s="606"/>
      <c r="O41" s="607"/>
      <c r="P41" s="608"/>
      <c r="Q41" s="606"/>
      <c r="R41" s="606"/>
      <c r="S41" s="606"/>
      <c r="T41" s="606"/>
      <c r="U41" s="607"/>
      <c r="V41" s="597"/>
      <c r="W41" s="598"/>
      <c r="X41" s="598"/>
      <c r="Y41" s="598"/>
      <c r="Z41" s="598"/>
      <c r="AA41" s="599"/>
      <c r="AB41" s="581"/>
      <c r="AC41" s="577"/>
      <c r="AD41" s="577"/>
      <c r="AE41" s="577"/>
      <c r="AF41" s="577"/>
      <c r="AG41" s="578"/>
      <c r="AH41" s="588"/>
      <c r="AI41" s="589"/>
      <c r="AJ41" s="589"/>
      <c r="AK41" s="589"/>
      <c r="AL41" s="589"/>
      <c r="AM41" s="590"/>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30"/>
      <c r="C42" s="530"/>
      <c r="D42" s="531"/>
      <c r="E42" s="571"/>
      <c r="F42" s="572"/>
      <c r="G42" s="572"/>
      <c r="H42" s="572"/>
      <c r="I42" s="573"/>
      <c r="J42" s="608" t="str">
        <f>IF(AND('Mapa final'!$K$46="Muy Baja",'Mapa final'!$O$46="Leve"),CONCATENATE("R",'Mapa final'!$A$46),"")</f>
        <v/>
      </c>
      <c r="K42" s="606"/>
      <c r="L42" s="606" t="str">
        <f>IF(AND('Mapa final'!$K$52="Muy Baja",'Mapa final'!$O$52="Leve"),CONCATENATE("R",'Mapa final'!$A$52),"")</f>
        <v/>
      </c>
      <c r="M42" s="606"/>
      <c r="N42" s="606" t="str">
        <f>IF(AND('Mapa final'!$K$58="Muy Baja",'Mapa final'!$O$58="Leve"),CONCATENATE("R",'Mapa final'!$A$58),"")</f>
        <v/>
      </c>
      <c r="O42" s="607"/>
      <c r="P42" s="608" t="str">
        <f>IF(AND('Mapa final'!$K$46="Muy Baja",'Mapa final'!$O$46="Menor"),CONCATENATE("R",'Mapa final'!$A$46),"")</f>
        <v/>
      </c>
      <c r="Q42" s="606"/>
      <c r="R42" s="606" t="str">
        <f>IF(AND('Mapa final'!$K$52="Muy Baja",'Mapa final'!$O$52="Menor"),CONCATENATE("R",'Mapa final'!$A$52),"")</f>
        <v/>
      </c>
      <c r="S42" s="606"/>
      <c r="T42" s="606" t="str">
        <f>IF(AND('Mapa final'!$K$58="Muy Baja",'Mapa final'!$O$58="Menor"),CONCATENATE("R",'Mapa final'!$A$58),"")</f>
        <v/>
      </c>
      <c r="U42" s="607"/>
      <c r="V42" s="597" t="str">
        <f>IF(AND('Mapa final'!$K$46="Muy Baja",'Mapa final'!$O$46="Moderado"),CONCATENATE("R",'Mapa final'!$A$46),"")</f>
        <v/>
      </c>
      <c r="W42" s="598"/>
      <c r="X42" s="598" t="str">
        <f>IF(AND('Mapa final'!$K$52="Muy Baja",'Mapa final'!$O$52="Moderado"),CONCATENATE("R",'Mapa final'!$A$52),"")</f>
        <v/>
      </c>
      <c r="Y42" s="598"/>
      <c r="Z42" s="598" t="str">
        <f>IF(AND('Mapa final'!$K$58="Muy Baja",'Mapa final'!$O$58="Moderado"),CONCATENATE("R",'Mapa final'!$A$58),"")</f>
        <v/>
      </c>
      <c r="AA42" s="599"/>
      <c r="AB42" s="581" t="str">
        <f>IF(AND('Mapa final'!$K$46="Muy Baja",'Mapa final'!$O$46="Mayor"),CONCATENATE("R",'Mapa final'!$A$46),"")</f>
        <v/>
      </c>
      <c r="AC42" s="577"/>
      <c r="AD42" s="577" t="str">
        <f>IF(AND('Mapa final'!$K$52="Muy Baja",'Mapa final'!$O$52="Mayor"),CONCATENATE("R",'Mapa final'!$A$52),"")</f>
        <v/>
      </c>
      <c r="AE42" s="577"/>
      <c r="AF42" s="577" t="str">
        <f>IF(AND('Mapa final'!$K$58="Muy Baja",'Mapa final'!$O$58="Mayor"),CONCATENATE("R",'Mapa final'!$A$58),"")</f>
        <v/>
      </c>
      <c r="AG42" s="578"/>
      <c r="AH42" s="588" t="str">
        <f>IF(AND('Mapa final'!$K$46="Muy Baja",'Mapa final'!$O$46="Catastrófico"),CONCATENATE("R",'Mapa final'!$A$46),"")</f>
        <v/>
      </c>
      <c r="AI42" s="589"/>
      <c r="AJ42" s="589" t="str">
        <f>IF(AND('Mapa final'!$K$52="Muy Baja",'Mapa final'!$O$52="Catastrófico"),CONCATENATE("R",'Mapa final'!$A$52),"")</f>
        <v/>
      </c>
      <c r="AK42" s="589"/>
      <c r="AL42" s="589" t="str">
        <f>IF(AND('Mapa final'!$K$58="Muy Baja",'Mapa final'!$O$58="Catastrófico"),CONCATENATE("R",'Mapa final'!$A$58),"")</f>
        <v/>
      </c>
      <c r="AM42" s="590"/>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30"/>
      <c r="C43" s="530"/>
      <c r="D43" s="531"/>
      <c r="E43" s="571"/>
      <c r="F43" s="572"/>
      <c r="G43" s="572"/>
      <c r="H43" s="572"/>
      <c r="I43" s="573"/>
      <c r="J43" s="608"/>
      <c r="K43" s="606"/>
      <c r="L43" s="606"/>
      <c r="M43" s="606"/>
      <c r="N43" s="606"/>
      <c r="O43" s="607"/>
      <c r="P43" s="608"/>
      <c r="Q43" s="606"/>
      <c r="R43" s="606"/>
      <c r="S43" s="606"/>
      <c r="T43" s="606"/>
      <c r="U43" s="607"/>
      <c r="V43" s="597"/>
      <c r="W43" s="598"/>
      <c r="X43" s="598"/>
      <c r="Y43" s="598"/>
      <c r="Z43" s="598"/>
      <c r="AA43" s="599"/>
      <c r="AB43" s="581"/>
      <c r="AC43" s="577"/>
      <c r="AD43" s="577"/>
      <c r="AE43" s="577"/>
      <c r="AF43" s="577"/>
      <c r="AG43" s="578"/>
      <c r="AH43" s="588"/>
      <c r="AI43" s="589"/>
      <c r="AJ43" s="589"/>
      <c r="AK43" s="589"/>
      <c r="AL43" s="589"/>
      <c r="AM43" s="590"/>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30"/>
      <c r="C44" s="530"/>
      <c r="D44" s="531"/>
      <c r="E44" s="571"/>
      <c r="F44" s="572"/>
      <c r="G44" s="572"/>
      <c r="H44" s="572"/>
      <c r="I44" s="573"/>
      <c r="J44" s="608" t="str">
        <f>IF(AND('Mapa final'!$K$64="Muy Baja",'Mapa final'!$O$64="Leve"),CONCATENATE("R",'Mapa final'!$A$64),"")</f>
        <v/>
      </c>
      <c r="K44" s="606"/>
      <c r="L44" s="606" t="str">
        <f>IF(AND('Mapa final'!$K$70="Muy Baja",'Mapa final'!$O$70="Leve"),CONCATENATE("R",'Mapa final'!$A$70),"")</f>
        <v/>
      </c>
      <c r="M44" s="606"/>
      <c r="N44" s="606" t="str">
        <f>IF(AND('Mapa final'!$K$76="Muy Baja",'Mapa final'!$O$76="Leve"),CONCATENATE("R",'Mapa final'!$A$76),"")</f>
        <v/>
      </c>
      <c r="O44" s="607"/>
      <c r="P44" s="608" t="str">
        <f>IF(AND('Mapa final'!$K$64="Muy Baja",'Mapa final'!$O$64="Menor"),CONCATENATE("R",'Mapa final'!$A$64),"")</f>
        <v/>
      </c>
      <c r="Q44" s="606"/>
      <c r="R44" s="606" t="str">
        <f>IF(AND('Mapa final'!$K$70="Muy Baja",'Mapa final'!$O$70="Menor"),CONCATENATE("R",'Mapa final'!$A$70),"")</f>
        <v/>
      </c>
      <c r="S44" s="606"/>
      <c r="T44" s="606" t="str">
        <f>IF(AND('Mapa final'!$K$76="Muy Baja",'Mapa final'!$O$76="Menor"),CONCATENATE("R",'Mapa final'!$A$76),"")</f>
        <v/>
      </c>
      <c r="U44" s="607"/>
      <c r="V44" s="597" t="str">
        <f>IF(AND('Mapa final'!$K$64="Muy Baja",'Mapa final'!$O$64="Moderado"),CONCATENATE("R",'Mapa final'!$A$64),"")</f>
        <v/>
      </c>
      <c r="W44" s="598"/>
      <c r="X44" s="598" t="str">
        <f>IF(AND('Mapa final'!$K$70="Muy Baja",'Mapa final'!$O$70="Moderado"),CONCATENATE("R",'Mapa final'!$A$70),"")</f>
        <v/>
      </c>
      <c r="Y44" s="598"/>
      <c r="Z44" s="598" t="str">
        <f>IF(AND('Mapa final'!$K$76="Muy Baja",'Mapa final'!$O$76="Moderado"),CONCATENATE("R",'Mapa final'!$A$76),"")</f>
        <v/>
      </c>
      <c r="AA44" s="599"/>
      <c r="AB44" s="581" t="str">
        <f>IF(AND('Mapa final'!$K$64="Muy Baja",'Mapa final'!$O$64="Mayor"),CONCATENATE("R",'Mapa final'!$A$64),"")</f>
        <v/>
      </c>
      <c r="AC44" s="577"/>
      <c r="AD44" s="577" t="str">
        <f>IF(AND('Mapa final'!$K$70="Muy Baja",'Mapa final'!$O$70="Mayor"),CONCATENATE("R",'Mapa final'!$A$70),"")</f>
        <v/>
      </c>
      <c r="AE44" s="577"/>
      <c r="AF44" s="577" t="str">
        <f>IF(AND('Mapa final'!$K$76="Muy Baja",'Mapa final'!$O$76="Mayor"),CONCATENATE("R",'Mapa final'!$A$76),"")</f>
        <v/>
      </c>
      <c r="AG44" s="578"/>
      <c r="AH44" s="588" t="str">
        <f>IF(AND('Mapa final'!$K$64="Muy Baja",'Mapa final'!$O$64="Catastrófico"),CONCATENATE("R",'Mapa final'!$A$64),"")</f>
        <v/>
      </c>
      <c r="AI44" s="589"/>
      <c r="AJ44" s="589" t="str">
        <f>IF(AND('Mapa final'!$K$70="Muy Baja",'Mapa final'!$O$70="Catastrófico"),CONCATENATE("R",'Mapa final'!$A$70),"")</f>
        <v/>
      </c>
      <c r="AK44" s="589"/>
      <c r="AL44" s="589" t="str">
        <f>IF(AND('Mapa final'!$K$76="Muy Baja",'Mapa final'!$O$76="Catastrófico"),CONCATENATE("R",'Mapa final'!$A$76),"")</f>
        <v/>
      </c>
      <c r="AM44" s="590"/>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30"/>
      <c r="C45" s="530"/>
      <c r="D45" s="531"/>
      <c r="E45" s="574"/>
      <c r="F45" s="575"/>
      <c r="G45" s="575"/>
      <c r="H45" s="575"/>
      <c r="I45" s="576"/>
      <c r="J45" s="609"/>
      <c r="K45" s="610"/>
      <c r="L45" s="610"/>
      <c r="M45" s="610"/>
      <c r="N45" s="610"/>
      <c r="O45" s="611"/>
      <c r="P45" s="609"/>
      <c r="Q45" s="610"/>
      <c r="R45" s="610"/>
      <c r="S45" s="610"/>
      <c r="T45" s="610"/>
      <c r="U45" s="611"/>
      <c r="V45" s="600"/>
      <c r="W45" s="601"/>
      <c r="X45" s="601"/>
      <c r="Y45" s="601"/>
      <c r="Z45" s="601"/>
      <c r="AA45" s="602"/>
      <c r="AB45" s="585"/>
      <c r="AC45" s="586"/>
      <c r="AD45" s="586"/>
      <c r="AE45" s="586"/>
      <c r="AF45" s="586"/>
      <c r="AG45" s="587"/>
      <c r="AH45" s="591"/>
      <c r="AI45" s="592"/>
      <c r="AJ45" s="592"/>
      <c r="AK45" s="592"/>
      <c r="AL45" s="592"/>
      <c r="AM45" s="593"/>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68" t="s">
        <v>106</v>
      </c>
      <c r="K46" s="569"/>
      <c r="L46" s="569"/>
      <c r="M46" s="569"/>
      <c r="N46" s="569"/>
      <c r="O46" s="570"/>
      <c r="P46" s="568" t="s">
        <v>105</v>
      </c>
      <c r="Q46" s="569"/>
      <c r="R46" s="569"/>
      <c r="S46" s="569"/>
      <c r="T46" s="569"/>
      <c r="U46" s="570"/>
      <c r="V46" s="568" t="s">
        <v>104</v>
      </c>
      <c r="W46" s="569"/>
      <c r="X46" s="569"/>
      <c r="Y46" s="569"/>
      <c r="Z46" s="569"/>
      <c r="AA46" s="570"/>
      <c r="AB46" s="568" t="s">
        <v>103</v>
      </c>
      <c r="AC46" s="584"/>
      <c r="AD46" s="569"/>
      <c r="AE46" s="569"/>
      <c r="AF46" s="569"/>
      <c r="AG46" s="570"/>
      <c r="AH46" s="568" t="s">
        <v>102</v>
      </c>
      <c r="AI46" s="569"/>
      <c r="AJ46" s="569"/>
      <c r="AK46" s="569"/>
      <c r="AL46" s="569"/>
      <c r="AM46" s="57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71"/>
      <c r="K47" s="572"/>
      <c r="L47" s="572"/>
      <c r="M47" s="572"/>
      <c r="N47" s="572"/>
      <c r="O47" s="573"/>
      <c r="P47" s="571"/>
      <c r="Q47" s="572"/>
      <c r="R47" s="572"/>
      <c r="S47" s="572"/>
      <c r="T47" s="572"/>
      <c r="U47" s="573"/>
      <c r="V47" s="571"/>
      <c r="W47" s="572"/>
      <c r="X47" s="572"/>
      <c r="Y47" s="572"/>
      <c r="Z47" s="572"/>
      <c r="AA47" s="573"/>
      <c r="AB47" s="571"/>
      <c r="AC47" s="572"/>
      <c r="AD47" s="572"/>
      <c r="AE47" s="572"/>
      <c r="AF47" s="572"/>
      <c r="AG47" s="573"/>
      <c r="AH47" s="571"/>
      <c r="AI47" s="572"/>
      <c r="AJ47" s="572"/>
      <c r="AK47" s="572"/>
      <c r="AL47" s="572"/>
      <c r="AM47" s="57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71"/>
      <c r="K48" s="572"/>
      <c r="L48" s="572"/>
      <c r="M48" s="572"/>
      <c r="N48" s="572"/>
      <c r="O48" s="573"/>
      <c r="P48" s="571"/>
      <c r="Q48" s="572"/>
      <c r="R48" s="572"/>
      <c r="S48" s="572"/>
      <c r="T48" s="572"/>
      <c r="U48" s="573"/>
      <c r="V48" s="571"/>
      <c r="W48" s="572"/>
      <c r="X48" s="572"/>
      <c r="Y48" s="572"/>
      <c r="Z48" s="572"/>
      <c r="AA48" s="573"/>
      <c r="AB48" s="571"/>
      <c r="AC48" s="572"/>
      <c r="AD48" s="572"/>
      <c r="AE48" s="572"/>
      <c r="AF48" s="572"/>
      <c r="AG48" s="573"/>
      <c r="AH48" s="571"/>
      <c r="AI48" s="572"/>
      <c r="AJ48" s="572"/>
      <c r="AK48" s="572"/>
      <c r="AL48" s="572"/>
      <c r="AM48" s="57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71"/>
      <c r="K49" s="572"/>
      <c r="L49" s="572"/>
      <c r="M49" s="572"/>
      <c r="N49" s="572"/>
      <c r="O49" s="573"/>
      <c r="P49" s="571"/>
      <c r="Q49" s="572"/>
      <c r="R49" s="572"/>
      <c r="S49" s="572"/>
      <c r="T49" s="572"/>
      <c r="U49" s="573"/>
      <c r="V49" s="571"/>
      <c r="W49" s="572"/>
      <c r="X49" s="572"/>
      <c r="Y49" s="572"/>
      <c r="Z49" s="572"/>
      <c r="AA49" s="573"/>
      <c r="AB49" s="571"/>
      <c r="AC49" s="572"/>
      <c r="AD49" s="572"/>
      <c r="AE49" s="572"/>
      <c r="AF49" s="572"/>
      <c r="AG49" s="573"/>
      <c r="AH49" s="571"/>
      <c r="AI49" s="572"/>
      <c r="AJ49" s="572"/>
      <c r="AK49" s="572"/>
      <c r="AL49" s="572"/>
      <c r="AM49" s="57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71"/>
      <c r="K50" s="572"/>
      <c r="L50" s="572"/>
      <c r="M50" s="572"/>
      <c r="N50" s="572"/>
      <c r="O50" s="573"/>
      <c r="P50" s="571"/>
      <c r="Q50" s="572"/>
      <c r="R50" s="572"/>
      <c r="S50" s="572"/>
      <c r="T50" s="572"/>
      <c r="U50" s="573"/>
      <c r="V50" s="571"/>
      <c r="W50" s="572"/>
      <c r="X50" s="572"/>
      <c r="Y50" s="572"/>
      <c r="Z50" s="572"/>
      <c r="AA50" s="573"/>
      <c r="AB50" s="571"/>
      <c r="AC50" s="572"/>
      <c r="AD50" s="572"/>
      <c r="AE50" s="572"/>
      <c r="AF50" s="572"/>
      <c r="AG50" s="573"/>
      <c r="AH50" s="571"/>
      <c r="AI50" s="572"/>
      <c r="AJ50" s="572"/>
      <c r="AK50" s="572"/>
      <c r="AL50" s="572"/>
      <c r="AM50" s="57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74"/>
      <c r="K51" s="575"/>
      <c r="L51" s="575"/>
      <c r="M51" s="575"/>
      <c r="N51" s="575"/>
      <c r="O51" s="576"/>
      <c r="P51" s="574"/>
      <c r="Q51" s="575"/>
      <c r="R51" s="575"/>
      <c r="S51" s="575"/>
      <c r="T51" s="575"/>
      <c r="U51" s="576"/>
      <c r="V51" s="574"/>
      <c r="W51" s="575"/>
      <c r="X51" s="575"/>
      <c r="Y51" s="575"/>
      <c r="Z51" s="575"/>
      <c r="AA51" s="576"/>
      <c r="AB51" s="574"/>
      <c r="AC51" s="575"/>
      <c r="AD51" s="575"/>
      <c r="AE51" s="575"/>
      <c r="AF51" s="575"/>
      <c r="AG51" s="576"/>
      <c r="AH51" s="574"/>
      <c r="AI51" s="575"/>
      <c r="AJ51" s="575"/>
      <c r="AK51" s="575"/>
      <c r="AL51" s="575"/>
      <c r="AM51" s="57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BE47" sqref="BE47"/>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41" t="s">
        <v>148</v>
      </c>
      <c r="C2" s="642"/>
      <c r="D2" s="642"/>
      <c r="E2" s="642"/>
      <c r="F2" s="642"/>
      <c r="G2" s="642"/>
      <c r="H2" s="642"/>
      <c r="I2" s="642"/>
      <c r="J2" s="583" t="s">
        <v>2</v>
      </c>
      <c r="K2" s="583"/>
      <c r="L2" s="583"/>
      <c r="M2" s="583"/>
      <c r="N2" s="583"/>
      <c r="O2" s="583"/>
      <c r="P2" s="583"/>
      <c r="Q2" s="583"/>
      <c r="R2" s="583"/>
      <c r="S2" s="583"/>
      <c r="T2" s="583"/>
      <c r="U2" s="583"/>
      <c r="V2" s="583"/>
      <c r="W2" s="583"/>
      <c r="X2" s="583"/>
      <c r="Y2" s="583"/>
      <c r="Z2" s="583"/>
      <c r="AA2" s="583"/>
      <c r="AB2" s="583"/>
      <c r="AC2" s="583"/>
      <c r="AD2" s="583"/>
      <c r="AE2" s="583"/>
      <c r="AF2" s="583"/>
      <c r="AG2" s="583"/>
      <c r="AH2" s="583"/>
      <c r="AI2" s="583"/>
      <c r="AJ2" s="583"/>
      <c r="AK2" s="583"/>
      <c r="AL2" s="583"/>
      <c r="AM2" s="583"/>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42"/>
      <c r="C3" s="642"/>
      <c r="D3" s="642"/>
      <c r="E3" s="642"/>
      <c r="F3" s="642"/>
      <c r="G3" s="642"/>
      <c r="H3" s="642"/>
      <c r="I3" s="642"/>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583"/>
      <c r="AK3" s="583"/>
      <c r="AL3" s="583"/>
      <c r="AM3" s="583"/>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42"/>
      <c r="C4" s="642"/>
      <c r="D4" s="642"/>
      <c r="E4" s="642"/>
      <c r="F4" s="642"/>
      <c r="G4" s="642"/>
      <c r="H4" s="642"/>
      <c r="I4" s="642"/>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3"/>
      <c r="AI4" s="583"/>
      <c r="AJ4" s="583"/>
      <c r="AK4" s="583"/>
      <c r="AL4" s="583"/>
      <c r="AM4" s="583"/>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30" t="s">
        <v>4</v>
      </c>
      <c r="C6" s="530"/>
      <c r="D6" s="531"/>
      <c r="E6" s="625" t="s">
        <v>110</v>
      </c>
      <c r="F6" s="626"/>
      <c r="G6" s="626"/>
      <c r="H6" s="626"/>
      <c r="I6" s="643"/>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str">
        <f>IF(AND('Mapa final'!$AB$14="Muy Alta",'Mapa final'!$AD$14="Leve"),CONCATENATE("R1C",'Mapa final'!$R$14),"")</f>
        <v/>
      </c>
      <c r="O6" s="32" t="str">
        <f>IF(AND('Mapa final'!$AB$15="Muy Alta",'Mapa final'!$AD$15="Leve"),CONCATENATE("R1C",'Mapa final'!$R$15),"")</f>
        <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str">
        <f>IF(AND('Mapa final'!$AB$14="Muy Alta",'Mapa final'!$AD$14="Menor"),CONCATENATE("R1C",'Mapa final'!$R$14),"")</f>
        <v/>
      </c>
      <c r="U6" s="32" t="str">
        <f>IF(AND('Mapa final'!$AB$15="Muy Alta",'Mapa final'!$AD$15="Menor"),CONCATENATE("R1C",'Mapa final'!$R$15),"")</f>
        <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str">
        <f>IF(AND('Mapa final'!$AB$14="Muy Alta",'Mapa final'!$AD$14="Moderado"),CONCATENATE("R1C",'Mapa final'!$R$14),"")</f>
        <v/>
      </c>
      <c r="AA6" s="32" t="str">
        <f>IF(AND('Mapa final'!$AB$15="Muy Alta",'Mapa final'!$AD$15="Moderado"),CONCATENATE("R1C",'Mapa final'!$R$15),"")</f>
        <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str">
        <f>IF(AND('Mapa final'!$AB$14="Muy Alta",'Mapa final'!$AD$14="Mayor"),CONCATENATE("R1C",'Mapa final'!$R$14),"")</f>
        <v/>
      </c>
      <c r="AG6" s="32" t="str">
        <f>IF(AND('Mapa final'!$AB$15="Muy Alta",'Mapa final'!$AD$15="Mayor"),CONCATENATE("R1C",'Mapa final'!$R$15),"")</f>
        <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str">
        <f>IF(AND('Mapa final'!$AB$14="Muy Alta",'Mapa final'!$AD$14="Catastrófico"),CONCATENATE("R1C",'Mapa final'!$R$14),"")</f>
        <v/>
      </c>
      <c r="AM6" s="35" t="str">
        <f>IF(AND('Mapa final'!$AB$15="Muy Alta",'Mapa final'!$AD$15="Catastrófico"),CONCATENATE("R1C",'Mapa final'!$R$15),"")</f>
        <v/>
      </c>
      <c r="AN6" s="67"/>
      <c r="AO6" s="632" t="s">
        <v>77</v>
      </c>
      <c r="AP6" s="633"/>
      <c r="AQ6" s="633"/>
      <c r="AR6" s="633"/>
      <c r="AS6" s="633"/>
      <c r="AT6" s="63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30"/>
      <c r="C7" s="530"/>
      <c r="D7" s="531"/>
      <c r="E7" s="629"/>
      <c r="F7" s="628"/>
      <c r="G7" s="628"/>
      <c r="H7" s="628"/>
      <c r="I7" s="644"/>
      <c r="J7" s="36" t="str">
        <f>IF(AND('Mapa final'!$AB$16="Muy Alta",'Mapa final'!$AD$16="Leve"),CONCATENATE("R2C",'Mapa final'!$R$16),"")</f>
        <v/>
      </c>
      <c r="K7" s="37" t="str">
        <f>IF(AND('Mapa final'!$AB$17="Muy Alta",'Mapa final'!$AD$17="Leve"),CONCATENATE("R2C",'Mapa final'!$R$17),"")</f>
        <v/>
      </c>
      <c r="L7" s="37" t="str">
        <f>IF(AND('Mapa final'!$AB$18="Muy Alta",'Mapa final'!$AD$18="Leve"),CONCATENATE("R2C",'Mapa final'!$R$18),"")</f>
        <v/>
      </c>
      <c r="M7" s="37" t="str">
        <f>IF(AND('Mapa final'!$AB$19="Muy Alta",'Mapa final'!$AD$19="Leve"),CONCATENATE("R2C",'Mapa final'!$R$19),"")</f>
        <v/>
      </c>
      <c r="N7" s="37" t="str">
        <f>IF(AND('Mapa final'!$AB$20="Muy Alta",'Mapa final'!$AD$20="Leve"),CONCATENATE("R2C",'Mapa final'!$R$20),"")</f>
        <v/>
      </c>
      <c r="O7" s="38" t="str">
        <f>IF(AND('Mapa final'!$AB$21="Muy Alta",'Mapa final'!$AD$21="Leve"),CONCATENATE("R2C",'Mapa final'!$R$21),"")</f>
        <v/>
      </c>
      <c r="P7" s="36" t="str">
        <f>IF(AND('Mapa final'!$AB$16="Muy Alta",'Mapa final'!$AD$16="Menor"),CONCATENATE("R2C",'Mapa final'!$R$16),"")</f>
        <v/>
      </c>
      <c r="Q7" s="37" t="str">
        <f>IF(AND('Mapa final'!$AB$17="Muy Alta",'Mapa final'!$AD$17="Menor"),CONCATENATE("R2C",'Mapa final'!$R$17),"")</f>
        <v/>
      </c>
      <c r="R7" s="37" t="str">
        <f>IF(AND('Mapa final'!$AB$18="Muy Alta",'Mapa final'!$AD$18="Menor"),CONCATENATE("R2C",'Mapa final'!$R$18),"")</f>
        <v/>
      </c>
      <c r="S7" s="37" t="str">
        <f>IF(AND('Mapa final'!$AB$19="Muy Alta",'Mapa final'!$AD$19="Menor"),CONCATENATE("R2C",'Mapa final'!$R$19),"")</f>
        <v/>
      </c>
      <c r="T7" s="37" t="str">
        <f>IF(AND('Mapa final'!$AB$20="Muy Alta",'Mapa final'!$AD$20="Menor"),CONCATENATE("R2C",'Mapa final'!$R$20),"")</f>
        <v/>
      </c>
      <c r="U7" s="38" t="str">
        <f>IF(AND('Mapa final'!$AB$21="Muy Alta",'Mapa final'!$AD$21="Menor"),CONCATENATE("R2C",'Mapa final'!$R$21),"")</f>
        <v/>
      </c>
      <c r="V7" s="36" t="str">
        <f>IF(AND('Mapa final'!$AB$16="Muy Alta",'Mapa final'!$AD$16="Moderado"),CONCATENATE("R2C",'Mapa final'!$R$16),"")</f>
        <v/>
      </c>
      <c r="W7" s="37" t="str">
        <f>IF(AND('Mapa final'!$AB$17="Muy Alta",'Mapa final'!$AD$17="Moderado"),CONCATENATE("R2C",'Mapa final'!$R$17),"")</f>
        <v/>
      </c>
      <c r="X7" s="37" t="str">
        <f>IF(AND('Mapa final'!$AB$18="Muy Alta",'Mapa final'!$AD$18="Moderado"),CONCATENATE("R2C",'Mapa final'!$R$18),"")</f>
        <v/>
      </c>
      <c r="Y7" s="37" t="str">
        <f>IF(AND('Mapa final'!$AB$19="Muy Alta",'Mapa final'!$AD$19="Moderado"),CONCATENATE("R2C",'Mapa final'!$R$19),"")</f>
        <v/>
      </c>
      <c r="Z7" s="37" t="str">
        <f>IF(AND('Mapa final'!$AB$20="Muy Alta",'Mapa final'!$AD$20="Moderado"),CONCATENATE("R2C",'Mapa final'!$R$20),"")</f>
        <v/>
      </c>
      <c r="AA7" s="38" t="str">
        <f>IF(AND('Mapa final'!$AB$21="Muy Alta",'Mapa final'!$AD$21="Moderado"),CONCATENATE("R2C",'Mapa final'!$R$21),"")</f>
        <v/>
      </c>
      <c r="AB7" s="36" t="str">
        <f>IF(AND('Mapa final'!$AB$16="Muy Alta",'Mapa final'!$AD$16="Mayor"),CONCATENATE("R2C",'Mapa final'!$R$16),"")</f>
        <v/>
      </c>
      <c r="AC7" s="37" t="str">
        <f>IF(AND('Mapa final'!$AB$17="Muy Alta",'Mapa final'!$AD$17="Mayor"),CONCATENATE("R2C",'Mapa final'!$R$17),"")</f>
        <v/>
      </c>
      <c r="AD7" s="37" t="str">
        <f>IF(AND('Mapa final'!$AB$18="Muy Alta",'Mapa final'!$AD$18="Mayor"),CONCATENATE("R2C",'Mapa final'!$R$18),"")</f>
        <v/>
      </c>
      <c r="AE7" s="37" t="str">
        <f>IF(AND('Mapa final'!$AB$19="Muy Alta",'Mapa final'!$AD$19="Mayor"),CONCATENATE("R2C",'Mapa final'!$R$19),"")</f>
        <v/>
      </c>
      <c r="AF7" s="37" t="str">
        <f>IF(AND('Mapa final'!$AB$20="Muy Alta",'Mapa final'!$AD$20="Mayor"),CONCATENATE("R2C",'Mapa final'!$R$20),"")</f>
        <v/>
      </c>
      <c r="AG7" s="38" t="str">
        <f>IF(AND('Mapa final'!$AB$21="Muy Alta",'Mapa final'!$AD$21="Mayor"),CONCATENATE("R2C",'Mapa final'!$R$21),"")</f>
        <v/>
      </c>
      <c r="AH7" s="39" t="str">
        <f>IF(AND('Mapa final'!$AB$16="Muy Alta",'Mapa final'!$AD$16="Catastrófico"),CONCATENATE("R2C",'Mapa final'!$R$16),"")</f>
        <v/>
      </c>
      <c r="AI7" s="40" t="str">
        <f>IF(AND('Mapa final'!$AB$17="Muy Alta",'Mapa final'!$AD$17="Catastrófico"),CONCATENATE("R2C",'Mapa final'!$R$17),"")</f>
        <v/>
      </c>
      <c r="AJ7" s="40" t="str">
        <f>IF(AND('Mapa final'!$AB$18="Muy Alta",'Mapa final'!$AD$18="Catastrófico"),CONCATENATE("R2C",'Mapa final'!$R$18),"")</f>
        <v/>
      </c>
      <c r="AK7" s="40" t="str">
        <f>IF(AND('Mapa final'!$AB$19="Muy Alta",'Mapa final'!$AD$19="Catastrófico"),CONCATENATE("R2C",'Mapa final'!$R$19),"")</f>
        <v/>
      </c>
      <c r="AL7" s="40" t="str">
        <f>IF(AND('Mapa final'!$AB$20="Muy Alta",'Mapa final'!$AD$20="Catastrófico"),CONCATENATE("R2C",'Mapa final'!$R$20),"")</f>
        <v/>
      </c>
      <c r="AM7" s="41" t="str">
        <f>IF(AND('Mapa final'!$AB$21="Muy Alta",'Mapa final'!$AD$21="Catastrófico"),CONCATENATE("R2C",'Mapa final'!$R$21),"")</f>
        <v/>
      </c>
      <c r="AN7" s="67"/>
      <c r="AO7" s="635"/>
      <c r="AP7" s="636"/>
      <c r="AQ7" s="636"/>
      <c r="AR7" s="636"/>
      <c r="AS7" s="636"/>
      <c r="AT7" s="63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30"/>
      <c r="C8" s="530"/>
      <c r="D8" s="531"/>
      <c r="E8" s="629"/>
      <c r="F8" s="628"/>
      <c r="G8" s="628"/>
      <c r="H8" s="628"/>
      <c r="I8" s="644"/>
      <c r="J8" s="36" t="str">
        <f>IF(AND('Mapa final'!$AB$22="Muy Alta",'Mapa final'!$AD$22="Leve"),CONCATENATE("R3C",'Mapa final'!$R$22),"")</f>
        <v/>
      </c>
      <c r="K8" s="37" t="str">
        <f>IF(AND('Mapa final'!$AB$23="Muy Alta",'Mapa final'!$AD$23="Leve"),CONCATENATE("R3C",'Mapa final'!$R$23),"")</f>
        <v/>
      </c>
      <c r="L8" s="37" t="str">
        <f>IF(AND('Mapa final'!$AB$24="Muy Alta",'Mapa final'!$AD$24="Leve"),CONCATENATE("R3C",'Mapa final'!$R$24),"")</f>
        <v/>
      </c>
      <c r="M8" s="37" t="str">
        <f>IF(AND('Mapa final'!$AB$25="Muy Alta",'Mapa final'!$AD$25="Leve"),CONCATENATE("R3C",'Mapa final'!$R$25),"")</f>
        <v/>
      </c>
      <c r="N8" s="37" t="str">
        <f>IF(AND('Mapa final'!$AB$26="Muy Alta",'Mapa final'!$AD$26="Leve"),CONCATENATE("R3C",'Mapa final'!$R$26),"")</f>
        <v/>
      </c>
      <c r="O8" s="38" t="str">
        <f>IF(AND('Mapa final'!$AB$27="Muy Alta",'Mapa final'!$AD$27="Leve"),CONCATENATE("R3C",'Mapa final'!$R$27),"")</f>
        <v/>
      </c>
      <c r="P8" s="36" t="str">
        <f>IF(AND('Mapa final'!$AB$22="Muy Alta",'Mapa final'!$AD$22="Menor"),CONCATENATE("R3C",'Mapa final'!$R$22),"")</f>
        <v/>
      </c>
      <c r="Q8" s="37" t="str">
        <f>IF(AND('Mapa final'!$AB$23="Muy Alta",'Mapa final'!$AD$23="Menor"),CONCATENATE("R3C",'Mapa final'!$R$23),"")</f>
        <v/>
      </c>
      <c r="R8" s="37" t="str">
        <f>IF(AND('Mapa final'!$AB$24="Muy Alta",'Mapa final'!$AD$24="Menor"),CONCATENATE("R3C",'Mapa final'!$R$24),"")</f>
        <v/>
      </c>
      <c r="S8" s="37" t="str">
        <f>IF(AND('Mapa final'!$AB$25="Muy Alta",'Mapa final'!$AD$25="Menor"),CONCATENATE("R3C",'Mapa final'!$R$25),"")</f>
        <v/>
      </c>
      <c r="T8" s="37" t="str">
        <f>IF(AND('Mapa final'!$AB$26="Muy Alta",'Mapa final'!$AD$26="Menor"),CONCATENATE("R3C",'Mapa final'!$R$26),"")</f>
        <v/>
      </c>
      <c r="U8" s="38" t="str">
        <f>IF(AND('Mapa final'!$AB$27="Muy Alta",'Mapa final'!$AD$27="Menor"),CONCATENATE("R3C",'Mapa final'!$R$27),"")</f>
        <v/>
      </c>
      <c r="V8" s="36" t="str">
        <f>IF(AND('Mapa final'!$AB$22="Muy Alta",'Mapa final'!$AD$22="Moderado"),CONCATENATE("R3C",'Mapa final'!$R$22),"")</f>
        <v/>
      </c>
      <c r="W8" s="37" t="str">
        <f>IF(AND('Mapa final'!$AB$23="Muy Alta",'Mapa final'!$AD$23="Moderado"),CONCATENATE("R3C",'Mapa final'!$R$23),"")</f>
        <v/>
      </c>
      <c r="X8" s="37" t="str">
        <f>IF(AND('Mapa final'!$AB$24="Muy Alta",'Mapa final'!$AD$24="Moderado"),CONCATENATE("R3C",'Mapa final'!$R$24),"")</f>
        <v/>
      </c>
      <c r="Y8" s="37" t="str">
        <f>IF(AND('Mapa final'!$AB$25="Muy Alta",'Mapa final'!$AD$25="Moderado"),CONCATENATE("R3C",'Mapa final'!$R$25),"")</f>
        <v/>
      </c>
      <c r="Z8" s="37" t="str">
        <f>IF(AND('Mapa final'!$AB$26="Muy Alta",'Mapa final'!$AD$26="Moderado"),CONCATENATE("R3C",'Mapa final'!$R$26),"")</f>
        <v/>
      </c>
      <c r="AA8" s="38" t="str">
        <f>IF(AND('Mapa final'!$AB$27="Muy Alta",'Mapa final'!$AD$27="Moderado"),CONCATENATE("R3C",'Mapa final'!$R$27),"")</f>
        <v/>
      </c>
      <c r="AB8" s="36" t="str">
        <f>IF(AND('Mapa final'!$AB$22="Muy Alta",'Mapa final'!$AD$22="Mayor"),CONCATENATE("R3C",'Mapa final'!$R$22),"")</f>
        <v/>
      </c>
      <c r="AC8" s="37" t="str">
        <f>IF(AND('Mapa final'!$AB$23="Muy Alta",'Mapa final'!$AD$23="Mayor"),CONCATENATE("R3C",'Mapa final'!$R$23),"")</f>
        <v/>
      </c>
      <c r="AD8" s="37" t="str">
        <f>IF(AND('Mapa final'!$AB$24="Muy Alta",'Mapa final'!$AD$24="Mayor"),CONCATENATE("R3C",'Mapa final'!$R$24),"")</f>
        <v/>
      </c>
      <c r="AE8" s="37" t="str">
        <f>IF(AND('Mapa final'!$AB$25="Muy Alta",'Mapa final'!$AD$25="Mayor"),CONCATENATE("R3C",'Mapa final'!$R$25),"")</f>
        <v/>
      </c>
      <c r="AF8" s="37" t="str">
        <f>IF(AND('Mapa final'!$AB$26="Muy Alta",'Mapa final'!$AD$26="Mayor"),CONCATENATE("R3C",'Mapa final'!$R$26),"")</f>
        <v/>
      </c>
      <c r="AG8" s="38" t="str">
        <f>IF(AND('Mapa final'!$AB$27="Muy Alta",'Mapa final'!$AD$27="Mayor"),CONCATENATE("R3C",'Mapa final'!$R$27),"")</f>
        <v/>
      </c>
      <c r="AH8" s="39" t="str">
        <f>IF(AND('Mapa final'!$AB$22="Muy Alta",'Mapa final'!$AD$22="Catastrófico"),CONCATENATE("R3C",'Mapa final'!$R$22),"")</f>
        <v/>
      </c>
      <c r="AI8" s="40" t="str">
        <f>IF(AND('Mapa final'!$AB$23="Muy Alta",'Mapa final'!$AD$23="Catastrófico"),CONCATENATE("R3C",'Mapa final'!$R$23),"")</f>
        <v/>
      </c>
      <c r="AJ8" s="40" t="str">
        <f>IF(AND('Mapa final'!$AB$24="Muy Alta",'Mapa final'!$AD$24="Catastrófico"),CONCATENATE("R3C",'Mapa final'!$R$24),"")</f>
        <v/>
      </c>
      <c r="AK8" s="40" t="str">
        <f>IF(AND('Mapa final'!$AB$25="Muy Alta",'Mapa final'!$AD$25="Catastrófico"),CONCATENATE("R3C",'Mapa final'!$R$25),"")</f>
        <v/>
      </c>
      <c r="AL8" s="40" t="str">
        <f>IF(AND('Mapa final'!$AB$26="Muy Alta",'Mapa final'!$AD$26="Catastrófico"),CONCATENATE("R3C",'Mapa final'!$R$26),"")</f>
        <v/>
      </c>
      <c r="AM8" s="41" t="str">
        <f>IF(AND('Mapa final'!$AB$27="Muy Alta",'Mapa final'!$AD$27="Catastrófico"),CONCATENATE("R3C",'Mapa final'!$R$27),"")</f>
        <v/>
      </c>
      <c r="AN8" s="67"/>
      <c r="AO8" s="635"/>
      <c r="AP8" s="636"/>
      <c r="AQ8" s="636"/>
      <c r="AR8" s="636"/>
      <c r="AS8" s="636"/>
      <c r="AT8" s="63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30"/>
      <c r="C9" s="530"/>
      <c r="D9" s="531"/>
      <c r="E9" s="629"/>
      <c r="F9" s="628"/>
      <c r="G9" s="628"/>
      <c r="H9" s="628"/>
      <c r="I9" s="644"/>
      <c r="J9" s="36" t="str">
        <f>IF(AND('Mapa final'!$AB$28="Muy Alta",'Mapa final'!$AD$28="Leve"),CONCATENATE("R4C",'Mapa final'!$R$28),"")</f>
        <v/>
      </c>
      <c r="K9" s="37" t="str">
        <f>IF(AND('Mapa final'!$AB$29="Muy Alta",'Mapa final'!$AD$29="Leve"),CONCATENATE("R4C",'Mapa final'!$R$29),"")</f>
        <v/>
      </c>
      <c r="L9" s="37" t="str">
        <f>IF(AND('Mapa final'!$AB$30="Muy Alta",'Mapa final'!$AD$30="Leve"),CONCATENATE("R4C",'Mapa final'!$R$30),"")</f>
        <v/>
      </c>
      <c r="M9" s="37" t="str">
        <f>IF(AND('Mapa final'!$AB$31="Muy Alta",'Mapa final'!$AD$31="Leve"),CONCATENATE("R4C",'Mapa final'!$R$31),"")</f>
        <v/>
      </c>
      <c r="N9" s="37" t="str">
        <f>IF(AND('Mapa final'!$AB$32="Muy Alta",'Mapa final'!$AD$32="Leve"),CONCATENATE("R4C",'Mapa final'!$R$32),"")</f>
        <v/>
      </c>
      <c r="O9" s="38" t="str">
        <f>IF(AND('Mapa final'!$AB$33="Muy Alta",'Mapa final'!$AD$33="Leve"),CONCATENATE("R4C",'Mapa final'!$R$33),"")</f>
        <v/>
      </c>
      <c r="P9" s="36" t="str">
        <f>IF(AND('Mapa final'!$AB$28="Muy Alta",'Mapa final'!$AD$28="Menor"),CONCATENATE("R4C",'Mapa final'!$R$28),"")</f>
        <v/>
      </c>
      <c r="Q9" s="37" t="str">
        <f>IF(AND('Mapa final'!$AB$29="Muy Alta",'Mapa final'!$AD$29="Menor"),CONCATENATE("R4C",'Mapa final'!$R$29),"")</f>
        <v/>
      </c>
      <c r="R9" s="37" t="str">
        <f>IF(AND('Mapa final'!$AB$30="Muy Alta",'Mapa final'!$AD$30="Menor"),CONCATENATE("R4C",'Mapa final'!$R$30),"")</f>
        <v/>
      </c>
      <c r="S9" s="37" t="str">
        <f>IF(AND('Mapa final'!$AB$31="Muy Alta",'Mapa final'!$AD$31="Menor"),CONCATENATE("R4C",'Mapa final'!$R$31),"")</f>
        <v/>
      </c>
      <c r="T9" s="37" t="str">
        <f>IF(AND('Mapa final'!$AB$32="Muy Alta",'Mapa final'!$AD$32="Menor"),CONCATENATE("R4C",'Mapa final'!$R$32),"")</f>
        <v/>
      </c>
      <c r="U9" s="38" t="str">
        <f>IF(AND('Mapa final'!$AB$33="Muy Alta",'Mapa final'!$AD$33="Menor"),CONCATENATE("R4C",'Mapa final'!$R$33),"")</f>
        <v/>
      </c>
      <c r="V9" s="36" t="str">
        <f>IF(AND('Mapa final'!$AB$28="Muy Alta",'Mapa final'!$AD$28="Moderado"),CONCATENATE("R4C",'Mapa final'!$R$28),"")</f>
        <v/>
      </c>
      <c r="W9" s="37" t="str">
        <f>IF(AND('Mapa final'!$AB$29="Muy Alta",'Mapa final'!$AD$29="Moderado"),CONCATENATE("R4C",'Mapa final'!$R$29),"")</f>
        <v/>
      </c>
      <c r="X9" s="37" t="str">
        <f>IF(AND('Mapa final'!$AB$30="Muy Alta",'Mapa final'!$AD$30="Moderado"),CONCATENATE("R4C",'Mapa final'!$R$30),"")</f>
        <v/>
      </c>
      <c r="Y9" s="37" t="str">
        <f>IF(AND('Mapa final'!$AB$31="Muy Alta",'Mapa final'!$AD$31="Moderado"),CONCATENATE("R4C",'Mapa final'!$R$31),"")</f>
        <v/>
      </c>
      <c r="Z9" s="37" t="str">
        <f>IF(AND('Mapa final'!$AB$32="Muy Alta",'Mapa final'!$AD$32="Moderado"),CONCATENATE("R4C",'Mapa final'!$R$32),"")</f>
        <v/>
      </c>
      <c r="AA9" s="38" t="str">
        <f>IF(AND('Mapa final'!$AB$33="Muy Alta",'Mapa final'!$AD$33="Moderado"),CONCATENATE("R4C",'Mapa final'!$R$33),"")</f>
        <v/>
      </c>
      <c r="AB9" s="36" t="str">
        <f>IF(AND('Mapa final'!$AB$28="Muy Alta",'Mapa final'!$AD$28="Mayor"),CONCATENATE("R4C",'Mapa final'!$R$28),"")</f>
        <v/>
      </c>
      <c r="AC9" s="37" t="str">
        <f>IF(AND('Mapa final'!$AB$29="Muy Alta",'Mapa final'!$AD$29="Mayor"),CONCATENATE("R4C",'Mapa final'!$R$29),"")</f>
        <v/>
      </c>
      <c r="AD9" s="37" t="str">
        <f>IF(AND('Mapa final'!$AB$30="Muy Alta",'Mapa final'!$AD$30="Mayor"),CONCATENATE("R4C",'Mapa final'!$R$30),"")</f>
        <v/>
      </c>
      <c r="AE9" s="37" t="str">
        <f>IF(AND('Mapa final'!$AB$31="Muy Alta",'Mapa final'!$AD$31="Mayor"),CONCATENATE("R4C",'Mapa final'!$R$31),"")</f>
        <v/>
      </c>
      <c r="AF9" s="37" t="str">
        <f>IF(AND('Mapa final'!$AB$32="Muy Alta",'Mapa final'!$AD$32="Mayor"),CONCATENATE("R4C",'Mapa final'!$R$32),"")</f>
        <v/>
      </c>
      <c r="AG9" s="38" t="str">
        <f>IF(AND('Mapa final'!$AB$33="Muy Alta",'Mapa final'!$AD$33="Mayor"),CONCATENATE("R4C",'Mapa final'!$R$33),"")</f>
        <v/>
      </c>
      <c r="AH9" s="39" t="str">
        <f>IF(AND('Mapa final'!$AB$28="Muy Alta",'Mapa final'!$AD$28="Catastrófico"),CONCATENATE("R4C",'Mapa final'!$R$28),"")</f>
        <v/>
      </c>
      <c r="AI9" s="40" t="str">
        <f>IF(AND('Mapa final'!$AB$29="Muy Alta",'Mapa final'!$AD$29="Catastrófico"),CONCATENATE("R4C",'Mapa final'!$R$29),"")</f>
        <v/>
      </c>
      <c r="AJ9" s="40" t="str">
        <f>IF(AND('Mapa final'!$AB$30="Muy Alta",'Mapa final'!$AD$30="Catastrófico"),CONCATENATE("R4C",'Mapa final'!$R$30),"")</f>
        <v/>
      </c>
      <c r="AK9" s="40" t="str">
        <f>IF(AND('Mapa final'!$AB$31="Muy Alta",'Mapa final'!$AD$31="Catastrófico"),CONCATENATE("R4C",'Mapa final'!$R$31),"")</f>
        <v/>
      </c>
      <c r="AL9" s="40" t="str">
        <f>IF(AND('Mapa final'!$AB$32="Muy Alta",'Mapa final'!$AD$32="Catastrófico"),CONCATENATE("R4C",'Mapa final'!$R$32),"")</f>
        <v/>
      </c>
      <c r="AM9" s="41" t="str">
        <f>IF(AND('Mapa final'!$AB$33="Muy Alta",'Mapa final'!$AD$33="Catastrófico"),CONCATENATE("R4C",'Mapa final'!$R$33),"")</f>
        <v/>
      </c>
      <c r="AN9" s="67"/>
      <c r="AO9" s="635"/>
      <c r="AP9" s="636"/>
      <c r="AQ9" s="636"/>
      <c r="AR9" s="636"/>
      <c r="AS9" s="636"/>
      <c r="AT9" s="63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30"/>
      <c r="C10" s="530"/>
      <c r="D10" s="531"/>
      <c r="E10" s="629"/>
      <c r="F10" s="628"/>
      <c r="G10" s="628"/>
      <c r="H10" s="628"/>
      <c r="I10" s="644"/>
      <c r="J10" s="36" t="str">
        <f>IF(AND('Mapa final'!$AB$34="Muy Alta",'Mapa final'!$AD$34="Leve"),CONCATENATE("R5C",'Mapa final'!$R$34),"")</f>
        <v/>
      </c>
      <c r="K10" s="37" t="str">
        <f>IF(AND('Mapa final'!$AB$35="Muy Alta",'Mapa final'!$AD$35="Leve"),CONCATENATE("R5C",'Mapa final'!$R$35),"")</f>
        <v/>
      </c>
      <c r="L10" s="37" t="str">
        <f>IF(AND('Mapa final'!$AB$36="Muy Alta",'Mapa final'!$AD$36="Leve"),CONCATENATE("R5C",'Mapa final'!$R$36),"")</f>
        <v/>
      </c>
      <c r="M10" s="37" t="str">
        <f>IF(AND('Mapa final'!$AB$37="Muy Alta",'Mapa final'!$AD$37="Leve"),CONCATENATE("R5C",'Mapa final'!$R$37),"")</f>
        <v/>
      </c>
      <c r="N10" s="37" t="str">
        <f>IF(AND('Mapa final'!$AB$38="Muy Alta",'Mapa final'!$AD$38="Leve"),CONCATENATE("R5C",'Mapa final'!$R$38),"")</f>
        <v/>
      </c>
      <c r="O10" s="38" t="str">
        <f>IF(AND('Mapa final'!$AB$39="Muy Alta",'Mapa final'!$AD$39="Leve"),CONCATENATE("R5C",'Mapa final'!$R$39),"")</f>
        <v/>
      </c>
      <c r="P10" s="36" t="str">
        <f>IF(AND('Mapa final'!$AB$34="Muy Alta",'Mapa final'!$AD$34="Menor"),CONCATENATE("R5C",'Mapa final'!$R$34),"")</f>
        <v/>
      </c>
      <c r="Q10" s="37" t="str">
        <f>IF(AND('Mapa final'!$AB$35="Muy Alta",'Mapa final'!$AD$35="Menor"),CONCATENATE("R5C",'Mapa final'!$R$35),"")</f>
        <v/>
      </c>
      <c r="R10" s="37" t="str">
        <f>IF(AND('Mapa final'!$AB$36="Muy Alta",'Mapa final'!$AD$36="Menor"),CONCATENATE("R5C",'Mapa final'!$R$36),"")</f>
        <v/>
      </c>
      <c r="S10" s="37" t="str">
        <f>IF(AND('Mapa final'!$AB$37="Muy Alta",'Mapa final'!$AD$37="Menor"),CONCATENATE("R5C",'Mapa final'!$R$37),"")</f>
        <v/>
      </c>
      <c r="T10" s="37" t="str">
        <f>IF(AND('Mapa final'!$AB$38="Muy Alta",'Mapa final'!$AD$38="Menor"),CONCATENATE("R5C",'Mapa final'!$R$38),"")</f>
        <v/>
      </c>
      <c r="U10" s="38" t="str">
        <f>IF(AND('Mapa final'!$AB$39="Muy Alta",'Mapa final'!$AD$39="Menor"),CONCATENATE("R5C",'Mapa final'!$R$39),"")</f>
        <v/>
      </c>
      <c r="V10" s="36" t="str">
        <f>IF(AND('Mapa final'!$AB$34="Muy Alta",'Mapa final'!$AD$34="Moderado"),CONCATENATE("R5C",'Mapa final'!$R$34),"")</f>
        <v/>
      </c>
      <c r="W10" s="37" t="str">
        <f>IF(AND('Mapa final'!$AB$35="Muy Alta",'Mapa final'!$AD$35="Moderado"),CONCATENATE("R5C",'Mapa final'!$R$35),"")</f>
        <v/>
      </c>
      <c r="X10" s="37" t="str">
        <f>IF(AND('Mapa final'!$AB$36="Muy Alta",'Mapa final'!$AD$36="Moderado"),CONCATENATE("R5C",'Mapa final'!$R$36),"")</f>
        <v/>
      </c>
      <c r="Y10" s="37" t="str">
        <f>IF(AND('Mapa final'!$AB$37="Muy Alta",'Mapa final'!$AD$37="Moderado"),CONCATENATE("R5C",'Mapa final'!$R$37),"")</f>
        <v/>
      </c>
      <c r="Z10" s="37" t="str">
        <f>IF(AND('Mapa final'!$AB$38="Muy Alta",'Mapa final'!$AD$38="Moderado"),CONCATENATE("R5C",'Mapa final'!$R$38),"")</f>
        <v/>
      </c>
      <c r="AA10" s="38" t="str">
        <f>IF(AND('Mapa final'!$AB$39="Muy Alta",'Mapa final'!$AD$39="Moderado"),CONCATENATE("R5C",'Mapa final'!$R$39),"")</f>
        <v/>
      </c>
      <c r="AB10" s="36" t="str">
        <f>IF(AND('Mapa final'!$AB$34="Muy Alta",'Mapa final'!$AD$34="Mayor"),CONCATENATE("R5C",'Mapa final'!$R$34),"")</f>
        <v/>
      </c>
      <c r="AC10" s="37" t="str">
        <f>IF(AND('Mapa final'!$AB$35="Muy Alta",'Mapa final'!$AD$35="Mayor"),CONCATENATE("R5C",'Mapa final'!$R$35),"")</f>
        <v/>
      </c>
      <c r="AD10" s="37" t="str">
        <f>IF(AND('Mapa final'!$AB$36="Muy Alta",'Mapa final'!$AD$36="Mayor"),CONCATENATE("R5C",'Mapa final'!$R$36),"")</f>
        <v/>
      </c>
      <c r="AE10" s="37" t="str">
        <f>IF(AND('Mapa final'!$AB$37="Muy Alta",'Mapa final'!$AD$37="Mayor"),CONCATENATE("R5C",'Mapa final'!$R$37),"")</f>
        <v/>
      </c>
      <c r="AF10" s="37" t="str">
        <f>IF(AND('Mapa final'!$AB$38="Muy Alta",'Mapa final'!$AD$38="Mayor"),CONCATENATE("R5C",'Mapa final'!$R$38),"")</f>
        <v/>
      </c>
      <c r="AG10" s="38" t="str">
        <f>IF(AND('Mapa final'!$AB$39="Muy Alta",'Mapa final'!$AD$39="Mayor"),CONCATENATE("R5C",'Mapa final'!$R$39),"")</f>
        <v/>
      </c>
      <c r="AH10" s="39" t="str">
        <f>IF(AND('Mapa final'!$AB$34="Muy Alta",'Mapa final'!$AD$34="Catastrófico"),CONCATENATE("R5C",'Mapa final'!$R$34),"")</f>
        <v/>
      </c>
      <c r="AI10" s="40" t="str">
        <f>IF(AND('Mapa final'!$AB$35="Muy Alta",'Mapa final'!$AD$35="Catastrófico"),CONCATENATE("R5C",'Mapa final'!$R$35),"")</f>
        <v/>
      </c>
      <c r="AJ10" s="40" t="str">
        <f>IF(AND('Mapa final'!$AB$36="Muy Alta",'Mapa final'!$AD$36="Catastrófico"),CONCATENATE("R5C",'Mapa final'!$R$36),"")</f>
        <v/>
      </c>
      <c r="AK10" s="40" t="str">
        <f>IF(AND('Mapa final'!$AB$37="Muy Alta",'Mapa final'!$AD$37="Catastrófico"),CONCATENATE("R5C",'Mapa final'!$R$37),"")</f>
        <v/>
      </c>
      <c r="AL10" s="40" t="str">
        <f>IF(AND('Mapa final'!$AB$38="Muy Alta",'Mapa final'!$AD$38="Catastrófico"),CONCATENATE("R5C",'Mapa final'!$R$38),"")</f>
        <v/>
      </c>
      <c r="AM10" s="41" t="str">
        <f>IF(AND('Mapa final'!$AB$39="Muy Alta",'Mapa final'!$AD$39="Catastrófico"),CONCATENATE("R5C",'Mapa final'!$R$39),"")</f>
        <v/>
      </c>
      <c r="AN10" s="67"/>
      <c r="AO10" s="635"/>
      <c r="AP10" s="636"/>
      <c r="AQ10" s="636"/>
      <c r="AR10" s="636"/>
      <c r="AS10" s="636"/>
      <c r="AT10" s="63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30"/>
      <c r="C11" s="530"/>
      <c r="D11" s="531"/>
      <c r="E11" s="629"/>
      <c r="F11" s="628"/>
      <c r="G11" s="628"/>
      <c r="H11" s="628"/>
      <c r="I11" s="644"/>
      <c r="J11" s="36" t="str">
        <f>IF(AND('Mapa final'!$AB$40="Muy Alta",'Mapa final'!$AD$40="Leve"),CONCATENATE("R6C",'Mapa final'!$R$40),"")</f>
        <v/>
      </c>
      <c r="K11" s="37" t="str">
        <f>IF(AND('Mapa final'!$AB$41="Muy Alta",'Mapa final'!$AD$41="Leve"),CONCATENATE("R6C",'Mapa final'!$R$41),"")</f>
        <v/>
      </c>
      <c r="L11" s="37" t="str">
        <f>IF(AND('Mapa final'!$AB$42="Muy Alta",'Mapa final'!$AD$42="Leve"),CONCATENATE("R6C",'Mapa final'!$R$42),"")</f>
        <v/>
      </c>
      <c r="M11" s="37" t="str">
        <f>IF(AND('Mapa final'!$AB$43="Muy Alta",'Mapa final'!$AD$43="Leve"),CONCATENATE("R6C",'Mapa final'!$R$43),"")</f>
        <v/>
      </c>
      <c r="N11" s="37" t="str">
        <f>IF(AND('Mapa final'!$AB$44="Muy Alta",'Mapa final'!$AD$44="Leve"),CONCATENATE("R6C",'Mapa final'!$R$44),"")</f>
        <v/>
      </c>
      <c r="O11" s="38" t="str">
        <f>IF(AND('Mapa final'!$AB$45="Muy Alta",'Mapa final'!$AD$45="Leve"),CONCATENATE("R6C",'Mapa final'!$R$45),"")</f>
        <v/>
      </c>
      <c r="P11" s="36" t="str">
        <f>IF(AND('Mapa final'!$AB$40="Muy Alta",'Mapa final'!$AD$40="Menor"),CONCATENATE("R6C",'Mapa final'!$R$40),"")</f>
        <v/>
      </c>
      <c r="Q11" s="37" t="str">
        <f>IF(AND('Mapa final'!$AB$41="Muy Alta",'Mapa final'!$AD$41="Menor"),CONCATENATE("R6C",'Mapa final'!$R$41),"")</f>
        <v/>
      </c>
      <c r="R11" s="37" t="str">
        <f>IF(AND('Mapa final'!$AB$42="Muy Alta",'Mapa final'!$AD$42="Menor"),CONCATENATE("R6C",'Mapa final'!$R$42),"")</f>
        <v/>
      </c>
      <c r="S11" s="37" t="str">
        <f>IF(AND('Mapa final'!$AB$43="Muy Alta",'Mapa final'!$AD$43="Menor"),CONCATENATE("R6C",'Mapa final'!$R$43),"")</f>
        <v/>
      </c>
      <c r="T11" s="37" t="str">
        <f>IF(AND('Mapa final'!$AB$44="Muy Alta",'Mapa final'!$AD$44="Menor"),CONCATENATE("R6C",'Mapa final'!$R$44),"")</f>
        <v/>
      </c>
      <c r="U11" s="38" t="str">
        <f>IF(AND('Mapa final'!$AB$45="Muy Alta",'Mapa final'!$AD$45="Menor"),CONCATENATE("R6C",'Mapa final'!$R$45),"")</f>
        <v/>
      </c>
      <c r="V11" s="36" t="str">
        <f>IF(AND('Mapa final'!$AB$40="Muy Alta",'Mapa final'!$AD$40="Moderado"),CONCATENATE("R6C",'Mapa final'!$R$40),"")</f>
        <v/>
      </c>
      <c r="W11" s="37" t="str">
        <f>IF(AND('Mapa final'!$AB$41="Muy Alta",'Mapa final'!$AD$41="Moderado"),CONCATENATE("R6C",'Mapa final'!$R$41),"")</f>
        <v/>
      </c>
      <c r="X11" s="37" t="str">
        <f>IF(AND('Mapa final'!$AB$42="Muy Alta",'Mapa final'!$AD$42="Moderado"),CONCATENATE("R6C",'Mapa final'!$R$42),"")</f>
        <v/>
      </c>
      <c r="Y11" s="37" t="str">
        <f>IF(AND('Mapa final'!$AB$43="Muy Alta",'Mapa final'!$AD$43="Moderado"),CONCATENATE("R6C",'Mapa final'!$R$43),"")</f>
        <v/>
      </c>
      <c r="Z11" s="37" t="str">
        <f>IF(AND('Mapa final'!$AB$44="Muy Alta",'Mapa final'!$AD$44="Moderado"),CONCATENATE("R6C",'Mapa final'!$R$44),"")</f>
        <v/>
      </c>
      <c r="AA11" s="38" t="str">
        <f>IF(AND('Mapa final'!$AB$45="Muy Alta",'Mapa final'!$AD$45="Moderado"),CONCATENATE("R6C",'Mapa final'!$R$45),"")</f>
        <v/>
      </c>
      <c r="AB11" s="36" t="str">
        <f>IF(AND('Mapa final'!$AB$40="Muy Alta",'Mapa final'!$AD$40="Mayor"),CONCATENATE("R6C",'Mapa final'!$R$40),"")</f>
        <v/>
      </c>
      <c r="AC11" s="37" t="str">
        <f>IF(AND('Mapa final'!$AB$41="Muy Alta",'Mapa final'!$AD$41="Mayor"),CONCATENATE("R6C",'Mapa final'!$R$41),"")</f>
        <v/>
      </c>
      <c r="AD11" s="37" t="str">
        <f>IF(AND('Mapa final'!$AB$42="Muy Alta",'Mapa final'!$AD$42="Mayor"),CONCATENATE("R6C",'Mapa final'!$R$42),"")</f>
        <v/>
      </c>
      <c r="AE11" s="37" t="str">
        <f>IF(AND('Mapa final'!$AB$43="Muy Alta",'Mapa final'!$AD$43="Mayor"),CONCATENATE("R6C",'Mapa final'!$R$43),"")</f>
        <v/>
      </c>
      <c r="AF11" s="37" t="str">
        <f>IF(AND('Mapa final'!$AB$44="Muy Alta",'Mapa final'!$AD$44="Mayor"),CONCATENATE("R6C",'Mapa final'!$R$44),"")</f>
        <v/>
      </c>
      <c r="AG11" s="38" t="str">
        <f>IF(AND('Mapa final'!$AB$45="Muy Alta",'Mapa final'!$AD$45="Mayor"),CONCATENATE("R6C",'Mapa final'!$R$45),"")</f>
        <v/>
      </c>
      <c r="AH11" s="39" t="str">
        <f>IF(AND('Mapa final'!$AB$40="Muy Alta",'Mapa final'!$AD$40="Catastrófico"),CONCATENATE("R6C",'Mapa final'!$R$40),"")</f>
        <v/>
      </c>
      <c r="AI11" s="40" t="str">
        <f>IF(AND('Mapa final'!$AB$41="Muy Alta",'Mapa final'!$AD$41="Catastrófico"),CONCATENATE("R6C",'Mapa final'!$R$41),"")</f>
        <v/>
      </c>
      <c r="AJ11" s="40" t="str">
        <f>IF(AND('Mapa final'!$AB$42="Muy Alta",'Mapa final'!$AD$42="Catastrófico"),CONCATENATE("R6C",'Mapa final'!$R$42),"")</f>
        <v/>
      </c>
      <c r="AK11" s="40" t="str">
        <f>IF(AND('Mapa final'!$AB$43="Muy Alta",'Mapa final'!$AD$43="Catastrófico"),CONCATENATE("R6C",'Mapa final'!$R$43),"")</f>
        <v/>
      </c>
      <c r="AL11" s="40" t="str">
        <f>IF(AND('Mapa final'!$AB$44="Muy Alta",'Mapa final'!$AD$44="Catastrófico"),CONCATENATE("R6C",'Mapa final'!$R$44),"")</f>
        <v/>
      </c>
      <c r="AM11" s="41" t="str">
        <f>IF(AND('Mapa final'!$AB$45="Muy Alta",'Mapa final'!$AD$45="Catastrófico"),CONCATENATE("R6C",'Mapa final'!$R$45),"")</f>
        <v/>
      </c>
      <c r="AN11" s="67"/>
      <c r="AO11" s="635"/>
      <c r="AP11" s="636"/>
      <c r="AQ11" s="636"/>
      <c r="AR11" s="636"/>
      <c r="AS11" s="636"/>
      <c r="AT11" s="63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30"/>
      <c r="C12" s="530"/>
      <c r="D12" s="531"/>
      <c r="E12" s="629"/>
      <c r="F12" s="628"/>
      <c r="G12" s="628"/>
      <c r="H12" s="628"/>
      <c r="I12" s="644"/>
      <c r="J12" s="36" t="str">
        <f>IF(AND('Mapa final'!$AB$46="Muy Alta",'Mapa final'!$AD$46="Leve"),CONCATENATE("R7C",'Mapa final'!$R$46),"")</f>
        <v/>
      </c>
      <c r="K12" s="37" t="str">
        <f>IF(AND('Mapa final'!$AB$47="Muy Alta",'Mapa final'!$AD$47="Leve"),CONCATENATE("R7C",'Mapa final'!$R$47),"")</f>
        <v/>
      </c>
      <c r="L12" s="37" t="str">
        <f>IF(AND('Mapa final'!$AB$48="Muy Alta",'Mapa final'!$AD$48="Leve"),CONCATENATE("R7C",'Mapa final'!$R$48),"")</f>
        <v/>
      </c>
      <c r="M12" s="37" t="str">
        <f>IF(AND('Mapa final'!$AB$49="Muy Alta",'Mapa final'!$AD$49="Leve"),CONCATENATE("R7C",'Mapa final'!$R$49),"")</f>
        <v/>
      </c>
      <c r="N12" s="37" t="str">
        <f>IF(AND('Mapa final'!$AB$50="Muy Alta",'Mapa final'!$AD$50="Leve"),CONCATENATE("R7C",'Mapa final'!$R$50),"")</f>
        <v/>
      </c>
      <c r="O12" s="38" t="str">
        <f>IF(AND('Mapa final'!$AB$51="Muy Alta",'Mapa final'!$AD$51="Leve"),CONCATENATE("R7C",'Mapa final'!$R$51),"")</f>
        <v/>
      </c>
      <c r="P12" s="36" t="str">
        <f>IF(AND('Mapa final'!$AB$46="Muy Alta",'Mapa final'!$AD$46="Menor"),CONCATENATE("R7C",'Mapa final'!$R$46),"")</f>
        <v/>
      </c>
      <c r="Q12" s="37" t="str">
        <f>IF(AND('Mapa final'!$AB$47="Muy Alta",'Mapa final'!$AD$47="Menor"),CONCATENATE("R7C",'Mapa final'!$R$47),"")</f>
        <v/>
      </c>
      <c r="R12" s="37" t="str">
        <f>IF(AND('Mapa final'!$AB$48="Muy Alta",'Mapa final'!$AD$48="Menor"),CONCATENATE("R7C",'Mapa final'!$R$48),"")</f>
        <v/>
      </c>
      <c r="S12" s="37" t="str">
        <f>IF(AND('Mapa final'!$AB$49="Muy Alta",'Mapa final'!$AD$49="Menor"),CONCATENATE("R7C",'Mapa final'!$R$49),"")</f>
        <v/>
      </c>
      <c r="T12" s="37" t="str">
        <f>IF(AND('Mapa final'!$AB$50="Muy Alta",'Mapa final'!$AD$50="Menor"),CONCATENATE("R7C",'Mapa final'!$R$50),"")</f>
        <v/>
      </c>
      <c r="U12" s="38" t="str">
        <f>IF(AND('Mapa final'!$AB$51="Muy Alta",'Mapa final'!$AD$51="Menor"),CONCATENATE("R7C",'Mapa final'!$R$51),"")</f>
        <v/>
      </c>
      <c r="V12" s="36" t="str">
        <f>IF(AND('Mapa final'!$AB$46="Muy Alta",'Mapa final'!$AD$46="Moderado"),CONCATENATE("R7C",'Mapa final'!$R$46),"")</f>
        <v/>
      </c>
      <c r="W12" s="37" t="str">
        <f>IF(AND('Mapa final'!$AB$47="Muy Alta",'Mapa final'!$AD$47="Moderado"),CONCATENATE("R7C",'Mapa final'!$R$47),"")</f>
        <v/>
      </c>
      <c r="X12" s="37" t="str">
        <f>IF(AND('Mapa final'!$AB$48="Muy Alta",'Mapa final'!$AD$48="Moderado"),CONCATENATE("R7C",'Mapa final'!$R$48),"")</f>
        <v/>
      </c>
      <c r="Y12" s="37" t="str">
        <f>IF(AND('Mapa final'!$AB$49="Muy Alta",'Mapa final'!$AD$49="Moderado"),CONCATENATE("R7C",'Mapa final'!$R$49),"")</f>
        <v/>
      </c>
      <c r="Z12" s="37" t="str">
        <f>IF(AND('Mapa final'!$AB$50="Muy Alta",'Mapa final'!$AD$50="Moderado"),CONCATENATE("R7C",'Mapa final'!$R$50),"")</f>
        <v/>
      </c>
      <c r="AA12" s="38" t="str">
        <f>IF(AND('Mapa final'!$AB$51="Muy Alta",'Mapa final'!$AD$51="Moderado"),CONCATENATE("R7C",'Mapa final'!$R$51),"")</f>
        <v/>
      </c>
      <c r="AB12" s="36" t="str">
        <f>IF(AND('Mapa final'!$AB$46="Muy Alta",'Mapa final'!$AD$46="Mayor"),CONCATENATE("R7C",'Mapa final'!$R$46),"")</f>
        <v/>
      </c>
      <c r="AC12" s="37" t="str">
        <f>IF(AND('Mapa final'!$AB$47="Muy Alta",'Mapa final'!$AD$47="Mayor"),CONCATENATE("R7C",'Mapa final'!$R$47),"")</f>
        <v/>
      </c>
      <c r="AD12" s="37" t="str">
        <f>IF(AND('Mapa final'!$AB$48="Muy Alta",'Mapa final'!$AD$48="Mayor"),CONCATENATE("R7C",'Mapa final'!$R$48),"")</f>
        <v/>
      </c>
      <c r="AE12" s="37" t="str">
        <f>IF(AND('Mapa final'!$AB$49="Muy Alta",'Mapa final'!$AD$49="Mayor"),CONCATENATE("R7C",'Mapa final'!$R$49),"")</f>
        <v/>
      </c>
      <c r="AF12" s="37" t="str">
        <f>IF(AND('Mapa final'!$AB$50="Muy Alta",'Mapa final'!$AD$50="Mayor"),CONCATENATE("R7C",'Mapa final'!$R$50),"")</f>
        <v/>
      </c>
      <c r="AG12" s="38" t="str">
        <f>IF(AND('Mapa final'!$AB$51="Muy Alta",'Mapa final'!$AD$51="Mayor"),CONCATENATE("R7C",'Mapa final'!$R$51),"")</f>
        <v/>
      </c>
      <c r="AH12" s="39" t="str">
        <f>IF(AND('Mapa final'!$AB$46="Muy Alta",'Mapa final'!$AD$46="Catastrófico"),CONCATENATE("R7C",'Mapa final'!$R$46),"")</f>
        <v/>
      </c>
      <c r="AI12" s="40" t="str">
        <f>IF(AND('Mapa final'!$AB$47="Muy Alta",'Mapa final'!$AD$47="Catastrófico"),CONCATENATE("R7C",'Mapa final'!$R$47),"")</f>
        <v/>
      </c>
      <c r="AJ12" s="40" t="str">
        <f>IF(AND('Mapa final'!$AB$48="Muy Alta",'Mapa final'!$AD$48="Catastrófico"),CONCATENATE("R7C",'Mapa final'!$R$48),"")</f>
        <v/>
      </c>
      <c r="AK12" s="40" t="str">
        <f>IF(AND('Mapa final'!$AB$49="Muy Alta",'Mapa final'!$AD$49="Catastrófico"),CONCATENATE("R7C",'Mapa final'!$R$49),"")</f>
        <v/>
      </c>
      <c r="AL12" s="40" t="str">
        <f>IF(AND('Mapa final'!$AB$50="Muy Alta",'Mapa final'!$AD$50="Catastrófico"),CONCATENATE("R7C",'Mapa final'!$R$50),"")</f>
        <v/>
      </c>
      <c r="AM12" s="41" t="str">
        <f>IF(AND('Mapa final'!$AB$51="Muy Alta",'Mapa final'!$AD$51="Catastrófico"),CONCATENATE("R7C",'Mapa final'!$R$51),"")</f>
        <v/>
      </c>
      <c r="AN12" s="67"/>
      <c r="AO12" s="635"/>
      <c r="AP12" s="636"/>
      <c r="AQ12" s="636"/>
      <c r="AR12" s="636"/>
      <c r="AS12" s="636"/>
      <c r="AT12" s="63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30"/>
      <c r="C13" s="530"/>
      <c r="D13" s="531"/>
      <c r="E13" s="629"/>
      <c r="F13" s="628"/>
      <c r="G13" s="628"/>
      <c r="H13" s="628"/>
      <c r="I13" s="644"/>
      <c r="J13" s="36" t="str">
        <f>IF(AND('Mapa final'!$AB$52="Muy Alta",'Mapa final'!$AD$52="Leve"),CONCATENATE("R8C",'Mapa final'!$R$52),"")</f>
        <v/>
      </c>
      <c r="K13" s="37" t="str">
        <f>IF(AND('Mapa final'!$AB$53="Muy Alta",'Mapa final'!$AD$53="Leve"),CONCATENATE("R8C",'Mapa final'!$R$53),"")</f>
        <v/>
      </c>
      <c r="L13" s="37" t="str">
        <f>IF(AND('Mapa final'!$AB$54="Muy Alta",'Mapa final'!$AD$54="Leve"),CONCATENATE("R8C",'Mapa final'!$R$54),"")</f>
        <v/>
      </c>
      <c r="M13" s="37" t="str">
        <f>IF(AND('Mapa final'!$AB$55="Muy Alta",'Mapa final'!$AD$55="Leve"),CONCATENATE("R8C",'Mapa final'!$R$55),"")</f>
        <v/>
      </c>
      <c r="N13" s="37" t="str">
        <f>IF(AND('Mapa final'!$AB$56="Muy Alta",'Mapa final'!$AD$56="Leve"),CONCATENATE("R8C",'Mapa final'!$R$56),"")</f>
        <v/>
      </c>
      <c r="O13" s="38" t="str">
        <f>IF(AND('Mapa final'!$AB$57="Muy Alta",'Mapa final'!$AD$57="Leve"),CONCATENATE("R8C",'Mapa final'!$R$57),"")</f>
        <v/>
      </c>
      <c r="P13" s="36" t="str">
        <f>IF(AND('Mapa final'!$AB$52="Muy Alta",'Mapa final'!$AD$52="Menor"),CONCATENATE("R8C",'Mapa final'!$R$52),"")</f>
        <v/>
      </c>
      <c r="Q13" s="37" t="str">
        <f>IF(AND('Mapa final'!$AB$53="Muy Alta",'Mapa final'!$AD$53="Menor"),CONCATENATE("R8C",'Mapa final'!$R$53),"")</f>
        <v/>
      </c>
      <c r="R13" s="37" t="str">
        <f>IF(AND('Mapa final'!$AB$54="Muy Alta",'Mapa final'!$AD$54="Menor"),CONCATENATE("R8C",'Mapa final'!$R$54),"")</f>
        <v/>
      </c>
      <c r="S13" s="37" t="str">
        <f>IF(AND('Mapa final'!$AB$55="Muy Alta",'Mapa final'!$AD$55="Menor"),CONCATENATE("R8C",'Mapa final'!$R$55),"")</f>
        <v/>
      </c>
      <c r="T13" s="37" t="str">
        <f>IF(AND('Mapa final'!$AB$56="Muy Alta",'Mapa final'!$AD$56="Menor"),CONCATENATE("R8C",'Mapa final'!$R$56),"")</f>
        <v/>
      </c>
      <c r="U13" s="38" t="str">
        <f>IF(AND('Mapa final'!$AB$57="Muy Alta",'Mapa final'!$AD$57="Menor"),CONCATENATE("R8C",'Mapa final'!$R$57),"")</f>
        <v/>
      </c>
      <c r="V13" s="36" t="str">
        <f>IF(AND('Mapa final'!$AB$52="Muy Alta",'Mapa final'!$AD$52="Moderado"),CONCATENATE("R8C",'Mapa final'!$R$52),"")</f>
        <v/>
      </c>
      <c r="W13" s="37" t="str">
        <f>IF(AND('Mapa final'!$AB$53="Muy Alta",'Mapa final'!$AD$53="Moderado"),CONCATENATE("R8C",'Mapa final'!$R$53),"")</f>
        <v/>
      </c>
      <c r="X13" s="37" t="str">
        <f>IF(AND('Mapa final'!$AB$54="Muy Alta",'Mapa final'!$AD$54="Moderado"),CONCATENATE("R8C",'Mapa final'!$R$54),"")</f>
        <v/>
      </c>
      <c r="Y13" s="37" t="str">
        <f>IF(AND('Mapa final'!$AB$55="Muy Alta",'Mapa final'!$AD$55="Moderado"),CONCATENATE("R8C",'Mapa final'!$R$55),"")</f>
        <v/>
      </c>
      <c r="Z13" s="37" t="str">
        <f>IF(AND('Mapa final'!$AB$56="Muy Alta",'Mapa final'!$AD$56="Moderado"),CONCATENATE("R8C",'Mapa final'!$R$56),"")</f>
        <v/>
      </c>
      <c r="AA13" s="38" t="str">
        <f>IF(AND('Mapa final'!$AB$57="Muy Alta",'Mapa final'!$AD$57="Moderado"),CONCATENATE("R8C",'Mapa final'!$R$57),"")</f>
        <v/>
      </c>
      <c r="AB13" s="36" t="str">
        <f>IF(AND('Mapa final'!$AB$52="Muy Alta",'Mapa final'!$AD$52="Mayor"),CONCATENATE("R8C",'Mapa final'!$R$52),"")</f>
        <v/>
      </c>
      <c r="AC13" s="37" t="str">
        <f>IF(AND('Mapa final'!$AB$53="Muy Alta",'Mapa final'!$AD$53="Mayor"),CONCATENATE("R8C",'Mapa final'!$R$53),"")</f>
        <v/>
      </c>
      <c r="AD13" s="37" t="str">
        <f>IF(AND('Mapa final'!$AB$54="Muy Alta",'Mapa final'!$AD$54="Mayor"),CONCATENATE("R8C",'Mapa final'!$R$54),"")</f>
        <v/>
      </c>
      <c r="AE13" s="37" t="str">
        <f>IF(AND('Mapa final'!$AB$55="Muy Alta",'Mapa final'!$AD$55="Mayor"),CONCATENATE("R8C",'Mapa final'!$R$55),"")</f>
        <v/>
      </c>
      <c r="AF13" s="37" t="str">
        <f>IF(AND('Mapa final'!$AB$56="Muy Alta",'Mapa final'!$AD$56="Mayor"),CONCATENATE("R8C",'Mapa final'!$R$56),"")</f>
        <v/>
      </c>
      <c r="AG13" s="38" t="str">
        <f>IF(AND('Mapa final'!$AB$57="Muy Alta",'Mapa final'!$AD$57="Mayor"),CONCATENATE("R8C",'Mapa final'!$R$57),"")</f>
        <v/>
      </c>
      <c r="AH13" s="39" t="str">
        <f>IF(AND('Mapa final'!$AB$52="Muy Alta",'Mapa final'!$AD$52="Catastrófico"),CONCATENATE("R8C",'Mapa final'!$R$52),"")</f>
        <v/>
      </c>
      <c r="AI13" s="40" t="str">
        <f>IF(AND('Mapa final'!$AB$53="Muy Alta",'Mapa final'!$AD$53="Catastrófico"),CONCATENATE("R8C",'Mapa final'!$R$53),"")</f>
        <v/>
      </c>
      <c r="AJ13" s="40" t="str">
        <f>IF(AND('Mapa final'!$AB$54="Muy Alta",'Mapa final'!$AD$54="Catastrófico"),CONCATENATE("R8C",'Mapa final'!$R$54),"")</f>
        <v/>
      </c>
      <c r="AK13" s="40" t="str">
        <f>IF(AND('Mapa final'!$AB$55="Muy Alta",'Mapa final'!$AD$55="Catastrófico"),CONCATENATE("R8C",'Mapa final'!$R$55),"")</f>
        <v/>
      </c>
      <c r="AL13" s="40" t="str">
        <f>IF(AND('Mapa final'!$AB$56="Muy Alta",'Mapa final'!$AD$56="Catastrófico"),CONCATENATE("R8C",'Mapa final'!$R$56),"")</f>
        <v/>
      </c>
      <c r="AM13" s="41" t="str">
        <f>IF(AND('Mapa final'!$AB$57="Muy Alta",'Mapa final'!$AD$57="Catastrófico"),CONCATENATE("R8C",'Mapa final'!$R$57),"")</f>
        <v/>
      </c>
      <c r="AN13" s="67"/>
      <c r="AO13" s="635"/>
      <c r="AP13" s="636"/>
      <c r="AQ13" s="636"/>
      <c r="AR13" s="636"/>
      <c r="AS13" s="636"/>
      <c r="AT13" s="63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30"/>
      <c r="C14" s="530"/>
      <c r="D14" s="531"/>
      <c r="E14" s="629"/>
      <c r="F14" s="628"/>
      <c r="G14" s="628"/>
      <c r="H14" s="628"/>
      <c r="I14" s="644"/>
      <c r="J14" s="36" t="str">
        <f>IF(AND('Mapa final'!$AB$58="Muy Alta",'Mapa final'!$AD$58="Leve"),CONCATENATE("R9C",'Mapa final'!$R$58),"")</f>
        <v/>
      </c>
      <c r="K14" s="37" t="str">
        <f>IF(AND('Mapa final'!$AB$59="Muy Alta",'Mapa final'!$AD$59="Leve"),CONCATENATE("R9C",'Mapa final'!$R$59),"")</f>
        <v/>
      </c>
      <c r="L14" s="37" t="str">
        <f>IF(AND('Mapa final'!$AB$60="Muy Alta",'Mapa final'!$AD$60="Leve"),CONCATENATE("R9C",'Mapa final'!$R$60),"")</f>
        <v/>
      </c>
      <c r="M14" s="37" t="str">
        <f>IF(AND('Mapa final'!$AB$61="Muy Alta",'Mapa final'!$AD$61="Leve"),CONCATENATE("R9C",'Mapa final'!$R$61),"")</f>
        <v/>
      </c>
      <c r="N14" s="37" t="str">
        <f>IF(AND('Mapa final'!$AB$62="Muy Alta",'Mapa final'!$AD$62="Leve"),CONCATENATE("R9C",'Mapa final'!$R$62),"")</f>
        <v/>
      </c>
      <c r="O14" s="38" t="str">
        <f>IF(AND('Mapa final'!$AB$63="Muy Alta",'Mapa final'!$AD$63="Leve"),CONCATENATE("R9C",'Mapa final'!$R$63),"")</f>
        <v/>
      </c>
      <c r="P14" s="36" t="str">
        <f>IF(AND('Mapa final'!$AB$58="Muy Alta",'Mapa final'!$AD$58="Menor"),CONCATENATE("R9C",'Mapa final'!$R$58),"")</f>
        <v/>
      </c>
      <c r="Q14" s="37" t="str">
        <f>IF(AND('Mapa final'!$AB$59="Muy Alta",'Mapa final'!$AD$59="Menor"),CONCATENATE("R9C",'Mapa final'!$R$59),"")</f>
        <v/>
      </c>
      <c r="R14" s="37" t="str">
        <f>IF(AND('Mapa final'!$AB$60="Muy Alta",'Mapa final'!$AD$60="Menor"),CONCATENATE("R9C",'Mapa final'!$R$60),"")</f>
        <v/>
      </c>
      <c r="S14" s="37" t="str">
        <f>IF(AND('Mapa final'!$AB$61="Muy Alta",'Mapa final'!$AD$61="Menor"),CONCATENATE("R9C",'Mapa final'!$R$61),"")</f>
        <v/>
      </c>
      <c r="T14" s="37" t="str">
        <f>IF(AND('Mapa final'!$AB$62="Muy Alta",'Mapa final'!$AD$62="Menor"),CONCATENATE("R9C",'Mapa final'!$R$62),"")</f>
        <v/>
      </c>
      <c r="U14" s="38" t="str">
        <f>IF(AND('Mapa final'!$AB$63="Muy Alta",'Mapa final'!$AD$63="Menor"),CONCATENATE("R9C",'Mapa final'!$R$63),"")</f>
        <v/>
      </c>
      <c r="V14" s="36" t="str">
        <f>IF(AND('Mapa final'!$AB$58="Muy Alta",'Mapa final'!$AD$58="Moderado"),CONCATENATE("R9C",'Mapa final'!$R$58),"")</f>
        <v/>
      </c>
      <c r="W14" s="37" t="str">
        <f>IF(AND('Mapa final'!$AB$59="Muy Alta",'Mapa final'!$AD$59="Moderado"),CONCATENATE("R9C",'Mapa final'!$R$59),"")</f>
        <v/>
      </c>
      <c r="X14" s="37" t="str">
        <f>IF(AND('Mapa final'!$AB$60="Muy Alta",'Mapa final'!$AD$60="Moderado"),CONCATENATE("R9C",'Mapa final'!$R$60),"")</f>
        <v/>
      </c>
      <c r="Y14" s="37" t="str">
        <f>IF(AND('Mapa final'!$AB$61="Muy Alta",'Mapa final'!$AD$61="Moderado"),CONCATENATE("R9C",'Mapa final'!$R$61),"")</f>
        <v/>
      </c>
      <c r="Z14" s="37" t="str">
        <f>IF(AND('Mapa final'!$AB$62="Muy Alta",'Mapa final'!$AD$62="Moderado"),CONCATENATE("R9C",'Mapa final'!$R$62),"")</f>
        <v/>
      </c>
      <c r="AA14" s="38" t="str">
        <f>IF(AND('Mapa final'!$AB$63="Muy Alta",'Mapa final'!$AD$63="Moderado"),CONCATENATE("R9C",'Mapa final'!$R$63),"")</f>
        <v/>
      </c>
      <c r="AB14" s="36" t="str">
        <f>IF(AND('Mapa final'!$AB$58="Muy Alta",'Mapa final'!$AD$58="Mayor"),CONCATENATE("R9C",'Mapa final'!$R$58),"")</f>
        <v/>
      </c>
      <c r="AC14" s="37" t="str">
        <f>IF(AND('Mapa final'!$AB$59="Muy Alta",'Mapa final'!$AD$59="Mayor"),CONCATENATE("R9C",'Mapa final'!$R$59),"")</f>
        <v/>
      </c>
      <c r="AD14" s="37" t="str">
        <f>IF(AND('Mapa final'!$AB$60="Muy Alta",'Mapa final'!$AD$60="Mayor"),CONCATENATE("R9C",'Mapa final'!$R$60),"")</f>
        <v/>
      </c>
      <c r="AE14" s="37" t="str">
        <f>IF(AND('Mapa final'!$AB$61="Muy Alta",'Mapa final'!$AD$61="Mayor"),CONCATENATE("R9C",'Mapa final'!$R$61),"")</f>
        <v/>
      </c>
      <c r="AF14" s="37" t="str">
        <f>IF(AND('Mapa final'!$AB$62="Muy Alta",'Mapa final'!$AD$62="Mayor"),CONCATENATE("R9C",'Mapa final'!$R$62),"")</f>
        <v/>
      </c>
      <c r="AG14" s="38" t="str">
        <f>IF(AND('Mapa final'!$AB$63="Muy Alta",'Mapa final'!$AD$63="Mayor"),CONCATENATE("R9C",'Mapa final'!$R$63),"")</f>
        <v/>
      </c>
      <c r="AH14" s="39" t="str">
        <f>IF(AND('Mapa final'!$AB$58="Muy Alta",'Mapa final'!$AD$58="Catastrófico"),CONCATENATE("R9C",'Mapa final'!$R$58),"")</f>
        <v/>
      </c>
      <c r="AI14" s="40" t="str">
        <f>IF(AND('Mapa final'!$AB$59="Muy Alta",'Mapa final'!$AD$59="Catastrófico"),CONCATENATE("R9C",'Mapa final'!$R$59),"")</f>
        <v/>
      </c>
      <c r="AJ14" s="40" t="str">
        <f>IF(AND('Mapa final'!$AB$60="Muy Alta",'Mapa final'!$AD$60="Catastrófico"),CONCATENATE("R9C",'Mapa final'!$R$60),"")</f>
        <v/>
      </c>
      <c r="AK14" s="40" t="str">
        <f>IF(AND('Mapa final'!$AB$61="Muy Alta",'Mapa final'!$AD$61="Catastrófico"),CONCATENATE("R9C",'Mapa final'!$R$61),"")</f>
        <v/>
      </c>
      <c r="AL14" s="40" t="str">
        <f>IF(AND('Mapa final'!$AB$62="Muy Alta",'Mapa final'!$AD$62="Catastrófico"),CONCATENATE("R9C",'Mapa final'!$R$62),"")</f>
        <v/>
      </c>
      <c r="AM14" s="41" t="str">
        <f>IF(AND('Mapa final'!$AB$63="Muy Alta",'Mapa final'!$AD$63="Catastrófico"),CONCATENATE("R9C",'Mapa final'!$R$63),"")</f>
        <v/>
      </c>
      <c r="AN14" s="67"/>
      <c r="AO14" s="635"/>
      <c r="AP14" s="636"/>
      <c r="AQ14" s="636"/>
      <c r="AR14" s="636"/>
      <c r="AS14" s="636"/>
      <c r="AT14" s="63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30"/>
      <c r="C15" s="530"/>
      <c r="D15" s="531"/>
      <c r="E15" s="630"/>
      <c r="F15" s="631"/>
      <c r="G15" s="631"/>
      <c r="H15" s="631"/>
      <c r="I15" s="645"/>
      <c r="J15" s="42" t="str">
        <f>IF(AND('Mapa final'!$AB$64="Muy Alta",'Mapa final'!$AD$64="Leve"),CONCATENATE("R10C",'Mapa final'!$R$64),"")</f>
        <v/>
      </c>
      <c r="K15" s="43" t="str">
        <f>IF(AND('Mapa final'!$AB$65="Muy Alta",'Mapa final'!$AD$65="Leve"),CONCATENATE("R10C",'Mapa final'!$R$65),"")</f>
        <v/>
      </c>
      <c r="L15" s="43" t="str">
        <f>IF(AND('Mapa final'!$AB$66="Muy Alta",'Mapa final'!$AD$66="Leve"),CONCATENATE("R10C",'Mapa final'!$R$66),"")</f>
        <v/>
      </c>
      <c r="M15" s="43" t="str">
        <f>IF(AND('Mapa final'!$AB$67="Muy Alta",'Mapa final'!$AD$67="Leve"),CONCATENATE("R10C",'Mapa final'!$R$67),"")</f>
        <v/>
      </c>
      <c r="N15" s="43" t="str">
        <f>IF(AND('Mapa final'!$AB$68="Muy Alta",'Mapa final'!$AD$68="Leve"),CONCATENATE("R10C",'Mapa final'!$R$68),"")</f>
        <v/>
      </c>
      <c r="O15" s="44" t="str">
        <f>IF(AND('Mapa final'!$AB$69="Muy Alta",'Mapa final'!$AD$69="Leve"),CONCATENATE("R10C",'Mapa final'!$R$69),"")</f>
        <v/>
      </c>
      <c r="P15" s="36" t="str">
        <f>IF(AND('Mapa final'!$AB$64="Muy Alta",'Mapa final'!$AD$64="Menor"),CONCATENATE("R10C",'Mapa final'!$R$64),"")</f>
        <v/>
      </c>
      <c r="Q15" s="37" t="str">
        <f>IF(AND('Mapa final'!$AB$65="Muy Alta",'Mapa final'!$AD$65="Menor"),CONCATENATE("R10C",'Mapa final'!$R$65),"")</f>
        <v/>
      </c>
      <c r="R15" s="37" t="str">
        <f>IF(AND('Mapa final'!$AB$66="Muy Alta",'Mapa final'!$AD$66="Menor"),CONCATENATE("R10C",'Mapa final'!$R$66),"")</f>
        <v/>
      </c>
      <c r="S15" s="37" t="str">
        <f>IF(AND('Mapa final'!$AB$67="Muy Alta",'Mapa final'!$AD$67="Menor"),CONCATENATE("R10C",'Mapa final'!$R$67),"")</f>
        <v/>
      </c>
      <c r="T15" s="37" t="str">
        <f>IF(AND('Mapa final'!$AB$68="Muy Alta",'Mapa final'!$AD$68="Menor"),CONCATENATE("R10C",'Mapa final'!$R$68),"")</f>
        <v/>
      </c>
      <c r="U15" s="38" t="str">
        <f>IF(AND('Mapa final'!$AB$69="Muy Alta",'Mapa final'!$AD$69="Menor"),CONCATENATE("R10C",'Mapa final'!$R$69),"")</f>
        <v/>
      </c>
      <c r="V15" s="42" t="str">
        <f>IF(AND('Mapa final'!$AB$64="Muy Alta",'Mapa final'!$AD$64="Moderado"),CONCATENATE("R10C",'Mapa final'!$R$64),"")</f>
        <v/>
      </c>
      <c r="W15" s="43" t="str">
        <f>IF(AND('Mapa final'!$AB$65="Muy Alta",'Mapa final'!$AD$65="Moderado"),CONCATENATE("R10C",'Mapa final'!$R$65),"")</f>
        <v/>
      </c>
      <c r="X15" s="43" t="str">
        <f>IF(AND('Mapa final'!$AB$66="Muy Alta",'Mapa final'!$AD$66="Moderado"),CONCATENATE("R10C",'Mapa final'!$R$66),"")</f>
        <v/>
      </c>
      <c r="Y15" s="43" t="str">
        <f>IF(AND('Mapa final'!$AB$67="Muy Alta",'Mapa final'!$AD$67="Moderado"),CONCATENATE("R10C",'Mapa final'!$R$67),"")</f>
        <v/>
      </c>
      <c r="Z15" s="43" t="str">
        <f>IF(AND('Mapa final'!$AB$68="Muy Alta",'Mapa final'!$AD$68="Moderado"),CONCATENATE("R10C",'Mapa final'!$R$68),"")</f>
        <v/>
      </c>
      <c r="AA15" s="44" t="str">
        <f>IF(AND('Mapa final'!$AB$69="Muy Alta",'Mapa final'!$AD$69="Moderado"),CONCATENATE("R10C",'Mapa final'!$R$69),"")</f>
        <v/>
      </c>
      <c r="AB15" s="36" t="str">
        <f>IF(AND('Mapa final'!$AB$64="Muy Alta",'Mapa final'!$AD$64="Mayor"),CONCATENATE("R10C",'Mapa final'!$R$64),"")</f>
        <v/>
      </c>
      <c r="AC15" s="37" t="str">
        <f>IF(AND('Mapa final'!$AB$65="Muy Alta",'Mapa final'!$AD$65="Mayor"),CONCATENATE("R10C",'Mapa final'!$R$65),"")</f>
        <v/>
      </c>
      <c r="AD15" s="37" t="str">
        <f>IF(AND('Mapa final'!$AB$66="Muy Alta",'Mapa final'!$AD$66="Mayor"),CONCATENATE("R10C",'Mapa final'!$R$66),"")</f>
        <v/>
      </c>
      <c r="AE15" s="37" t="str">
        <f>IF(AND('Mapa final'!$AB$67="Muy Alta",'Mapa final'!$AD$67="Mayor"),CONCATENATE("R10C",'Mapa final'!$R$67),"")</f>
        <v/>
      </c>
      <c r="AF15" s="37" t="str">
        <f>IF(AND('Mapa final'!$AB$68="Muy Alta",'Mapa final'!$AD$68="Mayor"),CONCATENATE("R10C",'Mapa final'!$R$68),"")</f>
        <v/>
      </c>
      <c r="AG15" s="38" t="str">
        <f>IF(AND('Mapa final'!$AB$69="Muy Alta",'Mapa final'!$AD$69="Mayor"),CONCATENATE("R10C",'Mapa final'!$R$69),"")</f>
        <v/>
      </c>
      <c r="AH15" s="45" t="str">
        <f>IF(AND('Mapa final'!$AB$64="Muy Alta",'Mapa final'!$AD$64="Catastrófico"),CONCATENATE("R10C",'Mapa final'!$R$64),"")</f>
        <v/>
      </c>
      <c r="AI15" s="46" t="str">
        <f>IF(AND('Mapa final'!$AB$65="Muy Alta",'Mapa final'!$AD$65="Catastrófico"),CONCATENATE("R10C",'Mapa final'!$R$65),"")</f>
        <v/>
      </c>
      <c r="AJ15" s="46" t="str">
        <f>IF(AND('Mapa final'!$AB$66="Muy Alta",'Mapa final'!$AD$66="Catastrófico"),CONCATENATE("R10C",'Mapa final'!$R$66),"")</f>
        <v/>
      </c>
      <c r="AK15" s="46" t="str">
        <f>IF(AND('Mapa final'!$AB$67="Muy Alta",'Mapa final'!$AD$67="Catastrófico"),CONCATENATE("R10C",'Mapa final'!$R$67),"")</f>
        <v/>
      </c>
      <c r="AL15" s="46" t="str">
        <f>IF(AND('Mapa final'!$AB$68="Muy Alta",'Mapa final'!$AD$68="Catastrófico"),CONCATENATE("R10C",'Mapa final'!$R$68),"")</f>
        <v/>
      </c>
      <c r="AM15" s="47" t="str">
        <f>IF(AND('Mapa final'!$AB$69="Muy Alta",'Mapa final'!$AD$69="Catastrófico"),CONCATENATE("R10C",'Mapa final'!$R$69),"")</f>
        <v/>
      </c>
      <c r="AN15" s="67"/>
      <c r="AO15" s="638"/>
      <c r="AP15" s="639"/>
      <c r="AQ15" s="639"/>
      <c r="AR15" s="639"/>
      <c r="AS15" s="639"/>
      <c r="AT15" s="64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30"/>
      <c r="C16" s="530"/>
      <c r="D16" s="531"/>
      <c r="E16" s="625" t="s">
        <v>109</v>
      </c>
      <c r="F16" s="626"/>
      <c r="G16" s="626"/>
      <c r="H16" s="626"/>
      <c r="I16" s="626"/>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str">
        <f>IF(AND('Mapa final'!$AB$14="Alta",'Mapa final'!$AD$14="Leve"),CONCATENATE("R1C",'Mapa final'!$R$14),"")</f>
        <v/>
      </c>
      <c r="O16" s="50" t="str">
        <f>IF(AND('Mapa final'!$AB$15="Alta",'Mapa final'!$AD$15="Leve"),CONCATENATE("R1C",'Mapa final'!$R$15),"")</f>
        <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str">
        <f>IF(AND('Mapa final'!$AB$14="Alta",'Mapa final'!$AD$14="Menor"),CONCATENATE("R1C",'Mapa final'!$R$14),"")</f>
        <v/>
      </c>
      <c r="U16" s="50" t="str">
        <f>IF(AND('Mapa final'!$AB$15="Alta",'Mapa final'!$AD$15="Menor"),CONCATENATE("R1C",'Mapa final'!$R$15),"")</f>
        <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str">
        <f>IF(AND('Mapa final'!$AB$14="Alta",'Mapa final'!$AD$14="Moderado"),CONCATENATE("R1C",'Mapa final'!$R$14),"")</f>
        <v/>
      </c>
      <c r="AA16" s="32" t="str">
        <f>IF(AND('Mapa final'!$AB$15="Alta",'Mapa final'!$AD$15="Moderado"),CONCATENATE("R1C",'Mapa final'!$R$15),"")</f>
        <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str">
        <f>IF(AND('Mapa final'!$AB$14="Alta",'Mapa final'!$AD$14="Mayor"),CONCATENATE("R1C",'Mapa final'!$R$14),"")</f>
        <v/>
      </c>
      <c r="AG16" s="32" t="str">
        <f>IF(AND('Mapa final'!$AB$15="Alta",'Mapa final'!$AD$15="Mayor"),CONCATENATE("R1C",'Mapa final'!$R$15),"")</f>
        <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str">
        <f>IF(AND('Mapa final'!$AB$14="Alta",'Mapa final'!$AD$14="Catastrófico"),CONCATENATE("R1C",'Mapa final'!$R$14),"")</f>
        <v/>
      </c>
      <c r="AM16" s="35" t="str">
        <f>IF(AND('Mapa final'!$AB$15="Alta",'Mapa final'!$AD$15="Catastrófico"),CONCATENATE("R1C",'Mapa final'!$R$15),"")</f>
        <v/>
      </c>
      <c r="AN16" s="67"/>
      <c r="AO16" s="616" t="s">
        <v>78</v>
      </c>
      <c r="AP16" s="617"/>
      <c r="AQ16" s="617"/>
      <c r="AR16" s="617"/>
      <c r="AS16" s="617"/>
      <c r="AT16" s="61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30"/>
      <c r="C17" s="530"/>
      <c r="D17" s="531"/>
      <c r="E17" s="627"/>
      <c r="F17" s="628"/>
      <c r="G17" s="628"/>
      <c r="H17" s="628"/>
      <c r="I17" s="628"/>
      <c r="J17" s="51" t="str">
        <f>IF(AND('Mapa final'!$AB$16="Alta",'Mapa final'!$AD$16="Leve"),CONCATENATE("R2C",'Mapa final'!$R$16),"")</f>
        <v/>
      </c>
      <c r="K17" s="52" t="str">
        <f>IF(AND('Mapa final'!$AB$17="Alta",'Mapa final'!$AD$17="Leve"),CONCATENATE("R2C",'Mapa final'!$R$17),"")</f>
        <v/>
      </c>
      <c r="L17" s="52" t="str">
        <f>IF(AND('Mapa final'!$AB$18="Alta",'Mapa final'!$AD$18="Leve"),CONCATENATE("R2C",'Mapa final'!$R$18),"")</f>
        <v/>
      </c>
      <c r="M17" s="52" t="str">
        <f>IF(AND('Mapa final'!$AB$19="Alta",'Mapa final'!$AD$19="Leve"),CONCATENATE("R2C",'Mapa final'!$R$19),"")</f>
        <v/>
      </c>
      <c r="N17" s="52" t="str">
        <f>IF(AND('Mapa final'!$AB$20="Alta",'Mapa final'!$AD$20="Leve"),CONCATENATE("R2C",'Mapa final'!$R$20),"")</f>
        <v/>
      </c>
      <c r="O17" s="53" t="str">
        <f>IF(AND('Mapa final'!$AB$21="Alta",'Mapa final'!$AD$21="Leve"),CONCATENATE("R2C",'Mapa final'!$R$21),"")</f>
        <v/>
      </c>
      <c r="P17" s="51" t="str">
        <f>IF(AND('Mapa final'!$AB$16="Alta",'Mapa final'!$AD$16="Menor"),CONCATENATE("R2C",'Mapa final'!$R$16),"")</f>
        <v/>
      </c>
      <c r="Q17" s="52" t="str">
        <f>IF(AND('Mapa final'!$AB$17="Alta",'Mapa final'!$AD$17="Menor"),CONCATENATE("R2C",'Mapa final'!$R$17),"")</f>
        <v/>
      </c>
      <c r="R17" s="52" t="str">
        <f>IF(AND('Mapa final'!$AB$18="Alta",'Mapa final'!$AD$18="Menor"),CONCATENATE("R2C",'Mapa final'!$R$18),"")</f>
        <v/>
      </c>
      <c r="S17" s="52" t="str">
        <f>IF(AND('Mapa final'!$AB$19="Alta",'Mapa final'!$AD$19="Menor"),CONCATENATE("R2C",'Mapa final'!$R$19),"")</f>
        <v/>
      </c>
      <c r="T17" s="52" t="str">
        <f>IF(AND('Mapa final'!$AB$20="Alta",'Mapa final'!$AD$20="Menor"),CONCATENATE("R2C",'Mapa final'!$R$20),"")</f>
        <v/>
      </c>
      <c r="U17" s="53" t="str">
        <f>IF(AND('Mapa final'!$AB$21="Alta",'Mapa final'!$AD$21="Menor"),CONCATENATE("R2C",'Mapa final'!$R$21),"")</f>
        <v/>
      </c>
      <c r="V17" s="36" t="str">
        <f>IF(AND('Mapa final'!$AB$16="Alta",'Mapa final'!$AD$16="Moderado"),CONCATENATE("R2C",'Mapa final'!$R$16),"")</f>
        <v/>
      </c>
      <c r="W17" s="37" t="str">
        <f>IF(AND('Mapa final'!$AB$17="Alta",'Mapa final'!$AD$17="Moderado"),CONCATENATE("R2C",'Mapa final'!$R$17),"")</f>
        <v/>
      </c>
      <c r="X17" s="37" t="str">
        <f>IF(AND('Mapa final'!$AB$18="Alta",'Mapa final'!$AD$18="Moderado"),CONCATENATE("R2C",'Mapa final'!$R$18),"")</f>
        <v/>
      </c>
      <c r="Y17" s="37" t="str">
        <f>IF(AND('Mapa final'!$AB$19="Alta",'Mapa final'!$AD$19="Moderado"),CONCATENATE("R2C",'Mapa final'!$R$19),"")</f>
        <v/>
      </c>
      <c r="Z17" s="37" t="str">
        <f>IF(AND('Mapa final'!$AB$20="Alta",'Mapa final'!$AD$20="Moderado"),CONCATENATE("R2C",'Mapa final'!$R$20),"")</f>
        <v/>
      </c>
      <c r="AA17" s="38" t="str">
        <f>IF(AND('Mapa final'!$AB$21="Alta",'Mapa final'!$AD$21="Moderado"),CONCATENATE("R2C",'Mapa final'!$R$21),"")</f>
        <v/>
      </c>
      <c r="AB17" s="36" t="str">
        <f>IF(AND('Mapa final'!$AB$16="Alta",'Mapa final'!$AD$16="Mayor"),CONCATENATE("R2C",'Mapa final'!$R$16),"")</f>
        <v/>
      </c>
      <c r="AC17" s="37" t="str">
        <f>IF(AND('Mapa final'!$AB$17="Alta",'Mapa final'!$AD$17="Mayor"),CONCATENATE("R2C",'Mapa final'!$R$17),"")</f>
        <v/>
      </c>
      <c r="AD17" s="37" t="str">
        <f>IF(AND('Mapa final'!$AB$18="Alta",'Mapa final'!$AD$18="Mayor"),CONCATENATE("R2C",'Mapa final'!$R$18),"")</f>
        <v/>
      </c>
      <c r="AE17" s="37" t="str">
        <f>IF(AND('Mapa final'!$AB$19="Alta",'Mapa final'!$AD$19="Mayor"),CONCATENATE("R2C",'Mapa final'!$R$19),"")</f>
        <v/>
      </c>
      <c r="AF17" s="37" t="str">
        <f>IF(AND('Mapa final'!$AB$20="Alta",'Mapa final'!$AD$20="Mayor"),CONCATENATE("R2C",'Mapa final'!$R$20),"")</f>
        <v/>
      </c>
      <c r="AG17" s="38" t="str">
        <f>IF(AND('Mapa final'!$AB$21="Alta",'Mapa final'!$AD$21="Mayor"),CONCATENATE("R2C",'Mapa final'!$R$21),"")</f>
        <v/>
      </c>
      <c r="AH17" s="39" t="str">
        <f>IF(AND('Mapa final'!$AB$16="Alta",'Mapa final'!$AD$16="Catastrófico"),CONCATENATE("R2C",'Mapa final'!$R$16),"")</f>
        <v/>
      </c>
      <c r="AI17" s="40" t="str">
        <f>IF(AND('Mapa final'!$AB$17="Alta",'Mapa final'!$AD$17="Catastrófico"),CONCATENATE("R2C",'Mapa final'!$R$17),"")</f>
        <v/>
      </c>
      <c r="AJ17" s="40" t="str">
        <f>IF(AND('Mapa final'!$AB$18="Alta",'Mapa final'!$AD$18="Catastrófico"),CONCATENATE("R2C",'Mapa final'!$R$18),"")</f>
        <v/>
      </c>
      <c r="AK17" s="40" t="str">
        <f>IF(AND('Mapa final'!$AB$19="Alta",'Mapa final'!$AD$19="Catastrófico"),CONCATENATE("R2C",'Mapa final'!$R$19),"")</f>
        <v/>
      </c>
      <c r="AL17" s="40" t="str">
        <f>IF(AND('Mapa final'!$AB$20="Alta",'Mapa final'!$AD$20="Catastrófico"),CONCATENATE("R2C",'Mapa final'!$R$20),"")</f>
        <v/>
      </c>
      <c r="AM17" s="41" t="str">
        <f>IF(AND('Mapa final'!$AB$21="Alta",'Mapa final'!$AD$21="Catastrófico"),CONCATENATE("R2C",'Mapa final'!$R$21),"")</f>
        <v/>
      </c>
      <c r="AN17" s="67"/>
      <c r="AO17" s="619"/>
      <c r="AP17" s="620"/>
      <c r="AQ17" s="620"/>
      <c r="AR17" s="620"/>
      <c r="AS17" s="620"/>
      <c r="AT17" s="62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30"/>
      <c r="C18" s="530"/>
      <c r="D18" s="531"/>
      <c r="E18" s="629"/>
      <c r="F18" s="628"/>
      <c r="G18" s="628"/>
      <c r="H18" s="628"/>
      <c r="I18" s="628"/>
      <c r="J18" s="51" t="str">
        <f>IF(AND('Mapa final'!$AB$22="Alta",'Mapa final'!$AD$22="Leve"),CONCATENATE("R3C",'Mapa final'!$R$22),"")</f>
        <v/>
      </c>
      <c r="K18" s="52" t="str">
        <f>IF(AND('Mapa final'!$AB$23="Alta",'Mapa final'!$AD$23="Leve"),CONCATENATE("R3C",'Mapa final'!$R$23),"")</f>
        <v/>
      </c>
      <c r="L18" s="52" t="str">
        <f>IF(AND('Mapa final'!$AB$24="Alta",'Mapa final'!$AD$24="Leve"),CONCATENATE("R3C",'Mapa final'!$R$24),"")</f>
        <v/>
      </c>
      <c r="M18" s="52" t="str">
        <f>IF(AND('Mapa final'!$AB$25="Alta",'Mapa final'!$AD$25="Leve"),CONCATENATE("R3C",'Mapa final'!$R$25),"")</f>
        <v/>
      </c>
      <c r="N18" s="52" t="str">
        <f>IF(AND('Mapa final'!$AB$26="Alta",'Mapa final'!$AD$26="Leve"),CONCATENATE("R3C",'Mapa final'!$R$26),"")</f>
        <v/>
      </c>
      <c r="O18" s="53" t="str">
        <f>IF(AND('Mapa final'!$AB$27="Alta",'Mapa final'!$AD$27="Leve"),CONCATENATE("R3C",'Mapa final'!$R$27),"")</f>
        <v/>
      </c>
      <c r="P18" s="51" t="str">
        <f>IF(AND('Mapa final'!$AB$22="Alta",'Mapa final'!$AD$22="Menor"),CONCATENATE("R3C",'Mapa final'!$R$22),"")</f>
        <v/>
      </c>
      <c r="Q18" s="52" t="str">
        <f>IF(AND('Mapa final'!$AB$23="Alta",'Mapa final'!$AD$23="Menor"),CONCATENATE("R3C",'Mapa final'!$R$23),"")</f>
        <v/>
      </c>
      <c r="R18" s="52" t="str">
        <f>IF(AND('Mapa final'!$AB$24="Alta",'Mapa final'!$AD$24="Menor"),CONCATENATE("R3C",'Mapa final'!$R$24),"")</f>
        <v/>
      </c>
      <c r="S18" s="52" t="str">
        <f>IF(AND('Mapa final'!$AB$25="Alta",'Mapa final'!$AD$25="Menor"),CONCATENATE("R3C",'Mapa final'!$R$25),"")</f>
        <v/>
      </c>
      <c r="T18" s="52" t="str">
        <f>IF(AND('Mapa final'!$AB$26="Alta",'Mapa final'!$AD$26="Menor"),CONCATENATE("R3C",'Mapa final'!$R$26),"")</f>
        <v/>
      </c>
      <c r="U18" s="53" t="str">
        <f>IF(AND('Mapa final'!$AB$27="Alta",'Mapa final'!$AD$27="Menor"),CONCATENATE("R3C",'Mapa final'!$R$27),"")</f>
        <v/>
      </c>
      <c r="V18" s="36" t="str">
        <f>IF(AND('Mapa final'!$AB$22="Alta",'Mapa final'!$AD$22="Moderado"),CONCATENATE("R3C",'Mapa final'!$R$22),"")</f>
        <v/>
      </c>
      <c r="W18" s="37" t="str">
        <f>IF(AND('Mapa final'!$AB$23="Alta",'Mapa final'!$AD$23="Moderado"),CONCATENATE("R3C",'Mapa final'!$R$23),"")</f>
        <v/>
      </c>
      <c r="X18" s="37" t="str">
        <f>IF(AND('Mapa final'!$AB$24="Alta",'Mapa final'!$AD$24="Moderado"),CONCATENATE("R3C",'Mapa final'!$R$24),"")</f>
        <v/>
      </c>
      <c r="Y18" s="37" t="str">
        <f>IF(AND('Mapa final'!$AB$25="Alta",'Mapa final'!$AD$25="Moderado"),CONCATENATE("R3C",'Mapa final'!$R$25),"")</f>
        <v/>
      </c>
      <c r="Z18" s="37" t="str">
        <f>IF(AND('Mapa final'!$AB$26="Alta",'Mapa final'!$AD$26="Moderado"),CONCATENATE("R3C",'Mapa final'!$R$26),"")</f>
        <v/>
      </c>
      <c r="AA18" s="38" t="str">
        <f>IF(AND('Mapa final'!$AB$27="Alta",'Mapa final'!$AD$27="Moderado"),CONCATENATE("R3C",'Mapa final'!$R$27),"")</f>
        <v/>
      </c>
      <c r="AB18" s="36" t="str">
        <f>IF(AND('Mapa final'!$AB$22="Alta",'Mapa final'!$AD$22="Mayor"),CONCATENATE("R3C",'Mapa final'!$R$22),"")</f>
        <v/>
      </c>
      <c r="AC18" s="37" t="str">
        <f>IF(AND('Mapa final'!$AB$23="Alta",'Mapa final'!$AD$23="Mayor"),CONCATENATE("R3C",'Mapa final'!$R$23),"")</f>
        <v/>
      </c>
      <c r="AD18" s="37" t="str">
        <f>IF(AND('Mapa final'!$AB$24="Alta",'Mapa final'!$AD$24="Mayor"),CONCATENATE("R3C",'Mapa final'!$R$24),"")</f>
        <v/>
      </c>
      <c r="AE18" s="37" t="str">
        <f>IF(AND('Mapa final'!$AB$25="Alta",'Mapa final'!$AD$25="Mayor"),CONCATENATE("R3C",'Mapa final'!$R$25),"")</f>
        <v/>
      </c>
      <c r="AF18" s="37" t="str">
        <f>IF(AND('Mapa final'!$AB$26="Alta",'Mapa final'!$AD$26="Mayor"),CONCATENATE("R3C",'Mapa final'!$R$26),"")</f>
        <v/>
      </c>
      <c r="AG18" s="38" t="str">
        <f>IF(AND('Mapa final'!$AB$27="Alta",'Mapa final'!$AD$27="Mayor"),CONCATENATE("R3C",'Mapa final'!$R$27),"")</f>
        <v/>
      </c>
      <c r="AH18" s="39" t="str">
        <f>IF(AND('Mapa final'!$AB$22="Alta",'Mapa final'!$AD$22="Catastrófico"),CONCATENATE("R3C",'Mapa final'!$R$22),"")</f>
        <v/>
      </c>
      <c r="AI18" s="40" t="str">
        <f>IF(AND('Mapa final'!$AB$23="Alta",'Mapa final'!$AD$23="Catastrófico"),CONCATENATE("R3C",'Mapa final'!$R$23),"")</f>
        <v/>
      </c>
      <c r="AJ18" s="40" t="str">
        <f>IF(AND('Mapa final'!$AB$24="Alta",'Mapa final'!$AD$24="Catastrófico"),CONCATENATE("R3C",'Mapa final'!$R$24),"")</f>
        <v/>
      </c>
      <c r="AK18" s="40" t="str">
        <f>IF(AND('Mapa final'!$AB$25="Alta",'Mapa final'!$AD$25="Catastrófico"),CONCATENATE("R3C",'Mapa final'!$R$25),"")</f>
        <v/>
      </c>
      <c r="AL18" s="40" t="str">
        <f>IF(AND('Mapa final'!$AB$26="Alta",'Mapa final'!$AD$26="Catastrófico"),CONCATENATE("R3C",'Mapa final'!$R$26),"")</f>
        <v/>
      </c>
      <c r="AM18" s="41" t="str">
        <f>IF(AND('Mapa final'!$AB$27="Alta",'Mapa final'!$AD$27="Catastrófico"),CONCATENATE("R3C",'Mapa final'!$R$27),"")</f>
        <v/>
      </c>
      <c r="AN18" s="67"/>
      <c r="AO18" s="619"/>
      <c r="AP18" s="620"/>
      <c r="AQ18" s="620"/>
      <c r="AR18" s="620"/>
      <c r="AS18" s="620"/>
      <c r="AT18" s="62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30"/>
      <c r="C19" s="530"/>
      <c r="D19" s="531"/>
      <c r="E19" s="629"/>
      <c r="F19" s="628"/>
      <c r="G19" s="628"/>
      <c r="H19" s="628"/>
      <c r="I19" s="628"/>
      <c r="J19" s="51" t="str">
        <f>IF(AND('Mapa final'!$AB$28="Alta",'Mapa final'!$AD$28="Leve"),CONCATENATE("R4C",'Mapa final'!$R$28),"")</f>
        <v/>
      </c>
      <c r="K19" s="52" t="str">
        <f>IF(AND('Mapa final'!$AB$29="Alta",'Mapa final'!$AD$29="Leve"),CONCATENATE("R4C",'Mapa final'!$R$29),"")</f>
        <v/>
      </c>
      <c r="L19" s="52" t="str">
        <f>IF(AND('Mapa final'!$AB$30="Alta",'Mapa final'!$AD$30="Leve"),CONCATENATE("R4C",'Mapa final'!$R$30),"")</f>
        <v/>
      </c>
      <c r="M19" s="52" t="str">
        <f>IF(AND('Mapa final'!$AB$31="Alta",'Mapa final'!$AD$31="Leve"),CONCATENATE("R4C",'Mapa final'!$R$31),"")</f>
        <v/>
      </c>
      <c r="N19" s="52" t="str">
        <f>IF(AND('Mapa final'!$AB$32="Alta",'Mapa final'!$AD$32="Leve"),CONCATENATE("R4C",'Mapa final'!$R$32),"")</f>
        <v/>
      </c>
      <c r="O19" s="53" t="str">
        <f>IF(AND('Mapa final'!$AB$33="Alta",'Mapa final'!$AD$33="Leve"),CONCATENATE("R4C",'Mapa final'!$R$33),"")</f>
        <v/>
      </c>
      <c r="P19" s="51" t="str">
        <f>IF(AND('Mapa final'!$AB$28="Alta",'Mapa final'!$AD$28="Menor"),CONCATENATE("R4C",'Mapa final'!$R$28),"")</f>
        <v/>
      </c>
      <c r="Q19" s="52" t="str">
        <f>IF(AND('Mapa final'!$AB$29="Alta",'Mapa final'!$AD$29="Menor"),CONCATENATE("R4C",'Mapa final'!$R$29),"")</f>
        <v/>
      </c>
      <c r="R19" s="52" t="str">
        <f>IF(AND('Mapa final'!$AB$30="Alta",'Mapa final'!$AD$30="Menor"),CONCATENATE("R4C",'Mapa final'!$R$30),"")</f>
        <v/>
      </c>
      <c r="S19" s="52" t="str">
        <f>IF(AND('Mapa final'!$AB$31="Alta",'Mapa final'!$AD$31="Menor"),CONCATENATE("R4C",'Mapa final'!$R$31),"")</f>
        <v/>
      </c>
      <c r="T19" s="52" t="str">
        <f>IF(AND('Mapa final'!$AB$32="Alta",'Mapa final'!$AD$32="Menor"),CONCATENATE("R4C",'Mapa final'!$R$32),"")</f>
        <v/>
      </c>
      <c r="U19" s="53" t="str">
        <f>IF(AND('Mapa final'!$AB$33="Alta",'Mapa final'!$AD$33="Menor"),CONCATENATE("R4C",'Mapa final'!$R$33),"")</f>
        <v/>
      </c>
      <c r="V19" s="36" t="str">
        <f>IF(AND('Mapa final'!$AB$28="Alta",'Mapa final'!$AD$28="Moderado"),CONCATENATE("R4C",'Mapa final'!$R$28),"")</f>
        <v/>
      </c>
      <c r="W19" s="37" t="str">
        <f>IF(AND('Mapa final'!$AB$29="Alta",'Mapa final'!$AD$29="Moderado"),CONCATENATE("R4C",'Mapa final'!$R$29),"")</f>
        <v/>
      </c>
      <c r="X19" s="37" t="str">
        <f>IF(AND('Mapa final'!$AB$30="Alta",'Mapa final'!$AD$30="Moderado"),CONCATENATE("R4C",'Mapa final'!$R$30),"")</f>
        <v/>
      </c>
      <c r="Y19" s="37" t="str">
        <f>IF(AND('Mapa final'!$AB$31="Alta",'Mapa final'!$AD$31="Moderado"),CONCATENATE("R4C",'Mapa final'!$R$31),"")</f>
        <v/>
      </c>
      <c r="Z19" s="37" t="str">
        <f>IF(AND('Mapa final'!$AB$32="Alta",'Mapa final'!$AD$32="Moderado"),CONCATENATE("R4C",'Mapa final'!$R$32),"")</f>
        <v/>
      </c>
      <c r="AA19" s="38" t="str">
        <f>IF(AND('Mapa final'!$AB$33="Alta",'Mapa final'!$AD$33="Moderado"),CONCATENATE("R4C",'Mapa final'!$R$33),"")</f>
        <v/>
      </c>
      <c r="AB19" s="36" t="str">
        <f>IF(AND('Mapa final'!$AB$28="Alta",'Mapa final'!$AD$28="Mayor"),CONCATENATE("R4C",'Mapa final'!$R$28),"")</f>
        <v/>
      </c>
      <c r="AC19" s="37" t="str">
        <f>IF(AND('Mapa final'!$AB$29="Alta",'Mapa final'!$AD$29="Mayor"),CONCATENATE("R4C",'Mapa final'!$R$29),"")</f>
        <v/>
      </c>
      <c r="AD19" s="37" t="str">
        <f>IF(AND('Mapa final'!$AB$30="Alta",'Mapa final'!$AD$30="Mayor"),CONCATENATE("R4C",'Mapa final'!$R$30),"")</f>
        <v/>
      </c>
      <c r="AE19" s="37" t="str">
        <f>IF(AND('Mapa final'!$AB$31="Alta",'Mapa final'!$AD$31="Mayor"),CONCATENATE("R4C",'Mapa final'!$R$31),"")</f>
        <v/>
      </c>
      <c r="AF19" s="37" t="str">
        <f>IF(AND('Mapa final'!$AB$32="Alta",'Mapa final'!$AD$32="Mayor"),CONCATENATE("R4C",'Mapa final'!$R$32),"")</f>
        <v/>
      </c>
      <c r="AG19" s="38" t="str">
        <f>IF(AND('Mapa final'!$AB$33="Alta",'Mapa final'!$AD$33="Mayor"),CONCATENATE("R4C",'Mapa final'!$R$33),"")</f>
        <v/>
      </c>
      <c r="AH19" s="39" t="str">
        <f>IF(AND('Mapa final'!$AB$28="Alta",'Mapa final'!$AD$28="Catastrófico"),CONCATENATE("R4C",'Mapa final'!$R$28),"")</f>
        <v/>
      </c>
      <c r="AI19" s="40" t="str">
        <f>IF(AND('Mapa final'!$AB$29="Alta",'Mapa final'!$AD$29="Catastrófico"),CONCATENATE("R4C",'Mapa final'!$R$29),"")</f>
        <v/>
      </c>
      <c r="AJ19" s="40" t="str">
        <f>IF(AND('Mapa final'!$AB$30="Alta",'Mapa final'!$AD$30="Catastrófico"),CONCATENATE("R4C",'Mapa final'!$R$30),"")</f>
        <v/>
      </c>
      <c r="AK19" s="40" t="str">
        <f>IF(AND('Mapa final'!$AB$31="Alta",'Mapa final'!$AD$31="Catastrófico"),CONCATENATE("R4C",'Mapa final'!$R$31),"")</f>
        <v/>
      </c>
      <c r="AL19" s="40" t="str">
        <f>IF(AND('Mapa final'!$AB$32="Alta",'Mapa final'!$AD$32="Catastrófico"),CONCATENATE("R4C",'Mapa final'!$R$32),"")</f>
        <v/>
      </c>
      <c r="AM19" s="41" t="str">
        <f>IF(AND('Mapa final'!$AB$33="Alta",'Mapa final'!$AD$33="Catastrófico"),CONCATENATE("R4C",'Mapa final'!$R$33),"")</f>
        <v/>
      </c>
      <c r="AN19" s="67"/>
      <c r="AO19" s="619"/>
      <c r="AP19" s="620"/>
      <c r="AQ19" s="620"/>
      <c r="AR19" s="620"/>
      <c r="AS19" s="620"/>
      <c r="AT19" s="62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30"/>
      <c r="C20" s="530"/>
      <c r="D20" s="531"/>
      <c r="E20" s="629"/>
      <c r="F20" s="628"/>
      <c r="G20" s="628"/>
      <c r="H20" s="628"/>
      <c r="I20" s="628"/>
      <c r="J20" s="51" t="str">
        <f>IF(AND('Mapa final'!$AB$34="Alta",'Mapa final'!$AD$34="Leve"),CONCATENATE("R5C",'Mapa final'!$R$34),"")</f>
        <v/>
      </c>
      <c r="K20" s="52" t="str">
        <f>IF(AND('Mapa final'!$AB$35="Alta",'Mapa final'!$AD$35="Leve"),CONCATENATE("R5C",'Mapa final'!$R$35),"")</f>
        <v/>
      </c>
      <c r="L20" s="52" t="str">
        <f>IF(AND('Mapa final'!$AB$36="Alta",'Mapa final'!$AD$36="Leve"),CONCATENATE("R5C",'Mapa final'!$R$36),"")</f>
        <v/>
      </c>
      <c r="M20" s="52" t="str">
        <f>IF(AND('Mapa final'!$AB$37="Alta",'Mapa final'!$AD$37="Leve"),CONCATENATE("R5C",'Mapa final'!$R$37),"")</f>
        <v/>
      </c>
      <c r="N20" s="52" t="str">
        <f>IF(AND('Mapa final'!$AB$38="Alta",'Mapa final'!$AD$38="Leve"),CONCATENATE("R5C",'Mapa final'!$R$38),"")</f>
        <v/>
      </c>
      <c r="O20" s="53" t="str">
        <f>IF(AND('Mapa final'!$AB$39="Alta",'Mapa final'!$AD$39="Leve"),CONCATENATE("R5C",'Mapa final'!$R$39),"")</f>
        <v/>
      </c>
      <c r="P20" s="51" t="str">
        <f>IF(AND('Mapa final'!$AB$34="Alta",'Mapa final'!$AD$34="Menor"),CONCATENATE("R5C",'Mapa final'!$R$34),"")</f>
        <v/>
      </c>
      <c r="Q20" s="52" t="str">
        <f>IF(AND('Mapa final'!$AB$35="Alta",'Mapa final'!$AD$35="Menor"),CONCATENATE("R5C",'Mapa final'!$R$35),"")</f>
        <v/>
      </c>
      <c r="R20" s="52" t="str">
        <f>IF(AND('Mapa final'!$AB$36="Alta",'Mapa final'!$AD$36="Menor"),CONCATENATE("R5C",'Mapa final'!$R$36),"")</f>
        <v/>
      </c>
      <c r="S20" s="52" t="str">
        <f>IF(AND('Mapa final'!$AB$37="Alta",'Mapa final'!$AD$37="Menor"),CONCATENATE("R5C",'Mapa final'!$R$37),"")</f>
        <v/>
      </c>
      <c r="T20" s="52" t="str">
        <f>IF(AND('Mapa final'!$AB$38="Alta",'Mapa final'!$AD$38="Menor"),CONCATENATE("R5C",'Mapa final'!$R$38),"")</f>
        <v/>
      </c>
      <c r="U20" s="53" t="str">
        <f>IF(AND('Mapa final'!$AB$39="Alta",'Mapa final'!$AD$39="Menor"),CONCATENATE("R5C",'Mapa final'!$R$39),"")</f>
        <v/>
      </c>
      <c r="V20" s="36" t="str">
        <f>IF(AND('Mapa final'!$AB$34="Alta",'Mapa final'!$AD$34="Moderado"),CONCATENATE("R5C",'Mapa final'!$R$34),"")</f>
        <v/>
      </c>
      <c r="W20" s="37" t="str">
        <f>IF(AND('Mapa final'!$AB$35="Alta",'Mapa final'!$AD$35="Moderado"),CONCATENATE("R5C",'Mapa final'!$R$35),"")</f>
        <v/>
      </c>
      <c r="X20" s="37" t="str">
        <f>IF(AND('Mapa final'!$AB$36="Alta",'Mapa final'!$AD$36="Moderado"),CONCATENATE("R5C",'Mapa final'!$R$36),"")</f>
        <v/>
      </c>
      <c r="Y20" s="37" t="str">
        <f>IF(AND('Mapa final'!$AB$37="Alta",'Mapa final'!$AD$37="Moderado"),CONCATENATE("R5C",'Mapa final'!$R$37),"")</f>
        <v/>
      </c>
      <c r="Z20" s="37" t="str">
        <f>IF(AND('Mapa final'!$AB$38="Alta",'Mapa final'!$AD$38="Moderado"),CONCATENATE("R5C",'Mapa final'!$R$38),"")</f>
        <v/>
      </c>
      <c r="AA20" s="38" t="str">
        <f>IF(AND('Mapa final'!$AB$39="Alta",'Mapa final'!$AD$39="Moderado"),CONCATENATE("R5C",'Mapa final'!$R$39),"")</f>
        <v/>
      </c>
      <c r="AB20" s="36" t="str">
        <f>IF(AND('Mapa final'!$AB$34="Alta",'Mapa final'!$AD$34="Mayor"),CONCATENATE("R5C",'Mapa final'!$R$34),"")</f>
        <v/>
      </c>
      <c r="AC20" s="37" t="str">
        <f>IF(AND('Mapa final'!$AB$35="Alta",'Mapa final'!$AD$35="Mayor"),CONCATENATE("R5C",'Mapa final'!$R$35),"")</f>
        <v/>
      </c>
      <c r="AD20" s="37" t="str">
        <f>IF(AND('Mapa final'!$AB$36="Alta",'Mapa final'!$AD$36="Mayor"),CONCATENATE("R5C",'Mapa final'!$R$36),"")</f>
        <v/>
      </c>
      <c r="AE20" s="37" t="str">
        <f>IF(AND('Mapa final'!$AB$37="Alta",'Mapa final'!$AD$37="Mayor"),CONCATENATE("R5C",'Mapa final'!$R$37),"")</f>
        <v/>
      </c>
      <c r="AF20" s="37" t="str">
        <f>IF(AND('Mapa final'!$AB$38="Alta",'Mapa final'!$AD$38="Mayor"),CONCATENATE("R5C",'Mapa final'!$R$38),"")</f>
        <v/>
      </c>
      <c r="AG20" s="38" t="str">
        <f>IF(AND('Mapa final'!$AB$39="Alta",'Mapa final'!$AD$39="Mayor"),CONCATENATE("R5C",'Mapa final'!$R$39),"")</f>
        <v/>
      </c>
      <c r="AH20" s="39" t="str">
        <f>IF(AND('Mapa final'!$AB$34="Alta",'Mapa final'!$AD$34="Catastrófico"),CONCATENATE("R5C",'Mapa final'!$R$34),"")</f>
        <v/>
      </c>
      <c r="AI20" s="40" t="str">
        <f>IF(AND('Mapa final'!$AB$35="Alta",'Mapa final'!$AD$35="Catastrófico"),CONCATENATE("R5C",'Mapa final'!$R$35),"")</f>
        <v/>
      </c>
      <c r="AJ20" s="40" t="str">
        <f>IF(AND('Mapa final'!$AB$36="Alta",'Mapa final'!$AD$36="Catastrófico"),CONCATENATE("R5C",'Mapa final'!$R$36),"")</f>
        <v/>
      </c>
      <c r="AK20" s="40" t="str">
        <f>IF(AND('Mapa final'!$AB$37="Alta",'Mapa final'!$AD$37="Catastrófico"),CONCATENATE("R5C",'Mapa final'!$R$37),"")</f>
        <v/>
      </c>
      <c r="AL20" s="40" t="str">
        <f>IF(AND('Mapa final'!$AB$38="Alta",'Mapa final'!$AD$38="Catastrófico"),CONCATENATE("R5C",'Mapa final'!$R$38),"")</f>
        <v/>
      </c>
      <c r="AM20" s="41" t="str">
        <f>IF(AND('Mapa final'!$AB$39="Alta",'Mapa final'!$AD$39="Catastrófico"),CONCATENATE("R5C",'Mapa final'!$R$39),"")</f>
        <v/>
      </c>
      <c r="AN20" s="67"/>
      <c r="AO20" s="619"/>
      <c r="AP20" s="620"/>
      <c r="AQ20" s="620"/>
      <c r="AR20" s="620"/>
      <c r="AS20" s="620"/>
      <c r="AT20" s="62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30"/>
      <c r="C21" s="530"/>
      <c r="D21" s="531"/>
      <c r="E21" s="629"/>
      <c r="F21" s="628"/>
      <c r="G21" s="628"/>
      <c r="H21" s="628"/>
      <c r="I21" s="628"/>
      <c r="J21" s="51" t="str">
        <f>IF(AND('Mapa final'!$AB$40="Alta",'Mapa final'!$AD$40="Leve"),CONCATENATE("R6C",'Mapa final'!$R$40),"")</f>
        <v/>
      </c>
      <c r="K21" s="52" t="str">
        <f>IF(AND('Mapa final'!$AB$41="Alta",'Mapa final'!$AD$41="Leve"),CONCATENATE("R6C",'Mapa final'!$R$41),"")</f>
        <v/>
      </c>
      <c r="L21" s="52" t="str">
        <f>IF(AND('Mapa final'!$AB$42="Alta",'Mapa final'!$AD$42="Leve"),CONCATENATE("R6C",'Mapa final'!$R$42),"")</f>
        <v/>
      </c>
      <c r="M21" s="52" t="str">
        <f>IF(AND('Mapa final'!$AB$43="Alta",'Mapa final'!$AD$43="Leve"),CONCATENATE("R6C",'Mapa final'!$R$43),"")</f>
        <v/>
      </c>
      <c r="N21" s="52" t="str">
        <f>IF(AND('Mapa final'!$AB$44="Alta",'Mapa final'!$AD$44="Leve"),CONCATENATE("R6C",'Mapa final'!$R$44),"")</f>
        <v/>
      </c>
      <c r="O21" s="53" t="str">
        <f>IF(AND('Mapa final'!$AB$45="Alta",'Mapa final'!$AD$45="Leve"),CONCATENATE("R6C",'Mapa final'!$R$45),"")</f>
        <v/>
      </c>
      <c r="P21" s="51" t="str">
        <f>IF(AND('Mapa final'!$AB$40="Alta",'Mapa final'!$AD$40="Menor"),CONCATENATE("R6C",'Mapa final'!$R$40),"")</f>
        <v/>
      </c>
      <c r="Q21" s="52" t="str">
        <f>IF(AND('Mapa final'!$AB$41="Alta",'Mapa final'!$AD$41="Menor"),CONCATENATE("R6C",'Mapa final'!$R$41),"")</f>
        <v/>
      </c>
      <c r="R21" s="52" t="str">
        <f>IF(AND('Mapa final'!$AB$42="Alta",'Mapa final'!$AD$42="Menor"),CONCATENATE("R6C",'Mapa final'!$R$42),"")</f>
        <v/>
      </c>
      <c r="S21" s="52" t="str">
        <f>IF(AND('Mapa final'!$AB$43="Alta",'Mapa final'!$AD$43="Menor"),CONCATENATE("R6C",'Mapa final'!$R$43),"")</f>
        <v/>
      </c>
      <c r="T21" s="52" t="str">
        <f>IF(AND('Mapa final'!$AB$44="Alta",'Mapa final'!$AD$44="Menor"),CONCATENATE("R6C",'Mapa final'!$R$44),"")</f>
        <v/>
      </c>
      <c r="U21" s="53" t="str">
        <f>IF(AND('Mapa final'!$AB$45="Alta",'Mapa final'!$AD$45="Menor"),CONCATENATE("R6C",'Mapa final'!$R$45),"")</f>
        <v/>
      </c>
      <c r="V21" s="36" t="str">
        <f>IF(AND('Mapa final'!$AB$40="Alta",'Mapa final'!$AD$40="Moderado"),CONCATENATE("R6C",'Mapa final'!$R$40),"")</f>
        <v/>
      </c>
      <c r="W21" s="37" t="str">
        <f>IF(AND('Mapa final'!$AB$41="Alta",'Mapa final'!$AD$41="Moderado"),CONCATENATE("R6C",'Mapa final'!$R$41),"")</f>
        <v/>
      </c>
      <c r="X21" s="37" t="str">
        <f>IF(AND('Mapa final'!$AB$42="Alta",'Mapa final'!$AD$42="Moderado"),CONCATENATE("R6C",'Mapa final'!$R$42),"")</f>
        <v/>
      </c>
      <c r="Y21" s="37" t="str">
        <f>IF(AND('Mapa final'!$AB$43="Alta",'Mapa final'!$AD$43="Moderado"),CONCATENATE("R6C",'Mapa final'!$R$43),"")</f>
        <v/>
      </c>
      <c r="Z21" s="37" t="str">
        <f>IF(AND('Mapa final'!$AB$44="Alta",'Mapa final'!$AD$44="Moderado"),CONCATENATE("R6C",'Mapa final'!$R$44),"")</f>
        <v/>
      </c>
      <c r="AA21" s="38" t="str">
        <f>IF(AND('Mapa final'!$AB$45="Alta",'Mapa final'!$AD$45="Moderado"),CONCATENATE("R6C",'Mapa final'!$R$45),"")</f>
        <v/>
      </c>
      <c r="AB21" s="36" t="str">
        <f>IF(AND('Mapa final'!$AB$40="Alta",'Mapa final'!$AD$40="Mayor"),CONCATENATE("R6C",'Mapa final'!$R$40),"")</f>
        <v/>
      </c>
      <c r="AC21" s="37" t="str">
        <f>IF(AND('Mapa final'!$AB$41="Alta",'Mapa final'!$AD$41="Mayor"),CONCATENATE("R6C",'Mapa final'!$R$41),"")</f>
        <v/>
      </c>
      <c r="AD21" s="37" t="str">
        <f>IF(AND('Mapa final'!$AB$42="Alta",'Mapa final'!$AD$42="Mayor"),CONCATENATE("R6C",'Mapa final'!$R$42),"")</f>
        <v/>
      </c>
      <c r="AE21" s="37" t="str">
        <f>IF(AND('Mapa final'!$AB$43="Alta",'Mapa final'!$AD$43="Mayor"),CONCATENATE("R6C",'Mapa final'!$R$43),"")</f>
        <v/>
      </c>
      <c r="AF21" s="37" t="str">
        <f>IF(AND('Mapa final'!$AB$44="Alta",'Mapa final'!$AD$44="Mayor"),CONCATENATE("R6C",'Mapa final'!$R$44),"")</f>
        <v/>
      </c>
      <c r="AG21" s="38" t="str">
        <f>IF(AND('Mapa final'!$AB$45="Alta",'Mapa final'!$AD$45="Mayor"),CONCATENATE("R6C",'Mapa final'!$R$45),"")</f>
        <v/>
      </c>
      <c r="AH21" s="39" t="str">
        <f>IF(AND('Mapa final'!$AB$40="Alta",'Mapa final'!$AD$40="Catastrófico"),CONCATENATE("R6C",'Mapa final'!$R$40),"")</f>
        <v/>
      </c>
      <c r="AI21" s="40" t="str">
        <f>IF(AND('Mapa final'!$AB$41="Alta",'Mapa final'!$AD$41="Catastrófico"),CONCATENATE("R6C",'Mapa final'!$R$41),"")</f>
        <v/>
      </c>
      <c r="AJ21" s="40" t="str">
        <f>IF(AND('Mapa final'!$AB$42="Alta",'Mapa final'!$AD$42="Catastrófico"),CONCATENATE("R6C",'Mapa final'!$R$42),"")</f>
        <v/>
      </c>
      <c r="AK21" s="40" t="str">
        <f>IF(AND('Mapa final'!$AB$43="Alta",'Mapa final'!$AD$43="Catastrófico"),CONCATENATE("R6C",'Mapa final'!$R$43),"")</f>
        <v/>
      </c>
      <c r="AL21" s="40" t="str">
        <f>IF(AND('Mapa final'!$AB$44="Alta",'Mapa final'!$AD$44="Catastrófico"),CONCATENATE("R6C",'Mapa final'!$R$44),"")</f>
        <v/>
      </c>
      <c r="AM21" s="41" t="str">
        <f>IF(AND('Mapa final'!$AB$45="Alta",'Mapa final'!$AD$45="Catastrófico"),CONCATENATE("R6C",'Mapa final'!$R$45),"")</f>
        <v/>
      </c>
      <c r="AN21" s="67"/>
      <c r="AO21" s="619"/>
      <c r="AP21" s="620"/>
      <c r="AQ21" s="620"/>
      <c r="AR21" s="620"/>
      <c r="AS21" s="620"/>
      <c r="AT21" s="62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30"/>
      <c r="C22" s="530"/>
      <c r="D22" s="531"/>
      <c r="E22" s="629"/>
      <c r="F22" s="628"/>
      <c r="G22" s="628"/>
      <c r="H22" s="628"/>
      <c r="I22" s="628"/>
      <c r="J22" s="51" t="str">
        <f>IF(AND('Mapa final'!$AB$46="Alta",'Mapa final'!$AD$46="Leve"),CONCATENATE("R7C",'Mapa final'!$R$46),"")</f>
        <v/>
      </c>
      <c r="K22" s="52" t="str">
        <f>IF(AND('Mapa final'!$AB$47="Alta",'Mapa final'!$AD$47="Leve"),CONCATENATE("R7C",'Mapa final'!$R$47),"")</f>
        <v/>
      </c>
      <c r="L22" s="52" t="str">
        <f>IF(AND('Mapa final'!$AB$48="Alta",'Mapa final'!$AD$48="Leve"),CONCATENATE("R7C",'Mapa final'!$R$48),"")</f>
        <v/>
      </c>
      <c r="M22" s="52" t="str">
        <f>IF(AND('Mapa final'!$AB$49="Alta",'Mapa final'!$AD$49="Leve"),CONCATENATE("R7C",'Mapa final'!$R$49),"")</f>
        <v/>
      </c>
      <c r="N22" s="52" t="str">
        <f>IF(AND('Mapa final'!$AB$50="Alta",'Mapa final'!$AD$50="Leve"),CONCATENATE("R7C",'Mapa final'!$R$50),"")</f>
        <v/>
      </c>
      <c r="O22" s="53" t="str">
        <f>IF(AND('Mapa final'!$AB$51="Alta",'Mapa final'!$AD$51="Leve"),CONCATENATE("R7C",'Mapa final'!$R$51),"")</f>
        <v/>
      </c>
      <c r="P22" s="51" t="str">
        <f>IF(AND('Mapa final'!$AB$46="Alta",'Mapa final'!$AD$46="Menor"),CONCATENATE("R7C",'Mapa final'!$R$46),"")</f>
        <v/>
      </c>
      <c r="Q22" s="52" t="str">
        <f>IF(AND('Mapa final'!$AB$47="Alta",'Mapa final'!$AD$47="Menor"),CONCATENATE("R7C",'Mapa final'!$R$47),"")</f>
        <v/>
      </c>
      <c r="R22" s="52" t="str">
        <f>IF(AND('Mapa final'!$AB$48="Alta",'Mapa final'!$AD$48="Menor"),CONCATENATE("R7C",'Mapa final'!$R$48),"")</f>
        <v/>
      </c>
      <c r="S22" s="52" t="str">
        <f>IF(AND('Mapa final'!$AB$49="Alta",'Mapa final'!$AD$49="Menor"),CONCATENATE("R7C",'Mapa final'!$R$49),"")</f>
        <v/>
      </c>
      <c r="T22" s="52" t="str">
        <f>IF(AND('Mapa final'!$AB$50="Alta",'Mapa final'!$AD$50="Menor"),CONCATENATE("R7C",'Mapa final'!$R$50),"")</f>
        <v/>
      </c>
      <c r="U22" s="53" t="str">
        <f>IF(AND('Mapa final'!$AB$51="Alta",'Mapa final'!$AD$51="Menor"),CONCATENATE("R7C",'Mapa final'!$R$51),"")</f>
        <v/>
      </c>
      <c r="V22" s="36" t="str">
        <f>IF(AND('Mapa final'!$AB$46="Alta",'Mapa final'!$AD$46="Moderado"),CONCATENATE("R7C",'Mapa final'!$R$46),"")</f>
        <v/>
      </c>
      <c r="W22" s="37" t="str">
        <f>IF(AND('Mapa final'!$AB$47="Alta",'Mapa final'!$AD$47="Moderado"),CONCATENATE("R7C",'Mapa final'!$R$47),"")</f>
        <v/>
      </c>
      <c r="X22" s="37" t="str">
        <f>IF(AND('Mapa final'!$AB$48="Alta",'Mapa final'!$AD$48="Moderado"),CONCATENATE("R7C",'Mapa final'!$R$48),"")</f>
        <v/>
      </c>
      <c r="Y22" s="37" t="str">
        <f>IF(AND('Mapa final'!$AB$49="Alta",'Mapa final'!$AD$49="Moderado"),CONCATENATE("R7C",'Mapa final'!$R$49),"")</f>
        <v/>
      </c>
      <c r="Z22" s="37" t="str">
        <f>IF(AND('Mapa final'!$AB$50="Alta",'Mapa final'!$AD$50="Moderado"),CONCATENATE("R7C",'Mapa final'!$R$50),"")</f>
        <v/>
      </c>
      <c r="AA22" s="38" t="str">
        <f>IF(AND('Mapa final'!$AB$51="Alta",'Mapa final'!$AD$51="Moderado"),CONCATENATE("R7C",'Mapa final'!$R$51),"")</f>
        <v/>
      </c>
      <c r="AB22" s="36" t="str">
        <f>IF(AND('Mapa final'!$AB$46="Alta",'Mapa final'!$AD$46="Mayor"),CONCATENATE("R7C",'Mapa final'!$R$46),"")</f>
        <v/>
      </c>
      <c r="AC22" s="37" t="str">
        <f>IF(AND('Mapa final'!$AB$47="Alta",'Mapa final'!$AD$47="Mayor"),CONCATENATE("R7C",'Mapa final'!$R$47),"")</f>
        <v/>
      </c>
      <c r="AD22" s="37" t="str">
        <f>IF(AND('Mapa final'!$AB$48="Alta",'Mapa final'!$AD$48="Mayor"),CONCATENATE("R7C",'Mapa final'!$R$48),"")</f>
        <v/>
      </c>
      <c r="AE22" s="37" t="str">
        <f>IF(AND('Mapa final'!$AB$49="Alta",'Mapa final'!$AD$49="Mayor"),CONCATENATE("R7C",'Mapa final'!$R$49),"")</f>
        <v/>
      </c>
      <c r="AF22" s="37" t="str">
        <f>IF(AND('Mapa final'!$AB$50="Alta",'Mapa final'!$AD$50="Mayor"),CONCATENATE("R7C",'Mapa final'!$R$50),"")</f>
        <v/>
      </c>
      <c r="AG22" s="38" t="str">
        <f>IF(AND('Mapa final'!$AB$51="Alta",'Mapa final'!$AD$51="Mayor"),CONCATENATE("R7C",'Mapa final'!$R$51),"")</f>
        <v/>
      </c>
      <c r="AH22" s="39" t="str">
        <f>IF(AND('Mapa final'!$AB$46="Alta",'Mapa final'!$AD$46="Catastrófico"),CONCATENATE("R7C",'Mapa final'!$R$46),"")</f>
        <v/>
      </c>
      <c r="AI22" s="40" t="str">
        <f>IF(AND('Mapa final'!$AB$47="Alta",'Mapa final'!$AD$47="Catastrófico"),CONCATENATE("R7C",'Mapa final'!$R$47),"")</f>
        <v/>
      </c>
      <c r="AJ22" s="40" t="str">
        <f>IF(AND('Mapa final'!$AB$48="Alta",'Mapa final'!$AD$48="Catastrófico"),CONCATENATE("R7C",'Mapa final'!$R$48),"")</f>
        <v/>
      </c>
      <c r="AK22" s="40" t="str">
        <f>IF(AND('Mapa final'!$AB$49="Alta",'Mapa final'!$AD$49="Catastrófico"),CONCATENATE("R7C",'Mapa final'!$R$49),"")</f>
        <v/>
      </c>
      <c r="AL22" s="40" t="str">
        <f>IF(AND('Mapa final'!$AB$50="Alta",'Mapa final'!$AD$50="Catastrófico"),CONCATENATE("R7C",'Mapa final'!$R$50),"")</f>
        <v/>
      </c>
      <c r="AM22" s="41" t="str">
        <f>IF(AND('Mapa final'!$AB$51="Alta",'Mapa final'!$AD$51="Catastrófico"),CONCATENATE("R7C",'Mapa final'!$R$51),"")</f>
        <v/>
      </c>
      <c r="AN22" s="67"/>
      <c r="AO22" s="619"/>
      <c r="AP22" s="620"/>
      <c r="AQ22" s="620"/>
      <c r="AR22" s="620"/>
      <c r="AS22" s="620"/>
      <c r="AT22" s="62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30"/>
      <c r="C23" s="530"/>
      <c r="D23" s="531"/>
      <c r="E23" s="629"/>
      <c r="F23" s="628"/>
      <c r="G23" s="628"/>
      <c r="H23" s="628"/>
      <c r="I23" s="628"/>
      <c r="J23" s="51" t="str">
        <f>IF(AND('Mapa final'!$AB$52="Alta",'Mapa final'!$AD$52="Leve"),CONCATENATE("R8C",'Mapa final'!$R$52),"")</f>
        <v/>
      </c>
      <c r="K23" s="52" t="str">
        <f>IF(AND('Mapa final'!$AB$53="Alta",'Mapa final'!$AD$53="Leve"),CONCATENATE("R8C",'Mapa final'!$R$53),"")</f>
        <v/>
      </c>
      <c r="L23" s="52" t="str">
        <f>IF(AND('Mapa final'!$AB$54="Alta",'Mapa final'!$AD$54="Leve"),CONCATENATE("R8C",'Mapa final'!$R$54),"")</f>
        <v/>
      </c>
      <c r="M23" s="52" t="str">
        <f>IF(AND('Mapa final'!$AB$55="Alta",'Mapa final'!$AD$55="Leve"),CONCATENATE("R8C",'Mapa final'!$R$55),"")</f>
        <v/>
      </c>
      <c r="N23" s="52" t="str">
        <f>IF(AND('Mapa final'!$AB$56="Alta",'Mapa final'!$AD$56="Leve"),CONCATENATE("R8C",'Mapa final'!$R$56),"")</f>
        <v/>
      </c>
      <c r="O23" s="53" t="str">
        <f>IF(AND('Mapa final'!$AB$57="Alta",'Mapa final'!$AD$57="Leve"),CONCATENATE("R8C",'Mapa final'!$R$57),"")</f>
        <v/>
      </c>
      <c r="P23" s="51" t="str">
        <f>IF(AND('Mapa final'!$AB$52="Alta",'Mapa final'!$AD$52="Menor"),CONCATENATE("R8C",'Mapa final'!$R$52),"")</f>
        <v/>
      </c>
      <c r="Q23" s="52" t="str">
        <f>IF(AND('Mapa final'!$AB$53="Alta",'Mapa final'!$AD$53="Menor"),CONCATENATE("R8C",'Mapa final'!$R$53),"")</f>
        <v/>
      </c>
      <c r="R23" s="52" t="str">
        <f>IF(AND('Mapa final'!$AB$54="Alta",'Mapa final'!$AD$54="Menor"),CONCATENATE("R8C",'Mapa final'!$R$54),"")</f>
        <v/>
      </c>
      <c r="S23" s="52" t="str">
        <f>IF(AND('Mapa final'!$AB$55="Alta",'Mapa final'!$AD$55="Menor"),CONCATENATE("R8C",'Mapa final'!$R$55),"")</f>
        <v/>
      </c>
      <c r="T23" s="52" t="str">
        <f>IF(AND('Mapa final'!$AB$56="Alta",'Mapa final'!$AD$56="Menor"),CONCATENATE("R8C",'Mapa final'!$R$56),"")</f>
        <v/>
      </c>
      <c r="U23" s="53" t="str">
        <f>IF(AND('Mapa final'!$AB$57="Alta",'Mapa final'!$AD$57="Menor"),CONCATENATE("R8C",'Mapa final'!$R$57),"")</f>
        <v/>
      </c>
      <c r="V23" s="36" t="str">
        <f>IF(AND('Mapa final'!$AB$52="Alta",'Mapa final'!$AD$52="Moderado"),CONCATENATE("R8C",'Mapa final'!$R$52),"")</f>
        <v/>
      </c>
      <c r="W23" s="37" t="str">
        <f>IF(AND('Mapa final'!$AB$53="Alta",'Mapa final'!$AD$53="Moderado"),CONCATENATE("R8C",'Mapa final'!$R$53),"")</f>
        <v/>
      </c>
      <c r="X23" s="37" t="str">
        <f>IF(AND('Mapa final'!$AB$54="Alta",'Mapa final'!$AD$54="Moderado"),CONCATENATE("R8C",'Mapa final'!$R$54),"")</f>
        <v/>
      </c>
      <c r="Y23" s="37" t="str">
        <f>IF(AND('Mapa final'!$AB$55="Alta",'Mapa final'!$AD$55="Moderado"),CONCATENATE("R8C",'Mapa final'!$R$55),"")</f>
        <v/>
      </c>
      <c r="Z23" s="37" t="str">
        <f>IF(AND('Mapa final'!$AB$56="Alta",'Mapa final'!$AD$56="Moderado"),CONCATENATE("R8C",'Mapa final'!$R$56),"")</f>
        <v/>
      </c>
      <c r="AA23" s="38" t="str">
        <f>IF(AND('Mapa final'!$AB$57="Alta",'Mapa final'!$AD$57="Moderado"),CONCATENATE("R8C",'Mapa final'!$R$57),"")</f>
        <v/>
      </c>
      <c r="AB23" s="36" t="str">
        <f>IF(AND('Mapa final'!$AB$52="Alta",'Mapa final'!$AD$52="Mayor"),CONCATENATE("R8C",'Mapa final'!$R$52),"")</f>
        <v/>
      </c>
      <c r="AC23" s="37" t="str">
        <f>IF(AND('Mapa final'!$AB$53="Alta",'Mapa final'!$AD$53="Mayor"),CONCATENATE("R8C",'Mapa final'!$R$53),"")</f>
        <v/>
      </c>
      <c r="AD23" s="37" t="str">
        <f>IF(AND('Mapa final'!$AB$54="Alta",'Mapa final'!$AD$54="Mayor"),CONCATENATE("R8C",'Mapa final'!$R$54),"")</f>
        <v/>
      </c>
      <c r="AE23" s="37" t="str">
        <f>IF(AND('Mapa final'!$AB$55="Alta",'Mapa final'!$AD$55="Mayor"),CONCATENATE("R8C",'Mapa final'!$R$55),"")</f>
        <v/>
      </c>
      <c r="AF23" s="37" t="str">
        <f>IF(AND('Mapa final'!$AB$56="Alta",'Mapa final'!$AD$56="Mayor"),CONCATENATE("R8C",'Mapa final'!$R$56),"")</f>
        <v/>
      </c>
      <c r="AG23" s="38" t="str">
        <f>IF(AND('Mapa final'!$AB$57="Alta",'Mapa final'!$AD$57="Mayor"),CONCATENATE("R8C",'Mapa final'!$R$57),"")</f>
        <v/>
      </c>
      <c r="AH23" s="39" t="str">
        <f>IF(AND('Mapa final'!$AB$52="Alta",'Mapa final'!$AD$52="Catastrófico"),CONCATENATE("R8C",'Mapa final'!$R$52),"")</f>
        <v/>
      </c>
      <c r="AI23" s="40" t="str">
        <f>IF(AND('Mapa final'!$AB$53="Alta",'Mapa final'!$AD$53="Catastrófico"),CONCATENATE("R8C",'Mapa final'!$R$53),"")</f>
        <v/>
      </c>
      <c r="AJ23" s="40" t="str">
        <f>IF(AND('Mapa final'!$AB$54="Alta",'Mapa final'!$AD$54="Catastrófico"),CONCATENATE("R8C",'Mapa final'!$R$54),"")</f>
        <v/>
      </c>
      <c r="AK23" s="40" t="str">
        <f>IF(AND('Mapa final'!$AB$55="Alta",'Mapa final'!$AD$55="Catastrófico"),CONCATENATE("R8C",'Mapa final'!$R$55),"")</f>
        <v/>
      </c>
      <c r="AL23" s="40" t="str">
        <f>IF(AND('Mapa final'!$AB$56="Alta",'Mapa final'!$AD$56="Catastrófico"),CONCATENATE("R8C",'Mapa final'!$R$56),"")</f>
        <v/>
      </c>
      <c r="AM23" s="41" t="str">
        <f>IF(AND('Mapa final'!$AB$57="Alta",'Mapa final'!$AD$57="Catastrófico"),CONCATENATE("R8C",'Mapa final'!$R$57),"")</f>
        <v/>
      </c>
      <c r="AN23" s="67"/>
      <c r="AO23" s="619"/>
      <c r="AP23" s="620"/>
      <c r="AQ23" s="620"/>
      <c r="AR23" s="620"/>
      <c r="AS23" s="620"/>
      <c r="AT23" s="62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30"/>
      <c r="C24" s="530"/>
      <c r="D24" s="531"/>
      <c r="E24" s="629"/>
      <c r="F24" s="628"/>
      <c r="G24" s="628"/>
      <c r="H24" s="628"/>
      <c r="I24" s="628"/>
      <c r="J24" s="51" t="str">
        <f>IF(AND('Mapa final'!$AB$58="Alta",'Mapa final'!$AD$58="Leve"),CONCATENATE("R9C",'Mapa final'!$R$58),"")</f>
        <v/>
      </c>
      <c r="K24" s="52" t="str">
        <f>IF(AND('Mapa final'!$AB$59="Alta",'Mapa final'!$AD$59="Leve"),CONCATENATE("R9C",'Mapa final'!$R$59),"")</f>
        <v/>
      </c>
      <c r="L24" s="52" t="str">
        <f>IF(AND('Mapa final'!$AB$60="Alta",'Mapa final'!$AD$60="Leve"),CONCATENATE("R9C",'Mapa final'!$R$60),"")</f>
        <v/>
      </c>
      <c r="M24" s="52" t="str">
        <f>IF(AND('Mapa final'!$AB$61="Alta",'Mapa final'!$AD$61="Leve"),CONCATENATE("R9C",'Mapa final'!$R$61),"")</f>
        <v/>
      </c>
      <c r="N24" s="52" t="str">
        <f>IF(AND('Mapa final'!$AB$62="Alta",'Mapa final'!$AD$62="Leve"),CONCATENATE("R9C",'Mapa final'!$R$62),"")</f>
        <v/>
      </c>
      <c r="O24" s="53" t="str">
        <f>IF(AND('Mapa final'!$AB$63="Alta",'Mapa final'!$AD$63="Leve"),CONCATENATE("R9C",'Mapa final'!$R$63),"")</f>
        <v/>
      </c>
      <c r="P24" s="51" t="str">
        <f>IF(AND('Mapa final'!$AB$58="Alta",'Mapa final'!$AD$58="Menor"),CONCATENATE("R9C",'Mapa final'!$R$58),"")</f>
        <v/>
      </c>
      <c r="Q24" s="52" t="str">
        <f>IF(AND('Mapa final'!$AB$59="Alta",'Mapa final'!$AD$59="Menor"),CONCATENATE("R9C",'Mapa final'!$R$59),"")</f>
        <v/>
      </c>
      <c r="R24" s="52" t="str">
        <f>IF(AND('Mapa final'!$AB$60="Alta",'Mapa final'!$AD$60="Menor"),CONCATENATE("R9C",'Mapa final'!$R$60),"")</f>
        <v/>
      </c>
      <c r="S24" s="52" t="str">
        <f>IF(AND('Mapa final'!$AB$61="Alta",'Mapa final'!$AD$61="Menor"),CONCATENATE("R9C",'Mapa final'!$R$61),"")</f>
        <v/>
      </c>
      <c r="T24" s="52" t="str">
        <f>IF(AND('Mapa final'!$AB$62="Alta",'Mapa final'!$AD$62="Menor"),CONCATENATE("R9C",'Mapa final'!$R$62),"")</f>
        <v/>
      </c>
      <c r="U24" s="53" t="str">
        <f>IF(AND('Mapa final'!$AB$63="Alta",'Mapa final'!$AD$63="Menor"),CONCATENATE("R9C",'Mapa final'!$R$63),"")</f>
        <v/>
      </c>
      <c r="V24" s="36" t="str">
        <f>IF(AND('Mapa final'!$AB$58="Alta",'Mapa final'!$AD$58="Moderado"),CONCATENATE("R9C",'Mapa final'!$R$58),"")</f>
        <v/>
      </c>
      <c r="W24" s="37" t="str">
        <f>IF(AND('Mapa final'!$AB$59="Alta",'Mapa final'!$AD$59="Moderado"),CONCATENATE("R9C",'Mapa final'!$R$59),"")</f>
        <v/>
      </c>
      <c r="X24" s="37" t="str">
        <f>IF(AND('Mapa final'!$AB$60="Alta",'Mapa final'!$AD$60="Moderado"),CONCATENATE("R9C",'Mapa final'!$R$60),"")</f>
        <v/>
      </c>
      <c r="Y24" s="37" t="str">
        <f>IF(AND('Mapa final'!$AB$61="Alta",'Mapa final'!$AD$61="Moderado"),CONCATENATE("R9C",'Mapa final'!$R$61),"")</f>
        <v/>
      </c>
      <c r="Z24" s="37" t="str">
        <f>IF(AND('Mapa final'!$AB$62="Alta",'Mapa final'!$AD$62="Moderado"),CONCATENATE("R9C",'Mapa final'!$R$62),"")</f>
        <v/>
      </c>
      <c r="AA24" s="38" t="str">
        <f>IF(AND('Mapa final'!$AB$63="Alta",'Mapa final'!$AD$63="Moderado"),CONCATENATE("R9C",'Mapa final'!$R$63),"")</f>
        <v/>
      </c>
      <c r="AB24" s="36" t="str">
        <f>IF(AND('Mapa final'!$AB$58="Alta",'Mapa final'!$AD$58="Mayor"),CONCATENATE("R9C",'Mapa final'!$R$58),"")</f>
        <v/>
      </c>
      <c r="AC24" s="37" t="str">
        <f>IF(AND('Mapa final'!$AB$59="Alta",'Mapa final'!$AD$59="Mayor"),CONCATENATE("R9C",'Mapa final'!$R$59),"")</f>
        <v/>
      </c>
      <c r="AD24" s="37" t="str">
        <f>IF(AND('Mapa final'!$AB$60="Alta",'Mapa final'!$AD$60="Mayor"),CONCATENATE("R9C",'Mapa final'!$R$60),"")</f>
        <v/>
      </c>
      <c r="AE24" s="37" t="str">
        <f>IF(AND('Mapa final'!$AB$61="Alta",'Mapa final'!$AD$61="Mayor"),CONCATENATE("R9C",'Mapa final'!$R$61),"")</f>
        <v/>
      </c>
      <c r="AF24" s="37" t="str">
        <f>IF(AND('Mapa final'!$AB$62="Alta",'Mapa final'!$AD$62="Mayor"),CONCATENATE("R9C",'Mapa final'!$R$62),"")</f>
        <v/>
      </c>
      <c r="AG24" s="38" t="str">
        <f>IF(AND('Mapa final'!$AB$63="Alta",'Mapa final'!$AD$63="Mayor"),CONCATENATE("R9C",'Mapa final'!$R$63),"")</f>
        <v/>
      </c>
      <c r="AH24" s="39" t="str">
        <f>IF(AND('Mapa final'!$AB$58="Alta",'Mapa final'!$AD$58="Catastrófico"),CONCATENATE("R9C",'Mapa final'!$R$58),"")</f>
        <v/>
      </c>
      <c r="AI24" s="40" t="str">
        <f>IF(AND('Mapa final'!$AB$59="Alta",'Mapa final'!$AD$59="Catastrófico"),CONCATENATE("R9C",'Mapa final'!$R$59),"")</f>
        <v/>
      </c>
      <c r="AJ24" s="40" t="str">
        <f>IF(AND('Mapa final'!$AB$60="Alta",'Mapa final'!$AD$60="Catastrófico"),CONCATENATE("R9C",'Mapa final'!$R$60),"")</f>
        <v/>
      </c>
      <c r="AK24" s="40" t="str">
        <f>IF(AND('Mapa final'!$AB$61="Alta",'Mapa final'!$AD$61="Catastrófico"),CONCATENATE("R9C",'Mapa final'!$R$61),"")</f>
        <v/>
      </c>
      <c r="AL24" s="40" t="str">
        <f>IF(AND('Mapa final'!$AB$62="Alta",'Mapa final'!$AD$62="Catastrófico"),CONCATENATE("R9C",'Mapa final'!$R$62),"")</f>
        <v/>
      </c>
      <c r="AM24" s="41" t="str">
        <f>IF(AND('Mapa final'!$AB$63="Alta",'Mapa final'!$AD$63="Catastrófico"),CONCATENATE("R9C",'Mapa final'!$R$63),"")</f>
        <v/>
      </c>
      <c r="AN24" s="67"/>
      <c r="AO24" s="619"/>
      <c r="AP24" s="620"/>
      <c r="AQ24" s="620"/>
      <c r="AR24" s="620"/>
      <c r="AS24" s="620"/>
      <c r="AT24" s="62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30"/>
      <c r="C25" s="530"/>
      <c r="D25" s="531"/>
      <c r="E25" s="630"/>
      <c r="F25" s="631"/>
      <c r="G25" s="631"/>
      <c r="H25" s="631"/>
      <c r="I25" s="631"/>
      <c r="J25" s="54" t="str">
        <f>IF(AND('Mapa final'!$AB$64="Alta",'Mapa final'!$AD$64="Leve"),CONCATENATE("R10C",'Mapa final'!$R$64),"")</f>
        <v/>
      </c>
      <c r="K25" s="55" t="str">
        <f>IF(AND('Mapa final'!$AB$65="Alta",'Mapa final'!$AD$65="Leve"),CONCATENATE("R10C",'Mapa final'!$R$65),"")</f>
        <v/>
      </c>
      <c r="L25" s="55" t="str">
        <f>IF(AND('Mapa final'!$AB$66="Alta",'Mapa final'!$AD$66="Leve"),CONCATENATE("R10C",'Mapa final'!$R$66),"")</f>
        <v/>
      </c>
      <c r="M25" s="55" t="str">
        <f>IF(AND('Mapa final'!$AB$67="Alta",'Mapa final'!$AD$67="Leve"),CONCATENATE("R10C",'Mapa final'!$R$67),"")</f>
        <v/>
      </c>
      <c r="N25" s="55" t="str">
        <f>IF(AND('Mapa final'!$AB$68="Alta",'Mapa final'!$AD$68="Leve"),CONCATENATE("R10C",'Mapa final'!$R$68),"")</f>
        <v/>
      </c>
      <c r="O25" s="56" t="str">
        <f>IF(AND('Mapa final'!$AB$69="Alta",'Mapa final'!$AD$69="Leve"),CONCATENATE("R10C",'Mapa final'!$R$69),"")</f>
        <v/>
      </c>
      <c r="P25" s="54" t="str">
        <f>IF(AND('Mapa final'!$AB$64="Alta",'Mapa final'!$AD$64="Menor"),CONCATENATE("R10C",'Mapa final'!$R$64),"")</f>
        <v/>
      </c>
      <c r="Q25" s="55" t="str">
        <f>IF(AND('Mapa final'!$AB$65="Alta",'Mapa final'!$AD$65="Menor"),CONCATENATE("R10C",'Mapa final'!$R$65),"")</f>
        <v/>
      </c>
      <c r="R25" s="55" t="str">
        <f>IF(AND('Mapa final'!$AB$66="Alta",'Mapa final'!$AD$66="Menor"),CONCATENATE("R10C",'Mapa final'!$R$66),"")</f>
        <v/>
      </c>
      <c r="S25" s="55" t="str">
        <f>IF(AND('Mapa final'!$AB$67="Alta",'Mapa final'!$AD$67="Menor"),CONCATENATE("R10C",'Mapa final'!$R$67),"")</f>
        <v/>
      </c>
      <c r="T25" s="55" t="str">
        <f>IF(AND('Mapa final'!$AB$68="Alta",'Mapa final'!$AD$68="Menor"),CONCATENATE("R10C",'Mapa final'!$R$68),"")</f>
        <v/>
      </c>
      <c r="U25" s="56" t="str">
        <f>IF(AND('Mapa final'!$AB$69="Alta",'Mapa final'!$AD$69="Menor"),CONCATENATE("R10C",'Mapa final'!$R$69),"")</f>
        <v/>
      </c>
      <c r="V25" s="42" t="str">
        <f>IF(AND('Mapa final'!$AB$64="Alta",'Mapa final'!$AD$64="Moderado"),CONCATENATE("R10C",'Mapa final'!$R$64),"")</f>
        <v/>
      </c>
      <c r="W25" s="43" t="str">
        <f>IF(AND('Mapa final'!$AB$65="Alta",'Mapa final'!$AD$65="Moderado"),CONCATENATE("R10C",'Mapa final'!$R$65),"")</f>
        <v/>
      </c>
      <c r="X25" s="43" t="str">
        <f>IF(AND('Mapa final'!$AB$66="Alta",'Mapa final'!$AD$66="Moderado"),CONCATENATE("R10C",'Mapa final'!$R$66),"")</f>
        <v/>
      </c>
      <c r="Y25" s="43" t="str">
        <f>IF(AND('Mapa final'!$AB$67="Alta",'Mapa final'!$AD$67="Moderado"),CONCATENATE("R10C",'Mapa final'!$R$67),"")</f>
        <v/>
      </c>
      <c r="Z25" s="43" t="str">
        <f>IF(AND('Mapa final'!$AB$68="Alta",'Mapa final'!$AD$68="Moderado"),CONCATENATE("R10C",'Mapa final'!$R$68),"")</f>
        <v/>
      </c>
      <c r="AA25" s="44" t="str">
        <f>IF(AND('Mapa final'!$AB$69="Alta",'Mapa final'!$AD$69="Moderado"),CONCATENATE("R10C",'Mapa final'!$R$69),"")</f>
        <v/>
      </c>
      <c r="AB25" s="42" t="str">
        <f>IF(AND('Mapa final'!$AB$64="Alta",'Mapa final'!$AD$64="Mayor"),CONCATENATE("R10C",'Mapa final'!$R$64),"")</f>
        <v/>
      </c>
      <c r="AC25" s="43" t="str">
        <f>IF(AND('Mapa final'!$AB$65="Alta",'Mapa final'!$AD$65="Mayor"),CONCATENATE("R10C",'Mapa final'!$R$65),"")</f>
        <v/>
      </c>
      <c r="AD25" s="43" t="str">
        <f>IF(AND('Mapa final'!$AB$66="Alta",'Mapa final'!$AD$66="Mayor"),CONCATENATE("R10C",'Mapa final'!$R$66),"")</f>
        <v/>
      </c>
      <c r="AE25" s="43" t="str">
        <f>IF(AND('Mapa final'!$AB$67="Alta",'Mapa final'!$AD$67="Mayor"),CONCATENATE("R10C",'Mapa final'!$R$67),"")</f>
        <v/>
      </c>
      <c r="AF25" s="43" t="str">
        <f>IF(AND('Mapa final'!$AB$68="Alta",'Mapa final'!$AD$68="Mayor"),CONCATENATE("R10C",'Mapa final'!$R$68),"")</f>
        <v/>
      </c>
      <c r="AG25" s="44" t="str">
        <f>IF(AND('Mapa final'!$AB$69="Alta",'Mapa final'!$AD$69="Mayor"),CONCATENATE("R10C",'Mapa final'!$R$69),"")</f>
        <v/>
      </c>
      <c r="AH25" s="45" t="str">
        <f>IF(AND('Mapa final'!$AB$64="Alta",'Mapa final'!$AD$64="Catastrófico"),CONCATENATE("R10C",'Mapa final'!$R$64),"")</f>
        <v/>
      </c>
      <c r="AI25" s="46" t="str">
        <f>IF(AND('Mapa final'!$AB$65="Alta",'Mapa final'!$AD$65="Catastrófico"),CONCATENATE("R10C",'Mapa final'!$R$65),"")</f>
        <v/>
      </c>
      <c r="AJ25" s="46" t="str">
        <f>IF(AND('Mapa final'!$AB$66="Alta",'Mapa final'!$AD$66="Catastrófico"),CONCATENATE("R10C",'Mapa final'!$R$66),"")</f>
        <v/>
      </c>
      <c r="AK25" s="46" t="str">
        <f>IF(AND('Mapa final'!$AB$67="Alta",'Mapa final'!$AD$67="Catastrófico"),CONCATENATE("R10C",'Mapa final'!$R$67),"")</f>
        <v/>
      </c>
      <c r="AL25" s="46" t="str">
        <f>IF(AND('Mapa final'!$AB$68="Alta",'Mapa final'!$AD$68="Catastrófico"),CONCATENATE("R10C",'Mapa final'!$R$68),"")</f>
        <v/>
      </c>
      <c r="AM25" s="47" t="str">
        <f>IF(AND('Mapa final'!$AB$69="Alta",'Mapa final'!$AD$69="Catastrófico"),CONCATENATE("R10C",'Mapa final'!$R$69),"")</f>
        <v/>
      </c>
      <c r="AN25" s="67"/>
      <c r="AO25" s="622"/>
      <c r="AP25" s="623"/>
      <c r="AQ25" s="623"/>
      <c r="AR25" s="623"/>
      <c r="AS25" s="623"/>
      <c r="AT25" s="62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30"/>
      <c r="C26" s="530"/>
      <c r="D26" s="531"/>
      <c r="E26" s="625" t="s">
        <v>111</v>
      </c>
      <c r="F26" s="626"/>
      <c r="G26" s="626"/>
      <c r="H26" s="626"/>
      <c r="I26" s="643"/>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str">
        <f>IF(AND('Mapa final'!$AB$14="Media",'Mapa final'!$AD$14="Leve"),CONCATENATE("R1C",'Mapa final'!$R$14),"")</f>
        <v/>
      </c>
      <c r="O26" s="50" t="str">
        <f>IF(AND('Mapa final'!$AB$15="Media",'Mapa final'!$AD$15="Leve"),CONCATENATE("R1C",'Mapa final'!$R$15),"")</f>
        <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
      </c>
      <c r="S26" s="49" t="str">
        <f>IF(AND('Mapa final'!$AB$13="Media",'Mapa final'!$AD$13="Menor"),CONCATENATE("R1C",'Mapa final'!$R$13),"")</f>
        <v/>
      </c>
      <c r="T26" s="49" t="str">
        <f>IF(AND('Mapa final'!$AB$14="Media",'Mapa final'!$AD$14="Menor"),CONCATENATE("R1C",'Mapa final'!$R$14),"")</f>
        <v/>
      </c>
      <c r="U26" s="50" t="str">
        <f>IF(AND('Mapa final'!$AB$15="Media",'Mapa final'!$AD$15="Menor"),CONCATENATE("R1C",'Mapa final'!$R$15),"")</f>
        <v/>
      </c>
      <c r="V26" s="48" t="str">
        <f>IF(AND('Mapa final'!$AB$10="Media",'Mapa final'!$AD$10="Moderado"),CONCATENATE("R1C",'Mapa final'!$R$10),"")</f>
        <v/>
      </c>
      <c r="W26" s="49" t="str">
        <f>IF(AND('Mapa final'!$AB$11="Media",'Mapa final'!$AD$11="Moderado"),CONCATENATE("R1C",'Mapa final'!$R$11),"")</f>
        <v/>
      </c>
      <c r="X26" s="49" t="str">
        <f>IF(AND('Mapa final'!$AB$12="Media",'Mapa final'!$AD$12="Moderado"),CONCATENATE("R1C",'Mapa final'!$R$12),"")</f>
        <v/>
      </c>
      <c r="Y26" s="49" t="str">
        <f>IF(AND('Mapa final'!$AB$13="Media",'Mapa final'!$AD$13="Moderado"),CONCATENATE("R1C",'Mapa final'!$R$13),"")</f>
        <v/>
      </c>
      <c r="Z26" s="49" t="str">
        <f>IF(AND('Mapa final'!$AB$14="Media",'Mapa final'!$AD$14="Moderado"),CONCATENATE("R1C",'Mapa final'!$R$14),"")</f>
        <v/>
      </c>
      <c r="AA26" s="50" t="str">
        <f>IF(AND('Mapa final'!$AB$15="Media",'Mapa final'!$AD$15="Moderado"),CONCATENATE("R1C",'Mapa final'!$R$15),"")</f>
        <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str">
        <f>IF(AND('Mapa final'!$AB$14="Media",'Mapa final'!$AD$14="Mayor"),CONCATENATE("R1C",'Mapa final'!$R$14),"")</f>
        <v/>
      </c>
      <c r="AG26" s="32" t="str">
        <f>IF(AND('Mapa final'!$AB$15="Media",'Mapa final'!$AD$15="Mayor"),CONCATENATE("R1C",'Mapa final'!$R$15),"")</f>
        <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str">
        <f>IF(AND('Mapa final'!$AB$14="Media",'Mapa final'!$AD$14="Catastrófico"),CONCATENATE("R1C",'Mapa final'!$R$14),"")</f>
        <v/>
      </c>
      <c r="AM26" s="35" t="str">
        <f>IF(AND('Mapa final'!$AB$15="Media",'Mapa final'!$AD$15="Catastrófico"),CONCATENATE("R1C",'Mapa final'!$R$15),"")</f>
        <v/>
      </c>
      <c r="AN26" s="67"/>
      <c r="AO26" s="655" t="s">
        <v>79</v>
      </c>
      <c r="AP26" s="656"/>
      <c r="AQ26" s="656"/>
      <c r="AR26" s="656"/>
      <c r="AS26" s="656"/>
      <c r="AT26" s="65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30"/>
      <c r="C27" s="530"/>
      <c r="D27" s="531"/>
      <c r="E27" s="627"/>
      <c r="F27" s="628"/>
      <c r="G27" s="628"/>
      <c r="H27" s="628"/>
      <c r="I27" s="644"/>
      <c r="J27" s="51" t="str">
        <f>IF(AND('Mapa final'!$AB$16="Media",'Mapa final'!$AD$16="Leve"),CONCATENATE("R2C",'Mapa final'!$R$16),"")</f>
        <v/>
      </c>
      <c r="K27" s="52" t="str">
        <f>IF(AND('Mapa final'!$AB$17="Media",'Mapa final'!$AD$17="Leve"),CONCATENATE("R2C",'Mapa final'!$R$17),"")</f>
        <v/>
      </c>
      <c r="L27" s="52" t="str">
        <f>IF(AND('Mapa final'!$AB$18="Media",'Mapa final'!$AD$18="Leve"),CONCATENATE("R2C",'Mapa final'!$R$18),"")</f>
        <v/>
      </c>
      <c r="M27" s="52" t="str">
        <f>IF(AND('Mapa final'!$AB$19="Media",'Mapa final'!$AD$19="Leve"),CONCATENATE("R2C",'Mapa final'!$R$19),"")</f>
        <v/>
      </c>
      <c r="N27" s="52" t="str">
        <f>IF(AND('Mapa final'!$AB$20="Media",'Mapa final'!$AD$20="Leve"),CONCATENATE("R2C",'Mapa final'!$R$20),"")</f>
        <v/>
      </c>
      <c r="O27" s="53" t="str">
        <f>IF(AND('Mapa final'!$AB$21="Media",'Mapa final'!$AD$21="Leve"),CONCATENATE("R2C",'Mapa final'!$R$21),"")</f>
        <v/>
      </c>
      <c r="P27" s="51" t="str">
        <f>IF(AND('Mapa final'!$AB$16="Media",'Mapa final'!$AD$16="Menor"),CONCATENATE("R2C",'Mapa final'!$R$16),"")</f>
        <v/>
      </c>
      <c r="Q27" s="52" t="str">
        <f>IF(AND('Mapa final'!$AB$17="Media",'Mapa final'!$AD$17="Menor"),CONCATENATE("R2C",'Mapa final'!$R$17),"")</f>
        <v/>
      </c>
      <c r="R27" s="52" t="str">
        <f>IF(AND('Mapa final'!$AB$18="Media",'Mapa final'!$AD$18="Menor"),CONCATENATE("R2C",'Mapa final'!$R$18),"")</f>
        <v/>
      </c>
      <c r="S27" s="52" t="str">
        <f>IF(AND('Mapa final'!$AB$19="Media",'Mapa final'!$AD$19="Menor"),CONCATENATE("R2C",'Mapa final'!$R$19),"")</f>
        <v/>
      </c>
      <c r="T27" s="52" t="str">
        <f>IF(AND('Mapa final'!$AB$20="Media",'Mapa final'!$AD$20="Menor"),CONCATENATE("R2C",'Mapa final'!$R$20),"")</f>
        <v/>
      </c>
      <c r="U27" s="53" t="str">
        <f>IF(AND('Mapa final'!$AB$21="Media",'Mapa final'!$AD$21="Menor"),CONCATENATE("R2C",'Mapa final'!$R$21),"")</f>
        <v/>
      </c>
      <c r="V27" s="51" t="str">
        <f>IF(AND('Mapa final'!$AB$16="Media",'Mapa final'!$AD$16="Moderado"),CONCATENATE("R2C",'Mapa final'!$R$16),"")</f>
        <v/>
      </c>
      <c r="W27" s="52" t="str">
        <f>IF(AND('Mapa final'!$AB$17="Media",'Mapa final'!$AD$17="Moderado"),CONCATENATE("R2C",'Mapa final'!$R$17),"")</f>
        <v/>
      </c>
      <c r="X27" s="52" t="str">
        <f>IF(AND('Mapa final'!$AB$18="Media",'Mapa final'!$AD$18="Moderado"),CONCATENATE("R2C",'Mapa final'!$R$18),"")</f>
        <v/>
      </c>
      <c r="Y27" s="52" t="str">
        <f>IF(AND('Mapa final'!$AB$19="Media",'Mapa final'!$AD$19="Moderado"),CONCATENATE("R2C",'Mapa final'!$R$19),"")</f>
        <v/>
      </c>
      <c r="Z27" s="52" t="str">
        <f>IF(AND('Mapa final'!$AB$20="Media",'Mapa final'!$AD$20="Moderado"),CONCATENATE("R2C",'Mapa final'!$R$20),"")</f>
        <v/>
      </c>
      <c r="AA27" s="53" t="str">
        <f>IF(AND('Mapa final'!$AB$21="Media",'Mapa final'!$AD$21="Moderado"),CONCATENATE("R2C",'Mapa final'!$R$21),"")</f>
        <v/>
      </c>
      <c r="AB27" s="36" t="str">
        <f>IF(AND('Mapa final'!$AB$16="Media",'Mapa final'!$AD$16="Mayor"),CONCATENATE("R2C",'Mapa final'!$R$16),"")</f>
        <v/>
      </c>
      <c r="AC27" s="37" t="str">
        <f>IF(AND('Mapa final'!$AB$17="Media",'Mapa final'!$AD$17="Mayor"),CONCATENATE("R2C",'Mapa final'!$R$17),"")</f>
        <v/>
      </c>
      <c r="AD27" s="37" t="str">
        <f>IF(AND('Mapa final'!$AB$18="Media",'Mapa final'!$AD$18="Mayor"),CONCATENATE("R2C",'Mapa final'!$R$18),"")</f>
        <v/>
      </c>
      <c r="AE27" s="37" t="str">
        <f>IF(AND('Mapa final'!$AB$19="Media",'Mapa final'!$AD$19="Mayor"),CONCATENATE("R2C",'Mapa final'!$R$19),"")</f>
        <v/>
      </c>
      <c r="AF27" s="37" t="str">
        <f>IF(AND('Mapa final'!$AB$20="Media",'Mapa final'!$AD$20="Mayor"),CONCATENATE("R2C",'Mapa final'!$R$20),"")</f>
        <v/>
      </c>
      <c r="AG27" s="38" t="str">
        <f>IF(AND('Mapa final'!$AB$21="Media",'Mapa final'!$AD$21="Mayor"),CONCATENATE("R2C",'Mapa final'!$R$21),"")</f>
        <v/>
      </c>
      <c r="AH27" s="39" t="str">
        <f>IF(AND('Mapa final'!$AB$16="Media",'Mapa final'!$AD$16="Catastrófico"),CONCATENATE("R2C",'Mapa final'!$R$16),"")</f>
        <v/>
      </c>
      <c r="AI27" s="40" t="str">
        <f>IF(AND('Mapa final'!$AB$17="Media",'Mapa final'!$AD$17="Catastrófico"),CONCATENATE("R2C",'Mapa final'!$R$17),"")</f>
        <v/>
      </c>
      <c r="AJ27" s="40" t="str">
        <f>IF(AND('Mapa final'!$AB$18="Media",'Mapa final'!$AD$18="Catastrófico"),CONCATENATE("R2C",'Mapa final'!$R$18),"")</f>
        <v/>
      </c>
      <c r="AK27" s="40" t="str">
        <f>IF(AND('Mapa final'!$AB$19="Media",'Mapa final'!$AD$19="Catastrófico"),CONCATENATE("R2C",'Mapa final'!$R$19),"")</f>
        <v/>
      </c>
      <c r="AL27" s="40" t="str">
        <f>IF(AND('Mapa final'!$AB$20="Media",'Mapa final'!$AD$20="Catastrófico"),CONCATENATE("R2C",'Mapa final'!$R$20),"")</f>
        <v/>
      </c>
      <c r="AM27" s="41" t="str">
        <f>IF(AND('Mapa final'!$AB$21="Media",'Mapa final'!$AD$21="Catastrófico"),CONCATENATE("R2C",'Mapa final'!$R$21),"")</f>
        <v/>
      </c>
      <c r="AN27" s="67"/>
      <c r="AO27" s="658"/>
      <c r="AP27" s="659"/>
      <c r="AQ27" s="659"/>
      <c r="AR27" s="659"/>
      <c r="AS27" s="659"/>
      <c r="AT27" s="660"/>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30"/>
      <c r="C28" s="530"/>
      <c r="D28" s="531"/>
      <c r="E28" s="629"/>
      <c r="F28" s="628"/>
      <c r="G28" s="628"/>
      <c r="H28" s="628"/>
      <c r="I28" s="644"/>
      <c r="J28" s="51" t="str">
        <f>IF(AND('Mapa final'!$AB$22="Media",'Mapa final'!$AD$22="Leve"),CONCATENATE("R3C",'Mapa final'!$R$22),"")</f>
        <v/>
      </c>
      <c r="K28" s="52" t="str">
        <f>IF(AND('Mapa final'!$AB$23="Media",'Mapa final'!$AD$23="Leve"),CONCATENATE("R3C",'Mapa final'!$R$23),"")</f>
        <v/>
      </c>
      <c r="L28" s="52" t="str">
        <f>IF(AND('Mapa final'!$AB$24="Media",'Mapa final'!$AD$24="Leve"),CONCATENATE("R3C",'Mapa final'!$R$24),"")</f>
        <v/>
      </c>
      <c r="M28" s="52" t="str">
        <f>IF(AND('Mapa final'!$AB$25="Media",'Mapa final'!$AD$25="Leve"),CONCATENATE("R3C",'Mapa final'!$R$25),"")</f>
        <v/>
      </c>
      <c r="N28" s="52" t="str">
        <f>IF(AND('Mapa final'!$AB$26="Media",'Mapa final'!$AD$26="Leve"),CONCATENATE("R3C",'Mapa final'!$R$26),"")</f>
        <v/>
      </c>
      <c r="O28" s="53" t="str">
        <f>IF(AND('Mapa final'!$AB$27="Media",'Mapa final'!$AD$27="Leve"),CONCATENATE("R3C",'Mapa final'!$R$27),"")</f>
        <v/>
      </c>
      <c r="P28" s="51" t="str">
        <f>IF(AND('Mapa final'!$AB$22="Media",'Mapa final'!$AD$22="Menor"),CONCATENATE("R3C",'Mapa final'!$R$22),"")</f>
        <v/>
      </c>
      <c r="Q28" s="52" t="str">
        <f>IF(AND('Mapa final'!$AB$23="Media",'Mapa final'!$AD$23="Menor"),CONCATENATE("R3C",'Mapa final'!$R$23),"")</f>
        <v/>
      </c>
      <c r="R28" s="52" t="str">
        <f>IF(AND('Mapa final'!$AB$24="Media",'Mapa final'!$AD$24="Menor"),CONCATENATE("R3C",'Mapa final'!$R$24),"")</f>
        <v/>
      </c>
      <c r="S28" s="52" t="str">
        <f>IF(AND('Mapa final'!$AB$25="Media",'Mapa final'!$AD$25="Menor"),CONCATENATE("R3C",'Mapa final'!$R$25),"")</f>
        <v/>
      </c>
      <c r="T28" s="52" t="str">
        <f>IF(AND('Mapa final'!$AB$26="Media",'Mapa final'!$AD$26="Menor"),CONCATENATE("R3C",'Mapa final'!$R$26),"")</f>
        <v/>
      </c>
      <c r="U28" s="53" t="str">
        <f>IF(AND('Mapa final'!$AB$27="Media",'Mapa final'!$AD$27="Menor"),CONCATENATE("R3C",'Mapa final'!$R$27),"")</f>
        <v/>
      </c>
      <c r="V28" s="51" t="str">
        <f>IF(AND('Mapa final'!$AB$22="Media",'Mapa final'!$AD$22="Moderado"),CONCATENATE("R3C",'Mapa final'!$R$22),"")</f>
        <v/>
      </c>
      <c r="W28" s="52" t="str">
        <f>IF(AND('Mapa final'!$AB$23="Media",'Mapa final'!$AD$23="Moderado"),CONCATENATE("R3C",'Mapa final'!$R$23),"")</f>
        <v/>
      </c>
      <c r="X28" s="52" t="str">
        <f>IF(AND('Mapa final'!$AB$24="Media",'Mapa final'!$AD$24="Moderado"),CONCATENATE("R3C",'Mapa final'!$R$24),"")</f>
        <v/>
      </c>
      <c r="Y28" s="52" t="str">
        <f>IF(AND('Mapa final'!$AB$25="Media",'Mapa final'!$AD$25="Moderado"),CONCATENATE("R3C",'Mapa final'!$R$25),"")</f>
        <v/>
      </c>
      <c r="Z28" s="52" t="str">
        <f>IF(AND('Mapa final'!$AB$26="Media",'Mapa final'!$AD$26="Moderado"),CONCATENATE("R3C",'Mapa final'!$R$26),"")</f>
        <v/>
      </c>
      <c r="AA28" s="53" t="str">
        <f>IF(AND('Mapa final'!$AB$27="Media",'Mapa final'!$AD$27="Moderado"),CONCATENATE("R3C",'Mapa final'!$R$27),"")</f>
        <v/>
      </c>
      <c r="AB28" s="36" t="str">
        <f>IF(AND('Mapa final'!$AB$22="Media",'Mapa final'!$AD$22="Mayor"),CONCATENATE("R3C",'Mapa final'!$R$22),"")</f>
        <v/>
      </c>
      <c r="AC28" s="37" t="str">
        <f>IF(AND('Mapa final'!$AB$23="Media",'Mapa final'!$AD$23="Mayor"),CONCATENATE("R3C",'Mapa final'!$R$23),"")</f>
        <v/>
      </c>
      <c r="AD28" s="37" t="str">
        <f>IF(AND('Mapa final'!$AB$24="Media",'Mapa final'!$AD$24="Mayor"),CONCATENATE("R3C",'Mapa final'!$R$24),"")</f>
        <v/>
      </c>
      <c r="AE28" s="37" t="str">
        <f>IF(AND('Mapa final'!$AB$25="Media",'Mapa final'!$AD$25="Mayor"),CONCATENATE("R3C",'Mapa final'!$R$25),"")</f>
        <v/>
      </c>
      <c r="AF28" s="37" t="str">
        <f>IF(AND('Mapa final'!$AB$26="Media",'Mapa final'!$AD$26="Mayor"),CONCATENATE("R3C",'Mapa final'!$R$26),"")</f>
        <v/>
      </c>
      <c r="AG28" s="38" t="str">
        <f>IF(AND('Mapa final'!$AB$27="Media",'Mapa final'!$AD$27="Mayor"),CONCATENATE("R3C",'Mapa final'!$R$27),"")</f>
        <v/>
      </c>
      <c r="AH28" s="39" t="str">
        <f>IF(AND('Mapa final'!$AB$22="Media",'Mapa final'!$AD$22="Catastrófico"),CONCATENATE("R3C",'Mapa final'!$R$22),"")</f>
        <v/>
      </c>
      <c r="AI28" s="40" t="str">
        <f>IF(AND('Mapa final'!$AB$23="Media",'Mapa final'!$AD$23="Catastrófico"),CONCATENATE("R3C",'Mapa final'!$R$23),"")</f>
        <v/>
      </c>
      <c r="AJ28" s="40" t="str">
        <f>IF(AND('Mapa final'!$AB$24="Media",'Mapa final'!$AD$24="Catastrófico"),CONCATENATE("R3C",'Mapa final'!$R$24),"")</f>
        <v/>
      </c>
      <c r="AK28" s="40" t="str">
        <f>IF(AND('Mapa final'!$AB$25="Media",'Mapa final'!$AD$25="Catastrófico"),CONCATENATE("R3C",'Mapa final'!$R$25),"")</f>
        <v/>
      </c>
      <c r="AL28" s="40" t="str">
        <f>IF(AND('Mapa final'!$AB$26="Media",'Mapa final'!$AD$26="Catastrófico"),CONCATENATE("R3C",'Mapa final'!$R$26),"")</f>
        <v/>
      </c>
      <c r="AM28" s="41" t="str">
        <f>IF(AND('Mapa final'!$AB$27="Media",'Mapa final'!$AD$27="Catastrófico"),CONCATENATE("R3C",'Mapa final'!$R$27),"")</f>
        <v/>
      </c>
      <c r="AN28" s="67"/>
      <c r="AO28" s="658"/>
      <c r="AP28" s="659"/>
      <c r="AQ28" s="659"/>
      <c r="AR28" s="659"/>
      <c r="AS28" s="659"/>
      <c r="AT28" s="660"/>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30"/>
      <c r="C29" s="530"/>
      <c r="D29" s="531"/>
      <c r="E29" s="629"/>
      <c r="F29" s="628"/>
      <c r="G29" s="628"/>
      <c r="H29" s="628"/>
      <c r="I29" s="644"/>
      <c r="J29" s="51" t="str">
        <f>IF(AND('Mapa final'!$AB$28="Media",'Mapa final'!$AD$28="Leve"),CONCATENATE("R4C",'Mapa final'!$R$28),"")</f>
        <v/>
      </c>
      <c r="K29" s="52" t="str">
        <f>IF(AND('Mapa final'!$AB$29="Media",'Mapa final'!$AD$29="Leve"),CONCATENATE("R4C",'Mapa final'!$R$29),"")</f>
        <v/>
      </c>
      <c r="L29" s="52" t="str">
        <f>IF(AND('Mapa final'!$AB$30="Media",'Mapa final'!$AD$30="Leve"),CONCATENATE("R4C",'Mapa final'!$R$30),"")</f>
        <v/>
      </c>
      <c r="M29" s="52" t="str">
        <f>IF(AND('Mapa final'!$AB$31="Media",'Mapa final'!$AD$31="Leve"),CONCATENATE("R4C",'Mapa final'!$R$31),"")</f>
        <v/>
      </c>
      <c r="N29" s="52" t="str">
        <f>IF(AND('Mapa final'!$AB$32="Media",'Mapa final'!$AD$32="Leve"),CONCATENATE("R4C",'Mapa final'!$R$32),"")</f>
        <v/>
      </c>
      <c r="O29" s="53" t="str">
        <f>IF(AND('Mapa final'!$AB$33="Media",'Mapa final'!$AD$33="Leve"),CONCATENATE("R4C",'Mapa final'!$R$33),"")</f>
        <v/>
      </c>
      <c r="P29" s="51" t="str">
        <f>IF(AND('Mapa final'!$AB$28="Media",'Mapa final'!$AD$28="Menor"),CONCATENATE("R4C",'Mapa final'!$R$28),"")</f>
        <v/>
      </c>
      <c r="Q29" s="52" t="str">
        <f>IF(AND('Mapa final'!$AB$29="Media",'Mapa final'!$AD$29="Menor"),CONCATENATE("R4C",'Mapa final'!$R$29),"")</f>
        <v/>
      </c>
      <c r="R29" s="52" t="str">
        <f>IF(AND('Mapa final'!$AB$30="Media",'Mapa final'!$AD$30="Menor"),CONCATENATE("R4C",'Mapa final'!$R$30),"")</f>
        <v/>
      </c>
      <c r="S29" s="52" t="str">
        <f>IF(AND('Mapa final'!$AB$31="Media",'Mapa final'!$AD$31="Menor"),CONCATENATE("R4C",'Mapa final'!$R$31),"")</f>
        <v/>
      </c>
      <c r="T29" s="52" t="str">
        <f>IF(AND('Mapa final'!$AB$32="Media",'Mapa final'!$AD$32="Menor"),CONCATENATE("R4C",'Mapa final'!$R$32),"")</f>
        <v/>
      </c>
      <c r="U29" s="53" t="str">
        <f>IF(AND('Mapa final'!$AB$33="Media",'Mapa final'!$AD$33="Menor"),CONCATENATE("R4C",'Mapa final'!$R$33),"")</f>
        <v/>
      </c>
      <c r="V29" s="51" t="str">
        <f>IF(AND('Mapa final'!$AB$28="Media",'Mapa final'!$AD$28="Moderado"),CONCATENATE("R4C",'Mapa final'!$R$28),"")</f>
        <v/>
      </c>
      <c r="W29" s="52" t="str">
        <f>IF(AND('Mapa final'!$AB$29="Media",'Mapa final'!$AD$29="Moderado"),CONCATENATE("R4C",'Mapa final'!$R$29),"")</f>
        <v/>
      </c>
      <c r="X29" s="52" t="str">
        <f>IF(AND('Mapa final'!$AB$30="Media",'Mapa final'!$AD$30="Moderado"),CONCATENATE("R4C",'Mapa final'!$R$30),"")</f>
        <v/>
      </c>
      <c r="Y29" s="52" t="str">
        <f>IF(AND('Mapa final'!$AB$31="Media",'Mapa final'!$AD$31="Moderado"),CONCATENATE("R4C",'Mapa final'!$R$31),"")</f>
        <v/>
      </c>
      <c r="Z29" s="52" t="str">
        <f>IF(AND('Mapa final'!$AB$32="Media",'Mapa final'!$AD$32="Moderado"),CONCATENATE("R4C",'Mapa final'!$R$32),"")</f>
        <v/>
      </c>
      <c r="AA29" s="53" t="str">
        <f>IF(AND('Mapa final'!$AB$33="Media",'Mapa final'!$AD$33="Moderado"),CONCATENATE("R4C",'Mapa final'!$R$33),"")</f>
        <v/>
      </c>
      <c r="AB29" s="36" t="str">
        <f>IF(AND('Mapa final'!$AB$28="Media",'Mapa final'!$AD$28="Mayor"),CONCATENATE("R4C",'Mapa final'!$R$28),"")</f>
        <v/>
      </c>
      <c r="AC29" s="37" t="str">
        <f>IF(AND('Mapa final'!$AB$29="Media",'Mapa final'!$AD$29="Mayor"),CONCATENATE("R4C",'Mapa final'!$R$29),"")</f>
        <v/>
      </c>
      <c r="AD29" s="37" t="str">
        <f>IF(AND('Mapa final'!$AB$30="Media",'Mapa final'!$AD$30="Mayor"),CONCATENATE("R4C",'Mapa final'!$R$30),"")</f>
        <v/>
      </c>
      <c r="AE29" s="37" t="str">
        <f>IF(AND('Mapa final'!$AB$31="Media",'Mapa final'!$AD$31="Mayor"),CONCATENATE("R4C",'Mapa final'!$R$31),"")</f>
        <v/>
      </c>
      <c r="AF29" s="37" t="str">
        <f>IF(AND('Mapa final'!$AB$32="Media",'Mapa final'!$AD$32="Mayor"),CONCATENATE("R4C",'Mapa final'!$R$32),"")</f>
        <v/>
      </c>
      <c r="AG29" s="38" t="str">
        <f>IF(AND('Mapa final'!$AB$33="Media",'Mapa final'!$AD$33="Mayor"),CONCATENATE("R4C",'Mapa final'!$R$33),"")</f>
        <v/>
      </c>
      <c r="AH29" s="39" t="str">
        <f>IF(AND('Mapa final'!$AB$28="Media",'Mapa final'!$AD$28="Catastrófico"),CONCATENATE("R4C",'Mapa final'!$R$28),"")</f>
        <v/>
      </c>
      <c r="AI29" s="40" t="str">
        <f>IF(AND('Mapa final'!$AB$29="Media",'Mapa final'!$AD$29="Catastrófico"),CONCATENATE("R4C",'Mapa final'!$R$29),"")</f>
        <v/>
      </c>
      <c r="AJ29" s="40" t="str">
        <f>IF(AND('Mapa final'!$AB$30="Media",'Mapa final'!$AD$30="Catastrófico"),CONCATENATE("R4C",'Mapa final'!$R$30),"")</f>
        <v/>
      </c>
      <c r="AK29" s="40" t="str">
        <f>IF(AND('Mapa final'!$AB$31="Media",'Mapa final'!$AD$31="Catastrófico"),CONCATENATE("R4C",'Mapa final'!$R$31),"")</f>
        <v/>
      </c>
      <c r="AL29" s="40" t="str">
        <f>IF(AND('Mapa final'!$AB$32="Media",'Mapa final'!$AD$32="Catastrófico"),CONCATENATE("R4C",'Mapa final'!$R$32),"")</f>
        <v/>
      </c>
      <c r="AM29" s="41" t="str">
        <f>IF(AND('Mapa final'!$AB$33="Media",'Mapa final'!$AD$33="Catastrófico"),CONCATENATE("R4C",'Mapa final'!$R$33),"")</f>
        <v/>
      </c>
      <c r="AN29" s="67"/>
      <c r="AO29" s="658"/>
      <c r="AP29" s="659"/>
      <c r="AQ29" s="659"/>
      <c r="AR29" s="659"/>
      <c r="AS29" s="659"/>
      <c r="AT29" s="660"/>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30"/>
      <c r="C30" s="530"/>
      <c r="D30" s="531"/>
      <c r="E30" s="629"/>
      <c r="F30" s="628"/>
      <c r="G30" s="628"/>
      <c r="H30" s="628"/>
      <c r="I30" s="644"/>
      <c r="J30" s="51" t="str">
        <f>IF(AND('Mapa final'!$AB$34="Media",'Mapa final'!$AD$34="Leve"),CONCATENATE("R5C",'Mapa final'!$R$34),"")</f>
        <v/>
      </c>
      <c r="K30" s="52" t="str">
        <f>IF(AND('Mapa final'!$AB$35="Media",'Mapa final'!$AD$35="Leve"),CONCATENATE("R5C",'Mapa final'!$R$35),"")</f>
        <v/>
      </c>
      <c r="L30" s="52" t="str">
        <f>IF(AND('Mapa final'!$AB$36="Media",'Mapa final'!$AD$36="Leve"),CONCATENATE("R5C",'Mapa final'!$R$36),"")</f>
        <v/>
      </c>
      <c r="M30" s="52" t="str">
        <f>IF(AND('Mapa final'!$AB$37="Media",'Mapa final'!$AD$37="Leve"),CONCATENATE("R5C",'Mapa final'!$R$37),"")</f>
        <v/>
      </c>
      <c r="N30" s="52" t="str">
        <f>IF(AND('Mapa final'!$AB$38="Media",'Mapa final'!$AD$38="Leve"),CONCATENATE("R5C",'Mapa final'!$R$38),"")</f>
        <v/>
      </c>
      <c r="O30" s="53" t="str">
        <f>IF(AND('Mapa final'!$AB$39="Media",'Mapa final'!$AD$39="Leve"),CONCATENATE("R5C",'Mapa final'!$R$39),"")</f>
        <v/>
      </c>
      <c r="P30" s="51" t="str">
        <f>IF(AND('Mapa final'!$AB$34="Media",'Mapa final'!$AD$34="Menor"),CONCATENATE("R5C",'Mapa final'!$R$34),"")</f>
        <v/>
      </c>
      <c r="Q30" s="52" t="str">
        <f>IF(AND('Mapa final'!$AB$35="Media",'Mapa final'!$AD$35="Menor"),CONCATENATE("R5C",'Mapa final'!$R$35),"")</f>
        <v/>
      </c>
      <c r="R30" s="52" t="str">
        <f>IF(AND('Mapa final'!$AB$36="Media",'Mapa final'!$AD$36="Menor"),CONCATENATE("R5C",'Mapa final'!$R$36),"")</f>
        <v/>
      </c>
      <c r="S30" s="52" t="str">
        <f>IF(AND('Mapa final'!$AB$37="Media",'Mapa final'!$AD$37="Menor"),CONCATENATE("R5C",'Mapa final'!$R$37),"")</f>
        <v/>
      </c>
      <c r="T30" s="52" t="str">
        <f>IF(AND('Mapa final'!$AB$38="Media",'Mapa final'!$AD$38="Menor"),CONCATENATE("R5C",'Mapa final'!$R$38),"")</f>
        <v/>
      </c>
      <c r="U30" s="53" t="str">
        <f>IF(AND('Mapa final'!$AB$39="Media",'Mapa final'!$AD$39="Menor"),CONCATENATE("R5C",'Mapa final'!$R$39),"")</f>
        <v/>
      </c>
      <c r="V30" s="51" t="str">
        <f>IF(AND('Mapa final'!$AB$34="Media",'Mapa final'!$AD$34="Moderado"),CONCATENATE("R5C",'Mapa final'!$R$34),"")</f>
        <v/>
      </c>
      <c r="W30" s="52" t="str">
        <f>IF(AND('Mapa final'!$AB$35="Media",'Mapa final'!$AD$35="Moderado"),CONCATENATE("R5C",'Mapa final'!$R$35),"")</f>
        <v/>
      </c>
      <c r="X30" s="52" t="str">
        <f>IF(AND('Mapa final'!$AB$36="Media",'Mapa final'!$AD$36="Moderado"),CONCATENATE("R5C",'Mapa final'!$R$36),"")</f>
        <v/>
      </c>
      <c r="Y30" s="52" t="str">
        <f>IF(AND('Mapa final'!$AB$37="Media",'Mapa final'!$AD$37="Moderado"),CONCATENATE("R5C",'Mapa final'!$R$37),"")</f>
        <v/>
      </c>
      <c r="Z30" s="52" t="str">
        <f>IF(AND('Mapa final'!$AB$38="Media",'Mapa final'!$AD$38="Moderado"),CONCATENATE("R5C",'Mapa final'!$R$38),"")</f>
        <v/>
      </c>
      <c r="AA30" s="53" t="str">
        <f>IF(AND('Mapa final'!$AB$39="Media",'Mapa final'!$AD$39="Moderado"),CONCATENATE("R5C",'Mapa final'!$R$39),"")</f>
        <v/>
      </c>
      <c r="AB30" s="36" t="str">
        <f>IF(AND('Mapa final'!$AB$34="Media",'Mapa final'!$AD$34="Mayor"),CONCATENATE("R5C",'Mapa final'!$R$34),"")</f>
        <v/>
      </c>
      <c r="AC30" s="37" t="str">
        <f>IF(AND('Mapa final'!$AB$35="Media",'Mapa final'!$AD$35="Mayor"),CONCATENATE("R5C",'Mapa final'!$R$35),"")</f>
        <v/>
      </c>
      <c r="AD30" s="37" t="str">
        <f>IF(AND('Mapa final'!$AB$36="Media",'Mapa final'!$AD$36="Mayor"),CONCATENATE("R5C",'Mapa final'!$R$36),"")</f>
        <v/>
      </c>
      <c r="AE30" s="37" t="str">
        <f>IF(AND('Mapa final'!$AB$37="Media",'Mapa final'!$AD$37="Mayor"),CONCATENATE("R5C",'Mapa final'!$R$37),"")</f>
        <v/>
      </c>
      <c r="AF30" s="37" t="str">
        <f>IF(AND('Mapa final'!$AB$38="Media",'Mapa final'!$AD$38="Mayor"),CONCATENATE("R5C",'Mapa final'!$R$38),"")</f>
        <v/>
      </c>
      <c r="AG30" s="38" t="str">
        <f>IF(AND('Mapa final'!$AB$39="Media",'Mapa final'!$AD$39="Mayor"),CONCATENATE("R5C",'Mapa final'!$R$39),"")</f>
        <v/>
      </c>
      <c r="AH30" s="39" t="str">
        <f>IF(AND('Mapa final'!$AB$34="Media",'Mapa final'!$AD$34="Catastrófico"),CONCATENATE("R5C",'Mapa final'!$R$34),"")</f>
        <v/>
      </c>
      <c r="AI30" s="40" t="str">
        <f>IF(AND('Mapa final'!$AB$35="Media",'Mapa final'!$AD$35="Catastrófico"),CONCATENATE("R5C",'Mapa final'!$R$35),"")</f>
        <v/>
      </c>
      <c r="AJ30" s="40" t="str">
        <f>IF(AND('Mapa final'!$AB$36="Media",'Mapa final'!$AD$36="Catastrófico"),CONCATENATE("R5C",'Mapa final'!$R$36),"")</f>
        <v/>
      </c>
      <c r="AK30" s="40" t="str">
        <f>IF(AND('Mapa final'!$AB$37="Media",'Mapa final'!$AD$37="Catastrófico"),CONCATENATE("R5C",'Mapa final'!$R$37),"")</f>
        <v/>
      </c>
      <c r="AL30" s="40" t="str">
        <f>IF(AND('Mapa final'!$AB$38="Media",'Mapa final'!$AD$38="Catastrófico"),CONCATENATE("R5C",'Mapa final'!$R$38),"")</f>
        <v/>
      </c>
      <c r="AM30" s="41" t="str">
        <f>IF(AND('Mapa final'!$AB$39="Media",'Mapa final'!$AD$39="Catastrófico"),CONCATENATE("R5C",'Mapa final'!$R$39),"")</f>
        <v/>
      </c>
      <c r="AN30" s="67"/>
      <c r="AO30" s="658"/>
      <c r="AP30" s="659"/>
      <c r="AQ30" s="659"/>
      <c r="AR30" s="659"/>
      <c r="AS30" s="659"/>
      <c r="AT30" s="660"/>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30"/>
      <c r="C31" s="530"/>
      <c r="D31" s="531"/>
      <c r="E31" s="629"/>
      <c r="F31" s="628"/>
      <c r="G31" s="628"/>
      <c r="H31" s="628"/>
      <c r="I31" s="644"/>
      <c r="J31" s="51" t="str">
        <f>IF(AND('Mapa final'!$AB$40="Media",'Mapa final'!$AD$40="Leve"),CONCATENATE("R6C",'Mapa final'!$R$40),"")</f>
        <v/>
      </c>
      <c r="K31" s="52" t="str">
        <f>IF(AND('Mapa final'!$AB$41="Media",'Mapa final'!$AD$41="Leve"),CONCATENATE("R6C",'Mapa final'!$R$41),"")</f>
        <v/>
      </c>
      <c r="L31" s="52" t="str">
        <f>IF(AND('Mapa final'!$AB$42="Media",'Mapa final'!$AD$42="Leve"),CONCATENATE("R6C",'Mapa final'!$R$42),"")</f>
        <v/>
      </c>
      <c r="M31" s="52" t="str">
        <f>IF(AND('Mapa final'!$AB$43="Media",'Mapa final'!$AD$43="Leve"),CONCATENATE("R6C",'Mapa final'!$R$43),"")</f>
        <v/>
      </c>
      <c r="N31" s="52" t="str">
        <f>IF(AND('Mapa final'!$AB$44="Media",'Mapa final'!$AD$44="Leve"),CONCATENATE("R6C",'Mapa final'!$R$44),"")</f>
        <v/>
      </c>
      <c r="O31" s="53" t="str">
        <f>IF(AND('Mapa final'!$AB$45="Media",'Mapa final'!$AD$45="Leve"),CONCATENATE("R6C",'Mapa final'!$R$45),"")</f>
        <v/>
      </c>
      <c r="P31" s="51" t="str">
        <f>IF(AND('Mapa final'!$AB$40="Media",'Mapa final'!$AD$40="Menor"),CONCATENATE("R6C",'Mapa final'!$R$40),"")</f>
        <v/>
      </c>
      <c r="Q31" s="52" t="str">
        <f>IF(AND('Mapa final'!$AB$41="Media",'Mapa final'!$AD$41="Menor"),CONCATENATE("R6C",'Mapa final'!$R$41),"")</f>
        <v/>
      </c>
      <c r="R31" s="52" t="str">
        <f>IF(AND('Mapa final'!$AB$42="Media",'Mapa final'!$AD$42="Menor"),CONCATENATE("R6C",'Mapa final'!$R$42),"")</f>
        <v/>
      </c>
      <c r="S31" s="52" t="str">
        <f>IF(AND('Mapa final'!$AB$43="Media",'Mapa final'!$AD$43="Menor"),CONCATENATE("R6C",'Mapa final'!$R$43),"")</f>
        <v/>
      </c>
      <c r="T31" s="52" t="str">
        <f>IF(AND('Mapa final'!$AB$44="Media",'Mapa final'!$AD$44="Menor"),CONCATENATE("R6C",'Mapa final'!$R$44),"")</f>
        <v/>
      </c>
      <c r="U31" s="53" t="str">
        <f>IF(AND('Mapa final'!$AB$45="Media",'Mapa final'!$AD$45="Menor"),CONCATENATE("R6C",'Mapa final'!$R$45),"")</f>
        <v/>
      </c>
      <c r="V31" s="51" t="str">
        <f>IF(AND('Mapa final'!$AB$40="Media",'Mapa final'!$AD$40="Moderado"),CONCATENATE("R6C",'Mapa final'!$R$40),"")</f>
        <v/>
      </c>
      <c r="W31" s="52" t="str">
        <f>IF(AND('Mapa final'!$AB$41="Media",'Mapa final'!$AD$41="Moderado"),CONCATENATE("R6C",'Mapa final'!$R$41),"")</f>
        <v/>
      </c>
      <c r="X31" s="52" t="str">
        <f>IF(AND('Mapa final'!$AB$42="Media",'Mapa final'!$AD$42="Moderado"),CONCATENATE("R6C",'Mapa final'!$R$42),"")</f>
        <v/>
      </c>
      <c r="Y31" s="52" t="str">
        <f>IF(AND('Mapa final'!$AB$43="Media",'Mapa final'!$AD$43="Moderado"),CONCATENATE("R6C",'Mapa final'!$R$43),"")</f>
        <v/>
      </c>
      <c r="Z31" s="52" t="str">
        <f>IF(AND('Mapa final'!$AB$44="Media",'Mapa final'!$AD$44="Moderado"),CONCATENATE("R6C",'Mapa final'!$R$44),"")</f>
        <v/>
      </c>
      <c r="AA31" s="53" t="str">
        <f>IF(AND('Mapa final'!$AB$45="Media",'Mapa final'!$AD$45="Moderado"),CONCATENATE("R6C",'Mapa final'!$R$45),"")</f>
        <v/>
      </c>
      <c r="AB31" s="36" t="str">
        <f>IF(AND('Mapa final'!$AB$40="Media",'Mapa final'!$AD$40="Mayor"),CONCATENATE("R6C",'Mapa final'!$R$40),"")</f>
        <v/>
      </c>
      <c r="AC31" s="37" t="str">
        <f>IF(AND('Mapa final'!$AB$41="Media",'Mapa final'!$AD$41="Mayor"),CONCATENATE("R6C",'Mapa final'!$R$41),"")</f>
        <v/>
      </c>
      <c r="AD31" s="37" t="str">
        <f>IF(AND('Mapa final'!$AB$42="Media",'Mapa final'!$AD$42="Mayor"),CONCATENATE("R6C",'Mapa final'!$R$42),"")</f>
        <v/>
      </c>
      <c r="AE31" s="37" t="str">
        <f>IF(AND('Mapa final'!$AB$43="Media",'Mapa final'!$AD$43="Mayor"),CONCATENATE("R6C",'Mapa final'!$R$43),"")</f>
        <v/>
      </c>
      <c r="AF31" s="37" t="str">
        <f>IF(AND('Mapa final'!$AB$44="Media",'Mapa final'!$AD$44="Mayor"),CONCATENATE("R6C",'Mapa final'!$R$44),"")</f>
        <v/>
      </c>
      <c r="AG31" s="38" t="str">
        <f>IF(AND('Mapa final'!$AB$45="Media",'Mapa final'!$AD$45="Mayor"),CONCATENATE("R6C",'Mapa final'!$R$45),"")</f>
        <v/>
      </c>
      <c r="AH31" s="39" t="str">
        <f>IF(AND('Mapa final'!$AB$40="Media",'Mapa final'!$AD$40="Catastrófico"),CONCATENATE("R6C",'Mapa final'!$R$40),"")</f>
        <v/>
      </c>
      <c r="AI31" s="40" t="str">
        <f>IF(AND('Mapa final'!$AB$41="Media",'Mapa final'!$AD$41="Catastrófico"),CONCATENATE("R6C",'Mapa final'!$R$41),"")</f>
        <v/>
      </c>
      <c r="AJ31" s="40" t="str">
        <f>IF(AND('Mapa final'!$AB$42="Media",'Mapa final'!$AD$42="Catastrófico"),CONCATENATE("R6C",'Mapa final'!$R$42),"")</f>
        <v/>
      </c>
      <c r="AK31" s="40" t="str">
        <f>IF(AND('Mapa final'!$AB$43="Media",'Mapa final'!$AD$43="Catastrófico"),CONCATENATE("R6C",'Mapa final'!$R$43),"")</f>
        <v/>
      </c>
      <c r="AL31" s="40" t="str">
        <f>IF(AND('Mapa final'!$AB$44="Media",'Mapa final'!$AD$44="Catastrófico"),CONCATENATE("R6C",'Mapa final'!$R$44),"")</f>
        <v/>
      </c>
      <c r="AM31" s="41" t="str">
        <f>IF(AND('Mapa final'!$AB$45="Media",'Mapa final'!$AD$45="Catastrófico"),CONCATENATE("R6C",'Mapa final'!$R$45),"")</f>
        <v/>
      </c>
      <c r="AN31" s="67"/>
      <c r="AO31" s="658"/>
      <c r="AP31" s="659"/>
      <c r="AQ31" s="659"/>
      <c r="AR31" s="659"/>
      <c r="AS31" s="659"/>
      <c r="AT31" s="660"/>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30"/>
      <c r="C32" s="530"/>
      <c r="D32" s="531"/>
      <c r="E32" s="629"/>
      <c r="F32" s="628"/>
      <c r="G32" s="628"/>
      <c r="H32" s="628"/>
      <c r="I32" s="644"/>
      <c r="J32" s="51" t="str">
        <f>IF(AND('Mapa final'!$AB$46="Media",'Mapa final'!$AD$46="Leve"),CONCATENATE("R7C",'Mapa final'!$R$46),"")</f>
        <v/>
      </c>
      <c r="K32" s="52" t="str">
        <f>IF(AND('Mapa final'!$AB$47="Media",'Mapa final'!$AD$47="Leve"),CONCATENATE("R7C",'Mapa final'!$R$47),"")</f>
        <v/>
      </c>
      <c r="L32" s="52" t="str">
        <f>IF(AND('Mapa final'!$AB$48="Media",'Mapa final'!$AD$48="Leve"),CONCATENATE("R7C",'Mapa final'!$R$48),"")</f>
        <v/>
      </c>
      <c r="M32" s="52" t="str">
        <f>IF(AND('Mapa final'!$AB$49="Media",'Mapa final'!$AD$49="Leve"),CONCATENATE("R7C",'Mapa final'!$R$49),"")</f>
        <v/>
      </c>
      <c r="N32" s="52" t="str">
        <f>IF(AND('Mapa final'!$AB$50="Media",'Mapa final'!$AD$50="Leve"),CONCATENATE("R7C",'Mapa final'!$R$50),"")</f>
        <v/>
      </c>
      <c r="O32" s="53" t="str">
        <f>IF(AND('Mapa final'!$AB$51="Media",'Mapa final'!$AD$51="Leve"),CONCATENATE("R7C",'Mapa final'!$R$51),"")</f>
        <v/>
      </c>
      <c r="P32" s="51" t="str">
        <f>IF(AND('Mapa final'!$AB$46="Media",'Mapa final'!$AD$46="Menor"),CONCATENATE("R7C",'Mapa final'!$R$46),"")</f>
        <v/>
      </c>
      <c r="Q32" s="52" t="str">
        <f>IF(AND('Mapa final'!$AB$47="Media",'Mapa final'!$AD$47="Menor"),CONCATENATE("R7C",'Mapa final'!$R$47),"")</f>
        <v/>
      </c>
      <c r="R32" s="52" t="str">
        <f>IF(AND('Mapa final'!$AB$48="Media",'Mapa final'!$AD$48="Menor"),CONCATENATE("R7C",'Mapa final'!$R$48),"")</f>
        <v/>
      </c>
      <c r="S32" s="52" t="str">
        <f>IF(AND('Mapa final'!$AB$49="Media",'Mapa final'!$AD$49="Menor"),CONCATENATE("R7C",'Mapa final'!$R$49),"")</f>
        <v/>
      </c>
      <c r="T32" s="52" t="str">
        <f>IF(AND('Mapa final'!$AB$50="Media",'Mapa final'!$AD$50="Menor"),CONCATENATE("R7C",'Mapa final'!$R$50),"")</f>
        <v/>
      </c>
      <c r="U32" s="53" t="str">
        <f>IF(AND('Mapa final'!$AB$51="Media",'Mapa final'!$AD$51="Menor"),CONCATENATE("R7C",'Mapa final'!$R$51),"")</f>
        <v/>
      </c>
      <c r="V32" s="51" t="str">
        <f>IF(AND('Mapa final'!$AB$46="Media",'Mapa final'!$AD$46="Moderado"),CONCATENATE("R7C",'Mapa final'!$R$46),"")</f>
        <v/>
      </c>
      <c r="W32" s="52" t="str">
        <f>IF(AND('Mapa final'!$AB$47="Media",'Mapa final'!$AD$47="Moderado"),CONCATENATE("R7C",'Mapa final'!$R$47),"")</f>
        <v/>
      </c>
      <c r="X32" s="52" t="str">
        <f>IF(AND('Mapa final'!$AB$48="Media",'Mapa final'!$AD$48="Moderado"),CONCATENATE("R7C",'Mapa final'!$R$48),"")</f>
        <v/>
      </c>
      <c r="Y32" s="52" t="str">
        <f>IF(AND('Mapa final'!$AB$49="Media",'Mapa final'!$AD$49="Moderado"),CONCATENATE("R7C",'Mapa final'!$R$49),"")</f>
        <v/>
      </c>
      <c r="Z32" s="52" t="str">
        <f>IF(AND('Mapa final'!$AB$50="Media",'Mapa final'!$AD$50="Moderado"),CONCATENATE("R7C",'Mapa final'!$R$50),"")</f>
        <v/>
      </c>
      <c r="AA32" s="53" t="str">
        <f>IF(AND('Mapa final'!$AB$51="Media",'Mapa final'!$AD$51="Moderado"),CONCATENATE("R7C",'Mapa final'!$R$51),"")</f>
        <v/>
      </c>
      <c r="AB32" s="36" t="str">
        <f>IF(AND('Mapa final'!$AB$46="Media",'Mapa final'!$AD$46="Mayor"),CONCATENATE("R7C",'Mapa final'!$R$46),"")</f>
        <v/>
      </c>
      <c r="AC32" s="37" t="str">
        <f>IF(AND('Mapa final'!$AB$47="Media",'Mapa final'!$AD$47="Mayor"),CONCATENATE("R7C",'Mapa final'!$R$47),"")</f>
        <v/>
      </c>
      <c r="AD32" s="37" t="str">
        <f>IF(AND('Mapa final'!$AB$48="Media",'Mapa final'!$AD$48="Mayor"),CONCATENATE("R7C",'Mapa final'!$R$48),"")</f>
        <v/>
      </c>
      <c r="AE32" s="37" t="str">
        <f>IF(AND('Mapa final'!$AB$49="Media",'Mapa final'!$AD$49="Mayor"),CONCATENATE("R7C",'Mapa final'!$R$49),"")</f>
        <v/>
      </c>
      <c r="AF32" s="37" t="str">
        <f>IF(AND('Mapa final'!$AB$50="Media",'Mapa final'!$AD$50="Mayor"),CONCATENATE("R7C",'Mapa final'!$R$50),"")</f>
        <v/>
      </c>
      <c r="AG32" s="38" t="str">
        <f>IF(AND('Mapa final'!$AB$51="Media",'Mapa final'!$AD$51="Mayor"),CONCATENATE("R7C",'Mapa final'!$R$51),"")</f>
        <v/>
      </c>
      <c r="AH32" s="39" t="str">
        <f>IF(AND('Mapa final'!$AB$46="Media",'Mapa final'!$AD$46="Catastrófico"),CONCATENATE("R7C",'Mapa final'!$R$46),"")</f>
        <v/>
      </c>
      <c r="AI32" s="40" t="str">
        <f>IF(AND('Mapa final'!$AB$47="Media",'Mapa final'!$AD$47="Catastrófico"),CONCATENATE("R7C",'Mapa final'!$R$47),"")</f>
        <v/>
      </c>
      <c r="AJ32" s="40" t="str">
        <f>IF(AND('Mapa final'!$AB$48="Media",'Mapa final'!$AD$48="Catastrófico"),CONCATENATE("R7C",'Mapa final'!$R$48),"")</f>
        <v/>
      </c>
      <c r="AK32" s="40" t="str">
        <f>IF(AND('Mapa final'!$AB$49="Media",'Mapa final'!$AD$49="Catastrófico"),CONCATENATE("R7C",'Mapa final'!$R$49),"")</f>
        <v/>
      </c>
      <c r="AL32" s="40" t="str">
        <f>IF(AND('Mapa final'!$AB$50="Media",'Mapa final'!$AD$50="Catastrófico"),CONCATENATE("R7C",'Mapa final'!$R$50),"")</f>
        <v/>
      </c>
      <c r="AM32" s="41" t="str">
        <f>IF(AND('Mapa final'!$AB$51="Media",'Mapa final'!$AD$51="Catastrófico"),CONCATENATE("R7C",'Mapa final'!$R$51),"")</f>
        <v/>
      </c>
      <c r="AN32" s="67"/>
      <c r="AO32" s="658"/>
      <c r="AP32" s="659"/>
      <c r="AQ32" s="659"/>
      <c r="AR32" s="659"/>
      <c r="AS32" s="659"/>
      <c r="AT32" s="660"/>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30"/>
      <c r="C33" s="530"/>
      <c r="D33" s="531"/>
      <c r="E33" s="629"/>
      <c r="F33" s="628"/>
      <c r="G33" s="628"/>
      <c r="H33" s="628"/>
      <c r="I33" s="644"/>
      <c r="J33" s="51" t="str">
        <f>IF(AND('Mapa final'!$AB$52="Media",'Mapa final'!$AD$52="Leve"),CONCATENATE("R8C",'Mapa final'!$R$52),"")</f>
        <v/>
      </c>
      <c r="K33" s="52" t="str">
        <f>IF(AND('Mapa final'!$AB$53="Media",'Mapa final'!$AD$53="Leve"),CONCATENATE("R8C",'Mapa final'!$R$53),"")</f>
        <v/>
      </c>
      <c r="L33" s="52" t="str">
        <f>IF(AND('Mapa final'!$AB$54="Media",'Mapa final'!$AD$54="Leve"),CONCATENATE("R8C",'Mapa final'!$R$54),"")</f>
        <v/>
      </c>
      <c r="M33" s="52" t="str">
        <f>IF(AND('Mapa final'!$AB$55="Media",'Mapa final'!$AD$55="Leve"),CONCATENATE("R8C",'Mapa final'!$R$55),"")</f>
        <v/>
      </c>
      <c r="N33" s="52" t="str">
        <f>IF(AND('Mapa final'!$AB$56="Media",'Mapa final'!$AD$56="Leve"),CONCATENATE("R8C",'Mapa final'!$R$56),"")</f>
        <v/>
      </c>
      <c r="O33" s="53" t="str">
        <f>IF(AND('Mapa final'!$AB$57="Media",'Mapa final'!$AD$57="Leve"),CONCATENATE("R8C",'Mapa final'!$R$57),"")</f>
        <v/>
      </c>
      <c r="P33" s="51" t="str">
        <f>IF(AND('Mapa final'!$AB$52="Media",'Mapa final'!$AD$52="Menor"),CONCATENATE("R8C",'Mapa final'!$R$52),"")</f>
        <v/>
      </c>
      <c r="Q33" s="52" t="str">
        <f>IF(AND('Mapa final'!$AB$53="Media",'Mapa final'!$AD$53="Menor"),CONCATENATE("R8C",'Mapa final'!$R$53),"")</f>
        <v/>
      </c>
      <c r="R33" s="52" t="str">
        <f>IF(AND('Mapa final'!$AB$54="Media",'Mapa final'!$AD$54="Menor"),CONCATENATE("R8C",'Mapa final'!$R$54),"")</f>
        <v/>
      </c>
      <c r="S33" s="52" t="str">
        <f>IF(AND('Mapa final'!$AB$55="Media",'Mapa final'!$AD$55="Menor"),CONCATENATE("R8C",'Mapa final'!$R$55),"")</f>
        <v/>
      </c>
      <c r="T33" s="52" t="str">
        <f>IF(AND('Mapa final'!$AB$56="Media",'Mapa final'!$AD$56="Menor"),CONCATENATE("R8C",'Mapa final'!$R$56),"")</f>
        <v/>
      </c>
      <c r="U33" s="53" t="str">
        <f>IF(AND('Mapa final'!$AB$57="Media",'Mapa final'!$AD$57="Menor"),CONCATENATE("R8C",'Mapa final'!$R$57),"")</f>
        <v/>
      </c>
      <c r="V33" s="51" t="str">
        <f>IF(AND('Mapa final'!$AB$52="Media",'Mapa final'!$AD$52="Moderado"),CONCATENATE("R8C",'Mapa final'!$R$52),"")</f>
        <v/>
      </c>
      <c r="W33" s="52" t="str">
        <f>IF(AND('Mapa final'!$AB$53="Media",'Mapa final'!$AD$53="Moderado"),CONCATENATE("R8C",'Mapa final'!$R$53),"")</f>
        <v/>
      </c>
      <c r="X33" s="52" t="str">
        <f>IF(AND('Mapa final'!$AB$54="Media",'Mapa final'!$AD$54="Moderado"),CONCATENATE("R8C",'Mapa final'!$R$54),"")</f>
        <v/>
      </c>
      <c r="Y33" s="52" t="str">
        <f>IF(AND('Mapa final'!$AB$55="Media",'Mapa final'!$AD$55="Moderado"),CONCATENATE("R8C",'Mapa final'!$R$55),"")</f>
        <v/>
      </c>
      <c r="Z33" s="52" t="str">
        <f>IF(AND('Mapa final'!$AB$56="Media",'Mapa final'!$AD$56="Moderado"),CONCATENATE("R8C",'Mapa final'!$R$56),"")</f>
        <v/>
      </c>
      <c r="AA33" s="53" t="str">
        <f>IF(AND('Mapa final'!$AB$57="Media",'Mapa final'!$AD$57="Moderado"),CONCATENATE("R8C",'Mapa final'!$R$57),"")</f>
        <v/>
      </c>
      <c r="AB33" s="36" t="str">
        <f>IF(AND('Mapa final'!$AB$52="Media",'Mapa final'!$AD$52="Mayor"),CONCATENATE("R8C",'Mapa final'!$R$52),"")</f>
        <v/>
      </c>
      <c r="AC33" s="37" t="str">
        <f>IF(AND('Mapa final'!$AB$53="Media",'Mapa final'!$AD$53="Mayor"),CONCATENATE("R8C",'Mapa final'!$R$53),"")</f>
        <v/>
      </c>
      <c r="AD33" s="37" t="str">
        <f>IF(AND('Mapa final'!$AB$54="Media",'Mapa final'!$AD$54="Mayor"),CONCATENATE("R8C",'Mapa final'!$R$54),"")</f>
        <v/>
      </c>
      <c r="AE33" s="37" t="str">
        <f>IF(AND('Mapa final'!$AB$55="Media",'Mapa final'!$AD$55="Mayor"),CONCATENATE("R8C",'Mapa final'!$R$55),"")</f>
        <v/>
      </c>
      <c r="AF33" s="37" t="str">
        <f>IF(AND('Mapa final'!$AB$56="Media",'Mapa final'!$AD$56="Mayor"),CONCATENATE("R8C",'Mapa final'!$R$56),"")</f>
        <v/>
      </c>
      <c r="AG33" s="38" t="str">
        <f>IF(AND('Mapa final'!$AB$57="Media",'Mapa final'!$AD$57="Mayor"),CONCATENATE("R8C",'Mapa final'!$R$57),"")</f>
        <v/>
      </c>
      <c r="AH33" s="39" t="str">
        <f>IF(AND('Mapa final'!$AB$52="Media",'Mapa final'!$AD$52="Catastrófico"),CONCATENATE("R8C",'Mapa final'!$R$52),"")</f>
        <v/>
      </c>
      <c r="AI33" s="40" t="str">
        <f>IF(AND('Mapa final'!$AB$53="Media",'Mapa final'!$AD$53="Catastrófico"),CONCATENATE("R8C",'Mapa final'!$R$53),"")</f>
        <v/>
      </c>
      <c r="AJ33" s="40" t="str">
        <f>IF(AND('Mapa final'!$AB$54="Media",'Mapa final'!$AD$54="Catastrófico"),CONCATENATE("R8C",'Mapa final'!$R$54),"")</f>
        <v/>
      </c>
      <c r="AK33" s="40" t="str">
        <f>IF(AND('Mapa final'!$AB$55="Media",'Mapa final'!$AD$55="Catastrófico"),CONCATENATE("R8C",'Mapa final'!$R$55),"")</f>
        <v/>
      </c>
      <c r="AL33" s="40" t="str">
        <f>IF(AND('Mapa final'!$AB$56="Media",'Mapa final'!$AD$56="Catastrófico"),CONCATENATE("R8C",'Mapa final'!$R$56),"")</f>
        <v/>
      </c>
      <c r="AM33" s="41" t="str">
        <f>IF(AND('Mapa final'!$AB$57="Media",'Mapa final'!$AD$57="Catastrófico"),CONCATENATE("R8C",'Mapa final'!$R$57),"")</f>
        <v/>
      </c>
      <c r="AN33" s="67"/>
      <c r="AO33" s="658"/>
      <c r="AP33" s="659"/>
      <c r="AQ33" s="659"/>
      <c r="AR33" s="659"/>
      <c r="AS33" s="659"/>
      <c r="AT33" s="660"/>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30"/>
      <c r="C34" s="530"/>
      <c r="D34" s="531"/>
      <c r="E34" s="629"/>
      <c r="F34" s="628"/>
      <c r="G34" s="628"/>
      <c r="H34" s="628"/>
      <c r="I34" s="644"/>
      <c r="J34" s="51" t="str">
        <f>IF(AND('Mapa final'!$AB$58="Media",'Mapa final'!$AD$58="Leve"),CONCATENATE("R9C",'Mapa final'!$R$58),"")</f>
        <v/>
      </c>
      <c r="K34" s="52" t="str">
        <f>IF(AND('Mapa final'!$AB$59="Media",'Mapa final'!$AD$59="Leve"),CONCATENATE("R9C",'Mapa final'!$R$59),"")</f>
        <v/>
      </c>
      <c r="L34" s="52" t="str">
        <f>IF(AND('Mapa final'!$AB$60="Media",'Mapa final'!$AD$60="Leve"),CONCATENATE("R9C",'Mapa final'!$R$60),"")</f>
        <v/>
      </c>
      <c r="M34" s="52" t="str">
        <f>IF(AND('Mapa final'!$AB$61="Media",'Mapa final'!$AD$61="Leve"),CONCATENATE("R9C",'Mapa final'!$R$61),"")</f>
        <v/>
      </c>
      <c r="N34" s="52" t="str">
        <f>IF(AND('Mapa final'!$AB$62="Media",'Mapa final'!$AD$62="Leve"),CONCATENATE("R9C",'Mapa final'!$R$62),"")</f>
        <v/>
      </c>
      <c r="O34" s="53" t="str">
        <f>IF(AND('Mapa final'!$AB$63="Media",'Mapa final'!$AD$63="Leve"),CONCATENATE("R9C",'Mapa final'!$R$63),"")</f>
        <v/>
      </c>
      <c r="P34" s="51" t="str">
        <f>IF(AND('Mapa final'!$AB$58="Media",'Mapa final'!$AD$58="Menor"),CONCATENATE("R9C",'Mapa final'!$R$58),"")</f>
        <v/>
      </c>
      <c r="Q34" s="52" t="str">
        <f>IF(AND('Mapa final'!$AB$59="Media",'Mapa final'!$AD$59="Menor"),CONCATENATE("R9C",'Mapa final'!$R$59),"")</f>
        <v/>
      </c>
      <c r="R34" s="52" t="str">
        <f>IF(AND('Mapa final'!$AB$60="Media",'Mapa final'!$AD$60="Menor"),CONCATENATE("R9C",'Mapa final'!$R$60),"")</f>
        <v/>
      </c>
      <c r="S34" s="52" t="str">
        <f>IF(AND('Mapa final'!$AB$61="Media",'Mapa final'!$AD$61="Menor"),CONCATENATE("R9C",'Mapa final'!$R$61),"")</f>
        <v/>
      </c>
      <c r="T34" s="52" t="str">
        <f>IF(AND('Mapa final'!$AB$62="Media",'Mapa final'!$AD$62="Menor"),CONCATENATE("R9C",'Mapa final'!$R$62),"")</f>
        <v/>
      </c>
      <c r="U34" s="53" t="str">
        <f>IF(AND('Mapa final'!$AB$63="Media",'Mapa final'!$AD$63="Menor"),CONCATENATE("R9C",'Mapa final'!$R$63),"")</f>
        <v/>
      </c>
      <c r="V34" s="51" t="str">
        <f>IF(AND('Mapa final'!$AB$58="Media",'Mapa final'!$AD$58="Moderado"),CONCATENATE("R9C",'Mapa final'!$R$58),"")</f>
        <v/>
      </c>
      <c r="W34" s="52" t="str">
        <f>IF(AND('Mapa final'!$AB$59="Media",'Mapa final'!$AD$59="Moderado"),CONCATENATE("R9C",'Mapa final'!$R$59),"")</f>
        <v/>
      </c>
      <c r="X34" s="52" t="str">
        <f>IF(AND('Mapa final'!$AB$60="Media",'Mapa final'!$AD$60="Moderado"),CONCATENATE("R9C",'Mapa final'!$R$60),"")</f>
        <v/>
      </c>
      <c r="Y34" s="52" t="str">
        <f>IF(AND('Mapa final'!$AB$61="Media",'Mapa final'!$AD$61="Moderado"),CONCATENATE("R9C",'Mapa final'!$R$61),"")</f>
        <v/>
      </c>
      <c r="Z34" s="52" t="str">
        <f>IF(AND('Mapa final'!$AB$62="Media",'Mapa final'!$AD$62="Moderado"),CONCATENATE("R9C",'Mapa final'!$R$62),"")</f>
        <v/>
      </c>
      <c r="AA34" s="53" t="str">
        <f>IF(AND('Mapa final'!$AB$63="Media",'Mapa final'!$AD$63="Moderado"),CONCATENATE("R9C",'Mapa final'!$R$63),"")</f>
        <v/>
      </c>
      <c r="AB34" s="36" t="str">
        <f>IF(AND('Mapa final'!$AB$58="Media",'Mapa final'!$AD$58="Mayor"),CONCATENATE("R9C",'Mapa final'!$R$58),"")</f>
        <v/>
      </c>
      <c r="AC34" s="37" t="str">
        <f>IF(AND('Mapa final'!$AB$59="Media",'Mapa final'!$AD$59="Mayor"),CONCATENATE("R9C",'Mapa final'!$R$59),"")</f>
        <v/>
      </c>
      <c r="AD34" s="37" t="str">
        <f>IF(AND('Mapa final'!$AB$60="Media",'Mapa final'!$AD$60="Mayor"),CONCATENATE("R9C",'Mapa final'!$R$60),"")</f>
        <v/>
      </c>
      <c r="AE34" s="37" t="str">
        <f>IF(AND('Mapa final'!$AB$61="Media",'Mapa final'!$AD$61="Mayor"),CONCATENATE("R9C",'Mapa final'!$R$61),"")</f>
        <v/>
      </c>
      <c r="AF34" s="37" t="str">
        <f>IF(AND('Mapa final'!$AB$62="Media",'Mapa final'!$AD$62="Mayor"),CONCATENATE("R9C",'Mapa final'!$R$62),"")</f>
        <v/>
      </c>
      <c r="AG34" s="38" t="str">
        <f>IF(AND('Mapa final'!$AB$63="Media",'Mapa final'!$AD$63="Mayor"),CONCATENATE("R9C",'Mapa final'!$R$63),"")</f>
        <v/>
      </c>
      <c r="AH34" s="39" t="str">
        <f>IF(AND('Mapa final'!$AB$58="Media",'Mapa final'!$AD$58="Catastrófico"),CONCATENATE("R9C",'Mapa final'!$R$58),"")</f>
        <v/>
      </c>
      <c r="AI34" s="40" t="str">
        <f>IF(AND('Mapa final'!$AB$59="Media",'Mapa final'!$AD$59="Catastrófico"),CONCATENATE("R9C",'Mapa final'!$R$59),"")</f>
        <v/>
      </c>
      <c r="AJ34" s="40" t="str">
        <f>IF(AND('Mapa final'!$AB$60="Media",'Mapa final'!$AD$60="Catastrófico"),CONCATENATE("R9C",'Mapa final'!$R$60),"")</f>
        <v/>
      </c>
      <c r="AK34" s="40" t="str">
        <f>IF(AND('Mapa final'!$AB$61="Media",'Mapa final'!$AD$61="Catastrófico"),CONCATENATE("R9C",'Mapa final'!$R$61),"")</f>
        <v/>
      </c>
      <c r="AL34" s="40" t="str">
        <f>IF(AND('Mapa final'!$AB$62="Media",'Mapa final'!$AD$62="Catastrófico"),CONCATENATE("R9C",'Mapa final'!$R$62),"")</f>
        <v/>
      </c>
      <c r="AM34" s="41" t="str">
        <f>IF(AND('Mapa final'!$AB$63="Media",'Mapa final'!$AD$63="Catastrófico"),CONCATENATE("R9C",'Mapa final'!$R$63),"")</f>
        <v/>
      </c>
      <c r="AN34" s="67"/>
      <c r="AO34" s="658"/>
      <c r="AP34" s="659"/>
      <c r="AQ34" s="659"/>
      <c r="AR34" s="659"/>
      <c r="AS34" s="659"/>
      <c r="AT34" s="660"/>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30"/>
      <c r="C35" s="530"/>
      <c r="D35" s="531"/>
      <c r="E35" s="630"/>
      <c r="F35" s="631"/>
      <c r="G35" s="631"/>
      <c r="H35" s="631"/>
      <c r="I35" s="645"/>
      <c r="J35" s="51" t="str">
        <f>IF(AND('Mapa final'!$AB$64="Media",'Mapa final'!$AD$64="Leve"),CONCATENATE("R10C",'Mapa final'!$R$64),"")</f>
        <v/>
      </c>
      <c r="K35" s="52" t="str">
        <f>IF(AND('Mapa final'!$AB$65="Media",'Mapa final'!$AD$65="Leve"),CONCATENATE("R10C",'Mapa final'!$R$65),"")</f>
        <v/>
      </c>
      <c r="L35" s="52" t="str">
        <f>IF(AND('Mapa final'!$AB$66="Media",'Mapa final'!$AD$66="Leve"),CONCATENATE("R10C",'Mapa final'!$R$66),"")</f>
        <v/>
      </c>
      <c r="M35" s="52" t="str">
        <f>IF(AND('Mapa final'!$AB$67="Media",'Mapa final'!$AD$67="Leve"),CONCATENATE("R10C",'Mapa final'!$R$67),"")</f>
        <v/>
      </c>
      <c r="N35" s="52" t="str">
        <f>IF(AND('Mapa final'!$AB$68="Media",'Mapa final'!$AD$68="Leve"),CONCATENATE("R10C",'Mapa final'!$R$68),"")</f>
        <v/>
      </c>
      <c r="O35" s="53" t="str">
        <f>IF(AND('Mapa final'!$AB$69="Media",'Mapa final'!$AD$69="Leve"),CONCATENATE("R10C",'Mapa final'!$R$69),"")</f>
        <v/>
      </c>
      <c r="P35" s="51" t="str">
        <f>IF(AND('Mapa final'!$AB$64="Media",'Mapa final'!$AD$64="Menor"),CONCATENATE("R10C",'Mapa final'!$R$64),"")</f>
        <v/>
      </c>
      <c r="Q35" s="52" t="str">
        <f>IF(AND('Mapa final'!$AB$65="Media",'Mapa final'!$AD$65="Menor"),CONCATENATE("R10C",'Mapa final'!$R$65),"")</f>
        <v/>
      </c>
      <c r="R35" s="52" t="str">
        <f>IF(AND('Mapa final'!$AB$66="Media",'Mapa final'!$AD$66="Menor"),CONCATENATE("R10C",'Mapa final'!$R$66),"")</f>
        <v/>
      </c>
      <c r="S35" s="52" t="str">
        <f>IF(AND('Mapa final'!$AB$67="Media",'Mapa final'!$AD$67="Menor"),CONCATENATE("R10C",'Mapa final'!$R$67),"")</f>
        <v/>
      </c>
      <c r="T35" s="52" t="str">
        <f>IF(AND('Mapa final'!$AB$68="Media",'Mapa final'!$AD$68="Menor"),CONCATENATE("R10C",'Mapa final'!$R$68),"")</f>
        <v/>
      </c>
      <c r="U35" s="53" t="str">
        <f>IF(AND('Mapa final'!$AB$69="Media",'Mapa final'!$AD$69="Menor"),CONCATENATE("R10C",'Mapa final'!$R$69),"")</f>
        <v/>
      </c>
      <c r="V35" s="51" t="str">
        <f>IF(AND('Mapa final'!$AB$64="Media",'Mapa final'!$AD$64="Moderado"),CONCATENATE("R10C",'Mapa final'!$R$64),"")</f>
        <v/>
      </c>
      <c r="W35" s="52" t="str">
        <f>IF(AND('Mapa final'!$AB$65="Media",'Mapa final'!$AD$65="Moderado"),CONCATENATE("R10C",'Mapa final'!$R$65),"")</f>
        <v/>
      </c>
      <c r="X35" s="52" t="str">
        <f>IF(AND('Mapa final'!$AB$66="Media",'Mapa final'!$AD$66="Moderado"),CONCATENATE("R10C",'Mapa final'!$R$66),"")</f>
        <v/>
      </c>
      <c r="Y35" s="52" t="str">
        <f>IF(AND('Mapa final'!$AB$67="Media",'Mapa final'!$AD$67="Moderado"),CONCATENATE("R10C",'Mapa final'!$R$67),"")</f>
        <v/>
      </c>
      <c r="Z35" s="52" t="str">
        <f>IF(AND('Mapa final'!$AB$68="Media",'Mapa final'!$AD$68="Moderado"),CONCATENATE("R10C",'Mapa final'!$R$68),"")</f>
        <v/>
      </c>
      <c r="AA35" s="53" t="str">
        <f>IF(AND('Mapa final'!$AB$69="Media",'Mapa final'!$AD$69="Moderado"),CONCATENATE("R10C",'Mapa final'!$R$69),"")</f>
        <v/>
      </c>
      <c r="AB35" s="42" t="str">
        <f>IF(AND('Mapa final'!$AB$64="Media",'Mapa final'!$AD$64="Mayor"),CONCATENATE("R10C",'Mapa final'!$R$64),"")</f>
        <v/>
      </c>
      <c r="AC35" s="43" t="str">
        <f>IF(AND('Mapa final'!$AB$65="Media",'Mapa final'!$AD$65="Mayor"),CONCATENATE("R10C",'Mapa final'!$R$65),"")</f>
        <v/>
      </c>
      <c r="AD35" s="43" t="str">
        <f>IF(AND('Mapa final'!$AB$66="Media",'Mapa final'!$AD$66="Mayor"),CONCATENATE("R10C",'Mapa final'!$R$66),"")</f>
        <v/>
      </c>
      <c r="AE35" s="43" t="str">
        <f>IF(AND('Mapa final'!$AB$67="Media",'Mapa final'!$AD$67="Mayor"),CONCATENATE("R10C",'Mapa final'!$R$67),"")</f>
        <v/>
      </c>
      <c r="AF35" s="43" t="str">
        <f>IF(AND('Mapa final'!$AB$68="Media",'Mapa final'!$AD$68="Mayor"),CONCATENATE("R10C",'Mapa final'!$R$68),"")</f>
        <v/>
      </c>
      <c r="AG35" s="44" t="str">
        <f>IF(AND('Mapa final'!$AB$69="Media",'Mapa final'!$AD$69="Mayor"),CONCATENATE("R10C",'Mapa final'!$R$69),"")</f>
        <v/>
      </c>
      <c r="AH35" s="45" t="str">
        <f>IF(AND('Mapa final'!$AB$64="Media",'Mapa final'!$AD$64="Catastrófico"),CONCATENATE("R10C",'Mapa final'!$R$64),"")</f>
        <v/>
      </c>
      <c r="AI35" s="46" t="str">
        <f>IF(AND('Mapa final'!$AB$65="Media",'Mapa final'!$AD$65="Catastrófico"),CONCATENATE("R10C",'Mapa final'!$R$65),"")</f>
        <v/>
      </c>
      <c r="AJ35" s="46" t="str">
        <f>IF(AND('Mapa final'!$AB$66="Media",'Mapa final'!$AD$66="Catastrófico"),CONCATENATE("R10C",'Mapa final'!$R$66),"")</f>
        <v/>
      </c>
      <c r="AK35" s="46" t="str">
        <f>IF(AND('Mapa final'!$AB$67="Media",'Mapa final'!$AD$67="Catastrófico"),CONCATENATE("R10C",'Mapa final'!$R$67),"")</f>
        <v/>
      </c>
      <c r="AL35" s="46" t="str">
        <f>IF(AND('Mapa final'!$AB$68="Media",'Mapa final'!$AD$68="Catastrófico"),CONCATENATE("R10C",'Mapa final'!$R$68),"")</f>
        <v/>
      </c>
      <c r="AM35" s="47" t="str">
        <f>IF(AND('Mapa final'!$AB$69="Media",'Mapa final'!$AD$69="Catastrófico"),CONCATENATE("R10C",'Mapa final'!$R$69),"")</f>
        <v/>
      </c>
      <c r="AN35" s="67"/>
      <c r="AO35" s="661"/>
      <c r="AP35" s="662"/>
      <c r="AQ35" s="662"/>
      <c r="AR35" s="662"/>
      <c r="AS35" s="662"/>
      <c r="AT35" s="663"/>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30"/>
      <c r="C36" s="530"/>
      <c r="D36" s="531"/>
      <c r="E36" s="625" t="s">
        <v>108</v>
      </c>
      <c r="F36" s="626"/>
      <c r="G36" s="626"/>
      <c r="H36" s="626"/>
      <c r="I36" s="626"/>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str">
        <f>IF(AND('Mapa final'!$AB$14="Baja",'Mapa final'!$AD$14="Leve"),CONCATENATE("R1C",'Mapa final'!$R$14),"")</f>
        <v/>
      </c>
      <c r="O36" s="59" t="str">
        <f>IF(AND('Mapa final'!$AB$15="Baja",'Mapa final'!$AD$15="Leve"),CONCATENATE("R1C",'Mapa final'!$R$15),"")</f>
        <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str">
        <f>IF(AND('Mapa final'!$AB$14="Baja",'Mapa final'!$AD$14="Menor"),CONCATENATE("R1C",'Mapa final'!$R$14),"")</f>
        <v/>
      </c>
      <c r="U36" s="50" t="str">
        <f>IF(AND('Mapa final'!$AB$15="Baja",'Mapa final'!$AD$15="Menor"),CONCATENATE("R1C",'Mapa final'!$R$15),"")</f>
        <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R1C3</v>
      </c>
      <c r="Y36" s="49" t="str">
        <f>IF(AND('Mapa final'!$AB$13="Baja",'Mapa final'!$AD$13="Moderado"),CONCATENATE("R1C",'Mapa final'!$R$13),"")</f>
        <v/>
      </c>
      <c r="Z36" s="49" t="str">
        <f>IF(AND('Mapa final'!$AB$14="Baja",'Mapa final'!$AD$14="Moderado"),CONCATENATE("R1C",'Mapa final'!$R$14),"")</f>
        <v/>
      </c>
      <c r="AA36" s="50" t="str">
        <f>IF(AND('Mapa final'!$AB$15="Baja",'Mapa final'!$AD$15="Moderado"),CONCATENATE("R1C",'Mapa final'!$R$15),"")</f>
        <v/>
      </c>
      <c r="AB36" s="30" t="str">
        <f>IF(AND('Mapa final'!$AB$10="Baja",'Mapa final'!$AD$10="Mayor"),CONCATENATE("R1C",'Mapa final'!$R$10),"")</f>
        <v/>
      </c>
      <c r="AC36" s="31" t="str">
        <f>IF(AND('Mapa final'!$AB$11="Baja",'Mapa final'!$AD$11="Mayor"),CONCATENATE("R1C",'Mapa final'!$R$11),"")</f>
        <v>R1C2</v>
      </c>
      <c r="AD36" s="31" t="str">
        <f>IF(AND('Mapa final'!$AB$12="Baja",'Mapa final'!$AD$12="Mayor"),CONCATENATE("R1C",'Mapa final'!$R$12),"")</f>
        <v/>
      </c>
      <c r="AE36" s="31" t="str">
        <f>IF(AND('Mapa final'!$AB$13="Baja",'Mapa final'!$AD$13="Mayor"),CONCATENATE("R1C",'Mapa final'!$R$13),"")</f>
        <v/>
      </c>
      <c r="AF36" s="31" t="str">
        <f>IF(AND('Mapa final'!$AB$14="Baja",'Mapa final'!$AD$14="Mayor"),CONCATENATE("R1C",'Mapa final'!$R$14),"")</f>
        <v/>
      </c>
      <c r="AG36" s="32" t="str">
        <f>IF(AND('Mapa final'!$AB$15="Baja",'Mapa final'!$AD$15="Mayor"),CONCATENATE("R1C",'Mapa final'!$R$15),"")</f>
        <v/>
      </c>
      <c r="AH36" s="33" t="str">
        <f>IF(AND('Mapa final'!$AB$10="Baja",'Mapa final'!$AD$10="Catastrófico"),CONCATENATE("R1C",'Mapa final'!$R$10),"")</f>
        <v>R1C1</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str">
        <f>IF(AND('Mapa final'!$AB$14="Baja",'Mapa final'!$AD$14="Catastrófico"),CONCATENATE("R1C",'Mapa final'!$R$14),"")</f>
        <v/>
      </c>
      <c r="AM36" s="35" t="str">
        <f>IF(AND('Mapa final'!$AB$15="Baja",'Mapa final'!$AD$15="Catastrófico"),CONCATENATE("R1C",'Mapa final'!$R$15),"")</f>
        <v/>
      </c>
      <c r="AN36" s="67"/>
      <c r="AO36" s="646" t="s">
        <v>80</v>
      </c>
      <c r="AP36" s="647"/>
      <c r="AQ36" s="647"/>
      <c r="AR36" s="647"/>
      <c r="AS36" s="647"/>
      <c r="AT36" s="648"/>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30"/>
      <c r="C37" s="530"/>
      <c r="D37" s="531"/>
      <c r="E37" s="627"/>
      <c r="F37" s="628"/>
      <c r="G37" s="628"/>
      <c r="H37" s="628"/>
      <c r="I37" s="628"/>
      <c r="J37" s="60" t="str">
        <f>IF(AND('Mapa final'!$AB$16="Baja",'Mapa final'!$AD$16="Leve"),CONCATENATE("R2C",'Mapa final'!$R$16),"")</f>
        <v/>
      </c>
      <c r="K37" s="61" t="str">
        <f>IF(AND('Mapa final'!$AB$17="Baja",'Mapa final'!$AD$17="Leve"),CONCATENATE("R2C",'Mapa final'!$R$17),"")</f>
        <v/>
      </c>
      <c r="L37" s="61" t="str">
        <f>IF(AND('Mapa final'!$AB$18="Baja",'Mapa final'!$AD$18="Leve"),CONCATENATE("R2C",'Mapa final'!$R$18),"")</f>
        <v/>
      </c>
      <c r="M37" s="61" t="str">
        <f>IF(AND('Mapa final'!$AB$19="Baja",'Mapa final'!$AD$19="Leve"),CONCATENATE("R2C",'Mapa final'!$R$19),"")</f>
        <v/>
      </c>
      <c r="N37" s="61" t="str">
        <f>IF(AND('Mapa final'!$AB$20="Baja",'Mapa final'!$AD$20="Leve"),CONCATENATE("R2C",'Mapa final'!$R$20),"")</f>
        <v/>
      </c>
      <c r="O37" s="62" t="str">
        <f>IF(AND('Mapa final'!$AB$21="Baja",'Mapa final'!$AD$21="Leve"),CONCATENATE("R2C",'Mapa final'!$R$21),"")</f>
        <v/>
      </c>
      <c r="P37" s="51" t="str">
        <f>IF(AND('Mapa final'!$AB$16="Baja",'Mapa final'!$AD$16="Menor"),CONCATENATE("R2C",'Mapa final'!$R$16),"")</f>
        <v/>
      </c>
      <c r="Q37" s="52" t="str">
        <f>IF(AND('Mapa final'!$AB$17="Baja",'Mapa final'!$AD$17="Menor"),CONCATENATE("R2C",'Mapa final'!$R$17),"")</f>
        <v/>
      </c>
      <c r="R37" s="52" t="str">
        <f>IF(AND('Mapa final'!$AB$18="Baja",'Mapa final'!$AD$18="Menor"),CONCATENATE("R2C",'Mapa final'!$R$18),"")</f>
        <v/>
      </c>
      <c r="S37" s="52" t="str">
        <f>IF(AND('Mapa final'!$AB$19="Baja",'Mapa final'!$AD$19="Menor"),CONCATENATE("R2C",'Mapa final'!$R$19),"")</f>
        <v/>
      </c>
      <c r="T37" s="52" t="str">
        <f>IF(AND('Mapa final'!$AB$20="Baja",'Mapa final'!$AD$20="Menor"),CONCATENATE("R2C",'Mapa final'!$R$20),"")</f>
        <v/>
      </c>
      <c r="U37" s="53" t="str">
        <f>IF(AND('Mapa final'!$AB$21="Baja",'Mapa final'!$AD$21="Menor"),CONCATENATE("R2C",'Mapa final'!$R$21),"")</f>
        <v/>
      </c>
      <c r="V37" s="51" t="str">
        <f>IF(AND('Mapa final'!$AB$16="Baja",'Mapa final'!$AD$16="Moderado"),CONCATENATE("R2C",'Mapa final'!$R$16),"")</f>
        <v/>
      </c>
      <c r="W37" s="52" t="str">
        <f>IF(AND('Mapa final'!$AB$17="Baja",'Mapa final'!$AD$17="Moderado"),CONCATENATE("R2C",'Mapa final'!$R$17),"")</f>
        <v/>
      </c>
      <c r="X37" s="52" t="str">
        <f>IF(AND('Mapa final'!$AB$18="Baja",'Mapa final'!$AD$18="Moderado"),CONCATENATE("R2C",'Mapa final'!$R$18),"")</f>
        <v/>
      </c>
      <c r="Y37" s="52" t="str">
        <f>IF(AND('Mapa final'!$AB$19="Baja",'Mapa final'!$AD$19="Moderado"),CONCATENATE("R2C",'Mapa final'!$R$19),"")</f>
        <v/>
      </c>
      <c r="Z37" s="52" t="str">
        <f>IF(AND('Mapa final'!$AB$20="Baja",'Mapa final'!$AD$20="Moderado"),CONCATENATE("R2C",'Mapa final'!$R$20),"")</f>
        <v/>
      </c>
      <c r="AA37" s="53" t="str">
        <f>IF(AND('Mapa final'!$AB$21="Baja",'Mapa final'!$AD$21="Moderado"),CONCATENATE("R2C",'Mapa final'!$R$21),"")</f>
        <v/>
      </c>
      <c r="AB37" s="36" t="str">
        <f>IF(AND('Mapa final'!$AB$16="Baja",'Mapa final'!$AD$16="Mayor"),CONCATENATE("R2C",'Mapa final'!$R$16),"")</f>
        <v/>
      </c>
      <c r="AC37" s="37" t="str">
        <f>IF(AND('Mapa final'!$AB$17="Baja",'Mapa final'!$AD$17="Mayor"),CONCATENATE("R2C",'Mapa final'!$R$17),"")</f>
        <v/>
      </c>
      <c r="AD37" s="37" t="str">
        <f>IF(AND('Mapa final'!$AB$18="Baja",'Mapa final'!$AD$18="Mayor"),CONCATENATE("R2C",'Mapa final'!$R$18),"")</f>
        <v/>
      </c>
      <c r="AE37" s="37" t="str">
        <f>IF(AND('Mapa final'!$AB$19="Baja",'Mapa final'!$AD$19="Mayor"),CONCATENATE("R2C",'Mapa final'!$R$19),"")</f>
        <v/>
      </c>
      <c r="AF37" s="37" t="str">
        <f>IF(AND('Mapa final'!$AB$20="Baja",'Mapa final'!$AD$20="Mayor"),CONCATENATE("R2C",'Mapa final'!$R$20),"")</f>
        <v/>
      </c>
      <c r="AG37" s="38" t="str">
        <f>IF(AND('Mapa final'!$AB$21="Baja",'Mapa final'!$AD$21="Mayor"),CONCATENATE("R2C",'Mapa final'!$R$21),"")</f>
        <v/>
      </c>
      <c r="AH37" s="39" t="str">
        <f>IF(AND('Mapa final'!$AB$16="Baja",'Mapa final'!$AD$16="Catastrófico"),CONCATENATE("R2C",'Mapa final'!$R$16),"")</f>
        <v>R2C1</v>
      </c>
      <c r="AI37" s="40" t="str">
        <f>IF(AND('Mapa final'!$AB$17="Baja",'Mapa final'!$AD$17="Catastrófico"),CONCATENATE("R2C",'Mapa final'!$R$17),"")</f>
        <v>R2C2</v>
      </c>
      <c r="AJ37" s="40" t="str">
        <f>IF(AND('Mapa final'!$AB$18="Baja",'Mapa final'!$AD$18="Catastrófico"),CONCATENATE("R2C",'Mapa final'!$R$18),"")</f>
        <v/>
      </c>
      <c r="AK37" s="40" t="str">
        <f>IF(AND('Mapa final'!$AB$19="Baja",'Mapa final'!$AD$19="Catastrófico"),CONCATENATE("R2C",'Mapa final'!$R$19),"")</f>
        <v/>
      </c>
      <c r="AL37" s="40" t="str">
        <f>IF(AND('Mapa final'!$AB$20="Baja",'Mapa final'!$AD$20="Catastrófico"),CONCATENATE("R2C",'Mapa final'!$R$20),"")</f>
        <v/>
      </c>
      <c r="AM37" s="41" t="str">
        <f>IF(AND('Mapa final'!$AB$21="Baja",'Mapa final'!$AD$21="Catastrófico"),CONCATENATE("R2C",'Mapa final'!$R$21),"")</f>
        <v/>
      </c>
      <c r="AN37" s="67"/>
      <c r="AO37" s="649"/>
      <c r="AP37" s="650"/>
      <c r="AQ37" s="650"/>
      <c r="AR37" s="650"/>
      <c r="AS37" s="650"/>
      <c r="AT37" s="651"/>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30"/>
      <c r="C38" s="530"/>
      <c r="D38" s="531"/>
      <c r="E38" s="629"/>
      <c r="F38" s="628"/>
      <c r="G38" s="628"/>
      <c r="H38" s="628"/>
      <c r="I38" s="628"/>
      <c r="J38" s="60" t="str">
        <f>IF(AND('Mapa final'!$AB$22="Baja",'Mapa final'!$AD$22="Leve"),CONCATENATE("R3C",'Mapa final'!$R$22),"")</f>
        <v/>
      </c>
      <c r="K38" s="61" t="str">
        <f>IF(AND('Mapa final'!$AB$23="Baja",'Mapa final'!$AD$23="Leve"),CONCATENATE("R3C",'Mapa final'!$R$23),"")</f>
        <v/>
      </c>
      <c r="L38" s="61" t="str">
        <f>IF(AND('Mapa final'!$AB$24="Baja",'Mapa final'!$AD$24="Leve"),CONCATENATE("R3C",'Mapa final'!$R$24),"")</f>
        <v/>
      </c>
      <c r="M38" s="61" t="str">
        <f>IF(AND('Mapa final'!$AB$25="Baja",'Mapa final'!$AD$25="Leve"),CONCATENATE("R3C",'Mapa final'!$R$25),"")</f>
        <v/>
      </c>
      <c r="N38" s="61" t="str">
        <f>IF(AND('Mapa final'!$AB$26="Baja",'Mapa final'!$AD$26="Leve"),CONCATENATE("R3C",'Mapa final'!$R$26),"")</f>
        <v/>
      </c>
      <c r="O38" s="62" t="str">
        <f>IF(AND('Mapa final'!$AB$27="Baja",'Mapa final'!$AD$27="Leve"),CONCATENATE("R3C",'Mapa final'!$R$27),"")</f>
        <v/>
      </c>
      <c r="P38" s="51" t="str">
        <f>IF(AND('Mapa final'!$AB$22="Baja",'Mapa final'!$AD$22="Menor"),CONCATENATE("R3C",'Mapa final'!$R$22),"")</f>
        <v/>
      </c>
      <c r="Q38" s="52" t="str">
        <f>IF(AND('Mapa final'!$AB$23="Baja",'Mapa final'!$AD$23="Menor"),CONCATENATE("R3C",'Mapa final'!$R$23),"")</f>
        <v/>
      </c>
      <c r="R38" s="52" t="str">
        <f>IF(AND('Mapa final'!$AB$24="Baja",'Mapa final'!$AD$24="Menor"),CONCATENATE("R3C",'Mapa final'!$R$24),"")</f>
        <v/>
      </c>
      <c r="S38" s="52" t="str">
        <f>IF(AND('Mapa final'!$AB$25="Baja",'Mapa final'!$AD$25="Menor"),CONCATENATE("R3C",'Mapa final'!$R$25),"")</f>
        <v/>
      </c>
      <c r="T38" s="52" t="str">
        <f>IF(AND('Mapa final'!$AB$26="Baja",'Mapa final'!$AD$26="Menor"),CONCATENATE("R3C",'Mapa final'!$R$26),"")</f>
        <v/>
      </c>
      <c r="U38" s="53" t="str">
        <f>IF(AND('Mapa final'!$AB$27="Baja",'Mapa final'!$AD$27="Menor"),CONCATENATE("R3C",'Mapa final'!$R$27),"")</f>
        <v/>
      </c>
      <c r="V38" s="51" t="str">
        <f>IF(AND('Mapa final'!$AB$22="Baja",'Mapa final'!$AD$22="Moderado"),CONCATENATE("R3C",'Mapa final'!$R$22),"")</f>
        <v/>
      </c>
      <c r="W38" s="52" t="str">
        <f>IF(AND('Mapa final'!$AB$23="Baja",'Mapa final'!$AD$23="Moderado"),CONCATENATE("R3C",'Mapa final'!$R$23),"")</f>
        <v/>
      </c>
      <c r="X38" s="52" t="str">
        <f>IF(AND('Mapa final'!$AB$24="Baja",'Mapa final'!$AD$24="Moderado"),CONCATENATE("R3C",'Mapa final'!$R$24),"")</f>
        <v/>
      </c>
      <c r="Y38" s="52" t="str">
        <f>IF(AND('Mapa final'!$AB$25="Baja",'Mapa final'!$AD$25="Moderado"),CONCATENATE("R3C",'Mapa final'!$R$25),"")</f>
        <v/>
      </c>
      <c r="Z38" s="52" t="str">
        <f>IF(AND('Mapa final'!$AB$26="Baja",'Mapa final'!$AD$26="Moderado"),CONCATENATE("R3C",'Mapa final'!$R$26),"")</f>
        <v/>
      </c>
      <c r="AA38" s="53" t="str">
        <f>IF(AND('Mapa final'!$AB$27="Baja",'Mapa final'!$AD$27="Moderado"),CONCATENATE("R3C",'Mapa final'!$R$27),"")</f>
        <v/>
      </c>
      <c r="AB38" s="36" t="str">
        <f>IF(AND('Mapa final'!$AB$22="Baja",'Mapa final'!$AD$22="Mayor"),CONCATENATE("R3C",'Mapa final'!$R$22),"")</f>
        <v/>
      </c>
      <c r="AC38" s="37" t="str">
        <f>IF(AND('Mapa final'!$AB$23="Baja",'Mapa final'!$AD$23="Mayor"),CONCATENATE("R3C",'Mapa final'!$R$23),"")</f>
        <v/>
      </c>
      <c r="AD38" s="37" t="str">
        <f>IF(AND('Mapa final'!$AB$24="Baja",'Mapa final'!$AD$24="Mayor"),CONCATENATE("R3C",'Mapa final'!$R$24),"")</f>
        <v/>
      </c>
      <c r="AE38" s="37" t="str">
        <f>IF(AND('Mapa final'!$AB$25="Baja",'Mapa final'!$AD$25="Mayor"),CONCATENATE("R3C",'Mapa final'!$R$25),"")</f>
        <v/>
      </c>
      <c r="AF38" s="37" t="str">
        <f>IF(AND('Mapa final'!$AB$26="Baja",'Mapa final'!$AD$26="Mayor"),CONCATENATE("R3C",'Mapa final'!$R$26),"")</f>
        <v/>
      </c>
      <c r="AG38" s="38" t="str">
        <f>IF(AND('Mapa final'!$AB$27="Baja",'Mapa final'!$AD$27="Mayor"),CONCATENATE("R3C",'Mapa final'!$R$27),"")</f>
        <v/>
      </c>
      <c r="AH38" s="39" t="str">
        <f>IF(AND('Mapa final'!$AB$22="Baja",'Mapa final'!$AD$22="Catastrófico"),CONCATENATE("R3C",'Mapa final'!$R$22),"")</f>
        <v/>
      </c>
      <c r="AI38" s="40" t="str">
        <f>IF(AND('Mapa final'!$AB$23="Baja",'Mapa final'!$AD$23="Catastrófico"),CONCATENATE("R3C",'Mapa final'!$R$23),"")</f>
        <v/>
      </c>
      <c r="AJ38" s="40" t="str">
        <f>IF(AND('Mapa final'!$AB$24="Baja",'Mapa final'!$AD$24="Catastrófico"),CONCATENATE("R3C",'Mapa final'!$R$24),"")</f>
        <v/>
      </c>
      <c r="AK38" s="40" t="str">
        <f>IF(AND('Mapa final'!$AB$25="Baja",'Mapa final'!$AD$25="Catastrófico"),CONCATENATE("R3C",'Mapa final'!$R$25),"")</f>
        <v/>
      </c>
      <c r="AL38" s="40" t="str">
        <f>IF(AND('Mapa final'!$AB$26="Baja",'Mapa final'!$AD$26="Catastrófico"),CONCATENATE("R3C",'Mapa final'!$R$26),"")</f>
        <v/>
      </c>
      <c r="AM38" s="41" t="str">
        <f>IF(AND('Mapa final'!$AB$27="Baja",'Mapa final'!$AD$27="Catastrófico"),CONCATENATE("R3C",'Mapa final'!$R$27),"")</f>
        <v/>
      </c>
      <c r="AN38" s="67"/>
      <c r="AO38" s="649"/>
      <c r="AP38" s="650"/>
      <c r="AQ38" s="650"/>
      <c r="AR38" s="650"/>
      <c r="AS38" s="650"/>
      <c r="AT38" s="651"/>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30"/>
      <c r="C39" s="530"/>
      <c r="D39" s="531"/>
      <c r="E39" s="629"/>
      <c r="F39" s="628"/>
      <c r="G39" s="628"/>
      <c r="H39" s="628"/>
      <c r="I39" s="628"/>
      <c r="J39" s="60" t="str">
        <f>IF(AND('Mapa final'!$AB$28="Baja",'Mapa final'!$AD$28="Leve"),CONCATENATE("R4C",'Mapa final'!$R$28),"")</f>
        <v/>
      </c>
      <c r="K39" s="61" t="str">
        <f>IF(AND('Mapa final'!$AB$29="Baja",'Mapa final'!$AD$29="Leve"),CONCATENATE("R4C",'Mapa final'!$R$29),"")</f>
        <v/>
      </c>
      <c r="L39" s="61" t="str">
        <f>IF(AND('Mapa final'!$AB$30="Baja",'Mapa final'!$AD$30="Leve"),CONCATENATE("R4C",'Mapa final'!$R$30),"")</f>
        <v/>
      </c>
      <c r="M39" s="61" t="str">
        <f>IF(AND('Mapa final'!$AB$31="Baja",'Mapa final'!$AD$31="Leve"),CONCATENATE("R4C",'Mapa final'!$R$31),"")</f>
        <v/>
      </c>
      <c r="N39" s="61" t="str">
        <f>IF(AND('Mapa final'!$AB$32="Baja",'Mapa final'!$AD$32="Leve"),CONCATENATE("R4C",'Mapa final'!$R$32),"")</f>
        <v/>
      </c>
      <c r="O39" s="62" t="str">
        <f>IF(AND('Mapa final'!$AB$33="Baja",'Mapa final'!$AD$33="Leve"),CONCATENATE("R4C",'Mapa final'!$R$33),"")</f>
        <v/>
      </c>
      <c r="P39" s="51" t="str">
        <f>IF(AND('Mapa final'!$AB$28="Baja",'Mapa final'!$AD$28="Menor"),CONCATENATE("R4C",'Mapa final'!$R$28),"")</f>
        <v/>
      </c>
      <c r="Q39" s="52" t="str">
        <f>IF(AND('Mapa final'!$AB$29="Baja",'Mapa final'!$AD$29="Menor"),CONCATENATE("R4C",'Mapa final'!$R$29),"")</f>
        <v/>
      </c>
      <c r="R39" s="52" t="str">
        <f>IF(AND('Mapa final'!$AB$30="Baja",'Mapa final'!$AD$30="Menor"),CONCATENATE("R4C",'Mapa final'!$R$30),"")</f>
        <v/>
      </c>
      <c r="S39" s="52" t="str">
        <f>IF(AND('Mapa final'!$AB$31="Baja",'Mapa final'!$AD$31="Menor"),CONCATENATE("R4C",'Mapa final'!$R$31),"")</f>
        <v/>
      </c>
      <c r="T39" s="52" t="str">
        <f>IF(AND('Mapa final'!$AB$32="Baja",'Mapa final'!$AD$32="Menor"),CONCATENATE("R4C",'Mapa final'!$R$32),"")</f>
        <v/>
      </c>
      <c r="U39" s="53" t="str">
        <f>IF(AND('Mapa final'!$AB$33="Baja",'Mapa final'!$AD$33="Menor"),CONCATENATE("R4C",'Mapa final'!$R$33),"")</f>
        <v/>
      </c>
      <c r="V39" s="51" t="str">
        <f>IF(AND('Mapa final'!$AB$28="Baja",'Mapa final'!$AD$28="Moderado"),CONCATENATE("R4C",'Mapa final'!$R$28),"")</f>
        <v/>
      </c>
      <c r="W39" s="52" t="str">
        <f>IF(AND('Mapa final'!$AB$29="Baja",'Mapa final'!$AD$29="Moderado"),CONCATENATE("R4C",'Mapa final'!$R$29),"")</f>
        <v/>
      </c>
      <c r="X39" s="52" t="str">
        <f>IF(AND('Mapa final'!$AB$30="Baja",'Mapa final'!$AD$30="Moderado"),CONCATENATE("R4C",'Mapa final'!$R$30),"")</f>
        <v/>
      </c>
      <c r="Y39" s="52" t="str">
        <f>IF(AND('Mapa final'!$AB$31="Baja",'Mapa final'!$AD$31="Moderado"),CONCATENATE("R4C",'Mapa final'!$R$31),"")</f>
        <v/>
      </c>
      <c r="Z39" s="52" t="str">
        <f>IF(AND('Mapa final'!$AB$32="Baja",'Mapa final'!$AD$32="Moderado"),CONCATENATE("R4C",'Mapa final'!$R$32),"")</f>
        <v/>
      </c>
      <c r="AA39" s="53" t="str">
        <f>IF(AND('Mapa final'!$AB$33="Baja",'Mapa final'!$AD$33="Moderado"),CONCATENATE("R4C",'Mapa final'!$R$33),"")</f>
        <v/>
      </c>
      <c r="AB39" s="36" t="str">
        <f>IF(AND('Mapa final'!$AB$28="Baja",'Mapa final'!$AD$28="Mayor"),CONCATENATE("R4C",'Mapa final'!$R$28),"")</f>
        <v/>
      </c>
      <c r="AC39" s="37" t="str">
        <f>IF(AND('Mapa final'!$AB$29="Baja",'Mapa final'!$AD$29="Mayor"),CONCATENATE("R4C",'Mapa final'!$R$29),"")</f>
        <v/>
      </c>
      <c r="AD39" s="37" t="str">
        <f>IF(AND('Mapa final'!$AB$30="Baja",'Mapa final'!$AD$30="Mayor"),CONCATENATE("R4C",'Mapa final'!$R$30),"")</f>
        <v/>
      </c>
      <c r="AE39" s="37" t="str">
        <f>IF(AND('Mapa final'!$AB$31="Baja",'Mapa final'!$AD$31="Mayor"),CONCATENATE("R4C",'Mapa final'!$R$31),"")</f>
        <v/>
      </c>
      <c r="AF39" s="37" t="str">
        <f>IF(AND('Mapa final'!$AB$32="Baja",'Mapa final'!$AD$32="Mayor"),CONCATENATE("R4C",'Mapa final'!$R$32),"")</f>
        <v/>
      </c>
      <c r="AG39" s="38" t="str">
        <f>IF(AND('Mapa final'!$AB$33="Baja",'Mapa final'!$AD$33="Mayor"),CONCATENATE("R4C",'Mapa final'!$R$33),"")</f>
        <v/>
      </c>
      <c r="AH39" s="39" t="str">
        <f>IF(AND('Mapa final'!$AB$28="Baja",'Mapa final'!$AD$28="Catastrófico"),CONCATENATE("R4C",'Mapa final'!$R$28),"")</f>
        <v/>
      </c>
      <c r="AI39" s="40" t="str">
        <f>IF(AND('Mapa final'!$AB$29="Baja",'Mapa final'!$AD$29="Catastrófico"),CONCATENATE("R4C",'Mapa final'!$R$29),"")</f>
        <v/>
      </c>
      <c r="AJ39" s="40" t="str">
        <f>IF(AND('Mapa final'!$AB$30="Baja",'Mapa final'!$AD$30="Catastrófico"),CONCATENATE("R4C",'Mapa final'!$R$30),"")</f>
        <v/>
      </c>
      <c r="AK39" s="40" t="str">
        <f>IF(AND('Mapa final'!$AB$31="Baja",'Mapa final'!$AD$31="Catastrófico"),CONCATENATE("R4C",'Mapa final'!$R$31),"")</f>
        <v/>
      </c>
      <c r="AL39" s="40" t="str">
        <f>IF(AND('Mapa final'!$AB$32="Baja",'Mapa final'!$AD$32="Catastrófico"),CONCATENATE("R4C",'Mapa final'!$R$32),"")</f>
        <v/>
      </c>
      <c r="AM39" s="41" t="str">
        <f>IF(AND('Mapa final'!$AB$33="Baja",'Mapa final'!$AD$33="Catastrófico"),CONCATENATE("R4C",'Mapa final'!$R$33),"")</f>
        <v/>
      </c>
      <c r="AN39" s="67"/>
      <c r="AO39" s="649"/>
      <c r="AP39" s="650"/>
      <c r="AQ39" s="650"/>
      <c r="AR39" s="650"/>
      <c r="AS39" s="650"/>
      <c r="AT39" s="651"/>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30"/>
      <c r="C40" s="530"/>
      <c r="D40" s="531"/>
      <c r="E40" s="629"/>
      <c r="F40" s="628"/>
      <c r="G40" s="628"/>
      <c r="H40" s="628"/>
      <c r="I40" s="628"/>
      <c r="J40" s="60" t="str">
        <f>IF(AND('Mapa final'!$AB$34="Baja",'Mapa final'!$AD$34="Leve"),CONCATENATE("R5C",'Mapa final'!$R$34),"")</f>
        <v/>
      </c>
      <c r="K40" s="61" t="str">
        <f>IF(AND('Mapa final'!$AB$35="Baja",'Mapa final'!$AD$35="Leve"),CONCATENATE("R5C",'Mapa final'!$R$35),"")</f>
        <v/>
      </c>
      <c r="L40" s="61" t="str">
        <f>IF(AND('Mapa final'!$AB$36="Baja",'Mapa final'!$AD$36="Leve"),CONCATENATE("R5C",'Mapa final'!$R$36),"")</f>
        <v/>
      </c>
      <c r="M40" s="61" t="str">
        <f>IF(AND('Mapa final'!$AB$37="Baja",'Mapa final'!$AD$37="Leve"),CONCATENATE("R5C",'Mapa final'!$R$37),"")</f>
        <v/>
      </c>
      <c r="N40" s="61" t="str">
        <f>IF(AND('Mapa final'!$AB$38="Baja",'Mapa final'!$AD$38="Leve"),CONCATENATE("R5C",'Mapa final'!$R$38),"")</f>
        <v/>
      </c>
      <c r="O40" s="62" t="str">
        <f>IF(AND('Mapa final'!$AB$39="Baja",'Mapa final'!$AD$39="Leve"),CONCATENATE("R5C",'Mapa final'!$R$39),"")</f>
        <v/>
      </c>
      <c r="P40" s="51" t="str">
        <f>IF(AND('Mapa final'!$AB$34="Baja",'Mapa final'!$AD$34="Menor"),CONCATENATE("R5C",'Mapa final'!$R$34),"")</f>
        <v/>
      </c>
      <c r="Q40" s="52" t="str">
        <f>IF(AND('Mapa final'!$AB$35="Baja",'Mapa final'!$AD$35="Menor"),CONCATENATE("R5C",'Mapa final'!$R$35),"")</f>
        <v/>
      </c>
      <c r="R40" s="52" t="str">
        <f>IF(AND('Mapa final'!$AB$36="Baja",'Mapa final'!$AD$36="Menor"),CONCATENATE("R5C",'Mapa final'!$R$36),"")</f>
        <v/>
      </c>
      <c r="S40" s="52" t="str">
        <f>IF(AND('Mapa final'!$AB$37="Baja",'Mapa final'!$AD$37="Menor"),CONCATENATE("R5C",'Mapa final'!$R$37),"")</f>
        <v/>
      </c>
      <c r="T40" s="52" t="str">
        <f>IF(AND('Mapa final'!$AB$38="Baja",'Mapa final'!$AD$38="Menor"),CONCATENATE("R5C",'Mapa final'!$R$38),"")</f>
        <v/>
      </c>
      <c r="U40" s="53" t="str">
        <f>IF(AND('Mapa final'!$AB$39="Baja",'Mapa final'!$AD$39="Menor"),CONCATENATE("R5C",'Mapa final'!$R$39),"")</f>
        <v/>
      </c>
      <c r="V40" s="51" t="str">
        <f>IF(AND('Mapa final'!$AB$34="Baja",'Mapa final'!$AD$34="Moderado"),CONCATENATE("R5C",'Mapa final'!$R$34),"")</f>
        <v/>
      </c>
      <c r="W40" s="52" t="str">
        <f>IF(AND('Mapa final'!$AB$35="Baja",'Mapa final'!$AD$35="Moderado"),CONCATENATE("R5C",'Mapa final'!$R$35),"")</f>
        <v/>
      </c>
      <c r="X40" s="52" t="str">
        <f>IF(AND('Mapa final'!$AB$36="Baja",'Mapa final'!$AD$36="Moderado"),CONCATENATE("R5C",'Mapa final'!$R$36),"")</f>
        <v/>
      </c>
      <c r="Y40" s="52" t="str">
        <f>IF(AND('Mapa final'!$AB$37="Baja",'Mapa final'!$AD$37="Moderado"),CONCATENATE("R5C",'Mapa final'!$R$37),"")</f>
        <v/>
      </c>
      <c r="Z40" s="52" t="str">
        <f>IF(AND('Mapa final'!$AB$38="Baja",'Mapa final'!$AD$38="Moderado"),CONCATENATE("R5C",'Mapa final'!$R$38),"")</f>
        <v/>
      </c>
      <c r="AA40" s="53" t="str">
        <f>IF(AND('Mapa final'!$AB$39="Baja",'Mapa final'!$AD$39="Moderado"),CONCATENATE("R5C",'Mapa final'!$R$39),"")</f>
        <v/>
      </c>
      <c r="AB40" s="36" t="str">
        <f>IF(AND('Mapa final'!$AB$34="Baja",'Mapa final'!$AD$34="Mayor"),CONCATENATE("R5C",'Mapa final'!$R$34),"")</f>
        <v/>
      </c>
      <c r="AC40" s="37" t="str">
        <f>IF(AND('Mapa final'!$AB$35="Baja",'Mapa final'!$AD$35="Mayor"),CONCATENATE("R5C",'Mapa final'!$R$35),"")</f>
        <v/>
      </c>
      <c r="AD40" s="37" t="str">
        <f>IF(AND('Mapa final'!$AB$36="Baja",'Mapa final'!$AD$36="Mayor"),CONCATENATE("R5C",'Mapa final'!$R$36),"")</f>
        <v/>
      </c>
      <c r="AE40" s="37" t="str">
        <f>IF(AND('Mapa final'!$AB$37="Baja",'Mapa final'!$AD$37="Mayor"),CONCATENATE("R5C",'Mapa final'!$R$37),"")</f>
        <v/>
      </c>
      <c r="AF40" s="37" t="str">
        <f>IF(AND('Mapa final'!$AB$38="Baja",'Mapa final'!$AD$38="Mayor"),CONCATENATE("R5C",'Mapa final'!$R$38),"")</f>
        <v/>
      </c>
      <c r="AG40" s="38" t="str">
        <f>IF(AND('Mapa final'!$AB$39="Baja",'Mapa final'!$AD$39="Mayor"),CONCATENATE("R5C",'Mapa final'!$R$39),"")</f>
        <v/>
      </c>
      <c r="AH40" s="39" t="str">
        <f>IF(AND('Mapa final'!$AB$34="Baja",'Mapa final'!$AD$34="Catastrófico"),CONCATENATE("R5C",'Mapa final'!$R$34),"")</f>
        <v/>
      </c>
      <c r="AI40" s="40" t="str">
        <f>IF(AND('Mapa final'!$AB$35="Baja",'Mapa final'!$AD$35="Catastrófico"),CONCATENATE("R5C",'Mapa final'!$R$35),"")</f>
        <v/>
      </c>
      <c r="AJ40" s="40" t="str">
        <f>IF(AND('Mapa final'!$AB$36="Baja",'Mapa final'!$AD$36="Catastrófico"),CONCATENATE("R5C",'Mapa final'!$R$36),"")</f>
        <v/>
      </c>
      <c r="AK40" s="40" t="str">
        <f>IF(AND('Mapa final'!$AB$37="Baja",'Mapa final'!$AD$37="Catastrófico"),CONCATENATE("R5C",'Mapa final'!$R$37),"")</f>
        <v/>
      </c>
      <c r="AL40" s="40" t="str">
        <f>IF(AND('Mapa final'!$AB$38="Baja",'Mapa final'!$AD$38="Catastrófico"),CONCATENATE("R5C",'Mapa final'!$R$38),"")</f>
        <v/>
      </c>
      <c r="AM40" s="41" t="str">
        <f>IF(AND('Mapa final'!$AB$39="Baja",'Mapa final'!$AD$39="Catastrófico"),CONCATENATE("R5C",'Mapa final'!$R$39),"")</f>
        <v/>
      </c>
      <c r="AN40" s="67"/>
      <c r="AO40" s="649"/>
      <c r="AP40" s="650"/>
      <c r="AQ40" s="650"/>
      <c r="AR40" s="650"/>
      <c r="AS40" s="650"/>
      <c r="AT40" s="651"/>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30"/>
      <c r="C41" s="530"/>
      <c r="D41" s="531"/>
      <c r="E41" s="629"/>
      <c r="F41" s="628"/>
      <c r="G41" s="628"/>
      <c r="H41" s="628"/>
      <c r="I41" s="628"/>
      <c r="J41" s="60" t="str">
        <f>IF(AND('Mapa final'!$AB$40="Baja",'Mapa final'!$AD$40="Leve"),CONCATENATE("R6C",'Mapa final'!$R$40),"")</f>
        <v/>
      </c>
      <c r="K41" s="61" t="str">
        <f>IF(AND('Mapa final'!$AB$41="Baja",'Mapa final'!$AD$41="Leve"),CONCATENATE("R6C",'Mapa final'!$R$41),"")</f>
        <v/>
      </c>
      <c r="L41" s="61" t="str">
        <f>IF(AND('Mapa final'!$AB$42="Baja",'Mapa final'!$AD$42="Leve"),CONCATENATE("R6C",'Mapa final'!$R$42),"")</f>
        <v/>
      </c>
      <c r="M41" s="61" t="str">
        <f>IF(AND('Mapa final'!$AB$43="Baja",'Mapa final'!$AD$43="Leve"),CONCATENATE("R6C",'Mapa final'!$R$43),"")</f>
        <v/>
      </c>
      <c r="N41" s="61" t="str">
        <f>IF(AND('Mapa final'!$AB$44="Baja",'Mapa final'!$AD$44="Leve"),CONCATENATE("R6C",'Mapa final'!$R$44),"")</f>
        <v/>
      </c>
      <c r="O41" s="62" t="str">
        <f>IF(AND('Mapa final'!$AB$45="Baja",'Mapa final'!$AD$45="Leve"),CONCATENATE("R6C",'Mapa final'!$R$45),"")</f>
        <v/>
      </c>
      <c r="P41" s="51" t="str">
        <f>IF(AND('Mapa final'!$AB$40="Baja",'Mapa final'!$AD$40="Menor"),CONCATENATE("R6C",'Mapa final'!$R$40),"")</f>
        <v/>
      </c>
      <c r="Q41" s="52" t="str">
        <f>IF(AND('Mapa final'!$AB$41="Baja",'Mapa final'!$AD$41="Menor"),CONCATENATE("R6C",'Mapa final'!$R$41),"")</f>
        <v/>
      </c>
      <c r="R41" s="52" t="str">
        <f>IF(AND('Mapa final'!$AB$42="Baja",'Mapa final'!$AD$42="Menor"),CONCATENATE("R6C",'Mapa final'!$R$42),"")</f>
        <v/>
      </c>
      <c r="S41" s="52" t="str">
        <f>IF(AND('Mapa final'!$AB$43="Baja",'Mapa final'!$AD$43="Menor"),CONCATENATE("R6C",'Mapa final'!$R$43),"")</f>
        <v/>
      </c>
      <c r="T41" s="52" t="str">
        <f>IF(AND('Mapa final'!$AB$44="Baja",'Mapa final'!$AD$44="Menor"),CONCATENATE("R6C",'Mapa final'!$R$44),"")</f>
        <v/>
      </c>
      <c r="U41" s="53" t="str">
        <f>IF(AND('Mapa final'!$AB$45="Baja",'Mapa final'!$AD$45="Menor"),CONCATENATE("R6C",'Mapa final'!$R$45),"")</f>
        <v/>
      </c>
      <c r="V41" s="51" t="str">
        <f>IF(AND('Mapa final'!$AB$40="Baja",'Mapa final'!$AD$40="Moderado"),CONCATENATE("R6C",'Mapa final'!$R$40),"")</f>
        <v/>
      </c>
      <c r="W41" s="52" t="str">
        <f>IF(AND('Mapa final'!$AB$41="Baja",'Mapa final'!$AD$41="Moderado"),CONCATENATE("R6C",'Mapa final'!$R$41),"")</f>
        <v/>
      </c>
      <c r="X41" s="52" t="str">
        <f>IF(AND('Mapa final'!$AB$42="Baja",'Mapa final'!$AD$42="Moderado"),CONCATENATE("R6C",'Mapa final'!$R$42),"")</f>
        <v/>
      </c>
      <c r="Y41" s="52" t="str">
        <f>IF(AND('Mapa final'!$AB$43="Baja",'Mapa final'!$AD$43="Moderado"),CONCATENATE("R6C",'Mapa final'!$R$43),"")</f>
        <v/>
      </c>
      <c r="Z41" s="52" t="str">
        <f>IF(AND('Mapa final'!$AB$44="Baja",'Mapa final'!$AD$44="Moderado"),CONCATENATE("R6C",'Mapa final'!$R$44),"")</f>
        <v/>
      </c>
      <c r="AA41" s="53" t="str">
        <f>IF(AND('Mapa final'!$AB$45="Baja",'Mapa final'!$AD$45="Moderado"),CONCATENATE("R6C",'Mapa final'!$R$45),"")</f>
        <v/>
      </c>
      <c r="AB41" s="36" t="str">
        <f>IF(AND('Mapa final'!$AB$40="Baja",'Mapa final'!$AD$40="Mayor"),CONCATENATE("R6C",'Mapa final'!$R$40),"")</f>
        <v/>
      </c>
      <c r="AC41" s="37" t="str">
        <f>IF(AND('Mapa final'!$AB$41="Baja",'Mapa final'!$AD$41="Mayor"),CONCATENATE("R6C",'Mapa final'!$R$41),"")</f>
        <v/>
      </c>
      <c r="AD41" s="37" t="str">
        <f>IF(AND('Mapa final'!$AB$42="Baja",'Mapa final'!$AD$42="Mayor"),CONCATENATE("R6C",'Mapa final'!$R$42),"")</f>
        <v/>
      </c>
      <c r="AE41" s="37" t="str">
        <f>IF(AND('Mapa final'!$AB$43="Baja",'Mapa final'!$AD$43="Mayor"),CONCATENATE("R6C",'Mapa final'!$R$43),"")</f>
        <v/>
      </c>
      <c r="AF41" s="37" t="str">
        <f>IF(AND('Mapa final'!$AB$44="Baja",'Mapa final'!$AD$44="Mayor"),CONCATENATE("R6C",'Mapa final'!$R$44),"")</f>
        <v/>
      </c>
      <c r="AG41" s="38" t="str">
        <f>IF(AND('Mapa final'!$AB$45="Baja",'Mapa final'!$AD$45="Mayor"),CONCATENATE("R6C",'Mapa final'!$R$45),"")</f>
        <v/>
      </c>
      <c r="AH41" s="39" t="str">
        <f>IF(AND('Mapa final'!$AB$40="Baja",'Mapa final'!$AD$40="Catastrófico"),CONCATENATE("R6C",'Mapa final'!$R$40),"")</f>
        <v/>
      </c>
      <c r="AI41" s="40" t="str">
        <f>IF(AND('Mapa final'!$AB$41="Baja",'Mapa final'!$AD$41="Catastrófico"),CONCATENATE("R6C",'Mapa final'!$R$41),"")</f>
        <v/>
      </c>
      <c r="AJ41" s="40" t="str">
        <f>IF(AND('Mapa final'!$AB$42="Baja",'Mapa final'!$AD$42="Catastrófico"),CONCATENATE("R6C",'Mapa final'!$R$42),"")</f>
        <v/>
      </c>
      <c r="AK41" s="40" t="str">
        <f>IF(AND('Mapa final'!$AB$43="Baja",'Mapa final'!$AD$43="Catastrófico"),CONCATENATE("R6C",'Mapa final'!$R$43),"")</f>
        <v/>
      </c>
      <c r="AL41" s="40" t="str">
        <f>IF(AND('Mapa final'!$AB$44="Baja",'Mapa final'!$AD$44="Catastrófico"),CONCATENATE("R6C",'Mapa final'!$R$44),"")</f>
        <v/>
      </c>
      <c r="AM41" s="41" t="str">
        <f>IF(AND('Mapa final'!$AB$45="Baja",'Mapa final'!$AD$45="Catastrófico"),CONCATENATE("R6C",'Mapa final'!$R$45),"")</f>
        <v/>
      </c>
      <c r="AN41" s="67"/>
      <c r="AO41" s="649"/>
      <c r="AP41" s="650"/>
      <c r="AQ41" s="650"/>
      <c r="AR41" s="650"/>
      <c r="AS41" s="650"/>
      <c r="AT41" s="651"/>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30"/>
      <c r="C42" s="530"/>
      <c r="D42" s="531"/>
      <c r="E42" s="629"/>
      <c r="F42" s="628"/>
      <c r="G42" s="628"/>
      <c r="H42" s="628"/>
      <c r="I42" s="628"/>
      <c r="J42" s="60" t="str">
        <f>IF(AND('Mapa final'!$AB$46="Baja",'Mapa final'!$AD$46="Leve"),CONCATENATE("R7C",'Mapa final'!$R$46),"")</f>
        <v/>
      </c>
      <c r="K42" s="61" t="str">
        <f>IF(AND('Mapa final'!$AB$47="Baja",'Mapa final'!$AD$47="Leve"),CONCATENATE("R7C",'Mapa final'!$R$47),"")</f>
        <v/>
      </c>
      <c r="L42" s="61" t="str">
        <f>IF(AND('Mapa final'!$AB$48="Baja",'Mapa final'!$AD$48="Leve"),CONCATENATE("R7C",'Mapa final'!$R$48),"")</f>
        <v/>
      </c>
      <c r="M42" s="61" t="str">
        <f>IF(AND('Mapa final'!$AB$49="Baja",'Mapa final'!$AD$49="Leve"),CONCATENATE("R7C",'Mapa final'!$R$49),"")</f>
        <v/>
      </c>
      <c r="N42" s="61" t="str">
        <f>IF(AND('Mapa final'!$AB$50="Baja",'Mapa final'!$AD$50="Leve"),CONCATENATE("R7C",'Mapa final'!$R$50),"")</f>
        <v/>
      </c>
      <c r="O42" s="62" t="str">
        <f>IF(AND('Mapa final'!$AB$51="Baja",'Mapa final'!$AD$51="Leve"),CONCATENATE("R7C",'Mapa final'!$R$51),"")</f>
        <v/>
      </c>
      <c r="P42" s="51" t="str">
        <f>IF(AND('Mapa final'!$AB$46="Baja",'Mapa final'!$AD$46="Menor"),CONCATENATE("R7C",'Mapa final'!$R$46),"")</f>
        <v/>
      </c>
      <c r="Q42" s="52" t="str">
        <f>IF(AND('Mapa final'!$AB$47="Baja",'Mapa final'!$AD$47="Menor"),CONCATENATE("R7C",'Mapa final'!$R$47),"")</f>
        <v/>
      </c>
      <c r="R42" s="52" t="str">
        <f>IF(AND('Mapa final'!$AB$48="Baja",'Mapa final'!$AD$48="Menor"),CONCATENATE("R7C",'Mapa final'!$R$48),"")</f>
        <v/>
      </c>
      <c r="S42" s="52" t="str">
        <f>IF(AND('Mapa final'!$AB$49="Baja",'Mapa final'!$AD$49="Menor"),CONCATENATE("R7C",'Mapa final'!$R$49),"")</f>
        <v/>
      </c>
      <c r="T42" s="52" t="str">
        <f>IF(AND('Mapa final'!$AB$50="Baja",'Mapa final'!$AD$50="Menor"),CONCATENATE("R7C",'Mapa final'!$R$50),"")</f>
        <v/>
      </c>
      <c r="U42" s="53" t="str">
        <f>IF(AND('Mapa final'!$AB$51="Baja",'Mapa final'!$AD$51="Menor"),CONCATENATE("R7C",'Mapa final'!$R$51),"")</f>
        <v/>
      </c>
      <c r="V42" s="51" t="str">
        <f>IF(AND('Mapa final'!$AB$46="Baja",'Mapa final'!$AD$46="Moderado"),CONCATENATE("R7C",'Mapa final'!$R$46),"")</f>
        <v/>
      </c>
      <c r="W42" s="52" t="str">
        <f>IF(AND('Mapa final'!$AB$47="Baja",'Mapa final'!$AD$47="Moderado"),CONCATENATE("R7C",'Mapa final'!$R$47),"")</f>
        <v/>
      </c>
      <c r="X42" s="52" t="str">
        <f>IF(AND('Mapa final'!$AB$48="Baja",'Mapa final'!$AD$48="Moderado"),CONCATENATE("R7C",'Mapa final'!$R$48),"")</f>
        <v/>
      </c>
      <c r="Y42" s="52" t="str">
        <f>IF(AND('Mapa final'!$AB$49="Baja",'Mapa final'!$AD$49="Moderado"),CONCATENATE("R7C",'Mapa final'!$R$49),"")</f>
        <v/>
      </c>
      <c r="Z42" s="52" t="str">
        <f>IF(AND('Mapa final'!$AB$50="Baja",'Mapa final'!$AD$50="Moderado"),CONCATENATE("R7C",'Mapa final'!$R$50),"")</f>
        <v/>
      </c>
      <c r="AA42" s="53" t="str">
        <f>IF(AND('Mapa final'!$AB$51="Baja",'Mapa final'!$AD$51="Moderado"),CONCATENATE("R7C",'Mapa final'!$R$51),"")</f>
        <v/>
      </c>
      <c r="AB42" s="36" t="str">
        <f>IF(AND('Mapa final'!$AB$46="Baja",'Mapa final'!$AD$46="Mayor"),CONCATENATE("R7C",'Mapa final'!$R$46),"")</f>
        <v/>
      </c>
      <c r="AC42" s="37" t="str">
        <f>IF(AND('Mapa final'!$AB$47="Baja",'Mapa final'!$AD$47="Mayor"),CONCATENATE("R7C",'Mapa final'!$R$47),"")</f>
        <v/>
      </c>
      <c r="AD42" s="37" t="str">
        <f>IF(AND('Mapa final'!$AB$48="Baja",'Mapa final'!$AD$48="Mayor"),CONCATENATE("R7C",'Mapa final'!$R$48),"")</f>
        <v/>
      </c>
      <c r="AE42" s="37" t="str">
        <f>IF(AND('Mapa final'!$AB$49="Baja",'Mapa final'!$AD$49="Mayor"),CONCATENATE("R7C",'Mapa final'!$R$49),"")</f>
        <v/>
      </c>
      <c r="AF42" s="37" t="str">
        <f>IF(AND('Mapa final'!$AB$50="Baja",'Mapa final'!$AD$50="Mayor"),CONCATENATE("R7C",'Mapa final'!$R$50),"")</f>
        <v/>
      </c>
      <c r="AG42" s="38" t="str">
        <f>IF(AND('Mapa final'!$AB$51="Baja",'Mapa final'!$AD$51="Mayor"),CONCATENATE("R7C",'Mapa final'!$R$51),"")</f>
        <v/>
      </c>
      <c r="AH42" s="39" t="str">
        <f>IF(AND('Mapa final'!$AB$46="Baja",'Mapa final'!$AD$46="Catastrófico"),CONCATENATE("R7C",'Mapa final'!$R$46),"")</f>
        <v/>
      </c>
      <c r="AI42" s="40" t="str">
        <f>IF(AND('Mapa final'!$AB$47="Baja",'Mapa final'!$AD$47="Catastrófico"),CONCATENATE("R7C",'Mapa final'!$R$47),"")</f>
        <v/>
      </c>
      <c r="AJ42" s="40" t="str">
        <f>IF(AND('Mapa final'!$AB$48="Baja",'Mapa final'!$AD$48="Catastrófico"),CONCATENATE("R7C",'Mapa final'!$R$48),"")</f>
        <v/>
      </c>
      <c r="AK42" s="40" t="str">
        <f>IF(AND('Mapa final'!$AB$49="Baja",'Mapa final'!$AD$49="Catastrófico"),CONCATENATE("R7C",'Mapa final'!$R$49),"")</f>
        <v/>
      </c>
      <c r="AL42" s="40" t="str">
        <f>IF(AND('Mapa final'!$AB$50="Baja",'Mapa final'!$AD$50="Catastrófico"),CONCATENATE("R7C",'Mapa final'!$R$50),"")</f>
        <v/>
      </c>
      <c r="AM42" s="41" t="str">
        <f>IF(AND('Mapa final'!$AB$51="Baja",'Mapa final'!$AD$51="Catastrófico"),CONCATENATE("R7C",'Mapa final'!$R$51),"")</f>
        <v/>
      </c>
      <c r="AN42" s="67"/>
      <c r="AO42" s="649"/>
      <c r="AP42" s="650"/>
      <c r="AQ42" s="650"/>
      <c r="AR42" s="650"/>
      <c r="AS42" s="650"/>
      <c r="AT42" s="651"/>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30"/>
      <c r="C43" s="530"/>
      <c r="D43" s="531"/>
      <c r="E43" s="629"/>
      <c r="F43" s="628"/>
      <c r="G43" s="628"/>
      <c r="H43" s="628"/>
      <c r="I43" s="628"/>
      <c r="J43" s="60" t="str">
        <f>IF(AND('Mapa final'!$AB$52="Baja",'Mapa final'!$AD$52="Leve"),CONCATENATE("R8C",'Mapa final'!$R$52),"")</f>
        <v/>
      </c>
      <c r="K43" s="61" t="str">
        <f>IF(AND('Mapa final'!$AB$53="Baja",'Mapa final'!$AD$53="Leve"),CONCATENATE("R8C",'Mapa final'!$R$53),"")</f>
        <v/>
      </c>
      <c r="L43" s="61" t="str">
        <f>IF(AND('Mapa final'!$AB$54="Baja",'Mapa final'!$AD$54="Leve"),CONCATENATE("R8C",'Mapa final'!$R$54),"")</f>
        <v/>
      </c>
      <c r="M43" s="61" t="str">
        <f>IF(AND('Mapa final'!$AB$55="Baja",'Mapa final'!$AD$55="Leve"),CONCATENATE("R8C",'Mapa final'!$R$55),"")</f>
        <v/>
      </c>
      <c r="N43" s="61" t="str">
        <f>IF(AND('Mapa final'!$AB$56="Baja",'Mapa final'!$AD$56="Leve"),CONCATENATE("R8C",'Mapa final'!$R$56),"")</f>
        <v/>
      </c>
      <c r="O43" s="62" t="str">
        <f>IF(AND('Mapa final'!$AB$57="Baja",'Mapa final'!$AD$57="Leve"),CONCATENATE("R8C",'Mapa final'!$R$57),"")</f>
        <v/>
      </c>
      <c r="P43" s="51" t="str">
        <f>IF(AND('Mapa final'!$AB$52="Baja",'Mapa final'!$AD$52="Menor"),CONCATENATE("R8C",'Mapa final'!$R$52),"")</f>
        <v/>
      </c>
      <c r="Q43" s="52" t="str">
        <f>IF(AND('Mapa final'!$AB$53="Baja",'Mapa final'!$AD$53="Menor"),CONCATENATE("R8C",'Mapa final'!$R$53),"")</f>
        <v/>
      </c>
      <c r="R43" s="52" t="str">
        <f>IF(AND('Mapa final'!$AB$54="Baja",'Mapa final'!$AD$54="Menor"),CONCATENATE("R8C",'Mapa final'!$R$54),"")</f>
        <v/>
      </c>
      <c r="S43" s="52" t="str">
        <f>IF(AND('Mapa final'!$AB$55="Baja",'Mapa final'!$AD$55="Menor"),CONCATENATE("R8C",'Mapa final'!$R$55),"")</f>
        <v/>
      </c>
      <c r="T43" s="52" t="str">
        <f>IF(AND('Mapa final'!$AB$56="Baja",'Mapa final'!$AD$56="Menor"),CONCATENATE("R8C",'Mapa final'!$R$56),"")</f>
        <v/>
      </c>
      <c r="U43" s="53" t="str">
        <f>IF(AND('Mapa final'!$AB$57="Baja",'Mapa final'!$AD$57="Menor"),CONCATENATE("R8C",'Mapa final'!$R$57),"")</f>
        <v/>
      </c>
      <c r="V43" s="51" t="str">
        <f>IF(AND('Mapa final'!$AB$52="Baja",'Mapa final'!$AD$52="Moderado"),CONCATENATE("R8C",'Mapa final'!$R$52),"")</f>
        <v/>
      </c>
      <c r="W43" s="52" t="str">
        <f>IF(AND('Mapa final'!$AB$53="Baja",'Mapa final'!$AD$53="Moderado"),CONCATENATE("R8C",'Mapa final'!$R$53),"")</f>
        <v/>
      </c>
      <c r="X43" s="52" t="str">
        <f>IF(AND('Mapa final'!$AB$54="Baja",'Mapa final'!$AD$54="Moderado"),CONCATENATE("R8C",'Mapa final'!$R$54),"")</f>
        <v/>
      </c>
      <c r="Y43" s="52" t="str">
        <f>IF(AND('Mapa final'!$AB$55="Baja",'Mapa final'!$AD$55="Moderado"),CONCATENATE("R8C",'Mapa final'!$R$55),"")</f>
        <v/>
      </c>
      <c r="Z43" s="52" t="str">
        <f>IF(AND('Mapa final'!$AB$56="Baja",'Mapa final'!$AD$56="Moderado"),CONCATENATE("R8C",'Mapa final'!$R$56),"")</f>
        <v/>
      </c>
      <c r="AA43" s="53" t="str">
        <f>IF(AND('Mapa final'!$AB$57="Baja",'Mapa final'!$AD$57="Moderado"),CONCATENATE("R8C",'Mapa final'!$R$57),"")</f>
        <v/>
      </c>
      <c r="AB43" s="36" t="str">
        <f>IF(AND('Mapa final'!$AB$52="Baja",'Mapa final'!$AD$52="Mayor"),CONCATENATE("R8C",'Mapa final'!$R$52),"")</f>
        <v/>
      </c>
      <c r="AC43" s="37" t="str">
        <f>IF(AND('Mapa final'!$AB$53="Baja",'Mapa final'!$AD$53="Mayor"),CONCATENATE("R8C",'Mapa final'!$R$53),"")</f>
        <v/>
      </c>
      <c r="AD43" s="37" t="str">
        <f>IF(AND('Mapa final'!$AB$54="Baja",'Mapa final'!$AD$54="Mayor"),CONCATENATE("R8C",'Mapa final'!$R$54),"")</f>
        <v/>
      </c>
      <c r="AE43" s="37" t="str">
        <f>IF(AND('Mapa final'!$AB$55="Baja",'Mapa final'!$AD$55="Mayor"),CONCATENATE("R8C",'Mapa final'!$R$55),"")</f>
        <v/>
      </c>
      <c r="AF43" s="37" t="str">
        <f>IF(AND('Mapa final'!$AB$56="Baja",'Mapa final'!$AD$56="Mayor"),CONCATENATE("R8C",'Mapa final'!$R$56),"")</f>
        <v/>
      </c>
      <c r="AG43" s="38" t="str">
        <f>IF(AND('Mapa final'!$AB$57="Baja",'Mapa final'!$AD$57="Mayor"),CONCATENATE("R8C",'Mapa final'!$R$57),"")</f>
        <v/>
      </c>
      <c r="AH43" s="39" t="str">
        <f>IF(AND('Mapa final'!$AB$52="Baja",'Mapa final'!$AD$52="Catastrófico"),CONCATENATE("R8C",'Mapa final'!$R$52),"")</f>
        <v/>
      </c>
      <c r="AI43" s="40" t="str">
        <f>IF(AND('Mapa final'!$AB$53="Baja",'Mapa final'!$AD$53="Catastrófico"),CONCATENATE("R8C",'Mapa final'!$R$53),"")</f>
        <v/>
      </c>
      <c r="AJ43" s="40" t="str">
        <f>IF(AND('Mapa final'!$AB$54="Baja",'Mapa final'!$AD$54="Catastrófico"),CONCATENATE("R8C",'Mapa final'!$R$54),"")</f>
        <v/>
      </c>
      <c r="AK43" s="40" t="str">
        <f>IF(AND('Mapa final'!$AB$55="Baja",'Mapa final'!$AD$55="Catastrófico"),CONCATENATE("R8C",'Mapa final'!$R$55),"")</f>
        <v/>
      </c>
      <c r="AL43" s="40" t="str">
        <f>IF(AND('Mapa final'!$AB$56="Baja",'Mapa final'!$AD$56="Catastrófico"),CONCATENATE("R8C",'Mapa final'!$R$56),"")</f>
        <v/>
      </c>
      <c r="AM43" s="41" t="str">
        <f>IF(AND('Mapa final'!$AB$57="Baja",'Mapa final'!$AD$57="Catastrófico"),CONCATENATE("R8C",'Mapa final'!$R$57),"")</f>
        <v/>
      </c>
      <c r="AN43" s="67"/>
      <c r="AO43" s="649"/>
      <c r="AP43" s="650"/>
      <c r="AQ43" s="650"/>
      <c r="AR43" s="650"/>
      <c r="AS43" s="650"/>
      <c r="AT43" s="651"/>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30"/>
      <c r="C44" s="530"/>
      <c r="D44" s="531"/>
      <c r="E44" s="629"/>
      <c r="F44" s="628"/>
      <c r="G44" s="628"/>
      <c r="H44" s="628"/>
      <c r="I44" s="628"/>
      <c r="J44" s="60" t="str">
        <f>IF(AND('Mapa final'!$AB$58="Baja",'Mapa final'!$AD$58="Leve"),CONCATENATE("R9C",'Mapa final'!$R$58),"")</f>
        <v/>
      </c>
      <c r="K44" s="61" t="str">
        <f>IF(AND('Mapa final'!$AB$59="Baja",'Mapa final'!$AD$59="Leve"),CONCATENATE("R9C",'Mapa final'!$R$59),"")</f>
        <v/>
      </c>
      <c r="L44" s="61" t="str">
        <f>IF(AND('Mapa final'!$AB$60="Baja",'Mapa final'!$AD$60="Leve"),CONCATENATE("R9C",'Mapa final'!$R$60),"")</f>
        <v/>
      </c>
      <c r="M44" s="61" t="str">
        <f>IF(AND('Mapa final'!$AB$61="Baja",'Mapa final'!$AD$61="Leve"),CONCATENATE("R9C",'Mapa final'!$R$61),"")</f>
        <v/>
      </c>
      <c r="N44" s="61" t="str">
        <f>IF(AND('Mapa final'!$AB$62="Baja",'Mapa final'!$AD$62="Leve"),CONCATENATE("R9C",'Mapa final'!$R$62),"")</f>
        <v/>
      </c>
      <c r="O44" s="62" t="str">
        <f>IF(AND('Mapa final'!$AB$63="Baja",'Mapa final'!$AD$63="Leve"),CONCATENATE("R9C",'Mapa final'!$R$63),"")</f>
        <v/>
      </c>
      <c r="P44" s="51" t="str">
        <f>IF(AND('Mapa final'!$AB$58="Baja",'Mapa final'!$AD$58="Menor"),CONCATENATE("R9C",'Mapa final'!$R$58),"")</f>
        <v/>
      </c>
      <c r="Q44" s="52" t="str">
        <f>IF(AND('Mapa final'!$AB$59="Baja",'Mapa final'!$AD$59="Menor"),CONCATENATE("R9C",'Mapa final'!$R$59),"")</f>
        <v/>
      </c>
      <c r="R44" s="52" t="str">
        <f>IF(AND('Mapa final'!$AB$60="Baja",'Mapa final'!$AD$60="Menor"),CONCATENATE("R9C",'Mapa final'!$R$60),"")</f>
        <v/>
      </c>
      <c r="S44" s="52" t="str">
        <f>IF(AND('Mapa final'!$AB$61="Baja",'Mapa final'!$AD$61="Menor"),CONCATENATE("R9C",'Mapa final'!$R$61),"")</f>
        <v/>
      </c>
      <c r="T44" s="52" t="str">
        <f>IF(AND('Mapa final'!$AB$62="Baja",'Mapa final'!$AD$62="Menor"),CONCATENATE("R9C",'Mapa final'!$R$62),"")</f>
        <v/>
      </c>
      <c r="U44" s="53" t="str">
        <f>IF(AND('Mapa final'!$AB$63="Baja",'Mapa final'!$AD$63="Menor"),CONCATENATE("R9C",'Mapa final'!$R$63),"")</f>
        <v/>
      </c>
      <c r="V44" s="51" t="str">
        <f>IF(AND('Mapa final'!$AB$58="Baja",'Mapa final'!$AD$58="Moderado"),CONCATENATE("R9C",'Mapa final'!$R$58),"")</f>
        <v/>
      </c>
      <c r="W44" s="52" t="str">
        <f>IF(AND('Mapa final'!$AB$59="Baja",'Mapa final'!$AD$59="Moderado"),CONCATENATE("R9C",'Mapa final'!$R$59),"")</f>
        <v/>
      </c>
      <c r="X44" s="52" t="str">
        <f>IF(AND('Mapa final'!$AB$60="Baja",'Mapa final'!$AD$60="Moderado"),CONCATENATE("R9C",'Mapa final'!$R$60),"")</f>
        <v/>
      </c>
      <c r="Y44" s="52" t="str">
        <f>IF(AND('Mapa final'!$AB$61="Baja",'Mapa final'!$AD$61="Moderado"),CONCATENATE("R9C",'Mapa final'!$R$61),"")</f>
        <v/>
      </c>
      <c r="Z44" s="52" t="str">
        <f>IF(AND('Mapa final'!$AB$62="Baja",'Mapa final'!$AD$62="Moderado"),CONCATENATE("R9C",'Mapa final'!$R$62),"")</f>
        <v/>
      </c>
      <c r="AA44" s="53" t="str">
        <f>IF(AND('Mapa final'!$AB$63="Baja",'Mapa final'!$AD$63="Moderado"),CONCATENATE("R9C",'Mapa final'!$R$63),"")</f>
        <v/>
      </c>
      <c r="AB44" s="36" t="str">
        <f>IF(AND('Mapa final'!$AB$58="Baja",'Mapa final'!$AD$58="Mayor"),CONCATENATE("R9C",'Mapa final'!$R$58),"")</f>
        <v/>
      </c>
      <c r="AC44" s="37" t="str">
        <f>IF(AND('Mapa final'!$AB$59="Baja",'Mapa final'!$AD$59="Mayor"),CONCATENATE("R9C",'Mapa final'!$R$59),"")</f>
        <v/>
      </c>
      <c r="AD44" s="37" t="str">
        <f>IF(AND('Mapa final'!$AB$60="Baja",'Mapa final'!$AD$60="Mayor"),CONCATENATE("R9C",'Mapa final'!$R$60),"")</f>
        <v/>
      </c>
      <c r="AE44" s="37" t="str">
        <f>IF(AND('Mapa final'!$AB$61="Baja",'Mapa final'!$AD$61="Mayor"),CONCATENATE("R9C",'Mapa final'!$R$61),"")</f>
        <v/>
      </c>
      <c r="AF44" s="37" t="str">
        <f>IF(AND('Mapa final'!$AB$62="Baja",'Mapa final'!$AD$62="Mayor"),CONCATENATE("R9C",'Mapa final'!$R$62),"")</f>
        <v/>
      </c>
      <c r="AG44" s="38" t="str">
        <f>IF(AND('Mapa final'!$AB$63="Baja",'Mapa final'!$AD$63="Mayor"),CONCATENATE("R9C",'Mapa final'!$R$63),"")</f>
        <v/>
      </c>
      <c r="AH44" s="39" t="str">
        <f>IF(AND('Mapa final'!$AB$58="Baja",'Mapa final'!$AD$58="Catastrófico"),CONCATENATE("R9C",'Mapa final'!$R$58),"")</f>
        <v/>
      </c>
      <c r="AI44" s="40" t="str">
        <f>IF(AND('Mapa final'!$AB$59="Baja",'Mapa final'!$AD$59="Catastrófico"),CONCATENATE("R9C",'Mapa final'!$R$59),"")</f>
        <v/>
      </c>
      <c r="AJ44" s="40" t="str">
        <f>IF(AND('Mapa final'!$AB$60="Baja",'Mapa final'!$AD$60="Catastrófico"),CONCATENATE("R9C",'Mapa final'!$R$60),"")</f>
        <v/>
      </c>
      <c r="AK44" s="40" t="str">
        <f>IF(AND('Mapa final'!$AB$61="Baja",'Mapa final'!$AD$61="Catastrófico"),CONCATENATE("R9C",'Mapa final'!$R$61),"")</f>
        <v/>
      </c>
      <c r="AL44" s="40" t="str">
        <f>IF(AND('Mapa final'!$AB$62="Baja",'Mapa final'!$AD$62="Catastrófico"),CONCATENATE("R9C",'Mapa final'!$R$62),"")</f>
        <v/>
      </c>
      <c r="AM44" s="41" t="str">
        <f>IF(AND('Mapa final'!$AB$63="Baja",'Mapa final'!$AD$63="Catastrófico"),CONCATENATE("R9C",'Mapa final'!$R$63),"")</f>
        <v/>
      </c>
      <c r="AN44" s="67"/>
      <c r="AO44" s="649"/>
      <c r="AP44" s="650"/>
      <c r="AQ44" s="650"/>
      <c r="AR44" s="650"/>
      <c r="AS44" s="650"/>
      <c r="AT44" s="651"/>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30"/>
      <c r="C45" s="530"/>
      <c r="D45" s="531"/>
      <c r="E45" s="630"/>
      <c r="F45" s="631"/>
      <c r="G45" s="631"/>
      <c r="H45" s="631"/>
      <c r="I45" s="631"/>
      <c r="J45" s="63" t="str">
        <f>IF(AND('Mapa final'!$AB$64="Baja",'Mapa final'!$AD$64="Leve"),CONCATENATE("R10C",'Mapa final'!$R$64),"")</f>
        <v/>
      </c>
      <c r="K45" s="64" t="str">
        <f>IF(AND('Mapa final'!$AB$65="Baja",'Mapa final'!$AD$65="Leve"),CONCATENATE("R10C",'Mapa final'!$R$65),"")</f>
        <v/>
      </c>
      <c r="L45" s="64" t="str">
        <f>IF(AND('Mapa final'!$AB$66="Baja",'Mapa final'!$AD$66="Leve"),CONCATENATE("R10C",'Mapa final'!$R$66),"")</f>
        <v/>
      </c>
      <c r="M45" s="64" t="str">
        <f>IF(AND('Mapa final'!$AB$67="Baja",'Mapa final'!$AD$67="Leve"),CONCATENATE("R10C",'Mapa final'!$R$67),"")</f>
        <v/>
      </c>
      <c r="N45" s="64" t="str">
        <f>IF(AND('Mapa final'!$AB$68="Baja",'Mapa final'!$AD$68="Leve"),CONCATENATE("R10C",'Mapa final'!$R$68),"")</f>
        <v/>
      </c>
      <c r="O45" s="65" t="str">
        <f>IF(AND('Mapa final'!$AB$69="Baja",'Mapa final'!$AD$69="Leve"),CONCATENATE("R10C",'Mapa final'!$R$69),"")</f>
        <v/>
      </c>
      <c r="P45" s="51" t="str">
        <f>IF(AND('Mapa final'!$AB$64="Baja",'Mapa final'!$AD$64="Menor"),CONCATENATE("R10C",'Mapa final'!$R$64),"")</f>
        <v/>
      </c>
      <c r="Q45" s="52" t="str">
        <f>IF(AND('Mapa final'!$AB$65="Baja",'Mapa final'!$AD$65="Menor"),CONCATENATE("R10C",'Mapa final'!$R$65),"")</f>
        <v/>
      </c>
      <c r="R45" s="52" t="str">
        <f>IF(AND('Mapa final'!$AB$66="Baja",'Mapa final'!$AD$66="Menor"),CONCATENATE("R10C",'Mapa final'!$R$66),"")</f>
        <v/>
      </c>
      <c r="S45" s="52" t="str">
        <f>IF(AND('Mapa final'!$AB$67="Baja",'Mapa final'!$AD$67="Menor"),CONCATENATE("R10C",'Mapa final'!$R$67),"")</f>
        <v/>
      </c>
      <c r="T45" s="52" t="str">
        <f>IF(AND('Mapa final'!$AB$68="Baja",'Mapa final'!$AD$68="Menor"),CONCATENATE("R10C",'Mapa final'!$R$68),"")</f>
        <v/>
      </c>
      <c r="U45" s="53" t="str">
        <f>IF(AND('Mapa final'!$AB$69="Baja",'Mapa final'!$AD$69="Menor"),CONCATENATE("R10C",'Mapa final'!$R$69),"")</f>
        <v/>
      </c>
      <c r="V45" s="54" t="str">
        <f>IF(AND('Mapa final'!$AB$64="Baja",'Mapa final'!$AD$64="Moderado"),CONCATENATE("R10C",'Mapa final'!$R$64),"")</f>
        <v/>
      </c>
      <c r="W45" s="55" t="str">
        <f>IF(AND('Mapa final'!$AB$65="Baja",'Mapa final'!$AD$65="Moderado"),CONCATENATE("R10C",'Mapa final'!$R$65),"")</f>
        <v/>
      </c>
      <c r="X45" s="55" t="str">
        <f>IF(AND('Mapa final'!$AB$66="Baja",'Mapa final'!$AD$66="Moderado"),CONCATENATE("R10C",'Mapa final'!$R$66),"")</f>
        <v/>
      </c>
      <c r="Y45" s="55" t="str">
        <f>IF(AND('Mapa final'!$AB$67="Baja",'Mapa final'!$AD$67="Moderado"),CONCATENATE("R10C",'Mapa final'!$R$67),"")</f>
        <v/>
      </c>
      <c r="Z45" s="55" t="str">
        <f>IF(AND('Mapa final'!$AB$68="Baja",'Mapa final'!$AD$68="Moderado"),CONCATENATE("R10C",'Mapa final'!$R$68),"")</f>
        <v/>
      </c>
      <c r="AA45" s="56" t="str">
        <f>IF(AND('Mapa final'!$AB$69="Baja",'Mapa final'!$AD$69="Moderado"),CONCATENATE("R10C",'Mapa final'!$R$69),"")</f>
        <v/>
      </c>
      <c r="AB45" s="42" t="str">
        <f>IF(AND('Mapa final'!$AB$64="Baja",'Mapa final'!$AD$64="Mayor"),CONCATENATE("R10C",'Mapa final'!$R$64),"")</f>
        <v/>
      </c>
      <c r="AC45" s="43" t="str">
        <f>IF(AND('Mapa final'!$AB$65="Baja",'Mapa final'!$AD$65="Mayor"),CONCATENATE("R10C",'Mapa final'!$R$65),"")</f>
        <v/>
      </c>
      <c r="AD45" s="43" t="str">
        <f>IF(AND('Mapa final'!$AB$66="Baja",'Mapa final'!$AD$66="Mayor"),CONCATENATE("R10C",'Mapa final'!$R$66),"")</f>
        <v/>
      </c>
      <c r="AE45" s="43" t="str">
        <f>IF(AND('Mapa final'!$AB$67="Baja",'Mapa final'!$AD$67="Mayor"),CONCATENATE("R10C",'Mapa final'!$R$67),"")</f>
        <v/>
      </c>
      <c r="AF45" s="43" t="str">
        <f>IF(AND('Mapa final'!$AB$68="Baja",'Mapa final'!$AD$68="Mayor"),CONCATENATE("R10C",'Mapa final'!$R$68),"")</f>
        <v/>
      </c>
      <c r="AG45" s="44" t="str">
        <f>IF(AND('Mapa final'!$AB$69="Baja",'Mapa final'!$AD$69="Mayor"),CONCATENATE("R10C",'Mapa final'!$R$69),"")</f>
        <v/>
      </c>
      <c r="AH45" s="45" t="str">
        <f>IF(AND('Mapa final'!$AB$64="Baja",'Mapa final'!$AD$64="Catastrófico"),CONCATENATE("R10C",'Mapa final'!$R$64),"")</f>
        <v/>
      </c>
      <c r="AI45" s="46" t="str">
        <f>IF(AND('Mapa final'!$AB$65="Baja",'Mapa final'!$AD$65="Catastrófico"),CONCATENATE("R10C",'Mapa final'!$R$65),"")</f>
        <v/>
      </c>
      <c r="AJ45" s="46" t="str">
        <f>IF(AND('Mapa final'!$AB$66="Baja",'Mapa final'!$AD$66="Catastrófico"),CONCATENATE("R10C",'Mapa final'!$R$66),"")</f>
        <v/>
      </c>
      <c r="AK45" s="46" t="str">
        <f>IF(AND('Mapa final'!$AB$67="Baja",'Mapa final'!$AD$67="Catastrófico"),CONCATENATE("R10C",'Mapa final'!$R$67),"")</f>
        <v/>
      </c>
      <c r="AL45" s="46" t="str">
        <f>IF(AND('Mapa final'!$AB$68="Baja",'Mapa final'!$AD$68="Catastrófico"),CONCATENATE("R10C",'Mapa final'!$R$68),"")</f>
        <v/>
      </c>
      <c r="AM45" s="47" t="str">
        <f>IF(AND('Mapa final'!$AB$69="Baja",'Mapa final'!$AD$69="Catastrófico"),CONCATENATE("R10C",'Mapa final'!$R$69),"")</f>
        <v/>
      </c>
      <c r="AN45" s="67"/>
      <c r="AO45" s="652"/>
      <c r="AP45" s="653"/>
      <c r="AQ45" s="653"/>
      <c r="AR45" s="653"/>
      <c r="AS45" s="653"/>
      <c r="AT45" s="654"/>
    </row>
    <row r="46" spans="1:80" ht="46.5" customHeight="1" x14ac:dyDescent="0.45">
      <c r="A46" s="67"/>
      <c r="B46" s="530"/>
      <c r="C46" s="530"/>
      <c r="D46" s="531"/>
      <c r="E46" s="625" t="s">
        <v>107</v>
      </c>
      <c r="F46" s="626"/>
      <c r="G46" s="626"/>
      <c r="H46" s="626"/>
      <c r="I46" s="643"/>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str">
        <f>IF(AND('Mapa final'!$AB$14="Muy Baja",'Mapa final'!$AD$14="Leve"),CONCATENATE("R1C",'Mapa final'!$R$14),"")</f>
        <v/>
      </c>
      <c r="O46" s="59" t="str">
        <f>IF(AND('Mapa final'!$AB$15="Muy Baja",'Mapa final'!$AD$15="Leve"),CONCATENATE("R1C",'Mapa final'!$R$15),"")</f>
        <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str">
        <f>IF(AND('Mapa final'!$AB$14="Muy Baja",'Mapa final'!$AD$14="Menor"),CONCATENATE("R1C",'Mapa final'!$R$14),"")</f>
        <v/>
      </c>
      <c r="U46" s="59" t="str">
        <f>IF(AND('Mapa final'!$AB$15="Muy Baja",'Mapa final'!$AD$15="Menor"),CONCATENATE("R1C",'Mapa final'!$R$15),"")</f>
        <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str">
        <f>IF(AND('Mapa final'!$AB$14="Muy Baja",'Mapa final'!$AD$14="Moderado"),CONCATENATE("R1C",'Mapa final'!$R$14),"")</f>
        <v/>
      </c>
      <c r="AA46" s="50" t="str">
        <f>IF(AND('Mapa final'!$AB$15="Muy Baja",'Mapa final'!$AD$15="Moderado"),CONCATENATE("R1C",'Mapa final'!$R$15),"")</f>
        <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str">
        <f>IF(AND('Mapa final'!$AB$14="Muy Baja",'Mapa final'!$AD$14="Mayor"),CONCATENATE("R1C",'Mapa final'!$R$14),"")</f>
        <v/>
      </c>
      <c r="AG46" s="32" t="str">
        <f>IF(AND('Mapa final'!$AB$15="Muy Baja",'Mapa final'!$AD$15="Mayor"),CONCATENATE("R1C",'Mapa final'!$R$15),"")</f>
        <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str">
        <f>IF(AND('Mapa final'!$AB$14="Muy Baja",'Mapa final'!$AD$14="Catastrófico"),CONCATENATE("R1C",'Mapa final'!$R$14),"")</f>
        <v/>
      </c>
      <c r="AM46" s="35" t="str">
        <f>IF(AND('Mapa final'!$AB$15="Muy Baja",'Mapa final'!$AD$15="Catastrófico"),CONCATENATE("R1C",'Mapa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30"/>
      <c r="C47" s="530"/>
      <c r="D47" s="531"/>
      <c r="E47" s="627"/>
      <c r="F47" s="628"/>
      <c r="G47" s="628"/>
      <c r="H47" s="628"/>
      <c r="I47" s="644"/>
      <c r="J47" s="60" t="str">
        <f>IF(AND('Mapa final'!$AB$16="Muy Baja",'Mapa final'!$AD$16="Leve"),CONCATENATE("R2C",'Mapa final'!$R$16),"")</f>
        <v/>
      </c>
      <c r="K47" s="61" t="str">
        <f>IF(AND('Mapa final'!$AB$17="Muy Baja",'Mapa final'!$AD$17="Leve"),CONCATENATE("R2C",'Mapa final'!$R$17),"")</f>
        <v/>
      </c>
      <c r="L47" s="61" t="str">
        <f>IF(AND('Mapa final'!$AB$18="Muy Baja",'Mapa final'!$AD$18="Leve"),CONCATENATE("R2C",'Mapa final'!$R$18),"")</f>
        <v/>
      </c>
      <c r="M47" s="61" t="str">
        <f>IF(AND('Mapa final'!$AB$19="Muy Baja",'Mapa final'!$AD$19="Leve"),CONCATENATE("R2C",'Mapa final'!$R$19),"")</f>
        <v/>
      </c>
      <c r="N47" s="61" t="str">
        <f>IF(AND('Mapa final'!$AB$20="Muy Baja",'Mapa final'!$AD$20="Leve"),CONCATENATE("R2C",'Mapa final'!$R$20),"")</f>
        <v/>
      </c>
      <c r="O47" s="62" t="str">
        <f>IF(AND('Mapa final'!$AB$21="Muy Baja",'Mapa final'!$AD$21="Leve"),CONCATENATE("R2C",'Mapa final'!$R$21),"")</f>
        <v/>
      </c>
      <c r="P47" s="60" t="str">
        <f>IF(AND('Mapa final'!$AB$16="Muy Baja",'Mapa final'!$AD$16="Menor"),CONCATENATE("R2C",'Mapa final'!$R$16),"")</f>
        <v/>
      </c>
      <c r="Q47" s="61" t="str">
        <f>IF(AND('Mapa final'!$AB$17="Muy Baja",'Mapa final'!$AD$17="Menor"),CONCATENATE("R2C",'Mapa final'!$R$17),"")</f>
        <v/>
      </c>
      <c r="R47" s="61" t="str">
        <f>IF(AND('Mapa final'!$AB$18="Muy Baja",'Mapa final'!$AD$18="Menor"),CONCATENATE("R2C",'Mapa final'!$R$18),"")</f>
        <v/>
      </c>
      <c r="S47" s="61" t="str">
        <f>IF(AND('Mapa final'!$AB$19="Muy Baja",'Mapa final'!$AD$19="Menor"),CONCATENATE("R2C",'Mapa final'!$R$19),"")</f>
        <v/>
      </c>
      <c r="T47" s="61" t="str">
        <f>IF(AND('Mapa final'!$AB$20="Muy Baja",'Mapa final'!$AD$20="Menor"),CONCATENATE("R2C",'Mapa final'!$R$20),"")</f>
        <v/>
      </c>
      <c r="U47" s="62" t="str">
        <f>IF(AND('Mapa final'!$AB$21="Muy Baja",'Mapa final'!$AD$21="Menor"),CONCATENATE("R2C",'Mapa final'!$R$21),"")</f>
        <v/>
      </c>
      <c r="V47" s="51" t="str">
        <f>IF(AND('Mapa final'!$AB$16="Muy Baja",'Mapa final'!$AD$16="Moderado"),CONCATENATE("R2C",'Mapa final'!$R$16),"")</f>
        <v/>
      </c>
      <c r="W47" s="52" t="str">
        <f>IF(AND('Mapa final'!$AB$17="Muy Baja",'Mapa final'!$AD$17="Moderado"),CONCATENATE("R2C",'Mapa final'!$R$17),"")</f>
        <v/>
      </c>
      <c r="X47" s="52" t="str">
        <f>IF(AND('Mapa final'!$AB$18="Muy Baja",'Mapa final'!$AD$18="Moderado"),CONCATENATE("R2C",'Mapa final'!$R$18),"")</f>
        <v/>
      </c>
      <c r="Y47" s="52" t="str">
        <f>IF(AND('Mapa final'!$AB$19="Muy Baja",'Mapa final'!$AD$19="Moderado"),CONCATENATE("R2C",'Mapa final'!$R$19),"")</f>
        <v/>
      </c>
      <c r="Z47" s="52" t="str">
        <f>IF(AND('Mapa final'!$AB$20="Muy Baja",'Mapa final'!$AD$20="Moderado"),CONCATENATE("R2C",'Mapa final'!$R$20),"")</f>
        <v/>
      </c>
      <c r="AA47" s="53" t="str">
        <f>IF(AND('Mapa final'!$AB$21="Muy Baja",'Mapa final'!$AD$21="Moderado"),CONCATENATE("R2C",'Mapa final'!$R$21),"")</f>
        <v/>
      </c>
      <c r="AB47" s="36" t="str">
        <f>IF(AND('Mapa final'!$AB$16="Muy Baja",'Mapa final'!$AD$16="Mayor"),CONCATENATE("R2C",'Mapa final'!$R$16),"")</f>
        <v/>
      </c>
      <c r="AC47" s="37" t="str">
        <f>IF(AND('Mapa final'!$AB$17="Muy Baja",'Mapa final'!$AD$17="Mayor"),CONCATENATE("R2C",'Mapa final'!$R$17),"")</f>
        <v/>
      </c>
      <c r="AD47" s="37" t="str">
        <f>IF(AND('Mapa final'!$AB$18="Muy Baja",'Mapa final'!$AD$18="Mayor"),CONCATENATE("R2C",'Mapa final'!$R$18),"")</f>
        <v/>
      </c>
      <c r="AE47" s="37" t="str">
        <f>IF(AND('Mapa final'!$AB$19="Muy Baja",'Mapa final'!$AD$19="Mayor"),CONCATENATE("R2C",'Mapa final'!$R$19),"")</f>
        <v/>
      </c>
      <c r="AF47" s="37" t="str">
        <f>IF(AND('Mapa final'!$AB$20="Muy Baja",'Mapa final'!$AD$20="Mayor"),CONCATENATE("R2C",'Mapa final'!$R$20),"")</f>
        <v/>
      </c>
      <c r="AG47" s="38" t="str">
        <f>IF(AND('Mapa final'!$AB$21="Muy Baja",'Mapa final'!$AD$21="Mayor"),CONCATENATE("R2C",'Mapa final'!$R$21),"")</f>
        <v/>
      </c>
      <c r="AH47" s="39" t="str">
        <f>IF(AND('Mapa final'!$AB$16="Muy Baja",'Mapa final'!$AD$16="Catastrófico"),CONCATENATE("R2C",'Mapa final'!$R$16),"")</f>
        <v/>
      </c>
      <c r="AI47" s="40" t="str">
        <f>IF(AND('Mapa final'!$AB$17="Muy Baja",'Mapa final'!$AD$17="Catastrófico"),CONCATENATE("R2C",'Mapa final'!$R$17),"")</f>
        <v/>
      </c>
      <c r="AJ47" s="40" t="str">
        <f>IF(AND('Mapa final'!$AB$18="Muy Baja",'Mapa final'!$AD$18="Catastrófico"),CONCATENATE("R2C",'Mapa final'!$R$18),"")</f>
        <v/>
      </c>
      <c r="AK47" s="40" t="str">
        <f>IF(AND('Mapa final'!$AB$19="Muy Baja",'Mapa final'!$AD$19="Catastrófico"),CONCATENATE("R2C",'Mapa final'!$R$19),"")</f>
        <v/>
      </c>
      <c r="AL47" s="40" t="str">
        <f>IF(AND('Mapa final'!$AB$20="Muy Baja",'Mapa final'!$AD$20="Catastrófico"),CONCATENATE("R2C",'Mapa final'!$R$20),"")</f>
        <v/>
      </c>
      <c r="AM47" s="41" t="str">
        <f>IF(AND('Mapa final'!$AB$21="Muy Baja",'Mapa final'!$AD$21="Catastrófico"),CONCATENATE("R2C",'Mapa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30"/>
      <c r="C48" s="530"/>
      <c r="D48" s="531"/>
      <c r="E48" s="627"/>
      <c r="F48" s="628"/>
      <c r="G48" s="628"/>
      <c r="H48" s="628"/>
      <c r="I48" s="644"/>
      <c r="J48" s="60" t="str">
        <f>IF(AND('Mapa final'!$AB$22="Muy Baja",'Mapa final'!$AD$22="Leve"),CONCATENATE("R3C",'Mapa final'!$R$22),"")</f>
        <v/>
      </c>
      <c r="K48" s="61" t="str">
        <f>IF(AND('Mapa final'!$AB$23="Muy Baja",'Mapa final'!$AD$23="Leve"),CONCATENATE("R3C",'Mapa final'!$R$23),"")</f>
        <v/>
      </c>
      <c r="L48" s="61" t="str">
        <f>IF(AND('Mapa final'!$AB$24="Muy Baja",'Mapa final'!$AD$24="Leve"),CONCATENATE("R3C",'Mapa final'!$R$24),"")</f>
        <v/>
      </c>
      <c r="M48" s="61" t="str">
        <f>IF(AND('Mapa final'!$AB$25="Muy Baja",'Mapa final'!$AD$25="Leve"),CONCATENATE("R3C",'Mapa final'!$R$25),"")</f>
        <v/>
      </c>
      <c r="N48" s="61" t="str">
        <f>IF(AND('Mapa final'!$AB$26="Muy Baja",'Mapa final'!$AD$26="Leve"),CONCATENATE("R3C",'Mapa final'!$R$26),"")</f>
        <v/>
      </c>
      <c r="O48" s="62" t="str">
        <f>IF(AND('Mapa final'!$AB$27="Muy Baja",'Mapa final'!$AD$27="Leve"),CONCATENATE("R3C",'Mapa final'!$R$27),"")</f>
        <v/>
      </c>
      <c r="P48" s="60" t="str">
        <f>IF(AND('Mapa final'!$AB$22="Muy Baja",'Mapa final'!$AD$22="Menor"),CONCATENATE("R3C",'Mapa final'!$R$22),"")</f>
        <v/>
      </c>
      <c r="Q48" s="61" t="str">
        <f>IF(AND('Mapa final'!$AB$23="Muy Baja",'Mapa final'!$AD$23="Menor"),CONCATENATE("R3C",'Mapa final'!$R$23),"")</f>
        <v/>
      </c>
      <c r="R48" s="61" t="str">
        <f>IF(AND('Mapa final'!$AB$24="Muy Baja",'Mapa final'!$AD$24="Menor"),CONCATENATE("R3C",'Mapa final'!$R$24),"")</f>
        <v/>
      </c>
      <c r="S48" s="61" t="str">
        <f>IF(AND('Mapa final'!$AB$25="Muy Baja",'Mapa final'!$AD$25="Menor"),CONCATENATE("R3C",'Mapa final'!$R$25),"")</f>
        <v/>
      </c>
      <c r="T48" s="61" t="str">
        <f>IF(AND('Mapa final'!$AB$26="Muy Baja",'Mapa final'!$AD$26="Menor"),CONCATENATE("R3C",'Mapa final'!$R$26),"")</f>
        <v/>
      </c>
      <c r="U48" s="62" t="str">
        <f>IF(AND('Mapa final'!$AB$27="Muy Baja",'Mapa final'!$AD$27="Menor"),CONCATENATE("R3C",'Mapa final'!$R$27),"")</f>
        <v/>
      </c>
      <c r="V48" s="51" t="str">
        <f>IF(AND('Mapa final'!$AB$22="Muy Baja",'Mapa final'!$AD$22="Moderado"),CONCATENATE("R3C",'Mapa final'!$R$22),"")</f>
        <v/>
      </c>
      <c r="W48" s="52" t="str">
        <f>IF(AND('Mapa final'!$AB$23="Muy Baja",'Mapa final'!$AD$23="Moderado"),CONCATENATE("R3C",'Mapa final'!$R$23),"")</f>
        <v/>
      </c>
      <c r="X48" s="52" t="str">
        <f>IF(AND('Mapa final'!$AB$24="Muy Baja",'Mapa final'!$AD$24="Moderado"),CONCATENATE("R3C",'Mapa final'!$R$24),"")</f>
        <v/>
      </c>
      <c r="Y48" s="52" t="str">
        <f>IF(AND('Mapa final'!$AB$25="Muy Baja",'Mapa final'!$AD$25="Moderado"),CONCATENATE("R3C",'Mapa final'!$R$25),"")</f>
        <v/>
      </c>
      <c r="Z48" s="52" t="str">
        <f>IF(AND('Mapa final'!$AB$26="Muy Baja",'Mapa final'!$AD$26="Moderado"),CONCATENATE("R3C",'Mapa final'!$R$26),"")</f>
        <v/>
      </c>
      <c r="AA48" s="53" t="str">
        <f>IF(AND('Mapa final'!$AB$27="Muy Baja",'Mapa final'!$AD$27="Moderado"),CONCATENATE("R3C",'Mapa final'!$R$27),"")</f>
        <v/>
      </c>
      <c r="AB48" s="36" t="str">
        <f>IF(AND('Mapa final'!$AB$22="Muy Baja",'Mapa final'!$AD$22="Mayor"),CONCATENATE("R3C",'Mapa final'!$R$22),"")</f>
        <v/>
      </c>
      <c r="AC48" s="37" t="str">
        <f>IF(AND('Mapa final'!$AB$23="Muy Baja",'Mapa final'!$AD$23="Mayor"),CONCATENATE("R3C",'Mapa final'!$R$23),"")</f>
        <v/>
      </c>
      <c r="AD48" s="37" t="str">
        <f>IF(AND('Mapa final'!$AB$24="Muy Baja",'Mapa final'!$AD$24="Mayor"),CONCATENATE("R3C",'Mapa final'!$R$24),"")</f>
        <v/>
      </c>
      <c r="AE48" s="37" t="str">
        <f>IF(AND('Mapa final'!$AB$25="Muy Baja",'Mapa final'!$AD$25="Mayor"),CONCATENATE("R3C",'Mapa final'!$R$25),"")</f>
        <v/>
      </c>
      <c r="AF48" s="37" t="str">
        <f>IF(AND('Mapa final'!$AB$26="Muy Baja",'Mapa final'!$AD$26="Mayor"),CONCATENATE("R3C",'Mapa final'!$R$26),"")</f>
        <v/>
      </c>
      <c r="AG48" s="38" t="str">
        <f>IF(AND('Mapa final'!$AB$27="Muy Baja",'Mapa final'!$AD$27="Mayor"),CONCATENATE("R3C",'Mapa final'!$R$27),"")</f>
        <v/>
      </c>
      <c r="AH48" s="39" t="str">
        <f>IF(AND('Mapa final'!$AB$22="Muy Baja",'Mapa final'!$AD$22="Catastrófico"),CONCATENATE("R3C",'Mapa final'!$R$22),"")</f>
        <v/>
      </c>
      <c r="AI48" s="40" t="str">
        <f>IF(AND('Mapa final'!$AB$23="Muy Baja",'Mapa final'!$AD$23="Catastrófico"),CONCATENATE("R3C",'Mapa final'!$R$23),"")</f>
        <v/>
      </c>
      <c r="AJ48" s="40" t="str">
        <f>IF(AND('Mapa final'!$AB$24="Muy Baja",'Mapa final'!$AD$24="Catastrófico"),CONCATENATE("R3C",'Mapa final'!$R$24),"")</f>
        <v/>
      </c>
      <c r="AK48" s="40" t="str">
        <f>IF(AND('Mapa final'!$AB$25="Muy Baja",'Mapa final'!$AD$25="Catastrófico"),CONCATENATE("R3C",'Mapa final'!$R$25),"")</f>
        <v/>
      </c>
      <c r="AL48" s="40" t="str">
        <f>IF(AND('Mapa final'!$AB$26="Muy Baja",'Mapa final'!$AD$26="Catastrófico"),CONCATENATE("R3C",'Mapa final'!$R$26),"")</f>
        <v/>
      </c>
      <c r="AM48" s="41" t="str">
        <f>IF(AND('Mapa final'!$AB$27="Muy Baja",'Mapa final'!$AD$27="Catastrófico"),CONCATENATE("R3C",'Mapa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30"/>
      <c r="C49" s="530"/>
      <c r="D49" s="531"/>
      <c r="E49" s="629"/>
      <c r="F49" s="628"/>
      <c r="G49" s="628"/>
      <c r="H49" s="628"/>
      <c r="I49" s="644"/>
      <c r="J49" s="60" t="str">
        <f>IF(AND('Mapa final'!$AB$28="Muy Baja",'Mapa final'!$AD$28="Leve"),CONCATENATE("R4C",'Mapa final'!$R$28),"")</f>
        <v/>
      </c>
      <c r="K49" s="61" t="str">
        <f>IF(AND('Mapa final'!$AB$29="Muy Baja",'Mapa final'!$AD$29="Leve"),CONCATENATE("R4C",'Mapa final'!$R$29),"")</f>
        <v/>
      </c>
      <c r="L49" s="61" t="str">
        <f>IF(AND('Mapa final'!$AB$30="Muy Baja",'Mapa final'!$AD$30="Leve"),CONCATENATE("R4C",'Mapa final'!$R$30),"")</f>
        <v/>
      </c>
      <c r="M49" s="61" t="str">
        <f>IF(AND('Mapa final'!$AB$31="Muy Baja",'Mapa final'!$AD$31="Leve"),CONCATENATE("R4C",'Mapa final'!$R$31),"")</f>
        <v/>
      </c>
      <c r="N49" s="61" t="str">
        <f>IF(AND('Mapa final'!$AB$32="Muy Baja",'Mapa final'!$AD$32="Leve"),CONCATENATE("R4C",'Mapa final'!$R$32),"")</f>
        <v/>
      </c>
      <c r="O49" s="62" t="str">
        <f>IF(AND('Mapa final'!$AB$33="Muy Baja",'Mapa final'!$AD$33="Leve"),CONCATENATE("R4C",'Mapa final'!$R$33),"")</f>
        <v/>
      </c>
      <c r="P49" s="60" t="str">
        <f>IF(AND('Mapa final'!$AB$28="Muy Baja",'Mapa final'!$AD$28="Menor"),CONCATENATE("R4C",'Mapa final'!$R$28),"")</f>
        <v/>
      </c>
      <c r="Q49" s="61" t="str">
        <f>IF(AND('Mapa final'!$AB$29="Muy Baja",'Mapa final'!$AD$29="Menor"),CONCATENATE("R4C",'Mapa final'!$R$29),"")</f>
        <v/>
      </c>
      <c r="R49" s="61" t="str">
        <f>IF(AND('Mapa final'!$AB$30="Muy Baja",'Mapa final'!$AD$30="Menor"),CONCATENATE("R4C",'Mapa final'!$R$30),"")</f>
        <v/>
      </c>
      <c r="S49" s="61" t="str">
        <f>IF(AND('Mapa final'!$AB$31="Muy Baja",'Mapa final'!$AD$31="Menor"),CONCATENATE("R4C",'Mapa final'!$R$31),"")</f>
        <v/>
      </c>
      <c r="T49" s="61" t="str">
        <f>IF(AND('Mapa final'!$AB$32="Muy Baja",'Mapa final'!$AD$32="Menor"),CONCATENATE("R4C",'Mapa final'!$R$32),"")</f>
        <v/>
      </c>
      <c r="U49" s="62" t="str">
        <f>IF(AND('Mapa final'!$AB$33="Muy Baja",'Mapa final'!$AD$33="Menor"),CONCATENATE("R4C",'Mapa final'!$R$33),"")</f>
        <v/>
      </c>
      <c r="V49" s="51" t="str">
        <f>IF(AND('Mapa final'!$AB$28="Muy Baja",'Mapa final'!$AD$28="Moderado"),CONCATENATE("R4C",'Mapa final'!$R$28),"")</f>
        <v/>
      </c>
      <c r="W49" s="52" t="str">
        <f>IF(AND('Mapa final'!$AB$29="Muy Baja",'Mapa final'!$AD$29="Moderado"),CONCATENATE("R4C",'Mapa final'!$R$29),"")</f>
        <v/>
      </c>
      <c r="X49" s="52" t="str">
        <f>IF(AND('Mapa final'!$AB$30="Muy Baja",'Mapa final'!$AD$30="Moderado"),CONCATENATE("R4C",'Mapa final'!$R$30),"")</f>
        <v/>
      </c>
      <c r="Y49" s="52" t="str">
        <f>IF(AND('Mapa final'!$AB$31="Muy Baja",'Mapa final'!$AD$31="Moderado"),CONCATENATE("R4C",'Mapa final'!$R$31),"")</f>
        <v/>
      </c>
      <c r="Z49" s="52" t="str">
        <f>IF(AND('Mapa final'!$AB$32="Muy Baja",'Mapa final'!$AD$32="Moderado"),CONCATENATE("R4C",'Mapa final'!$R$32),"")</f>
        <v/>
      </c>
      <c r="AA49" s="53" t="str">
        <f>IF(AND('Mapa final'!$AB$33="Muy Baja",'Mapa final'!$AD$33="Moderado"),CONCATENATE("R4C",'Mapa final'!$R$33),"")</f>
        <v/>
      </c>
      <c r="AB49" s="36" t="str">
        <f>IF(AND('Mapa final'!$AB$28="Muy Baja",'Mapa final'!$AD$28="Mayor"),CONCATENATE("R4C",'Mapa final'!$R$28),"")</f>
        <v/>
      </c>
      <c r="AC49" s="37" t="str">
        <f>IF(AND('Mapa final'!$AB$29="Muy Baja",'Mapa final'!$AD$29="Mayor"),CONCATENATE("R4C",'Mapa final'!$R$29),"")</f>
        <v/>
      </c>
      <c r="AD49" s="37" t="str">
        <f>IF(AND('Mapa final'!$AB$30="Muy Baja",'Mapa final'!$AD$30="Mayor"),CONCATENATE("R4C",'Mapa final'!$R$30),"")</f>
        <v/>
      </c>
      <c r="AE49" s="37" t="str">
        <f>IF(AND('Mapa final'!$AB$31="Muy Baja",'Mapa final'!$AD$31="Mayor"),CONCATENATE("R4C",'Mapa final'!$R$31),"")</f>
        <v/>
      </c>
      <c r="AF49" s="37" t="str">
        <f>IF(AND('Mapa final'!$AB$32="Muy Baja",'Mapa final'!$AD$32="Mayor"),CONCATENATE("R4C",'Mapa final'!$R$32),"")</f>
        <v/>
      </c>
      <c r="AG49" s="38" t="str">
        <f>IF(AND('Mapa final'!$AB$33="Muy Baja",'Mapa final'!$AD$33="Mayor"),CONCATENATE("R4C",'Mapa final'!$R$33),"")</f>
        <v/>
      </c>
      <c r="AH49" s="39" t="str">
        <f>IF(AND('Mapa final'!$AB$28="Muy Baja",'Mapa final'!$AD$28="Catastrófico"),CONCATENATE("R4C",'Mapa final'!$R$28),"")</f>
        <v/>
      </c>
      <c r="AI49" s="40" t="str">
        <f>IF(AND('Mapa final'!$AB$29="Muy Baja",'Mapa final'!$AD$29="Catastrófico"),CONCATENATE("R4C",'Mapa final'!$R$29),"")</f>
        <v/>
      </c>
      <c r="AJ49" s="40" t="str">
        <f>IF(AND('Mapa final'!$AB$30="Muy Baja",'Mapa final'!$AD$30="Catastrófico"),CONCATENATE("R4C",'Mapa final'!$R$30),"")</f>
        <v/>
      </c>
      <c r="AK49" s="40" t="str">
        <f>IF(AND('Mapa final'!$AB$31="Muy Baja",'Mapa final'!$AD$31="Catastrófico"),CONCATENATE("R4C",'Mapa final'!$R$31),"")</f>
        <v/>
      </c>
      <c r="AL49" s="40" t="str">
        <f>IF(AND('Mapa final'!$AB$32="Muy Baja",'Mapa final'!$AD$32="Catastrófico"),CONCATENATE("R4C",'Mapa final'!$R$32),"")</f>
        <v/>
      </c>
      <c r="AM49" s="41" t="str">
        <f>IF(AND('Mapa final'!$AB$33="Muy Baja",'Mapa final'!$AD$33="Catastrófico"),CONCATENATE("R4C",'Mapa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30"/>
      <c r="C50" s="530"/>
      <c r="D50" s="531"/>
      <c r="E50" s="629"/>
      <c r="F50" s="628"/>
      <c r="G50" s="628"/>
      <c r="H50" s="628"/>
      <c r="I50" s="644"/>
      <c r="J50" s="60" t="str">
        <f>IF(AND('Mapa final'!$AB$34="Muy Baja",'Mapa final'!$AD$34="Leve"),CONCATENATE("R5C",'Mapa final'!$R$34),"")</f>
        <v/>
      </c>
      <c r="K50" s="61" t="str">
        <f>IF(AND('Mapa final'!$AB$35="Muy Baja",'Mapa final'!$AD$35="Leve"),CONCATENATE("R5C",'Mapa final'!$R$35),"")</f>
        <v/>
      </c>
      <c r="L50" s="61" t="str">
        <f>IF(AND('Mapa final'!$AB$36="Muy Baja",'Mapa final'!$AD$36="Leve"),CONCATENATE("R5C",'Mapa final'!$R$36),"")</f>
        <v/>
      </c>
      <c r="M50" s="61" t="str">
        <f>IF(AND('Mapa final'!$AB$37="Muy Baja",'Mapa final'!$AD$37="Leve"),CONCATENATE("R5C",'Mapa final'!$R$37),"")</f>
        <v/>
      </c>
      <c r="N50" s="61" t="str">
        <f>IF(AND('Mapa final'!$AB$38="Muy Baja",'Mapa final'!$AD$38="Leve"),CONCATENATE("R5C",'Mapa final'!$R$38),"")</f>
        <v/>
      </c>
      <c r="O50" s="62" t="str">
        <f>IF(AND('Mapa final'!$AB$39="Muy Baja",'Mapa final'!$AD$39="Leve"),CONCATENATE("R5C",'Mapa final'!$R$39),"")</f>
        <v/>
      </c>
      <c r="P50" s="60" t="str">
        <f>IF(AND('Mapa final'!$AB$34="Muy Baja",'Mapa final'!$AD$34="Menor"),CONCATENATE("R5C",'Mapa final'!$R$34),"")</f>
        <v/>
      </c>
      <c r="Q50" s="61" t="str">
        <f>IF(AND('Mapa final'!$AB$35="Muy Baja",'Mapa final'!$AD$35="Menor"),CONCATENATE("R5C",'Mapa final'!$R$35),"")</f>
        <v/>
      </c>
      <c r="R50" s="61" t="str">
        <f>IF(AND('Mapa final'!$AB$36="Muy Baja",'Mapa final'!$AD$36="Menor"),CONCATENATE("R5C",'Mapa final'!$R$36),"")</f>
        <v/>
      </c>
      <c r="S50" s="61" t="str">
        <f>IF(AND('Mapa final'!$AB$37="Muy Baja",'Mapa final'!$AD$37="Menor"),CONCATENATE("R5C",'Mapa final'!$R$37),"")</f>
        <v/>
      </c>
      <c r="T50" s="61" t="str">
        <f>IF(AND('Mapa final'!$AB$38="Muy Baja",'Mapa final'!$AD$38="Menor"),CONCATENATE("R5C",'Mapa final'!$R$38),"")</f>
        <v/>
      </c>
      <c r="U50" s="62" t="str">
        <f>IF(AND('Mapa final'!$AB$39="Muy Baja",'Mapa final'!$AD$39="Menor"),CONCATENATE("R5C",'Mapa final'!$R$39),"")</f>
        <v/>
      </c>
      <c r="V50" s="51" t="str">
        <f>IF(AND('Mapa final'!$AB$34="Muy Baja",'Mapa final'!$AD$34="Moderado"),CONCATENATE("R5C",'Mapa final'!$R$34),"")</f>
        <v/>
      </c>
      <c r="W50" s="52" t="str">
        <f>IF(AND('Mapa final'!$AB$35="Muy Baja",'Mapa final'!$AD$35="Moderado"),CONCATENATE("R5C",'Mapa final'!$R$35),"")</f>
        <v/>
      </c>
      <c r="X50" s="52" t="str">
        <f>IF(AND('Mapa final'!$AB$36="Muy Baja",'Mapa final'!$AD$36="Moderado"),CONCATENATE("R5C",'Mapa final'!$R$36),"")</f>
        <v/>
      </c>
      <c r="Y50" s="52" t="str">
        <f>IF(AND('Mapa final'!$AB$37="Muy Baja",'Mapa final'!$AD$37="Moderado"),CONCATENATE("R5C",'Mapa final'!$R$37),"")</f>
        <v/>
      </c>
      <c r="Z50" s="52" t="str">
        <f>IF(AND('Mapa final'!$AB$38="Muy Baja",'Mapa final'!$AD$38="Moderado"),CONCATENATE("R5C",'Mapa final'!$R$38),"")</f>
        <v/>
      </c>
      <c r="AA50" s="53" t="str">
        <f>IF(AND('Mapa final'!$AB$39="Muy Baja",'Mapa final'!$AD$39="Moderado"),CONCATENATE("R5C",'Mapa final'!$R$39),"")</f>
        <v/>
      </c>
      <c r="AB50" s="36" t="str">
        <f>IF(AND('Mapa final'!$AB$34="Muy Baja",'Mapa final'!$AD$34="Mayor"),CONCATENATE("R5C",'Mapa final'!$R$34),"")</f>
        <v/>
      </c>
      <c r="AC50" s="37" t="str">
        <f>IF(AND('Mapa final'!$AB$35="Muy Baja",'Mapa final'!$AD$35="Mayor"),CONCATENATE("R5C",'Mapa final'!$R$35),"")</f>
        <v/>
      </c>
      <c r="AD50" s="37" t="str">
        <f>IF(AND('Mapa final'!$AB$36="Muy Baja",'Mapa final'!$AD$36="Mayor"),CONCATENATE("R5C",'Mapa final'!$R$36),"")</f>
        <v/>
      </c>
      <c r="AE50" s="37" t="str">
        <f>IF(AND('Mapa final'!$AB$37="Muy Baja",'Mapa final'!$AD$37="Mayor"),CONCATENATE("R5C",'Mapa final'!$R$37),"")</f>
        <v/>
      </c>
      <c r="AF50" s="37" t="str">
        <f>IF(AND('Mapa final'!$AB$38="Muy Baja",'Mapa final'!$AD$38="Mayor"),CONCATENATE("R5C",'Mapa final'!$R$38),"")</f>
        <v/>
      </c>
      <c r="AG50" s="38" t="str">
        <f>IF(AND('Mapa final'!$AB$39="Muy Baja",'Mapa final'!$AD$39="Mayor"),CONCATENATE("R5C",'Mapa final'!$R$39),"")</f>
        <v/>
      </c>
      <c r="AH50" s="39" t="str">
        <f>IF(AND('Mapa final'!$AB$34="Muy Baja",'Mapa final'!$AD$34="Catastrófico"),CONCATENATE("R5C",'Mapa final'!$R$34),"")</f>
        <v/>
      </c>
      <c r="AI50" s="40" t="str">
        <f>IF(AND('Mapa final'!$AB$35="Muy Baja",'Mapa final'!$AD$35="Catastrófico"),CONCATENATE("R5C",'Mapa final'!$R$35),"")</f>
        <v/>
      </c>
      <c r="AJ50" s="40" t="str">
        <f>IF(AND('Mapa final'!$AB$36="Muy Baja",'Mapa final'!$AD$36="Catastrófico"),CONCATENATE("R5C",'Mapa final'!$R$36),"")</f>
        <v/>
      </c>
      <c r="AK50" s="40" t="str">
        <f>IF(AND('Mapa final'!$AB$37="Muy Baja",'Mapa final'!$AD$37="Catastrófico"),CONCATENATE("R5C",'Mapa final'!$R$37),"")</f>
        <v/>
      </c>
      <c r="AL50" s="40" t="str">
        <f>IF(AND('Mapa final'!$AB$38="Muy Baja",'Mapa final'!$AD$38="Catastrófico"),CONCATENATE("R5C",'Mapa final'!$R$38),"")</f>
        <v/>
      </c>
      <c r="AM50" s="41" t="str">
        <f>IF(AND('Mapa final'!$AB$39="Muy Baja",'Mapa final'!$AD$39="Catastrófico"),CONCATENATE("R5C",'Mapa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30"/>
      <c r="C51" s="530"/>
      <c r="D51" s="531"/>
      <c r="E51" s="629"/>
      <c r="F51" s="628"/>
      <c r="G51" s="628"/>
      <c r="H51" s="628"/>
      <c r="I51" s="644"/>
      <c r="J51" s="60" t="str">
        <f>IF(AND('Mapa final'!$AB$40="Muy Baja",'Mapa final'!$AD$40="Leve"),CONCATENATE("R6C",'Mapa final'!$R$40),"")</f>
        <v/>
      </c>
      <c r="K51" s="61" t="str">
        <f>IF(AND('Mapa final'!$AB$41="Muy Baja",'Mapa final'!$AD$41="Leve"),CONCATENATE("R6C",'Mapa final'!$R$41),"")</f>
        <v/>
      </c>
      <c r="L51" s="61" t="str">
        <f>IF(AND('Mapa final'!$AB$42="Muy Baja",'Mapa final'!$AD$42="Leve"),CONCATENATE("R6C",'Mapa final'!$R$42),"")</f>
        <v/>
      </c>
      <c r="M51" s="61" t="str">
        <f>IF(AND('Mapa final'!$AB$43="Muy Baja",'Mapa final'!$AD$43="Leve"),CONCATENATE("R6C",'Mapa final'!$R$43),"")</f>
        <v/>
      </c>
      <c r="N51" s="61" t="str">
        <f>IF(AND('Mapa final'!$AB$44="Muy Baja",'Mapa final'!$AD$44="Leve"),CONCATENATE("R6C",'Mapa final'!$R$44),"")</f>
        <v/>
      </c>
      <c r="O51" s="62" t="str">
        <f>IF(AND('Mapa final'!$AB$45="Muy Baja",'Mapa final'!$AD$45="Leve"),CONCATENATE("R6C",'Mapa final'!$R$45),"")</f>
        <v/>
      </c>
      <c r="P51" s="60" t="str">
        <f>IF(AND('Mapa final'!$AB$40="Muy Baja",'Mapa final'!$AD$40="Menor"),CONCATENATE("R6C",'Mapa final'!$R$40),"")</f>
        <v/>
      </c>
      <c r="Q51" s="61" t="str">
        <f>IF(AND('Mapa final'!$AB$41="Muy Baja",'Mapa final'!$AD$41="Menor"),CONCATENATE("R6C",'Mapa final'!$R$41),"")</f>
        <v/>
      </c>
      <c r="R51" s="61" t="str">
        <f>IF(AND('Mapa final'!$AB$42="Muy Baja",'Mapa final'!$AD$42="Menor"),CONCATENATE("R6C",'Mapa final'!$R$42),"")</f>
        <v/>
      </c>
      <c r="S51" s="61" t="str">
        <f>IF(AND('Mapa final'!$AB$43="Muy Baja",'Mapa final'!$AD$43="Menor"),CONCATENATE("R6C",'Mapa final'!$R$43),"")</f>
        <v/>
      </c>
      <c r="T51" s="61" t="str">
        <f>IF(AND('Mapa final'!$AB$44="Muy Baja",'Mapa final'!$AD$44="Menor"),CONCATENATE("R6C",'Mapa final'!$R$44),"")</f>
        <v/>
      </c>
      <c r="U51" s="62" t="str">
        <f>IF(AND('Mapa final'!$AB$45="Muy Baja",'Mapa final'!$AD$45="Menor"),CONCATENATE("R6C",'Mapa final'!$R$45),"")</f>
        <v/>
      </c>
      <c r="V51" s="51" t="str">
        <f>IF(AND('Mapa final'!$AB$40="Muy Baja",'Mapa final'!$AD$40="Moderado"),CONCATENATE("R6C",'Mapa final'!$R$40),"")</f>
        <v/>
      </c>
      <c r="W51" s="52" t="str">
        <f>IF(AND('Mapa final'!$AB$41="Muy Baja",'Mapa final'!$AD$41="Moderado"),CONCATENATE("R6C",'Mapa final'!$R$41),"")</f>
        <v/>
      </c>
      <c r="X51" s="52" t="str">
        <f>IF(AND('Mapa final'!$AB$42="Muy Baja",'Mapa final'!$AD$42="Moderado"),CONCATENATE("R6C",'Mapa final'!$R$42),"")</f>
        <v/>
      </c>
      <c r="Y51" s="52" t="str">
        <f>IF(AND('Mapa final'!$AB$43="Muy Baja",'Mapa final'!$AD$43="Moderado"),CONCATENATE("R6C",'Mapa final'!$R$43),"")</f>
        <v/>
      </c>
      <c r="Z51" s="52" t="str">
        <f>IF(AND('Mapa final'!$AB$44="Muy Baja",'Mapa final'!$AD$44="Moderado"),CONCATENATE("R6C",'Mapa final'!$R$44),"")</f>
        <v/>
      </c>
      <c r="AA51" s="53" t="str">
        <f>IF(AND('Mapa final'!$AB$45="Muy Baja",'Mapa final'!$AD$45="Moderado"),CONCATENATE("R6C",'Mapa final'!$R$45),"")</f>
        <v/>
      </c>
      <c r="AB51" s="36" t="str">
        <f>IF(AND('Mapa final'!$AB$40="Muy Baja",'Mapa final'!$AD$40="Mayor"),CONCATENATE("R6C",'Mapa final'!$R$40),"")</f>
        <v/>
      </c>
      <c r="AC51" s="37" t="str">
        <f>IF(AND('Mapa final'!$AB$41="Muy Baja",'Mapa final'!$AD$41="Mayor"),CONCATENATE("R6C",'Mapa final'!$R$41),"")</f>
        <v/>
      </c>
      <c r="AD51" s="37" t="str">
        <f>IF(AND('Mapa final'!$AB$42="Muy Baja",'Mapa final'!$AD$42="Mayor"),CONCATENATE("R6C",'Mapa final'!$R$42),"")</f>
        <v/>
      </c>
      <c r="AE51" s="37" t="str">
        <f>IF(AND('Mapa final'!$AB$43="Muy Baja",'Mapa final'!$AD$43="Mayor"),CONCATENATE("R6C",'Mapa final'!$R$43),"")</f>
        <v/>
      </c>
      <c r="AF51" s="37" t="str">
        <f>IF(AND('Mapa final'!$AB$44="Muy Baja",'Mapa final'!$AD$44="Mayor"),CONCATENATE("R6C",'Mapa final'!$R$44),"")</f>
        <v/>
      </c>
      <c r="AG51" s="38" t="str">
        <f>IF(AND('Mapa final'!$AB$45="Muy Baja",'Mapa final'!$AD$45="Mayor"),CONCATENATE("R6C",'Mapa final'!$R$45),"")</f>
        <v/>
      </c>
      <c r="AH51" s="39" t="str">
        <f>IF(AND('Mapa final'!$AB$40="Muy Baja",'Mapa final'!$AD$40="Catastrófico"),CONCATENATE("R6C",'Mapa final'!$R$40),"")</f>
        <v/>
      </c>
      <c r="AI51" s="40" t="str">
        <f>IF(AND('Mapa final'!$AB$41="Muy Baja",'Mapa final'!$AD$41="Catastrófico"),CONCATENATE("R6C",'Mapa final'!$R$41),"")</f>
        <v/>
      </c>
      <c r="AJ51" s="40" t="str">
        <f>IF(AND('Mapa final'!$AB$42="Muy Baja",'Mapa final'!$AD$42="Catastrófico"),CONCATENATE("R6C",'Mapa final'!$R$42),"")</f>
        <v/>
      </c>
      <c r="AK51" s="40" t="str">
        <f>IF(AND('Mapa final'!$AB$43="Muy Baja",'Mapa final'!$AD$43="Catastrófico"),CONCATENATE("R6C",'Mapa final'!$R$43),"")</f>
        <v/>
      </c>
      <c r="AL51" s="40" t="str">
        <f>IF(AND('Mapa final'!$AB$44="Muy Baja",'Mapa final'!$AD$44="Catastrófico"),CONCATENATE("R6C",'Mapa final'!$R$44),"")</f>
        <v/>
      </c>
      <c r="AM51" s="41" t="str">
        <f>IF(AND('Mapa final'!$AB$45="Muy Baja",'Mapa final'!$AD$45="Catastrófico"),CONCATENATE("R6C",'Mapa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30"/>
      <c r="C52" s="530"/>
      <c r="D52" s="531"/>
      <c r="E52" s="629"/>
      <c r="F52" s="628"/>
      <c r="G52" s="628"/>
      <c r="H52" s="628"/>
      <c r="I52" s="644"/>
      <c r="J52" s="60" t="str">
        <f>IF(AND('Mapa final'!$AB$46="Muy Baja",'Mapa final'!$AD$46="Leve"),CONCATENATE("R7C",'Mapa final'!$R$46),"")</f>
        <v/>
      </c>
      <c r="K52" s="61" t="str">
        <f>IF(AND('Mapa final'!$AB$47="Muy Baja",'Mapa final'!$AD$47="Leve"),CONCATENATE("R7C",'Mapa final'!$R$47),"")</f>
        <v/>
      </c>
      <c r="L52" s="61" t="str">
        <f>IF(AND('Mapa final'!$AB$48="Muy Baja",'Mapa final'!$AD$48="Leve"),CONCATENATE("R7C",'Mapa final'!$R$48),"")</f>
        <v/>
      </c>
      <c r="M52" s="61" t="str">
        <f>IF(AND('Mapa final'!$AB$49="Muy Baja",'Mapa final'!$AD$49="Leve"),CONCATENATE("R7C",'Mapa final'!$R$49),"")</f>
        <v/>
      </c>
      <c r="N52" s="61" t="str">
        <f>IF(AND('Mapa final'!$AB$50="Muy Baja",'Mapa final'!$AD$50="Leve"),CONCATENATE("R7C",'Mapa final'!$R$50),"")</f>
        <v/>
      </c>
      <c r="O52" s="62" t="str">
        <f>IF(AND('Mapa final'!$AB$51="Muy Baja",'Mapa final'!$AD$51="Leve"),CONCATENATE("R7C",'Mapa final'!$R$51),"")</f>
        <v/>
      </c>
      <c r="P52" s="60" t="str">
        <f>IF(AND('Mapa final'!$AB$46="Muy Baja",'Mapa final'!$AD$46="Menor"),CONCATENATE("R7C",'Mapa final'!$R$46),"")</f>
        <v/>
      </c>
      <c r="Q52" s="61" t="str">
        <f>IF(AND('Mapa final'!$AB$47="Muy Baja",'Mapa final'!$AD$47="Menor"),CONCATENATE("R7C",'Mapa final'!$R$47),"")</f>
        <v/>
      </c>
      <c r="R52" s="61" t="str">
        <f>IF(AND('Mapa final'!$AB$48="Muy Baja",'Mapa final'!$AD$48="Menor"),CONCATENATE("R7C",'Mapa final'!$R$48),"")</f>
        <v/>
      </c>
      <c r="S52" s="61" t="str">
        <f>IF(AND('Mapa final'!$AB$49="Muy Baja",'Mapa final'!$AD$49="Menor"),CONCATENATE("R7C",'Mapa final'!$R$49),"")</f>
        <v/>
      </c>
      <c r="T52" s="61" t="str">
        <f>IF(AND('Mapa final'!$AB$50="Muy Baja",'Mapa final'!$AD$50="Menor"),CONCATENATE("R7C",'Mapa final'!$R$50),"")</f>
        <v/>
      </c>
      <c r="U52" s="62" t="str">
        <f>IF(AND('Mapa final'!$AB$51="Muy Baja",'Mapa final'!$AD$51="Menor"),CONCATENATE("R7C",'Mapa final'!$R$51),"")</f>
        <v/>
      </c>
      <c r="V52" s="51" t="str">
        <f>IF(AND('Mapa final'!$AB$46="Muy Baja",'Mapa final'!$AD$46="Moderado"),CONCATENATE("R7C",'Mapa final'!$R$46),"")</f>
        <v/>
      </c>
      <c r="W52" s="52" t="str">
        <f>IF(AND('Mapa final'!$AB$47="Muy Baja",'Mapa final'!$AD$47="Moderado"),CONCATENATE("R7C",'Mapa final'!$R$47),"")</f>
        <v/>
      </c>
      <c r="X52" s="52" t="str">
        <f>IF(AND('Mapa final'!$AB$48="Muy Baja",'Mapa final'!$AD$48="Moderado"),CONCATENATE("R7C",'Mapa final'!$R$48),"")</f>
        <v/>
      </c>
      <c r="Y52" s="52" t="str">
        <f>IF(AND('Mapa final'!$AB$49="Muy Baja",'Mapa final'!$AD$49="Moderado"),CONCATENATE("R7C",'Mapa final'!$R$49),"")</f>
        <v/>
      </c>
      <c r="Z52" s="52" t="str">
        <f>IF(AND('Mapa final'!$AB$50="Muy Baja",'Mapa final'!$AD$50="Moderado"),CONCATENATE("R7C",'Mapa final'!$R$50),"")</f>
        <v/>
      </c>
      <c r="AA52" s="53" t="str">
        <f>IF(AND('Mapa final'!$AB$51="Muy Baja",'Mapa final'!$AD$51="Moderado"),CONCATENATE("R7C",'Mapa final'!$R$51),"")</f>
        <v/>
      </c>
      <c r="AB52" s="36" t="str">
        <f>IF(AND('Mapa final'!$AB$46="Muy Baja",'Mapa final'!$AD$46="Mayor"),CONCATENATE("R7C",'Mapa final'!$R$46),"")</f>
        <v/>
      </c>
      <c r="AC52" s="37" t="str">
        <f>IF(AND('Mapa final'!$AB$47="Muy Baja",'Mapa final'!$AD$47="Mayor"),CONCATENATE("R7C",'Mapa final'!$R$47),"")</f>
        <v/>
      </c>
      <c r="AD52" s="37" t="str">
        <f>IF(AND('Mapa final'!$AB$48="Muy Baja",'Mapa final'!$AD$48="Mayor"),CONCATENATE("R7C",'Mapa final'!$R$48),"")</f>
        <v/>
      </c>
      <c r="AE52" s="37" t="str">
        <f>IF(AND('Mapa final'!$AB$49="Muy Baja",'Mapa final'!$AD$49="Mayor"),CONCATENATE("R7C",'Mapa final'!$R$49),"")</f>
        <v/>
      </c>
      <c r="AF52" s="37" t="str">
        <f>IF(AND('Mapa final'!$AB$50="Muy Baja",'Mapa final'!$AD$50="Mayor"),CONCATENATE("R7C",'Mapa final'!$R$50),"")</f>
        <v/>
      </c>
      <c r="AG52" s="38" t="str">
        <f>IF(AND('Mapa final'!$AB$51="Muy Baja",'Mapa final'!$AD$51="Mayor"),CONCATENATE("R7C",'Mapa final'!$R$51),"")</f>
        <v/>
      </c>
      <c r="AH52" s="39" t="str">
        <f>IF(AND('Mapa final'!$AB$46="Muy Baja",'Mapa final'!$AD$46="Catastrófico"),CONCATENATE("R7C",'Mapa final'!$R$46),"")</f>
        <v/>
      </c>
      <c r="AI52" s="40" t="str">
        <f>IF(AND('Mapa final'!$AB$47="Muy Baja",'Mapa final'!$AD$47="Catastrófico"),CONCATENATE("R7C",'Mapa final'!$R$47),"")</f>
        <v/>
      </c>
      <c r="AJ52" s="40" t="str">
        <f>IF(AND('Mapa final'!$AB$48="Muy Baja",'Mapa final'!$AD$48="Catastrófico"),CONCATENATE("R7C",'Mapa final'!$R$48),"")</f>
        <v/>
      </c>
      <c r="AK52" s="40" t="str">
        <f>IF(AND('Mapa final'!$AB$49="Muy Baja",'Mapa final'!$AD$49="Catastrófico"),CONCATENATE("R7C",'Mapa final'!$R$49),"")</f>
        <v/>
      </c>
      <c r="AL52" s="40" t="str">
        <f>IF(AND('Mapa final'!$AB$50="Muy Baja",'Mapa final'!$AD$50="Catastrófico"),CONCATENATE("R7C",'Mapa final'!$R$50),"")</f>
        <v/>
      </c>
      <c r="AM52" s="41" t="str">
        <f>IF(AND('Mapa final'!$AB$51="Muy Baja",'Mapa final'!$AD$51="Catastrófico"),CONCATENATE("R7C",'Mapa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30"/>
      <c r="C53" s="530"/>
      <c r="D53" s="531"/>
      <c r="E53" s="629"/>
      <c r="F53" s="628"/>
      <c r="G53" s="628"/>
      <c r="H53" s="628"/>
      <c r="I53" s="644"/>
      <c r="J53" s="60" t="str">
        <f>IF(AND('Mapa final'!$AB$52="Muy Baja",'Mapa final'!$AD$52="Leve"),CONCATENATE("R8C",'Mapa final'!$R$52),"")</f>
        <v/>
      </c>
      <c r="K53" s="61" t="str">
        <f>IF(AND('Mapa final'!$AB$53="Muy Baja",'Mapa final'!$AD$53="Leve"),CONCATENATE("R8C",'Mapa final'!$R$53),"")</f>
        <v/>
      </c>
      <c r="L53" s="61" t="str">
        <f>IF(AND('Mapa final'!$AB$54="Muy Baja",'Mapa final'!$AD$54="Leve"),CONCATENATE("R8C",'Mapa final'!$R$54),"")</f>
        <v/>
      </c>
      <c r="M53" s="61" t="str">
        <f>IF(AND('Mapa final'!$AB$55="Muy Baja",'Mapa final'!$AD$55="Leve"),CONCATENATE("R8C",'Mapa final'!$R$55),"")</f>
        <v/>
      </c>
      <c r="N53" s="61" t="str">
        <f>IF(AND('Mapa final'!$AB$56="Muy Baja",'Mapa final'!$AD$56="Leve"),CONCATENATE("R8C",'Mapa final'!$R$56),"")</f>
        <v/>
      </c>
      <c r="O53" s="62" t="str">
        <f>IF(AND('Mapa final'!$AB$57="Muy Baja",'Mapa final'!$AD$57="Leve"),CONCATENATE("R8C",'Mapa final'!$R$57),"")</f>
        <v/>
      </c>
      <c r="P53" s="60" t="str">
        <f>IF(AND('Mapa final'!$AB$52="Muy Baja",'Mapa final'!$AD$52="Menor"),CONCATENATE("R8C",'Mapa final'!$R$52),"")</f>
        <v/>
      </c>
      <c r="Q53" s="61" t="str">
        <f>IF(AND('Mapa final'!$AB$53="Muy Baja",'Mapa final'!$AD$53="Menor"),CONCATENATE("R8C",'Mapa final'!$R$53),"")</f>
        <v/>
      </c>
      <c r="R53" s="61" t="str">
        <f>IF(AND('Mapa final'!$AB$54="Muy Baja",'Mapa final'!$AD$54="Menor"),CONCATENATE("R8C",'Mapa final'!$R$54),"")</f>
        <v/>
      </c>
      <c r="S53" s="61" t="str">
        <f>IF(AND('Mapa final'!$AB$55="Muy Baja",'Mapa final'!$AD$55="Menor"),CONCATENATE("R8C",'Mapa final'!$R$55),"")</f>
        <v/>
      </c>
      <c r="T53" s="61" t="str">
        <f>IF(AND('Mapa final'!$AB$56="Muy Baja",'Mapa final'!$AD$56="Menor"),CONCATENATE("R8C",'Mapa final'!$R$56),"")</f>
        <v/>
      </c>
      <c r="U53" s="62" t="str">
        <f>IF(AND('Mapa final'!$AB$57="Muy Baja",'Mapa final'!$AD$57="Menor"),CONCATENATE("R8C",'Mapa final'!$R$57),"")</f>
        <v/>
      </c>
      <c r="V53" s="51" t="str">
        <f>IF(AND('Mapa final'!$AB$52="Muy Baja",'Mapa final'!$AD$52="Moderado"),CONCATENATE("R8C",'Mapa final'!$R$52),"")</f>
        <v/>
      </c>
      <c r="W53" s="52" t="str">
        <f>IF(AND('Mapa final'!$AB$53="Muy Baja",'Mapa final'!$AD$53="Moderado"),CONCATENATE("R8C",'Mapa final'!$R$53),"")</f>
        <v/>
      </c>
      <c r="X53" s="52" t="str">
        <f>IF(AND('Mapa final'!$AB$54="Muy Baja",'Mapa final'!$AD$54="Moderado"),CONCATENATE("R8C",'Mapa final'!$R$54),"")</f>
        <v/>
      </c>
      <c r="Y53" s="52" t="str">
        <f>IF(AND('Mapa final'!$AB$55="Muy Baja",'Mapa final'!$AD$55="Moderado"),CONCATENATE("R8C",'Mapa final'!$R$55),"")</f>
        <v/>
      </c>
      <c r="Z53" s="52" t="str">
        <f>IF(AND('Mapa final'!$AB$56="Muy Baja",'Mapa final'!$AD$56="Moderado"),CONCATENATE("R8C",'Mapa final'!$R$56),"")</f>
        <v/>
      </c>
      <c r="AA53" s="53" t="str">
        <f>IF(AND('Mapa final'!$AB$57="Muy Baja",'Mapa final'!$AD$57="Moderado"),CONCATENATE("R8C",'Mapa final'!$R$57),"")</f>
        <v/>
      </c>
      <c r="AB53" s="36" t="str">
        <f>IF(AND('Mapa final'!$AB$52="Muy Baja",'Mapa final'!$AD$52="Mayor"),CONCATENATE("R8C",'Mapa final'!$R$52),"")</f>
        <v/>
      </c>
      <c r="AC53" s="37" t="str">
        <f>IF(AND('Mapa final'!$AB$53="Muy Baja",'Mapa final'!$AD$53="Mayor"),CONCATENATE("R8C",'Mapa final'!$R$53),"")</f>
        <v/>
      </c>
      <c r="AD53" s="37" t="str">
        <f>IF(AND('Mapa final'!$AB$54="Muy Baja",'Mapa final'!$AD$54="Mayor"),CONCATENATE("R8C",'Mapa final'!$R$54),"")</f>
        <v/>
      </c>
      <c r="AE53" s="37" t="str">
        <f>IF(AND('Mapa final'!$AB$55="Muy Baja",'Mapa final'!$AD$55="Mayor"),CONCATENATE("R8C",'Mapa final'!$R$55),"")</f>
        <v/>
      </c>
      <c r="AF53" s="37" t="str">
        <f>IF(AND('Mapa final'!$AB$56="Muy Baja",'Mapa final'!$AD$56="Mayor"),CONCATENATE("R8C",'Mapa final'!$R$56),"")</f>
        <v/>
      </c>
      <c r="AG53" s="38" t="str">
        <f>IF(AND('Mapa final'!$AB$57="Muy Baja",'Mapa final'!$AD$57="Mayor"),CONCATENATE("R8C",'Mapa final'!$R$57),"")</f>
        <v/>
      </c>
      <c r="AH53" s="39" t="str">
        <f>IF(AND('Mapa final'!$AB$52="Muy Baja",'Mapa final'!$AD$52="Catastrófico"),CONCATENATE("R8C",'Mapa final'!$R$52),"")</f>
        <v/>
      </c>
      <c r="AI53" s="40" t="str">
        <f>IF(AND('Mapa final'!$AB$53="Muy Baja",'Mapa final'!$AD$53="Catastrófico"),CONCATENATE("R8C",'Mapa final'!$R$53),"")</f>
        <v/>
      </c>
      <c r="AJ53" s="40" t="str">
        <f>IF(AND('Mapa final'!$AB$54="Muy Baja",'Mapa final'!$AD$54="Catastrófico"),CONCATENATE("R8C",'Mapa final'!$R$54),"")</f>
        <v/>
      </c>
      <c r="AK53" s="40" t="str">
        <f>IF(AND('Mapa final'!$AB$55="Muy Baja",'Mapa final'!$AD$55="Catastrófico"),CONCATENATE("R8C",'Mapa final'!$R$55),"")</f>
        <v/>
      </c>
      <c r="AL53" s="40" t="str">
        <f>IF(AND('Mapa final'!$AB$56="Muy Baja",'Mapa final'!$AD$56="Catastrófico"),CONCATENATE("R8C",'Mapa final'!$R$56),"")</f>
        <v/>
      </c>
      <c r="AM53" s="41" t="str">
        <f>IF(AND('Mapa final'!$AB$57="Muy Baja",'Mapa final'!$AD$57="Catastrófico"),CONCATENATE("R8C",'Mapa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30"/>
      <c r="C54" s="530"/>
      <c r="D54" s="531"/>
      <c r="E54" s="629"/>
      <c r="F54" s="628"/>
      <c r="G54" s="628"/>
      <c r="H54" s="628"/>
      <c r="I54" s="644"/>
      <c r="J54" s="60" t="str">
        <f>IF(AND('Mapa final'!$AB$58="Muy Baja",'Mapa final'!$AD$58="Leve"),CONCATENATE("R9C",'Mapa final'!$R$58),"")</f>
        <v/>
      </c>
      <c r="K54" s="61" t="str">
        <f>IF(AND('Mapa final'!$AB$59="Muy Baja",'Mapa final'!$AD$59="Leve"),CONCATENATE("R9C",'Mapa final'!$R$59),"")</f>
        <v/>
      </c>
      <c r="L54" s="61" t="str">
        <f>IF(AND('Mapa final'!$AB$60="Muy Baja",'Mapa final'!$AD$60="Leve"),CONCATENATE("R9C",'Mapa final'!$R$60),"")</f>
        <v/>
      </c>
      <c r="M54" s="61" t="str">
        <f>IF(AND('Mapa final'!$AB$61="Muy Baja",'Mapa final'!$AD$61="Leve"),CONCATENATE("R9C",'Mapa final'!$R$61),"")</f>
        <v/>
      </c>
      <c r="N54" s="61" t="str">
        <f>IF(AND('Mapa final'!$AB$62="Muy Baja",'Mapa final'!$AD$62="Leve"),CONCATENATE("R9C",'Mapa final'!$R$62),"")</f>
        <v/>
      </c>
      <c r="O54" s="62" t="str">
        <f>IF(AND('Mapa final'!$AB$63="Muy Baja",'Mapa final'!$AD$63="Leve"),CONCATENATE("R9C",'Mapa final'!$R$63),"")</f>
        <v/>
      </c>
      <c r="P54" s="60" t="str">
        <f>IF(AND('Mapa final'!$AB$58="Muy Baja",'Mapa final'!$AD$58="Menor"),CONCATENATE("R9C",'Mapa final'!$R$58),"")</f>
        <v/>
      </c>
      <c r="Q54" s="61" t="str">
        <f>IF(AND('Mapa final'!$AB$59="Muy Baja",'Mapa final'!$AD$59="Menor"),CONCATENATE("R9C",'Mapa final'!$R$59),"")</f>
        <v/>
      </c>
      <c r="R54" s="61" t="str">
        <f>IF(AND('Mapa final'!$AB$60="Muy Baja",'Mapa final'!$AD$60="Menor"),CONCATENATE("R9C",'Mapa final'!$R$60),"")</f>
        <v/>
      </c>
      <c r="S54" s="61" t="str">
        <f>IF(AND('Mapa final'!$AB$61="Muy Baja",'Mapa final'!$AD$61="Menor"),CONCATENATE("R9C",'Mapa final'!$R$61),"")</f>
        <v/>
      </c>
      <c r="T54" s="61" t="str">
        <f>IF(AND('Mapa final'!$AB$62="Muy Baja",'Mapa final'!$AD$62="Menor"),CONCATENATE("R9C",'Mapa final'!$R$62),"")</f>
        <v/>
      </c>
      <c r="U54" s="62" t="str">
        <f>IF(AND('Mapa final'!$AB$63="Muy Baja",'Mapa final'!$AD$63="Menor"),CONCATENATE("R9C",'Mapa final'!$R$63),"")</f>
        <v/>
      </c>
      <c r="V54" s="51" t="str">
        <f>IF(AND('Mapa final'!$AB$58="Muy Baja",'Mapa final'!$AD$58="Moderado"),CONCATENATE("R9C",'Mapa final'!$R$58),"")</f>
        <v/>
      </c>
      <c r="W54" s="52" t="str">
        <f>IF(AND('Mapa final'!$AB$59="Muy Baja",'Mapa final'!$AD$59="Moderado"),CONCATENATE("R9C",'Mapa final'!$R$59),"")</f>
        <v/>
      </c>
      <c r="X54" s="52" t="str">
        <f>IF(AND('Mapa final'!$AB$60="Muy Baja",'Mapa final'!$AD$60="Moderado"),CONCATENATE("R9C",'Mapa final'!$R$60),"")</f>
        <v/>
      </c>
      <c r="Y54" s="52" t="str">
        <f>IF(AND('Mapa final'!$AB$61="Muy Baja",'Mapa final'!$AD$61="Moderado"),CONCATENATE("R9C",'Mapa final'!$R$61),"")</f>
        <v/>
      </c>
      <c r="Z54" s="52" t="str">
        <f>IF(AND('Mapa final'!$AB$62="Muy Baja",'Mapa final'!$AD$62="Moderado"),CONCATENATE("R9C",'Mapa final'!$R$62),"")</f>
        <v/>
      </c>
      <c r="AA54" s="53" t="str">
        <f>IF(AND('Mapa final'!$AB$63="Muy Baja",'Mapa final'!$AD$63="Moderado"),CONCATENATE("R9C",'Mapa final'!$R$63),"")</f>
        <v/>
      </c>
      <c r="AB54" s="36" t="str">
        <f>IF(AND('Mapa final'!$AB$58="Muy Baja",'Mapa final'!$AD$58="Mayor"),CONCATENATE("R9C",'Mapa final'!$R$58),"")</f>
        <v/>
      </c>
      <c r="AC54" s="37" t="str">
        <f>IF(AND('Mapa final'!$AB$59="Muy Baja",'Mapa final'!$AD$59="Mayor"),CONCATENATE("R9C",'Mapa final'!$R$59),"")</f>
        <v/>
      </c>
      <c r="AD54" s="37" t="str">
        <f>IF(AND('Mapa final'!$AB$60="Muy Baja",'Mapa final'!$AD$60="Mayor"),CONCATENATE("R9C",'Mapa final'!$R$60),"")</f>
        <v/>
      </c>
      <c r="AE54" s="37" t="str">
        <f>IF(AND('Mapa final'!$AB$61="Muy Baja",'Mapa final'!$AD$61="Mayor"),CONCATENATE("R9C",'Mapa final'!$R$61),"")</f>
        <v/>
      </c>
      <c r="AF54" s="37" t="str">
        <f>IF(AND('Mapa final'!$AB$62="Muy Baja",'Mapa final'!$AD$62="Mayor"),CONCATENATE("R9C",'Mapa final'!$R$62),"")</f>
        <v/>
      </c>
      <c r="AG54" s="38" t="str">
        <f>IF(AND('Mapa final'!$AB$63="Muy Baja",'Mapa final'!$AD$63="Mayor"),CONCATENATE("R9C",'Mapa final'!$R$63),"")</f>
        <v/>
      </c>
      <c r="AH54" s="39" t="str">
        <f>IF(AND('Mapa final'!$AB$58="Muy Baja",'Mapa final'!$AD$58="Catastrófico"),CONCATENATE("R9C",'Mapa final'!$R$58),"")</f>
        <v/>
      </c>
      <c r="AI54" s="40" t="str">
        <f>IF(AND('Mapa final'!$AB$59="Muy Baja",'Mapa final'!$AD$59="Catastrófico"),CONCATENATE("R9C",'Mapa final'!$R$59),"")</f>
        <v/>
      </c>
      <c r="AJ54" s="40" t="str">
        <f>IF(AND('Mapa final'!$AB$60="Muy Baja",'Mapa final'!$AD$60="Catastrófico"),CONCATENATE("R9C",'Mapa final'!$R$60),"")</f>
        <v/>
      </c>
      <c r="AK54" s="40" t="str">
        <f>IF(AND('Mapa final'!$AB$61="Muy Baja",'Mapa final'!$AD$61="Catastrófico"),CONCATENATE("R9C",'Mapa final'!$R$61),"")</f>
        <v/>
      </c>
      <c r="AL54" s="40" t="str">
        <f>IF(AND('Mapa final'!$AB$62="Muy Baja",'Mapa final'!$AD$62="Catastrófico"),CONCATENATE("R9C",'Mapa final'!$R$62),"")</f>
        <v/>
      </c>
      <c r="AM54" s="41" t="str">
        <f>IF(AND('Mapa final'!$AB$63="Muy Baja",'Mapa final'!$AD$63="Catastrófico"),CONCATENATE("R9C",'Mapa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30"/>
      <c r="C55" s="530"/>
      <c r="D55" s="531"/>
      <c r="E55" s="630"/>
      <c r="F55" s="631"/>
      <c r="G55" s="631"/>
      <c r="H55" s="631"/>
      <c r="I55" s="645"/>
      <c r="J55" s="63" t="str">
        <f>IF(AND('Mapa final'!$AB$64="Muy Baja",'Mapa final'!$AD$64="Leve"),CONCATENATE("R10C",'Mapa final'!$R$64),"")</f>
        <v/>
      </c>
      <c r="K55" s="64" t="str">
        <f>IF(AND('Mapa final'!$AB$65="Muy Baja",'Mapa final'!$AD$65="Leve"),CONCATENATE("R10C",'Mapa final'!$R$65),"")</f>
        <v/>
      </c>
      <c r="L55" s="64" t="str">
        <f>IF(AND('Mapa final'!$AB$66="Muy Baja",'Mapa final'!$AD$66="Leve"),CONCATENATE("R10C",'Mapa final'!$R$66),"")</f>
        <v/>
      </c>
      <c r="M55" s="64" t="str">
        <f>IF(AND('Mapa final'!$AB$67="Muy Baja",'Mapa final'!$AD$67="Leve"),CONCATENATE("R10C",'Mapa final'!$R$67),"")</f>
        <v/>
      </c>
      <c r="N55" s="64" t="str">
        <f>IF(AND('Mapa final'!$AB$68="Muy Baja",'Mapa final'!$AD$68="Leve"),CONCATENATE("R10C",'Mapa final'!$R$68),"")</f>
        <v/>
      </c>
      <c r="O55" s="65" t="str">
        <f>IF(AND('Mapa final'!$AB$69="Muy Baja",'Mapa final'!$AD$69="Leve"),CONCATENATE("R10C",'Mapa final'!$R$69),"")</f>
        <v/>
      </c>
      <c r="P55" s="63" t="str">
        <f>IF(AND('Mapa final'!$AB$64="Muy Baja",'Mapa final'!$AD$64="Menor"),CONCATENATE("R10C",'Mapa final'!$R$64),"")</f>
        <v/>
      </c>
      <c r="Q55" s="64" t="str">
        <f>IF(AND('Mapa final'!$AB$65="Muy Baja",'Mapa final'!$AD$65="Menor"),CONCATENATE("R10C",'Mapa final'!$R$65),"")</f>
        <v/>
      </c>
      <c r="R55" s="64" t="str">
        <f>IF(AND('Mapa final'!$AB$66="Muy Baja",'Mapa final'!$AD$66="Menor"),CONCATENATE("R10C",'Mapa final'!$R$66),"")</f>
        <v/>
      </c>
      <c r="S55" s="64" t="str">
        <f>IF(AND('Mapa final'!$AB$67="Muy Baja",'Mapa final'!$AD$67="Menor"),CONCATENATE("R10C",'Mapa final'!$R$67),"")</f>
        <v/>
      </c>
      <c r="T55" s="64" t="str">
        <f>IF(AND('Mapa final'!$AB$68="Muy Baja",'Mapa final'!$AD$68="Menor"),CONCATENATE("R10C",'Mapa final'!$R$68),"")</f>
        <v/>
      </c>
      <c r="U55" s="65" t="str">
        <f>IF(AND('Mapa final'!$AB$69="Muy Baja",'Mapa final'!$AD$69="Menor"),CONCATENATE("R10C",'Mapa final'!$R$69),"")</f>
        <v/>
      </c>
      <c r="V55" s="54" t="str">
        <f>IF(AND('Mapa final'!$AB$64="Muy Baja",'Mapa final'!$AD$64="Moderado"),CONCATENATE("R10C",'Mapa final'!$R$64),"")</f>
        <v/>
      </c>
      <c r="W55" s="55" t="str">
        <f>IF(AND('Mapa final'!$AB$65="Muy Baja",'Mapa final'!$AD$65="Moderado"),CONCATENATE("R10C",'Mapa final'!$R$65),"")</f>
        <v/>
      </c>
      <c r="X55" s="55" t="str">
        <f>IF(AND('Mapa final'!$AB$66="Muy Baja",'Mapa final'!$AD$66="Moderado"),CONCATENATE("R10C",'Mapa final'!$R$66),"")</f>
        <v/>
      </c>
      <c r="Y55" s="55" t="str">
        <f>IF(AND('Mapa final'!$AB$67="Muy Baja",'Mapa final'!$AD$67="Moderado"),CONCATENATE("R10C",'Mapa final'!$R$67),"")</f>
        <v/>
      </c>
      <c r="Z55" s="55" t="str">
        <f>IF(AND('Mapa final'!$AB$68="Muy Baja",'Mapa final'!$AD$68="Moderado"),CONCATENATE("R10C",'Mapa final'!$R$68),"")</f>
        <v/>
      </c>
      <c r="AA55" s="56" t="str">
        <f>IF(AND('Mapa final'!$AB$69="Muy Baja",'Mapa final'!$AD$69="Moderado"),CONCATENATE("R10C",'Mapa final'!$R$69),"")</f>
        <v/>
      </c>
      <c r="AB55" s="42" t="str">
        <f>IF(AND('Mapa final'!$AB$64="Muy Baja",'Mapa final'!$AD$64="Mayor"),CONCATENATE("R10C",'Mapa final'!$R$64),"")</f>
        <v/>
      </c>
      <c r="AC55" s="43" t="str">
        <f>IF(AND('Mapa final'!$AB$65="Muy Baja",'Mapa final'!$AD$65="Mayor"),CONCATENATE("R10C",'Mapa final'!$R$65),"")</f>
        <v/>
      </c>
      <c r="AD55" s="43" t="str">
        <f>IF(AND('Mapa final'!$AB$66="Muy Baja",'Mapa final'!$AD$66="Mayor"),CONCATENATE("R10C",'Mapa final'!$R$66),"")</f>
        <v/>
      </c>
      <c r="AE55" s="43" t="str">
        <f>IF(AND('Mapa final'!$AB$67="Muy Baja",'Mapa final'!$AD$67="Mayor"),CONCATENATE("R10C",'Mapa final'!$R$67),"")</f>
        <v/>
      </c>
      <c r="AF55" s="43" t="str">
        <f>IF(AND('Mapa final'!$AB$68="Muy Baja",'Mapa final'!$AD$68="Mayor"),CONCATENATE("R10C",'Mapa final'!$R$68),"")</f>
        <v/>
      </c>
      <c r="AG55" s="44" t="str">
        <f>IF(AND('Mapa final'!$AB$69="Muy Baja",'Mapa final'!$AD$69="Mayor"),CONCATENATE("R10C",'Mapa final'!$R$69),"")</f>
        <v/>
      </c>
      <c r="AH55" s="45" t="str">
        <f>IF(AND('Mapa final'!$AB$64="Muy Baja",'Mapa final'!$AD$64="Catastrófico"),CONCATENATE("R10C",'Mapa final'!$R$64),"")</f>
        <v/>
      </c>
      <c r="AI55" s="46" t="str">
        <f>IF(AND('Mapa final'!$AB$65="Muy Baja",'Mapa final'!$AD$65="Catastrófico"),CONCATENATE("R10C",'Mapa final'!$R$65),"")</f>
        <v/>
      </c>
      <c r="AJ55" s="46" t="str">
        <f>IF(AND('Mapa final'!$AB$66="Muy Baja",'Mapa final'!$AD$66="Catastrófico"),CONCATENATE("R10C",'Mapa final'!$R$66),"")</f>
        <v/>
      </c>
      <c r="AK55" s="46" t="str">
        <f>IF(AND('Mapa final'!$AB$67="Muy Baja",'Mapa final'!$AD$67="Catastrófico"),CONCATENATE("R10C",'Mapa final'!$R$67),"")</f>
        <v/>
      </c>
      <c r="AL55" s="46" t="str">
        <f>IF(AND('Mapa final'!$AB$68="Muy Baja",'Mapa final'!$AD$68="Catastrófico"),CONCATENATE("R10C",'Mapa final'!$R$68),"")</f>
        <v/>
      </c>
      <c r="AM55" s="47" t="str">
        <f>IF(AND('Mapa final'!$AB$69="Muy Baja",'Mapa final'!$AD$69="Catastrófico"),CONCATENATE("R10C",'Mapa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25" t="s">
        <v>106</v>
      </c>
      <c r="K56" s="626"/>
      <c r="L56" s="626"/>
      <c r="M56" s="626"/>
      <c r="N56" s="626"/>
      <c r="O56" s="643"/>
      <c r="P56" s="625" t="s">
        <v>105</v>
      </c>
      <c r="Q56" s="626"/>
      <c r="R56" s="626"/>
      <c r="S56" s="626"/>
      <c r="T56" s="626"/>
      <c r="U56" s="643"/>
      <c r="V56" s="625" t="s">
        <v>104</v>
      </c>
      <c r="W56" s="626"/>
      <c r="X56" s="626"/>
      <c r="Y56" s="626"/>
      <c r="Z56" s="626"/>
      <c r="AA56" s="643"/>
      <c r="AB56" s="625" t="s">
        <v>103</v>
      </c>
      <c r="AC56" s="664"/>
      <c r="AD56" s="626"/>
      <c r="AE56" s="626"/>
      <c r="AF56" s="626"/>
      <c r="AG56" s="643"/>
      <c r="AH56" s="625" t="s">
        <v>102</v>
      </c>
      <c r="AI56" s="626"/>
      <c r="AJ56" s="626"/>
      <c r="AK56" s="626"/>
      <c r="AL56" s="626"/>
      <c r="AM56" s="643"/>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29"/>
      <c r="K57" s="628"/>
      <c r="L57" s="628"/>
      <c r="M57" s="628"/>
      <c r="N57" s="628"/>
      <c r="O57" s="644"/>
      <c r="P57" s="629"/>
      <c r="Q57" s="628"/>
      <c r="R57" s="628"/>
      <c r="S57" s="628"/>
      <c r="T57" s="628"/>
      <c r="U57" s="644"/>
      <c r="V57" s="629"/>
      <c r="W57" s="628"/>
      <c r="X57" s="628"/>
      <c r="Y57" s="628"/>
      <c r="Z57" s="628"/>
      <c r="AA57" s="644"/>
      <c r="AB57" s="629"/>
      <c r="AC57" s="628"/>
      <c r="AD57" s="628"/>
      <c r="AE57" s="628"/>
      <c r="AF57" s="628"/>
      <c r="AG57" s="644"/>
      <c r="AH57" s="629"/>
      <c r="AI57" s="628"/>
      <c r="AJ57" s="628"/>
      <c r="AK57" s="628"/>
      <c r="AL57" s="628"/>
      <c r="AM57" s="644"/>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29"/>
      <c r="K58" s="628"/>
      <c r="L58" s="628"/>
      <c r="M58" s="628"/>
      <c r="N58" s="628"/>
      <c r="O58" s="644"/>
      <c r="P58" s="629"/>
      <c r="Q58" s="628"/>
      <c r="R58" s="628"/>
      <c r="S58" s="628"/>
      <c r="T58" s="628"/>
      <c r="U58" s="644"/>
      <c r="V58" s="629"/>
      <c r="W58" s="628"/>
      <c r="X58" s="628"/>
      <c r="Y58" s="628"/>
      <c r="Z58" s="628"/>
      <c r="AA58" s="644"/>
      <c r="AB58" s="629"/>
      <c r="AC58" s="628"/>
      <c r="AD58" s="628"/>
      <c r="AE58" s="628"/>
      <c r="AF58" s="628"/>
      <c r="AG58" s="644"/>
      <c r="AH58" s="629"/>
      <c r="AI58" s="628"/>
      <c r="AJ58" s="628"/>
      <c r="AK58" s="628"/>
      <c r="AL58" s="628"/>
      <c r="AM58" s="644"/>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29"/>
      <c r="K59" s="628"/>
      <c r="L59" s="628"/>
      <c r="M59" s="628"/>
      <c r="N59" s="628"/>
      <c r="O59" s="644"/>
      <c r="P59" s="629"/>
      <c r="Q59" s="628"/>
      <c r="R59" s="628"/>
      <c r="S59" s="628"/>
      <c r="T59" s="628"/>
      <c r="U59" s="644"/>
      <c r="V59" s="629"/>
      <c r="W59" s="628"/>
      <c r="X59" s="628"/>
      <c r="Y59" s="628"/>
      <c r="Z59" s="628"/>
      <c r="AA59" s="644"/>
      <c r="AB59" s="629"/>
      <c r="AC59" s="628"/>
      <c r="AD59" s="628"/>
      <c r="AE59" s="628"/>
      <c r="AF59" s="628"/>
      <c r="AG59" s="644"/>
      <c r="AH59" s="629"/>
      <c r="AI59" s="628"/>
      <c r="AJ59" s="628"/>
      <c r="AK59" s="628"/>
      <c r="AL59" s="628"/>
      <c r="AM59" s="644"/>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29"/>
      <c r="K60" s="628"/>
      <c r="L60" s="628"/>
      <c r="M60" s="628"/>
      <c r="N60" s="628"/>
      <c r="O60" s="644"/>
      <c r="P60" s="629"/>
      <c r="Q60" s="628"/>
      <c r="R60" s="628"/>
      <c r="S60" s="628"/>
      <c r="T60" s="628"/>
      <c r="U60" s="644"/>
      <c r="V60" s="629"/>
      <c r="W60" s="628"/>
      <c r="X60" s="628"/>
      <c r="Y60" s="628"/>
      <c r="Z60" s="628"/>
      <c r="AA60" s="644"/>
      <c r="AB60" s="629"/>
      <c r="AC60" s="628"/>
      <c r="AD60" s="628"/>
      <c r="AE60" s="628"/>
      <c r="AF60" s="628"/>
      <c r="AG60" s="644"/>
      <c r="AH60" s="629"/>
      <c r="AI60" s="628"/>
      <c r="AJ60" s="628"/>
      <c r="AK60" s="628"/>
      <c r="AL60" s="628"/>
      <c r="AM60" s="644"/>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30"/>
      <c r="K61" s="631"/>
      <c r="L61" s="631"/>
      <c r="M61" s="631"/>
      <c r="N61" s="631"/>
      <c r="O61" s="645"/>
      <c r="P61" s="630"/>
      <c r="Q61" s="631"/>
      <c r="R61" s="631"/>
      <c r="S61" s="631"/>
      <c r="T61" s="631"/>
      <c r="U61" s="645"/>
      <c r="V61" s="630"/>
      <c r="W61" s="631"/>
      <c r="X61" s="631"/>
      <c r="Y61" s="631"/>
      <c r="Z61" s="631"/>
      <c r="AA61" s="645"/>
      <c r="AB61" s="630"/>
      <c r="AC61" s="631"/>
      <c r="AD61" s="631"/>
      <c r="AE61" s="631"/>
      <c r="AF61" s="631"/>
      <c r="AG61" s="645"/>
      <c r="AH61" s="630"/>
      <c r="AI61" s="631"/>
      <c r="AJ61" s="631"/>
      <c r="AK61" s="631"/>
      <c r="AL61" s="631"/>
      <c r="AM61" s="645"/>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65" t="s">
        <v>54</v>
      </c>
      <c r="C1" s="665"/>
      <c r="D1" s="66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66" t="s">
        <v>61</v>
      </c>
      <c r="C1" s="666"/>
      <c r="D1" s="66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6" t="s">
        <v>55</v>
      </c>
      <c r="D3" s="126" t="s">
        <v>56</v>
      </c>
      <c r="E3" s="89"/>
      <c r="F3" s="89"/>
      <c r="G3" s="89"/>
      <c r="H3" s="89"/>
      <c r="I3" s="89"/>
      <c r="J3" s="89"/>
      <c r="K3" s="89"/>
      <c r="L3" s="89"/>
      <c r="M3" s="89"/>
      <c r="N3" s="89"/>
      <c r="O3" s="89"/>
      <c r="P3" s="89"/>
      <c r="Q3" s="89"/>
      <c r="R3" s="89"/>
      <c r="S3" s="89"/>
      <c r="T3" s="89"/>
      <c r="U3" s="89"/>
    </row>
    <row r="4" spans="1:21" ht="32.4" x14ac:dyDescent="0.3">
      <c r="A4" s="89" t="s">
        <v>81</v>
      </c>
      <c r="B4" s="127" t="s">
        <v>95</v>
      </c>
      <c r="C4" s="128" t="s">
        <v>204</v>
      </c>
      <c r="D4" s="129" t="s">
        <v>91</v>
      </c>
      <c r="E4" s="89"/>
      <c r="F4" s="89"/>
      <c r="G4" s="89"/>
      <c r="H4" s="89"/>
      <c r="I4" s="89"/>
      <c r="J4" s="89"/>
      <c r="K4" s="89"/>
      <c r="L4" s="89"/>
      <c r="M4" s="89"/>
      <c r="N4" s="89"/>
      <c r="O4" s="89"/>
      <c r="P4" s="89"/>
      <c r="Q4" s="89"/>
      <c r="R4" s="89"/>
      <c r="S4" s="89"/>
      <c r="T4" s="89"/>
      <c r="U4" s="89"/>
    </row>
    <row r="5" spans="1:21" ht="64.8" x14ac:dyDescent="0.3">
      <c r="A5" s="89" t="s">
        <v>82</v>
      </c>
      <c r="B5" s="130" t="s">
        <v>57</v>
      </c>
      <c r="C5" s="131" t="s">
        <v>205</v>
      </c>
      <c r="D5" s="132" t="s">
        <v>92</v>
      </c>
      <c r="E5" s="89"/>
      <c r="F5" s="89"/>
      <c r="G5" s="89"/>
      <c r="H5" s="89"/>
      <c r="I5" s="89"/>
      <c r="J5" s="89"/>
      <c r="K5" s="89"/>
      <c r="L5" s="89"/>
      <c r="M5" s="89"/>
      <c r="N5" s="89"/>
      <c r="O5" s="89"/>
      <c r="P5" s="89"/>
      <c r="Q5" s="89"/>
      <c r="R5" s="89"/>
      <c r="S5" s="89"/>
      <c r="T5" s="89"/>
      <c r="U5" s="89"/>
    </row>
    <row r="6" spans="1:21" ht="64.8" x14ac:dyDescent="0.3">
      <c r="A6" s="89" t="s">
        <v>79</v>
      </c>
      <c r="B6" s="133" t="s">
        <v>58</v>
      </c>
      <c r="C6" s="131" t="s">
        <v>209</v>
      </c>
      <c r="D6" s="132" t="s">
        <v>94</v>
      </c>
      <c r="E6" s="89"/>
      <c r="F6" s="89"/>
      <c r="G6" s="89"/>
      <c r="H6" s="89"/>
      <c r="I6" s="89"/>
      <c r="J6" s="89"/>
      <c r="K6" s="89"/>
      <c r="L6" s="89"/>
      <c r="M6" s="89"/>
      <c r="N6" s="89"/>
      <c r="O6" s="89"/>
      <c r="P6" s="89"/>
      <c r="Q6" s="89"/>
      <c r="R6" s="89"/>
      <c r="S6" s="89"/>
      <c r="T6" s="89"/>
      <c r="U6" s="89"/>
    </row>
    <row r="7" spans="1:21" ht="97.2" x14ac:dyDescent="0.3">
      <c r="A7" s="89" t="s">
        <v>7</v>
      </c>
      <c r="B7" s="134" t="s">
        <v>59</v>
      </c>
      <c r="C7" s="131" t="s">
        <v>210</v>
      </c>
      <c r="D7" s="132" t="s">
        <v>93</v>
      </c>
      <c r="E7" s="89"/>
      <c r="F7" s="89"/>
      <c r="G7" s="89"/>
      <c r="H7" s="89"/>
      <c r="I7" s="89"/>
      <c r="J7" s="89"/>
      <c r="K7" s="89"/>
      <c r="L7" s="89"/>
      <c r="M7" s="89"/>
      <c r="N7" s="89"/>
      <c r="O7" s="89"/>
      <c r="P7" s="89"/>
      <c r="Q7" s="89"/>
      <c r="R7" s="89"/>
      <c r="S7" s="89"/>
      <c r="T7" s="89"/>
      <c r="U7" s="89"/>
    </row>
    <row r="8" spans="1:21" ht="64.8" x14ac:dyDescent="0.3">
      <c r="A8" s="89" t="s">
        <v>83</v>
      </c>
      <c r="B8" s="135" t="s">
        <v>60</v>
      </c>
      <c r="C8" s="131" t="s">
        <v>206</v>
      </c>
      <c r="D8" s="132"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0"/>
      <c r="D9" s="140"/>
      <c r="E9" s="87"/>
      <c r="F9" s="87"/>
      <c r="G9" s="87"/>
      <c r="H9" s="87"/>
      <c r="I9" s="87"/>
      <c r="J9" s="87"/>
      <c r="K9" s="87"/>
      <c r="L9" s="87"/>
      <c r="M9" s="87"/>
      <c r="N9" s="87"/>
      <c r="O9" s="87"/>
      <c r="P9" s="87"/>
      <c r="Q9" s="87"/>
      <c r="R9" s="87"/>
      <c r="S9" s="87"/>
      <c r="T9" s="87"/>
      <c r="U9" s="87"/>
    </row>
    <row r="10" spans="1:21" s="23" customFormat="1" x14ac:dyDescent="0.3">
      <c r="A10" s="87"/>
      <c r="B10" s="141"/>
      <c r="C10" s="141"/>
      <c r="D10" s="141"/>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0"/>
      <c r="D22" s="140"/>
      <c r="E22" s="87"/>
      <c r="F22" s="87"/>
      <c r="G22" s="87"/>
      <c r="H22" s="87"/>
      <c r="I22" s="87"/>
      <c r="J22" s="87"/>
      <c r="K22" s="87"/>
      <c r="L22" s="87"/>
      <c r="M22" s="87"/>
      <c r="N22" s="87"/>
      <c r="O22" s="87"/>
    </row>
    <row r="23" spans="1:15" s="23" customFormat="1" ht="20.399999999999999" x14ac:dyDescent="0.3">
      <c r="A23" s="87"/>
      <c r="B23" s="87"/>
      <c r="C23" s="140"/>
      <c r="D23" s="140"/>
      <c r="E23" s="87"/>
      <c r="F23" s="87"/>
      <c r="G23" s="87"/>
      <c r="H23" s="87"/>
      <c r="I23" s="87"/>
      <c r="J23" s="87"/>
      <c r="K23" s="87"/>
      <c r="L23" s="87"/>
      <c r="M23" s="87"/>
      <c r="N23" s="87"/>
      <c r="O23" s="87"/>
    </row>
    <row r="24" spans="1:15" s="23" customFormat="1" ht="20.399999999999999" x14ac:dyDescent="0.3">
      <c r="A24" s="87"/>
      <c r="B24" s="87"/>
      <c r="C24" s="140"/>
      <c r="D24" s="140"/>
      <c r="E24" s="87"/>
      <c r="F24" s="87"/>
      <c r="G24" s="87"/>
      <c r="H24" s="87"/>
      <c r="I24" s="87"/>
      <c r="J24" s="87"/>
      <c r="K24" s="87"/>
      <c r="L24" s="87"/>
      <c r="M24" s="87"/>
      <c r="N24" s="87"/>
      <c r="O24" s="87"/>
    </row>
    <row r="25" spans="1:15" s="23" customFormat="1" ht="20.399999999999999" x14ac:dyDescent="0.3">
      <c r="A25" s="87"/>
      <c r="B25" s="87"/>
      <c r="C25" s="140"/>
      <c r="D25" s="140"/>
      <c r="E25" s="87"/>
      <c r="F25" s="87"/>
      <c r="G25" s="87"/>
      <c r="H25" s="87"/>
      <c r="I25" s="87"/>
      <c r="J25" s="87"/>
      <c r="K25" s="87"/>
      <c r="L25" s="87"/>
      <c r="M25" s="87"/>
      <c r="N25" s="87"/>
      <c r="O25" s="87"/>
    </row>
    <row r="26" spans="1:15" s="23" customFormat="1" ht="20.399999999999999" x14ac:dyDescent="0.3">
      <c r="A26" s="87"/>
      <c r="B26" s="87"/>
      <c r="C26" s="140"/>
      <c r="D26" s="140"/>
      <c r="E26" s="87"/>
      <c r="F26" s="87"/>
      <c r="G26" s="87"/>
      <c r="H26" s="87"/>
      <c r="I26" s="87"/>
      <c r="J26" s="87"/>
      <c r="K26" s="87"/>
      <c r="L26" s="87"/>
      <c r="M26" s="87"/>
      <c r="N26" s="87"/>
      <c r="O26" s="87"/>
    </row>
    <row r="27" spans="1:15" s="23" customFormat="1" ht="20.399999999999999" x14ac:dyDescent="0.3">
      <c r="A27" s="87"/>
      <c r="B27" s="87"/>
      <c r="C27" s="140"/>
      <c r="D27" s="140"/>
      <c r="E27" s="87"/>
      <c r="F27" s="87"/>
      <c r="G27" s="87"/>
      <c r="H27" s="87"/>
      <c r="I27" s="87"/>
      <c r="J27" s="87"/>
      <c r="K27" s="87"/>
      <c r="L27" s="87"/>
      <c r="M27" s="87"/>
      <c r="N27" s="87"/>
      <c r="O27" s="87"/>
    </row>
    <row r="28" spans="1:15" s="23" customFormat="1" ht="20.399999999999999" x14ac:dyDescent="0.3">
      <c r="A28" s="87"/>
      <c r="B28" s="87"/>
      <c r="C28" s="140"/>
      <c r="D28" s="140"/>
      <c r="E28" s="87"/>
      <c r="F28" s="87"/>
      <c r="G28" s="87"/>
      <c r="H28" s="87"/>
      <c r="I28" s="87"/>
      <c r="J28" s="87"/>
      <c r="K28" s="87"/>
      <c r="L28" s="87"/>
      <c r="M28" s="87"/>
      <c r="N28" s="87"/>
      <c r="O28" s="87"/>
    </row>
    <row r="29" spans="1:15" s="23" customFormat="1" ht="20.399999999999999" x14ac:dyDescent="0.3">
      <c r="A29" s="87"/>
      <c r="B29" s="87"/>
      <c r="C29" s="140"/>
      <c r="D29" s="140"/>
      <c r="E29" s="87"/>
      <c r="F29" s="87"/>
      <c r="G29" s="87"/>
      <c r="H29" s="87"/>
      <c r="I29" s="87"/>
      <c r="J29" s="87"/>
      <c r="K29" s="87"/>
      <c r="L29" s="87"/>
      <c r="M29" s="87"/>
      <c r="N29" s="87"/>
      <c r="O29" s="87"/>
    </row>
    <row r="30" spans="1:15" s="23" customFormat="1" ht="20.399999999999999" x14ac:dyDescent="0.3">
      <c r="A30" s="87"/>
      <c r="B30" s="87"/>
      <c r="C30" s="140"/>
      <c r="D30" s="140"/>
      <c r="E30" s="87"/>
      <c r="F30" s="87"/>
      <c r="G30" s="87"/>
      <c r="H30" s="87"/>
      <c r="I30" s="87"/>
      <c r="J30" s="87"/>
      <c r="K30" s="87"/>
      <c r="L30" s="87"/>
      <c r="M30" s="87"/>
      <c r="N30" s="87"/>
      <c r="O30" s="87"/>
    </row>
    <row r="31" spans="1:15" s="23" customFormat="1" ht="20.399999999999999" x14ac:dyDescent="0.3">
      <c r="A31" s="87"/>
      <c r="B31" s="87"/>
      <c r="C31" s="140"/>
      <c r="D31" s="140"/>
      <c r="E31" s="87"/>
      <c r="F31" s="87"/>
      <c r="G31" s="87"/>
      <c r="H31" s="87"/>
      <c r="I31" s="87"/>
      <c r="J31" s="87"/>
      <c r="K31" s="87"/>
      <c r="L31" s="87"/>
      <c r="M31" s="87"/>
      <c r="N31" s="87"/>
      <c r="O31" s="87"/>
    </row>
    <row r="32" spans="1:15" s="23" customFormat="1" ht="20.399999999999999" x14ac:dyDescent="0.3">
      <c r="A32" s="87"/>
      <c r="B32" s="87"/>
      <c r="C32" s="140"/>
      <c r="D32" s="140"/>
      <c r="E32" s="87"/>
      <c r="F32" s="87"/>
      <c r="G32" s="87"/>
      <c r="H32" s="87"/>
      <c r="I32" s="87"/>
      <c r="J32" s="87"/>
      <c r="K32" s="87"/>
      <c r="L32" s="87"/>
      <c r="M32" s="87"/>
      <c r="N32" s="87"/>
      <c r="O32" s="87"/>
    </row>
    <row r="33" spans="1:15" s="23" customFormat="1" ht="20.399999999999999" x14ac:dyDescent="0.3">
      <c r="A33" s="87"/>
      <c r="B33" s="87"/>
      <c r="C33" s="140"/>
      <c r="D33" s="140"/>
      <c r="E33" s="87"/>
      <c r="F33" s="87"/>
      <c r="G33" s="87"/>
      <c r="H33" s="87"/>
      <c r="I33" s="87"/>
      <c r="J33" s="87"/>
      <c r="K33" s="87"/>
      <c r="L33" s="87"/>
      <c r="M33" s="87"/>
      <c r="N33" s="87"/>
      <c r="O33" s="87"/>
    </row>
    <row r="34" spans="1:15" s="23" customFormat="1" ht="20.399999999999999" x14ac:dyDescent="0.3">
      <c r="A34" s="87"/>
      <c r="B34" s="87"/>
      <c r="C34" s="140"/>
      <c r="D34" s="140"/>
      <c r="E34" s="87"/>
      <c r="F34" s="87"/>
      <c r="G34" s="87"/>
      <c r="H34" s="87"/>
      <c r="I34" s="87"/>
      <c r="J34" s="87"/>
      <c r="K34" s="87"/>
      <c r="L34" s="87"/>
      <c r="M34" s="87"/>
      <c r="N34" s="87"/>
      <c r="O34" s="87"/>
    </row>
    <row r="35" spans="1:15" s="23" customFormat="1" ht="20.399999999999999" x14ac:dyDescent="0.3">
      <c r="A35" s="87"/>
      <c r="B35" s="87"/>
      <c r="C35" s="140"/>
      <c r="D35" s="140"/>
      <c r="E35" s="87"/>
      <c r="F35" s="87"/>
      <c r="G35" s="87"/>
      <c r="H35" s="87"/>
      <c r="I35" s="87"/>
      <c r="J35" s="87"/>
      <c r="K35" s="87"/>
      <c r="L35" s="87"/>
      <c r="M35" s="87"/>
      <c r="N35" s="87"/>
      <c r="O35" s="87"/>
    </row>
    <row r="36" spans="1:15" s="23" customFormat="1" ht="20.399999999999999" x14ac:dyDescent="0.3">
      <c r="A36" s="87"/>
      <c r="B36" s="87"/>
      <c r="C36" s="140"/>
      <c r="D36" s="140"/>
      <c r="E36" s="87"/>
      <c r="F36" s="87"/>
      <c r="G36" s="87"/>
      <c r="H36" s="87"/>
      <c r="I36" s="87"/>
      <c r="J36" s="87"/>
      <c r="K36" s="87"/>
      <c r="L36" s="87"/>
      <c r="M36" s="87"/>
      <c r="N36" s="87"/>
      <c r="O36" s="87"/>
    </row>
    <row r="37" spans="1:15" s="23" customFormat="1" ht="20.399999999999999" x14ac:dyDescent="0.3">
      <c r="A37" s="87"/>
      <c r="B37" s="87"/>
      <c r="C37" s="140"/>
      <c r="D37" s="140"/>
      <c r="E37" s="87"/>
      <c r="F37" s="87"/>
      <c r="G37" s="87"/>
      <c r="H37" s="87"/>
      <c r="I37" s="87"/>
      <c r="J37" s="87"/>
      <c r="K37" s="87"/>
      <c r="L37" s="87"/>
      <c r="M37" s="87"/>
      <c r="N37" s="87"/>
      <c r="O37" s="87"/>
    </row>
    <row r="38" spans="1:15" s="23" customFormat="1" ht="20.399999999999999" x14ac:dyDescent="0.3">
      <c r="A38" s="87"/>
      <c r="B38" s="87"/>
      <c r="C38" s="140"/>
      <c r="D38" s="140"/>
      <c r="E38" s="87"/>
      <c r="F38" s="87"/>
      <c r="G38" s="87"/>
      <c r="H38" s="87"/>
      <c r="I38" s="87"/>
      <c r="J38" s="87"/>
      <c r="K38" s="87"/>
      <c r="L38" s="87"/>
      <c r="M38" s="87"/>
      <c r="N38" s="87"/>
      <c r="O38" s="87"/>
    </row>
    <row r="39" spans="1:15" s="23" customFormat="1" ht="20.399999999999999" x14ac:dyDescent="0.3">
      <c r="A39" s="87"/>
      <c r="B39" s="87"/>
      <c r="C39" s="140"/>
      <c r="D39" s="140"/>
      <c r="E39" s="87"/>
      <c r="F39" s="87"/>
      <c r="G39" s="87"/>
      <c r="H39" s="87"/>
      <c r="I39" s="87"/>
      <c r="J39" s="87"/>
      <c r="K39" s="87"/>
      <c r="L39" s="87"/>
      <c r="M39" s="87"/>
      <c r="N39" s="87"/>
      <c r="O39" s="87"/>
    </row>
    <row r="40" spans="1:15" s="23" customFormat="1" ht="20.399999999999999" x14ac:dyDescent="0.3">
      <c r="A40" s="87"/>
      <c r="B40" s="87"/>
      <c r="C40" s="140"/>
      <c r="D40" s="140"/>
      <c r="E40" s="87"/>
      <c r="F40" s="87"/>
      <c r="G40" s="87"/>
      <c r="H40" s="87"/>
      <c r="I40" s="87"/>
      <c r="J40" s="87"/>
      <c r="K40" s="87"/>
      <c r="L40" s="87"/>
      <c r="M40" s="87"/>
      <c r="N40" s="87"/>
      <c r="O40" s="87"/>
    </row>
    <row r="41" spans="1:15" s="23" customFormat="1" ht="20.399999999999999" x14ac:dyDescent="0.3">
      <c r="A41" s="87"/>
      <c r="B41" s="87"/>
      <c r="C41" s="140"/>
      <c r="D41" s="140"/>
      <c r="E41" s="87"/>
      <c r="F41" s="87"/>
      <c r="G41" s="87"/>
      <c r="H41" s="87"/>
      <c r="I41" s="87"/>
      <c r="J41" s="87"/>
      <c r="K41" s="87"/>
      <c r="L41" s="87"/>
      <c r="M41" s="87"/>
      <c r="N41" s="87"/>
      <c r="O41" s="87"/>
    </row>
    <row r="42" spans="1:15" s="23" customFormat="1" ht="20.399999999999999" x14ac:dyDescent="0.3">
      <c r="A42" s="87"/>
      <c r="B42" s="87"/>
      <c r="C42" s="140"/>
      <c r="D42" s="140"/>
      <c r="E42" s="87"/>
      <c r="F42" s="87"/>
      <c r="G42" s="87"/>
      <c r="H42" s="87"/>
      <c r="I42" s="87"/>
      <c r="J42" s="87"/>
      <c r="K42" s="87"/>
      <c r="L42" s="87"/>
      <c r="M42" s="87"/>
      <c r="N42" s="87"/>
      <c r="O42" s="87"/>
    </row>
    <row r="43" spans="1:15" s="23" customFormat="1" ht="20.399999999999999" x14ac:dyDescent="0.3">
      <c r="A43" s="87"/>
      <c r="B43" s="87"/>
      <c r="C43" s="140"/>
      <c r="D43" s="140"/>
      <c r="E43" s="87"/>
      <c r="F43" s="87"/>
      <c r="G43" s="87"/>
      <c r="H43" s="87"/>
      <c r="I43" s="87"/>
      <c r="J43" s="87"/>
      <c r="K43" s="87"/>
      <c r="L43" s="87"/>
      <c r="M43" s="87"/>
      <c r="N43" s="87"/>
      <c r="O43" s="87"/>
    </row>
    <row r="44" spans="1:15" s="23" customFormat="1" ht="20.399999999999999" x14ac:dyDescent="0.3">
      <c r="A44" s="87"/>
      <c r="B44" s="87"/>
      <c r="C44" s="140"/>
      <c r="D44" s="140"/>
      <c r="E44" s="87"/>
      <c r="F44" s="87"/>
      <c r="G44" s="87"/>
      <c r="H44" s="87"/>
      <c r="I44" s="87"/>
      <c r="J44" s="87"/>
      <c r="K44" s="87"/>
      <c r="L44" s="87"/>
      <c r="M44" s="87"/>
      <c r="N44" s="87"/>
      <c r="O44" s="87"/>
    </row>
    <row r="45" spans="1:15" s="23" customFormat="1" ht="20.399999999999999" x14ac:dyDescent="0.3">
      <c r="A45" s="87"/>
      <c r="B45" s="87"/>
      <c r="C45" s="140"/>
      <c r="D45" s="140"/>
      <c r="E45" s="87"/>
      <c r="F45" s="87"/>
      <c r="G45" s="87"/>
      <c r="H45" s="87"/>
      <c r="I45" s="87"/>
      <c r="J45" s="87"/>
      <c r="K45" s="87"/>
      <c r="L45" s="87"/>
      <c r="M45" s="87"/>
      <c r="N45" s="87"/>
      <c r="O45" s="87"/>
    </row>
    <row r="46" spans="1:15" s="23" customFormat="1" ht="20.399999999999999" x14ac:dyDescent="0.3">
      <c r="A46" s="87"/>
      <c r="B46" s="87"/>
      <c r="C46" s="140"/>
      <c r="D46" s="140"/>
      <c r="E46" s="87"/>
      <c r="F46" s="87"/>
      <c r="G46" s="87"/>
      <c r="H46" s="87"/>
      <c r="I46" s="87"/>
      <c r="J46" s="87"/>
      <c r="K46" s="87"/>
      <c r="L46" s="87"/>
      <c r="M46" s="87"/>
      <c r="N46" s="87"/>
      <c r="O46" s="87"/>
    </row>
    <row r="47" spans="1:15" s="23" customFormat="1" ht="20.399999999999999" x14ac:dyDescent="0.3">
      <c r="A47" s="87"/>
      <c r="B47" s="87"/>
      <c r="C47" s="140"/>
      <c r="D47" s="140"/>
      <c r="E47" s="87"/>
      <c r="F47" s="87"/>
      <c r="G47" s="87"/>
      <c r="H47" s="87"/>
      <c r="I47" s="87"/>
      <c r="J47" s="87"/>
      <c r="K47" s="87"/>
      <c r="L47" s="87"/>
      <c r="M47" s="87"/>
      <c r="N47" s="87"/>
      <c r="O47" s="87"/>
    </row>
    <row r="48" spans="1:15" s="23" customFormat="1" ht="20.399999999999999" x14ac:dyDescent="0.3">
      <c r="A48" s="87"/>
      <c r="B48" s="87"/>
      <c r="C48" s="140"/>
      <c r="D48" s="140"/>
      <c r="E48" s="87"/>
      <c r="F48" s="87"/>
      <c r="G48" s="87"/>
      <c r="H48" s="87"/>
      <c r="I48" s="87"/>
      <c r="J48" s="87"/>
      <c r="K48" s="87"/>
      <c r="L48" s="87"/>
      <c r="M48" s="87"/>
      <c r="N48" s="87"/>
      <c r="O48" s="87"/>
    </row>
    <row r="49" spans="1:15" s="23" customFormat="1" ht="20.399999999999999" x14ac:dyDescent="0.3">
      <c r="A49" s="87"/>
      <c r="B49" s="87"/>
      <c r="C49" s="140"/>
      <c r="D49" s="140"/>
      <c r="E49" s="87"/>
      <c r="F49" s="87"/>
      <c r="G49" s="87"/>
      <c r="H49" s="87"/>
      <c r="I49" s="87"/>
      <c r="J49" s="87"/>
      <c r="K49" s="87"/>
      <c r="L49" s="87"/>
      <c r="M49" s="87"/>
      <c r="N49" s="87"/>
      <c r="O49" s="87"/>
    </row>
    <row r="50" spans="1:15" s="23" customFormat="1" ht="20.399999999999999" x14ac:dyDescent="0.3">
      <c r="A50" s="87"/>
      <c r="B50" s="87"/>
      <c r="C50" s="140"/>
      <c r="D50" s="140"/>
      <c r="E50" s="87"/>
      <c r="F50" s="87"/>
      <c r="G50" s="87"/>
      <c r="H50" s="87"/>
      <c r="I50" s="87"/>
      <c r="J50" s="87"/>
      <c r="K50" s="87"/>
      <c r="L50" s="87"/>
      <c r="M50" s="87"/>
      <c r="N50" s="87"/>
      <c r="O50" s="87"/>
    </row>
    <row r="51" spans="1:15" s="23" customFormat="1" ht="20.399999999999999" x14ac:dyDescent="0.3">
      <c r="A51" s="87"/>
      <c r="B51" s="87"/>
      <c r="C51" s="140"/>
      <c r="D51" s="140"/>
      <c r="E51" s="87"/>
      <c r="F51" s="87"/>
      <c r="G51" s="87"/>
      <c r="H51" s="87"/>
      <c r="I51" s="87"/>
      <c r="J51" s="87"/>
      <c r="K51" s="87"/>
      <c r="L51" s="87"/>
      <c r="M51" s="87"/>
      <c r="N51" s="87"/>
      <c r="O51" s="87"/>
    </row>
    <row r="52" spans="1:15" s="23" customFormat="1" ht="20.399999999999999" x14ac:dyDescent="0.3">
      <c r="A52" s="87"/>
      <c r="C52" s="142"/>
      <c r="D52" s="142"/>
    </row>
    <row r="53" spans="1:15" s="23" customFormat="1" ht="20.399999999999999" x14ac:dyDescent="0.3">
      <c r="A53" s="87"/>
      <c r="C53" s="142"/>
      <c r="D53" s="142"/>
    </row>
    <row r="54" spans="1:15" s="23" customFormat="1" ht="20.399999999999999" x14ac:dyDescent="0.3">
      <c r="A54" s="87"/>
      <c r="C54" s="142"/>
      <c r="D54" s="142"/>
    </row>
    <row r="55" spans="1:15" s="23" customFormat="1" ht="20.399999999999999" x14ac:dyDescent="0.3">
      <c r="A55" s="87"/>
      <c r="C55" s="142"/>
      <c r="D55" s="142"/>
    </row>
    <row r="56" spans="1:15" s="23" customFormat="1" ht="20.399999999999999" x14ac:dyDescent="0.3">
      <c r="A56" s="87"/>
      <c r="C56" s="142"/>
      <c r="D56" s="142"/>
    </row>
    <row r="57" spans="1:15" s="23" customFormat="1" ht="20.399999999999999" x14ac:dyDescent="0.3">
      <c r="A57" s="87"/>
      <c r="C57" s="142"/>
      <c r="D57" s="142"/>
    </row>
    <row r="58" spans="1:15" s="23" customFormat="1" ht="20.399999999999999" x14ac:dyDescent="0.3">
      <c r="A58" s="87"/>
      <c r="C58" s="142"/>
      <c r="D58" s="142"/>
    </row>
    <row r="59" spans="1:15" s="23" customFormat="1" ht="20.399999999999999" x14ac:dyDescent="0.3">
      <c r="A59" s="87"/>
      <c r="C59" s="142"/>
      <c r="D59" s="142"/>
    </row>
    <row r="60" spans="1:15" s="23" customFormat="1" ht="20.399999999999999" x14ac:dyDescent="0.3">
      <c r="A60" s="87"/>
      <c r="C60" s="142"/>
      <c r="D60" s="142"/>
    </row>
    <row r="61" spans="1:15" s="23" customFormat="1" ht="20.399999999999999" x14ac:dyDescent="0.3">
      <c r="A61" s="87"/>
      <c r="C61" s="142"/>
      <c r="D61" s="142"/>
    </row>
    <row r="62" spans="1:15" s="23" customFormat="1" ht="20.399999999999999" x14ac:dyDescent="0.3">
      <c r="A62" s="87"/>
      <c r="C62" s="142"/>
      <c r="D62" s="142"/>
    </row>
    <row r="63" spans="1:15" s="23" customFormat="1" ht="20.399999999999999" x14ac:dyDescent="0.3">
      <c r="A63" s="87"/>
      <c r="C63" s="142"/>
      <c r="D63" s="142"/>
    </row>
    <row r="64" spans="1:15" s="23" customFormat="1" ht="20.399999999999999" x14ac:dyDescent="0.3">
      <c r="A64" s="87"/>
      <c r="C64" s="142"/>
      <c r="D64" s="142"/>
    </row>
    <row r="65" spans="1:4" s="23" customFormat="1" ht="20.399999999999999" x14ac:dyDescent="0.3">
      <c r="A65" s="87"/>
      <c r="C65" s="142"/>
      <c r="D65" s="142"/>
    </row>
    <row r="66" spans="1:4" s="23" customFormat="1" ht="20.399999999999999" x14ac:dyDescent="0.3">
      <c r="A66" s="87"/>
      <c r="C66" s="142"/>
      <c r="D66" s="142"/>
    </row>
    <row r="67" spans="1:4" s="23" customFormat="1" ht="20.399999999999999" x14ac:dyDescent="0.3">
      <c r="A67" s="87"/>
      <c r="C67" s="142"/>
      <c r="D67" s="142"/>
    </row>
    <row r="68" spans="1:4" s="23" customFormat="1" ht="20.399999999999999" x14ac:dyDescent="0.3">
      <c r="A68" s="87"/>
      <c r="C68" s="142"/>
      <c r="D68" s="142"/>
    </row>
    <row r="69" spans="1:4" s="23" customFormat="1" ht="20.399999999999999" x14ac:dyDescent="0.3">
      <c r="A69" s="87"/>
      <c r="C69" s="142"/>
      <c r="D69" s="142"/>
    </row>
    <row r="70" spans="1:4" s="23" customFormat="1" ht="20.399999999999999" x14ac:dyDescent="0.3">
      <c r="A70" s="87"/>
      <c r="C70" s="142"/>
      <c r="D70" s="142"/>
    </row>
    <row r="71" spans="1:4" s="23" customFormat="1" ht="20.399999999999999" x14ac:dyDescent="0.3">
      <c r="A71" s="87"/>
      <c r="C71" s="142"/>
      <c r="D71" s="142"/>
    </row>
    <row r="72" spans="1:4" s="23" customFormat="1" ht="20.399999999999999" x14ac:dyDescent="0.3">
      <c r="A72" s="87"/>
      <c r="C72" s="142"/>
      <c r="D72" s="142"/>
    </row>
    <row r="73" spans="1:4" s="23" customFormat="1" ht="20.399999999999999" x14ac:dyDescent="0.3">
      <c r="A73" s="87"/>
      <c r="C73" s="142"/>
      <c r="D73" s="142"/>
    </row>
    <row r="74" spans="1:4" s="23" customFormat="1" ht="20.399999999999999" x14ac:dyDescent="0.3">
      <c r="A74" s="87"/>
      <c r="C74" s="142"/>
      <c r="D74" s="142"/>
    </row>
    <row r="75" spans="1:4" s="23" customFormat="1" ht="20.399999999999999" x14ac:dyDescent="0.3">
      <c r="A75" s="87"/>
      <c r="C75" s="142"/>
      <c r="D75" s="142"/>
    </row>
    <row r="76" spans="1:4" s="23" customFormat="1" ht="20.399999999999999" x14ac:dyDescent="0.3">
      <c r="A76" s="87"/>
      <c r="C76" s="142"/>
      <c r="D76" s="142"/>
    </row>
    <row r="77" spans="1:4" s="23" customFormat="1" ht="20.399999999999999" x14ac:dyDescent="0.3">
      <c r="A77" s="87"/>
      <c r="C77" s="142"/>
      <c r="D77" s="142"/>
    </row>
    <row r="78" spans="1:4" s="23" customFormat="1" ht="20.399999999999999" x14ac:dyDescent="0.3">
      <c r="A78" s="87"/>
      <c r="C78" s="142"/>
      <c r="D78" s="142"/>
    </row>
    <row r="79" spans="1:4" s="23" customFormat="1" ht="20.399999999999999" x14ac:dyDescent="0.3">
      <c r="A79" s="87"/>
      <c r="C79" s="142"/>
      <c r="D79" s="142"/>
    </row>
    <row r="80" spans="1:4" s="23" customFormat="1" ht="20.399999999999999" x14ac:dyDescent="0.3">
      <c r="A80" s="87"/>
      <c r="C80" s="142"/>
      <c r="D80" s="142"/>
    </row>
    <row r="81" spans="1:4" s="23" customFormat="1" ht="20.399999999999999" x14ac:dyDescent="0.3">
      <c r="A81" s="87"/>
      <c r="C81" s="142"/>
      <c r="D81" s="142"/>
    </row>
    <row r="82" spans="1:4" s="23" customFormat="1" ht="20.399999999999999" x14ac:dyDescent="0.3">
      <c r="A82" s="87"/>
      <c r="C82" s="142"/>
      <c r="D82" s="142"/>
    </row>
    <row r="83" spans="1:4" s="23" customFormat="1" ht="20.399999999999999" x14ac:dyDescent="0.3">
      <c r="A83" s="87"/>
      <c r="C83" s="142"/>
      <c r="D83" s="142"/>
    </row>
    <row r="84" spans="1:4" s="23" customFormat="1" ht="20.399999999999999" x14ac:dyDescent="0.3">
      <c r="A84" s="87"/>
      <c r="C84" s="142"/>
      <c r="D84" s="142"/>
    </row>
    <row r="85" spans="1:4" s="23" customFormat="1" ht="20.399999999999999" x14ac:dyDescent="0.3">
      <c r="A85" s="87"/>
      <c r="C85" s="142"/>
      <c r="D85" s="142"/>
    </row>
    <row r="86" spans="1:4" s="23" customFormat="1" ht="20.399999999999999" x14ac:dyDescent="0.3">
      <c r="A86" s="87"/>
      <c r="C86" s="142"/>
      <c r="D86" s="142"/>
    </row>
    <row r="87" spans="1:4" s="23" customFormat="1" ht="20.399999999999999" x14ac:dyDescent="0.3">
      <c r="A87" s="87"/>
      <c r="C87" s="142"/>
      <c r="D87" s="142"/>
    </row>
    <row r="88" spans="1:4" s="23" customFormat="1" ht="20.399999999999999" x14ac:dyDescent="0.3">
      <c r="A88" s="87"/>
      <c r="C88" s="142"/>
      <c r="D88" s="142"/>
    </row>
    <row r="89" spans="1:4" s="23" customFormat="1" ht="20.399999999999999" x14ac:dyDescent="0.3">
      <c r="A89" s="87"/>
      <c r="C89" s="142"/>
      <c r="D89" s="142"/>
    </row>
    <row r="90" spans="1:4" s="23" customFormat="1" ht="20.399999999999999" x14ac:dyDescent="0.3">
      <c r="A90" s="87"/>
      <c r="C90" s="142"/>
      <c r="D90" s="142"/>
    </row>
    <row r="91" spans="1:4" s="23" customFormat="1" ht="20.399999999999999" x14ac:dyDescent="0.3">
      <c r="A91" s="87"/>
      <c r="C91" s="142"/>
      <c r="D91" s="142"/>
    </row>
    <row r="92" spans="1:4" s="23" customFormat="1" ht="20.399999999999999" x14ac:dyDescent="0.3">
      <c r="A92" s="87"/>
      <c r="C92" s="142"/>
      <c r="D92" s="142"/>
    </row>
    <row r="93" spans="1:4" s="23" customFormat="1" ht="20.399999999999999" x14ac:dyDescent="0.3">
      <c r="A93" s="87"/>
      <c r="C93" s="142"/>
      <c r="D93" s="142"/>
    </row>
    <row r="94" spans="1:4" s="23" customFormat="1" ht="20.399999999999999" x14ac:dyDescent="0.3">
      <c r="A94" s="87"/>
      <c r="C94" s="142"/>
      <c r="D94" s="142"/>
    </row>
    <row r="95" spans="1:4" s="23" customFormat="1" ht="20.399999999999999" x14ac:dyDescent="0.3">
      <c r="A95" s="87"/>
      <c r="C95" s="142"/>
      <c r="D95" s="142"/>
    </row>
    <row r="96" spans="1:4" s="23" customFormat="1" ht="20.399999999999999" x14ac:dyDescent="0.3">
      <c r="A96" s="87"/>
      <c r="C96" s="142"/>
      <c r="D96" s="142"/>
    </row>
    <row r="97" spans="1:4" s="23" customFormat="1" ht="20.399999999999999" x14ac:dyDescent="0.3">
      <c r="A97" s="87"/>
      <c r="C97" s="142"/>
      <c r="D97" s="142"/>
    </row>
    <row r="98" spans="1:4" s="23" customFormat="1" ht="20.399999999999999" x14ac:dyDescent="0.3">
      <c r="A98" s="87"/>
      <c r="C98" s="142"/>
      <c r="D98" s="142"/>
    </row>
    <row r="99" spans="1:4" s="23" customFormat="1" ht="20.399999999999999" x14ac:dyDescent="0.3">
      <c r="A99" s="87"/>
      <c r="C99" s="142"/>
      <c r="D99" s="142"/>
    </row>
    <row r="100" spans="1:4" s="23" customFormat="1" ht="20.399999999999999" x14ac:dyDescent="0.3">
      <c r="A100" s="87"/>
      <c r="C100" s="142"/>
      <c r="D100" s="142"/>
    </row>
    <row r="101" spans="1:4" s="23" customFormat="1" ht="20.399999999999999" x14ac:dyDescent="0.3">
      <c r="A101" s="87"/>
      <c r="C101" s="142"/>
      <c r="D101" s="142"/>
    </row>
    <row r="102" spans="1:4" s="23" customFormat="1" ht="20.399999999999999" x14ac:dyDescent="0.3">
      <c r="A102" s="87"/>
      <c r="C102" s="142"/>
      <c r="D102" s="142"/>
    </row>
    <row r="103" spans="1:4" s="23" customFormat="1" ht="20.399999999999999" x14ac:dyDescent="0.3">
      <c r="A103" s="87"/>
      <c r="C103" s="142"/>
      <c r="D103" s="142"/>
    </row>
    <row r="104" spans="1:4" s="23" customFormat="1" ht="20.399999999999999" x14ac:dyDescent="0.3">
      <c r="A104" s="87"/>
      <c r="C104" s="142"/>
      <c r="D104" s="142"/>
    </row>
    <row r="105" spans="1:4" s="23" customFormat="1" ht="20.399999999999999" x14ac:dyDescent="0.3">
      <c r="A105" s="87"/>
      <c r="C105" s="142"/>
      <c r="D105" s="142"/>
    </row>
    <row r="106" spans="1:4" s="23" customFormat="1" ht="20.399999999999999" x14ac:dyDescent="0.3">
      <c r="A106" s="87"/>
      <c r="C106" s="142"/>
      <c r="D106" s="142"/>
    </row>
    <row r="107" spans="1:4" s="23" customFormat="1" ht="20.399999999999999" x14ac:dyDescent="0.3">
      <c r="A107" s="87"/>
      <c r="C107" s="142"/>
      <c r="D107" s="142"/>
    </row>
    <row r="108" spans="1:4" s="23" customFormat="1" ht="20.399999999999999" x14ac:dyDescent="0.3">
      <c r="A108" s="87"/>
      <c r="C108" s="142"/>
      <c r="D108" s="142"/>
    </row>
    <row r="109" spans="1:4" s="23" customFormat="1" ht="20.399999999999999" x14ac:dyDescent="0.3">
      <c r="A109" s="87"/>
      <c r="C109" s="142"/>
      <c r="D109" s="142"/>
    </row>
    <row r="110" spans="1:4" s="23" customFormat="1" ht="20.399999999999999" x14ac:dyDescent="0.3">
      <c r="A110" s="87"/>
      <c r="C110" s="142"/>
      <c r="D110" s="142"/>
    </row>
    <row r="111" spans="1:4" s="23" customFormat="1" ht="20.399999999999999" x14ac:dyDescent="0.3">
      <c r="A111" s="87"/>
      <c r="C111" s="142"/>
      <c r="D111" s="142"/>
    </row>
    <row r="112" spans="1:4" s="23" customFormat="1" ht="20.399999999999999" x14ac:dyDescent="0.3">
      <c r="A112" s="87"/>
      <c r="C112" s="142"/>
      <c r="D112" s="142"/>
    </row>
    <row r="113" spans="1:4" s="23" customFormat="1" ht="20.399999999999999" x14ac:dyDescent="0.3">
      <c r="A113" s="87"/>
      <c r="C113" s="142"/>
      <c r="D113" s="142"/>
    </row>
    <row r="114" spans="1:4" s="23" customFormat="1" ht="20.399999999999999" x14ac:dyDescent="0.3">
      <c r="A114" s="87"/>
      <c r="C114" s="142"/>
      <c r="D114" s="142"/>
    </row>
    <row r="115" spans="1:4" s="23" customFormat="1" ht="20.399999999999999" x14ac:dyDescent="0.3">
      <c r="A115" s="87"/>
      <c r="C115" s="142"/>
      <c r="D115" s="142"/>
    </row>
    <row r="116" spans="1:4" s="23" customFormat="1" ht="20.399999999999999" x14ac:dyDescent="0.3">
      <c r="A116" s="87"/>
      <c r="C116" s="142"/>
      <c r="D116" s="142"/>
    </row>
    <row r="117" spans="1:4" s="23" customFormat="1" ht="20.399999999999999" x14ac:dyDescent="0.3">
      <c r="A117" s="87"/>
      <c r="C117" s="142"/>
      <c r="D117" s="142"/>
    </row>
    <row r="118" spans="1:4" s="23" customFormat="1" ht="20.399999999999999" x14ac:dyDescent="0.3">
      <c r="A118" s="87"/>
      <c r="C118" s="142"/>
      <c r="D118" s="142"/>
    </row>
    <row r="119" spans="1:4" s="23" customFormat="1" ht="20.399999999999999" x14ac:dyDescent="0.3">
      <c r="A119" s="87"/>
      <c r="C119" s="142"/>
      <c r="D119" s="142"/>
    </row>
    <row r="120" spans="1:4" s="23" customFormat="1" ht="20.399999999999999" x14ac:dyDescent="0.3">
      <c r="A120" s="87"/>
      <c r="C120" s="142"/>
      <c r="D120" s="142"/>
    </row>
    <row r="121" spans="1:4" s="23" customFormat="1" ht="20.399999999999999" x14ac:dyDescent="0.3">
      <c r="A121" s="87"/>
      <c r="C121" s="142"/>
      <c r="D121" s="142"/>
    </row>
    <row r="122" spans="1:4" s="23" customFormat="1" ht="20.399999999999999" x14ac:dyDescent="0.3">
      <c r="A122" s="87"/>
      <c r="C122" s="142"/>
      <c r="D122" s="142"/>
    </row>
    <row r="123" spans="1:4" s="23" customFormat="1" ht="20.399999999999999" x14ac:dyDescent="0.3">
      <c r="A123" s="87"/>
      <c r="C123" s="142"/>
      <c r="D123" s="142"/>
    </row>
    <row r="124" spans="1:4" s="23" customFormat="1" ht="20.399999999999999" x14ac:dyDescent="0.3">
      <c r="A124" s="87"/>
      <c r="C124" s="142"/>
      <c r="D124" s="142"/>
    </row>
    <row r="125" spans="1:4" s="23" customFormat="1" ht="20.399999999999999" x14ac:dyDescent="0.3">
      <c r="A125" s="87"/>
      <c r="C125" s="142"/>
      <c r="D125" s="142"/>
    </row>
    <row r="126" spans="1:4" s="23" customFormat="1" ht="20.399999999999999" x14ac:dyDescent="0.3">
      <c r="A126" s="87"/>
      <c r="C126" s="142"/>
      <c r="D126" s="142"/>
    </row>
    <row r="127" spans="1:4" s="23" customFormat="1" ht="20.399999999999999" x14ac:dyDescent="0.3">
      <c r="A127" s="87"/>
      <c r="C127" s="142"/>
      <c r="D127" s="142"/>
    </row>
    <row r="128" spans="1:4" s="23" customFormat="1" ht="20.399999999999999" x14ac:dyDescent="0.3">
      <c r="A128" s="87"/>
      <c r="C128" s="142"/>
      <c r="D128" s="142"/>
    </row>
    <row r="129" spans="1:4" s="23" customFormat="1" ht="20.399999999999999" x14ac:dyDescent="0.3">
      <c r="A129" s="87"/>
      <c r="C129" s="142"/>
      <c r="D129" s="142"/>
    </row>
    <row r="130" spans="1:4" s="23" customFormat="1" ht="20.399999999999999" x14ac:dyDescent="0.3">
      <c r="A130" s="87"/>
      <c r="C130" s="142"/>
      <c r="D130" s="142"/>
    </row>
    <row r="131" spans="1:4" s="23" customFormat="1" ht="20.399999999999999" x14ac:dyDescent="0.3">
      <c r="A131" s="87"/>
      <c r="C131" s="142"/>
      <c r="D131" s="142"/>
    </row>
    <row r="132" spans="1:4" s="23" customFormat="1" ht="20.399999999999999" x14ac:dyDescent="0.3">
      <c r="A132" s="87"/>
      <c r="C132" s="142"/>
      <c r="D132" s="142"/>
    </row>
    <row r="133" spans="1:4" s="23" customFormat="1" ht="20.399999999999999" x14ac:dyDescent="0.3">
      <c r="A133" s="87"/>
      <c r="C133" s="142"/>
      <c r="D133" s="142"/>
    </row>
    <row r="134" spans="1:4" s="23" customFormat="1" ht="20.399999999999999" x14ac:dyDescent="0.3">
      <c r="A134" s="87"/>
      <c r="C134" s="142"/>
      <c r="D134" s="142"/>
    </row>
    <row r="135" spans="1:4" s="23" customFormat="1" ht="20.399999999999999" x14ac:dyDescent="0.3">
      <c r="A135" s="87"/>
      <c r="C135" s="142"/>
      <c r="D135" s="142"/>
    </row>
    <row r="136" spans="1:4" s="23" customFormat="1" ht="20.399999999999999" x14ac:dyDescent="0.3">
      <c r="A136" s="87"/>
      <c r="C136" s="142"/>
      <c r="D136" s="142"/>
    </row>
    <row r="137" spans="1:4" s="23" customFormat="1" ht="20.399999999999999" x14ac:dyDescent="0.3">
      <c r="A137" s="87"/>
      <c r="C137" s="142"/>
      <c r="D137" s="142"/>
    </row>
    <row r="138" spans="1:4" s="23" customFormat="1" ht="20.399999999999999" x14ac:dyDescent="0.3">
      <c r="A138" s="87"/>
      <c r="C138" s="142"/>
      <c r="D138" s="142"/>
    </row>
    <row r="139" spans="1:4" s="23" customFormat="1" ht="20.399999999999999" x14ac:dyDescent="0.3">
      <c r="A139" s="87"/>
      <c r="C139" s="142"/>
      <c r="D139" s="142"/>
    </row>
    <row r="140" spans="1:4" s="23" customFormat="1" ht="20.399999999999999" x14ac:dyDescent="0.3">
      <c r="A140" s="87"/>
      <c r="C140" s="142"/>
      <c r="D140" s="142"/>
    </row>
    <row r="141" spans="1:4" s="23" customFormat="1" ht="20.399999999999999" x14ac:dyDescent="0.3">
      <c r="A141" s="87"/>
      <c r="C141" s="142"/>
      <c r="D141" s="142"/>
    </row>
    <row r="142" spans="1:4" s="23" customFormat="1" ht="20.399999999999999" x14ac:dyDescent="0.3">
      <c r="A142" s="87"/>
      <c r="C142" s="142"/>
      <c r="D142" s="142"/>
    </row>
    <row r="143" spans="1:4" s="23" customFormat="1" ht="20.399999999999999" x14ac:dyDescent="0.3">
      <c r="A143" s="87"/>
      <c r="C143" s="142"/>
      <c r="D143" s="142"/>
    </row>
    <row r="144" spans="1:4" s="23" customFormat="1" ht="20.399999999999999" x14ac:dyDescent="0.3">
      <c r="A144" s="87"/>
      <c r="C144" s="142"/>
      <c r="D144" s="142"/>
    </row>
    <row r="145" spans="1:4" s="23" customFormat="1" ht="20.399999999999999" x14ac:dyDescent="0.3">
      <c r="A145" s="87"/>
      <c r="C145" s="142"/>
      <c r="D145" s="142"/>
    </row>
    <row r="146" spans="1:4" s="23" customFormat="1" ht="20.399999999999999" x14ac:dyDescent="0.3">
      <c r="A146" s="87"/>
      <c r="C146" s="142"/>
      <c r="D146" s="142"/>
    </row>
    <row r="147" spans="1:4" s="23" customFormat="1" ht="20.399999999999999" x14ac:dyDescent="0.3">
      <c r="A147" s="87"/>
      <c r="C147" s="142"/>
      <c r="D147" s="142"/>
    </row>
    <row r="148" spans="1:4" s="23" customFormat="1" ht="20.399999999999999" x14ac:dyDescent="0.3">
      <c r="A148" s="87"/>
      <c r="C148" s="142"/>
      <c r="D148" s="142"/>
    </row>
    <row r="149" spans="1:4" s="23" customFormat="1" ht="20.399999999999999" x14ac:dyDescent="0.3">
      <c r="A149" s="87"/>
      <c r="C149" s="142"/>
      <c r="D149" s="142"/>
    </row>
    <row r="150" spans="1:4" s="23" customFormat="1" ht="20.399999999999999" x14ac:dyDescent="0.3">
      <c r="A150" s="87"/>
      <c r="C150" s="142"/>
      <c r="D150" s="142"/>
    </row>
    <row r="151" spans="1:4" s="23" customFormat="1" ht="20.399999999999999" x14ac:dyDescent="0.3">
      <c r="A151" s="87"/>
      <c r="C151" s="142"/>
      <c r="D151" s="142"/>
    </row>
    <row r="152" spans="1:4" s="23" customFormat="1" ht="20.399999999999999" x14ac:dyDescent="0.3">
      <c r="A152" s="87"/>
      <c r="C152" s="142"/>
      <c r="D152" s="142"/>
    </row>
    <row r="153" spans="1:4" s="23" customFormat="1" ht="20.399999999999999" x14ac:dyDescent="0.3">
      <c r="A153" s="87"/>
      <c r="C153" s="142"/>
      <c r="D153" s="142"/>
    </row>
    <row r="154" spans="1:4" s="23" customFormat="1" ht="20.399999999999999" x14ac:dyDescent="0.3">
      <c r="A154" s="87"/>
      <c r="C154" s="142"/>
      <c r="D154" s="142"/>
    </row>
    <row r="155" spans="1:4" s="23" customFormat="1" ht="20.399999999999999" x14ac:dyDescent="0.3">
      <c r="A155" s="87"/>
      <c r="C155" s="142"/>
      <c r="D155" s="142"/>
    </row>
    <row r="156" spans="1:4" s="23" customFormat="1" ht="20.399999999999999" x14ac:dyDescent="0.3">
      <c r="A156" s="87"/>
      <c r="C156" s="142"/>
      <c r="D156" s="142"/>
    </row>
    <row r="157" spans="1:4" s="23" customFormat="1" ht="20.399999999999999" x14ac:dyDescent="0.3">
      <c r="A157" s="87"/>
      <c r="C157" s="142"/>
      <c r="D157" s="142"/>
    </row>
    <row r="158" spans="1:4" s="23" customFormat="1" ht="20.399999999999999" x14ac:dyDescent="0.3">
      <c r="A158" s="87"/>
      <c r="C158" s="142"/>
      <c r="D158" s="142"/>
    </row>
    <row r="159" spans="1:4" s="23" customFormat="1" ht="20.399999999999999" x14ac:dyDescent="0.3">
      <c r="A159" s="87"/>
      <c r="C159" s="142"/>
      <c r="D159" s="142"/>
    </row>
    <row r="160" spans="1:4" s="23" customFormat="1" ht="20.399999999999999" x14ac:dyDescent="0.3">
      <c r="A160" s="87"/>
      <c r="C160" s="142"/>
      <c r="D160" s="142"/>
    </row>
    <row r="161" spans="1:4" s="23" customFormat="1" ht="20.399999999999999" x14ac:dyDescent="0.3">
      <c r="A161" s="87"/>
      <c r="C161" s="142"/>
      <c r="D161" s="142"/>
    </row>
    <row r="162" spans="1:4" s="23" customFormat="1" ht="20.399999999999999" x14ac:dyDescent="0.3">
      <c r="A162" s="87"/>
      <c r="C162" s="142"/>
      <c r="D162" s="142"/>
    </row>
    <row r="163" spans="1:4" s="23" customFormat="1" ht="20.399999999999999" x14ac:dyDescent="0.3">
      <c r="A163" s="87"/>
      <c r="C163" s="142"/>
      <c r="D163" s="142"/>
    </row>
    <row r="164" spans="1:4" s="23" customFormat="1" ht="20.399999999999999" x14ac:dyDescent="0.3">
      <c r="A164" s="87"/>
      <c r="C164" s="142"/>
      <c r="D164" s="142"/>
    </row>
    <row r="165" spans="1:4" s="23" customFormat="1" ht="20.399999999999999" x14ac:dyDescent="0.3">
      <c r="A165" s="87"/>
      <c r="C165" s="142"/>
      <c r="D165" s="142"/>
    </row>
    <row r="166" spans="1:4" s="23" customFormat="1" ht="20.399999999999999" x14ac:dyDescent="0.3">
      <c r="A166" s="87"/>
      <c r="C166" s="142"/>
      <c r="D166" s="142"/>
    </row>
    <row r="167" spans="1:4" s="23" customFormat="1" ht="20.399999999999999" x14ac:dyDescent="0.3">
      <c r="A167" s="87"/>
      <c r="C167" s="142"/>
      <c r="D167" s="142"/>
    </row>
    <row r="168" spans="1:4" s="23" customFormat="1" ht="20.399999999999999" x14ac:dyDescent="0.3">
      <c r="A168" s="87"/>
      <c r="C168" s="142"/>
      <c r="D168" s="142"/>
    </row>
    <row r="169" spans="1:4" s="23" customFormat="1" ht="20.399999999999999" x14ac:dyDescent="0.3">
      <c r="A169" s="87"/>
      <c r="C169" s="142"/>
      <c r="D169" s="142"/>
    </row>
    <row r="170" spans="1:4" s="23" customFormat="1" ht="20.399999999999999" x14ac:dyDescent="0.3">
      <c r="A170" s="87"/>
      <c r="C170" s="142"/>
      <c r="D170" s="142"/>
    </row>
    <row r="171" spans="1:4" s="23" customFormat="1" ht="20.399999999999999" x14ac:dyDescent="0.3">
      <c r="A171" s="87"/>
      <c r="C171" s="142"/>
      <c r="D171" s="142"/>
    </row>
    <row r="172" spans="1:4" s="23" customFormat="1" ht="20.399999999999999" x14ac:dyDescent="0.3">
      <c r="A172" s="87"/>
      <c r="C172" s="142"/>
      <c r="D172" s="142"/>
    </row>
    <row r="173" spans="1:4" s="23" customFormat="1" ht="20.399999999999999" x14ac:dyDescent="0.3">
      <c r="A173" s="87"/>
      <c r="C173" s="142"/>
      <c r="D173" s="142"/>
    </row>
    <row r="174" spans="1:4" s="23" customFormat="1" ht="20.399999999999999" x14ac:dyDescent="0.3">
      <c r="A174" s="87"/>
      <c r="C174" s="142"/>
      <c r="D174" s="142"/>
    </row>
    <row r="175" spans="1:4" s="23" customFormat="1" ht="20.399999999999999" x14ac:dyDescent="0.3">
      <c r="A175" s="87"/>
      <c r="C175" s="142"/>
      <c r="D175" s="142"/>
    </row>
    <row r="176" spans="1:4" s="23" customFormat="1" ht="20.399999999999999" x14ac:dyDescent="0.3">
      <c r="A176" s="87"/>
      <c r="C176" s="142"/>
      <c r="D176" s="142"/>
    </row>
    <row r="177" spans="1:4" s="23" customFormat="1" ht="20.399999999999999" x14ac:dyDescent="0.3">
      <c r="A177" s="87"/>
      <c r="C177" s="142"/>
      <c r="D177" s="142"/>
    </row>
    <row r="178" spans="1:4" s="23" customFormat="1" ht="20.399999999999999" x14ac:dyDescent="0.3">
      <c r="A178" s="87"/>
      <c r="C178" s="142"/>
      <c r="D178" s="142"/>
    </row>
    <row r="179" spans="1:4" s="23" customFormat="1" ht="20.399999999999999" x14ac:dyDescent="0.3">
      <c r="A179" s="87"/>
      <c r="C179" s="142"/>
      <c r="D179" s="142"/>
    </row>
    <row r="180" spans="1:4" s="23" customFormat="1" ht="20.399999999999999" x14ac:dyDescent="0.3">
      <c r="A180" s="87"/>
      <c r="C180" s="142"/>
      <c r="D180" s="142"/>
    </row>
    <row r="181" spans="1:4" s="23" customFormat="1" ht="20.399999999999999" x14ac:dyDescent="0.3">
      <c r="A181" s="87"/>
      <c r="C181" s="142"/>
      <c r="D181" s="142"/>
    </row>
    <row r="182" spans="1:4" s="23" customFormat="1" ht="20.399999999999999" x14ac:dyDescent="0.3">
      <c r="A182" s="87"/>
      <c r="C182" s="142"/>
      <c r="D182" s="142"/>
    </row>
    <row r="183" spans="1:4" s="23" customFormat="1" ht="20.399999999999999" x14ac:dyDescent="0.3">
      <c r="A183" s="87"/>
      <c r="C183" s="142"/>
      <c r="D183" s="142"/>
    </row>
    <row r="184" spans="1:4" s="23" customFormat="1" ht="20.399999999999999" x14ac:dyDescent="0.3">
      <c r="A184" s="87"/>
      <c r="C184" s="142"/>
      <c r="D184" s="142"/>
    </row>
    <row r="185" spans="1:4" s="23" customFormat="1" ht="20.399999999999999" x14ac:dyDescent="0.3">
      <c r="A185" s="87"/>
      <c r="C185" s="142"/>
      <c r="D185" s="142"/>
    </row>
    <row r="186" spans="1:4" s="23" customFormat="1" ht="20.399999999999999" x14ac:dyDescent="0.3">
      <c r="A186" s="87"/>
      <c r="C186" s="142"/>
      <c r="D186" s="142"/>
    </row>
    <row r="187" spans="1:4" s="23" customFormat="1" ht="20.399999999999999" x14ac:dyDescent="0.3">
      <c r="A187" s="87"/>
      <c r="C187" s="142"/>
      <c r="D187" s="142"/>
    </row>
    <row r="188" spans="1:4" s="23" customFormat="1" ht="20.399999999999999" x14ac:dyDescent="0.3">
      <c r="A188" s="87"/>
      <c r="C188" s="142"/>
      <c r="D188" s="142"/>
    </row>
    <row r="189" spans="1:4" s="23" customFormat="1" ht="20.399999999999999" x14ac:dyDescent="0.3">
      <c r="A189" s="87"/>
      <c r="C189" s="142"/>
      <c r="D189" s="142"/>
    </row>
    <row r="190" spans="1:4" s="23" customFormat="1" ht="20.399999999999999" x14ac:dyDescent="0.3">
      <c r="A190" s="87"/>
      <c r="C190" s="142"/>
      <c r="D190" s="142"/>
    </row>
    <row r="191" spans="1:4" s="23" customFormat="1" ht="20.399999999999999" x14ac:dyDescent="0.3">
      <c r="A191" s="87"/>
      <c r="C191" s="142"/>
      <c r="D191" s="142"/>
    </row>
    <row r="192" spans="1:4" s="23" customFormat="1" ht="20.399999999999999" x14ac:dyDescent="0.3">
      <c r="A192" s="87"/>
      <c r="C192" s="142"/>
      <c r="D192" s="142"/>
    </row>
    <row r="193" spans="1:4" s="23" customFormat="1" ht="20.399999999999999" x14ac:dyDescent="0.3">
      <c r="A193" s="87"/>
      <c r="C193" s="142"/>
      <c r="D193" s="142"/>
    </row>
    <row r="194" spans="1:4" s="23" customFormat="1" ht="20.399999999999999" x14ac:dyDescent="0.3">
      <c r="A194" s="87"/>
      <c r="C194" s="142"/>
      <c r="D194" s="142"/>
    </row>
    <row r="195" spans="1:4" s="23" customFormat="1" ht="20.399999999999999" x14ac:dyDescent="0.3">
      <c r="A195" s="87"/>
      <c r="C195" s="142"/>
      <c r="D195" s="142"/>
    </row>
    <row r="196" spans="1:4" s="23" customFormat="1" ht="20.399999999999999" x14ac:dyDescent="0.3">
      <c r="A196" s="87"/>
      <c r="C196" s="142"/>
      <c r="D196" s="142"/>
    </row>
    <row r="197" spans="1:4" s="23" customFormat="1" ht="20.399999999999999" x14ac:dyDescent="0.3">
      <c r="A197" s="87"/>
      <c r="C197" s="142"/>
      <c r="D197" s="142"/>
    </row>
    <row r="198" spans="1:4" s="23" customFormat="1" ht="20.399999999999999" x14ac:dyDescent="0.3">
      <c r="A198" s="87"/>
      <c r="C198" s="142"/>
      <c r="D198" s="142"/>
    </row>
    <row r="199" spans="1:4" s="23" customFormat="1" ht="20.399999999999999" x14ac:dyDescent="0.3">
      <c r="A199" s="87"/>
      <c r="C199" s="142"/>
      <c r="D199" s="142"/>
    </row>
    <row r="200" spans="1:4" s="23" customFormat="1" ht="20.399999999999999" x14ac:dyDescent="0.3">
      <c r="A200" s="87"/>
      <c r="C200" s="142"/>
      <c r="D200" s="142"/>
    </row>
    <row r="201" spans="1:4" s="23" customFormat="1" ht="20.399999999999999" x14ac:dyDescent="0.3">
      <c r="A201" s="87"/>
      <c r="C201" s="142"/>
      <c r="D201" s="142"/>
    </row>
    <row r="202" spans="1:4" s="23" customFormat="1" ht="20.399999999999999" x14ac:dyDescent="0.3">
      <c r="A202" s="87"/>
      <c r="C202" s="142"/>
      <c r="D202" s="142"/>
    </row>
    <row r="203" spans="1:4" s="23" customFormat="1" ht="20.399999999999999" x14ac:dyDescent="0.3">
      <c r="A203" s="87"/>
      <c r="C203" s="142"/>
      <c r="D203" s="142"/>
    </row>
    <row r="204" spans="1:4" s="23" customFormat="1" ht="20.399999999999999" x14ac:dyDescent="0.3">
      <c r="A204" s="87"/>
      <c r="C204" s="142"/>
      <c r="D204" s="142"/>
    </row>
    <row r="205" spans="1:4" s="23" customFormat="1" ht="20.399999999999999" x14ac:dyDescent="0.3">
      <c r="A205" s="87"/>
      <c r="C205" s="142"/>
      <c r="D205" s="142"/>
    </row>
    <row r="206" spans="1:4" s="23" customFormat="1" ht="20.399999999999999" x14ac:dyDescent="0.3">
      <c r="A206" s="87"/>
      <c r="C206" s="142"/>
      <c r="D206" s="142"/>
    </row>
    <row r="207" spans="1:4" s="23" customFormat="1" ht="20.399999999999999" x14ac:dyDescent="0.3">
      <c r="A207" s="87"/>
      <c r="C207" s="142"/>
      <c r="D207" s="142"/>
    </row>
    <row r="208" spans="1:4" s="23" customFormat="1" x14ac:dyDescent="0.3">
      <c r="A208" s="87"/>
    </row>
    <row r="209" spans="1:8" s="23" customFormat="1" ht="20.399999999999999" x14ac:dyDescent="0.3">
      <c r="A209" s="87"/>
      <c r="B209" s="143" t="s">
        <v>86</v>
      </c>
      <c r="C209" s="143" t="s">
        <v>139</v>
      </c>
      <c r="D209" s="144" t="s">
        <v>86</v>
      </c>
      <c r="E209" s="144" t="s">
        <v>139</v>
      </c>
    </row>
    <row r="210" spans="1:8" s="23" customFormat="1" ht="42" x14ac:dyDescent="0.4">
      <c r="A210" s="87"/>
      <c r="B210" s="145" t="s">
        <v>88</v>
      </c>
      <c r="C210" s="145"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5" t="s">
        <v>88</v>
      </c>
      <c r="C211" s="145" t="s">
        <v>205</v>
      </c>
      <c r="E211" s="23" t="s">
        <v>204</v>
      </c>
      <c r="F211" s="23" t="str">
        <f t="shared" ref="F211:F221" si="0">IF(NOT(ISBLANK(D211)),D211,IF(NOT(ISBLANK(E211)),"     "&amp;E211,FALSE))</f>
        <v xml:space="preserve">     Afectación menor a 200 SMLMV</v>
      </c>
    </row>
    <row r="212" spans="1:8" s="23" customFormat="1" ht="42" x14ac:dyDescent="0.4">
      <c r="A212" s="87"/>
      <c r="B212" s="145" t="s">
        <v>88</v>
      </c>
      <c r="C212" s="145" t="s">
        <v>209</v>
      </c>
      <c r="E212" s="23" t="s">
        <v>205</v>
      </c>
      <c r="F212" s="23" t="str">
        <f t="shared" si="0"/>
        <v xml:space="preserve">     Entre 200 y 1000 SMLMV</v>
      </c>
    </row>
    <row r="213" spans="1:8" s="23" customFormat="1" ht="42" x14ac:dyDescent="0.4">
      <c r="A213" s="87"/>
      <c r="B213" s="145" t="s">
        <v>88</v>
      </c>
      <c r="C213" s="145" t="s">
        <v>210</v>
      </c>
      <c r="E213" s="23" t="s">
        <v>209</v>
      </c>
      <c r="F213" s="23" t="str">
        <f t="shared" si="0"/>
        <v xml:space="preserve">     Entre 1000 y 5000 SMLMV </v>
      </c>
    </row>
    <row r="214" spans="1:8" s="23" customFormat="1" ht="42" x14ac:dyDescent="0.4">
      <c r="A214" s="87"/>
      <c r="B214" s="145" t="s">
        <v>88</v>
      </c>
      <c r="C214" s="145" t="s">
        <v>206</v>
      </c>
      <c r="E214" s="23" t="s">
        <v>210</v>
      </c>
      <c r="F214" s="23" t="str">
        <f t="shared" si="0"/>
        <v xml:space="preserve">     Entre 5000 y 10000 SMLMV</v>
      </c>
    </row>
    <row r="215" spans="1:8" s="23" customFormat="1" ht="21" x14ac:dyDescent="0.4">
      <c r="A215" s="87"/>
      <c r="B215" s="145" t="s">
        <v>56</v>
      </c>
      <c r="C215" s="145" t="s">
        <v>91</v>
      </c>
      <c r="E215" s="23" t="s">
        <v>206</v>
      </c>
      <c r="F215" s="23" t="str">
        <f t="shared" si="0"/>
        <v xml:space="preserve">     Mayor a 10000 SMLMV</v>
      </c>
    </row>
    <row r="216" spans="1:8" s="23" customFormat="1" ht="63" x14ac:dyDescent="0.4">
      <c r="A216" s="87"/>
      <c r="B216" s="145" t="s">
        <v>56</v>
      </c>
      <c r="C216" s="145" t="s">
        <v>92</v>
      </c>
      <c r="D216" s="23" t="s">
        <v>56</v>
      </c>
      <c r="F216" s="23" t="str">
        <f t="shared" si="0"/>
        <v>Pérdida Reputacional</v>
      </c>
    </row>
    <row r="217" spans="1:8" s="23" customFormat="1" ht="42" x14ac:dyDescent="0.4">
      <c r="A217" s="87"/>
      <c r="B217" s="145" t="s">
        <v>56</v>
      </c>
      <c r="C217" s="145" t="s">
        <v>94</v>
      </c>
      <c r="E217" s="23" t="s">
        <v>91</v>
      </c>
      <c r="F217" s="23" t="str">
        <f>IF(NOT(ISBLANK(D217)),D217,IF(NOT(ISBLANK(E217)),"     "&amp;E217,FALSE))</f>
        <v xml:space="preserve">     El riesgo afecta la imagen de alguna área de la organización</v>
      </c>
    </row>
    <row r="218" spans="1:8" s="23" customFormat="1" ht="63" x14ac:dyDescent="0.4">
      <c r="A218" s="87"/>
      <c r="B218" s="145" t="s">
        <v>56</v>
      </c>
      <c r="C218" s="145"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5" t="s">
        <v>56</v>
      </c>
      <c r="C219" s="145"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6" t="s">
        <v>140</v>
      </c>
    </row>
    <row r="224" spans="1:8" s="23" customFormat="1" x14ac:dyDescent="0.3">
      <c r="F224" s="146"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2025-05-26T13:59:56Z</dcterms:modified>
</cp:coreProperties>
</file>